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pivotTables/pivotTable7.xml" ContentType="application/vnd.openxmlformats-officedocument.spreadsheetml.pivotTable+xml"/>
  <Override PartName="/xl/comments2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7BB0469-3B4E-44D6-90DF-2DC919F7150C}" xr6:coauthVersionLast="46" xr6:coauthVersionMax="46" xr10:uidLastSave="{00000000-0000-0000-0000-000000000000}"/>
  <workbookProtection workbookAlgorithmName="SHA-512" workbookHashValue="zOgC1RI1QYIA4bed5yUO8vXkl8k1RbCxIxEdMPyJbAi2oaKqAmMr/7eHos9rQ8seHei6GxBDYXaXflRzhqevbw==" workbookSaltValue="m4lkd1VTVd1h+33UU0zNjA==" workbookSpinCount="100000" lockStructure="1"/>
  <bookViews>
    <workbookView xWindow="-28920" yWindow="-120" windowWidth="29040" windowHeight="15840" tabRatio="772" firstSheet="7" activeTab="13" xr2:uid="{9A1F3BD0-E1BF-4568-9343-0AC406A6C2EE}"/>
  </bookViews>
  <sheets>
    <sheet name="List" sheetId="30" state="hidden" r:id="rId1"/>
    <sheet name="Copyright Notice" sheetId="47" r:id="rId2"/>
    <sheet name="Selection" sheetId="29" state="hidden" r:id="rId3"/>
    <sheet name="Cover Page" sheetId="33" r:id="rId4"/>
    <sheet name="Outline" sheetId="35" r:id="rId5"/>
    <sheet name="Summary 2020-21 scratch" sheetId="40" state="hidden" r:id="rId6"/>
    <sheet name="Summary Table" sheetId="51" state="hidden" r:id="rId7"/>
    <sheet name="Summary ALL" sheetId="63" r:id="rId8"/>
    <sheet name=" Summary by Program 2020-21" sheetId="39" state="hidden" r:id="rId9"/>
    <sheet name="Summary 2020-21" sheetId="50" state="hidden" r:id="rId10"/>
    <sheet name="Total PP Savings" sheetId="62" state="hidden" r:id="rId11"/>
    <sheet name="Data Sources 20-21" sheetId="49" state="hidden" r:id="rId12"/>
    <sheet name="Summary Program Measures" sheetId="53" r:id="rId13"/>
    <sheet name="Summary Codes and Stds" sheetId="54" r:id="rId14"/>
    <sheet name="C&amp;S List" sheetId="46" r:id="rId15"/>
    <sheet name="Funder Share Table" sheetId="27" r:id="rId16"/>
    <sheet name="Methodology" sheetId="26" r:id="rId17"/>
    <sheet name="Common Qs" sheetId="48" state="hidden" r:id="rId18"/>
    <sheet name=" Summary by Program" sheetId="1" state="hidden" r:id="rId19"/>
    <sheet name="Overview" sheetId="34" state="hidden" r:id="rId20"/>
    <sheet name="Programs" sheetId="6" state="hidden" r:id="rId21"/>
    <sheet name="AMMO Savings Rates" sheetId="59" state="hidden" r:id="rId22"/>
    <sheet name="AMMO Units" sheetId="58" state="hidden" r:id="rId23"/>
    <sheet name="AMMO Measure Funding Cycles" sheetId="64" state="hidden" r:id="rId24"/>
    <sheet name="AMMO Measures" sheetId="61" state="hidden" r:id="rId25"/>
    <sheet name="AMMO Funder Share" sheetId="60" state="hidden" r:id="rId26"/>
    <sheet name="DHP" sheetId="14" r:id="rId27"/>
    <sheet name="XMP" sheetId="56" r:id="rId28"/>
    <sheet name="HPWH" sheetId="15" r:id="rId29"/>
    <sheet name="Manufactured_Homes" sheetId="52" r:id="rId30"/>
    <sheet name="Frig_Freezers" sheetId="20" r:id="rId31"/>
    <sheet name="Clothes_Washers" sheetId="18" r:id="rId32"/>
    <sheet name="Clothes_Dryers" sheetId="17" r:id="rId33"/>
    <sheet name="Room_AC" sheetId="21" r:id="rId34"/>
    <sheet name="TVs" sheetId="65" r:id="rId35"/>
    <sheet name="Homes_Vol" sheetId="23" state="hidden" r:id="rId36"/>
    <sheet name="Air_Cleaners" sheetId="57" r:id="rId37"/>
    <sheet name="Soundbars" sheetId="22" state="hidden" r:id="rId38"/>
    <sheet name="Commercial_Desktops" sheetId="9" state="hidden" r:id="rId39"/>
    <sheet name="Com_Lighting" sheetId="11" r:id="rId40"/>
    <sheet name="Ind_Lighting" sheetId="25" r:id="rId41"/>
    <sheet name="Window_Attachmts" sheetId="37" r:id="rId42"/>
    <sheet name="CRES" sheetId="13" state="hidden" r:id="rId43"/>
    <sheet name="Codes" sheetId="8" r:id="rId44"/>
    <sheet name="Standards" sheetId="24" r:id="rId45"/>
    <sheet name="Market Adoption Units" sheetId="19" state="hidden" r:id="rId46"/>
    <sheet name="2. Report Detail 7thPP" sheetId="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6" hidden="1">'2. Report Detail 7thPP'!$A$3:$AB$213</definedName>
    <definedName name="_xlnm._FilterDatabase" localSheetId="36" hidden="1">Air_Cleaners!$A$5:$AC$9</definedName>
    <definedName name="_xlnm._FilterDatabase" localSheetId="32" hidden="1">Clothes_Dryers!$A$5:$Z$29</definedName>
    <definedName name="_xlnm._FilterDatabase" localSheetId="31" hidden="1">Clothes_Washers!$A$5:$AC$17</definedName>
    <definedName name="_xlnm._FilterDatabase" localSheetId="43" hidden="1">Codes!$A$6:$XFB$109</definedName>
    <definedName name="_xlnm._FilterDatabase" localSheetId="39" hidden="1">Com_Lighting!$A$6:$AA$18</definedName>
    <definedName name="_xlnm._FilterDatabase" localSheetId="38" hidden="1">Commercial_Desktops!$A$5:$X$7</definedName>
    <definedName name="_xlnm._FilterDatabase" localSheetId="42" hidden="1">CRES!$A$5:$W$9</definedName>
    <definedName name="_xlnm._FilterDatabase" localSheetId="11" hidden="1">'Data Sources 20-21'!$A$3:$M$118</definedName>
    <definedName name="_xlnm._FilterDatabase" localSheetId="26" hidden="1">DHP!$A$5:$W$20</definedName>
    <definedName name="_xlnm._FilterDatabase" localSheetId="30" hidden="1">Frig_Freezers!$H$5:$V$51</definedName>
    <definedName name="_xlnm._FilterDatabase" localSheetId="35" hidden="1">Homes_Vol!$A$5:$U$71</definedName>
    <definedName name="_xlnm._FilterDatabase" localSheetId="28" hidden="1">HPWH!$A$5:$AU$69</definedName>
    <definedName name="_xlnm._FilterDatabase" localSheetId="40" hidden="1">Ind_Lighting!$A$5:$AA$13</definedName>
    <definedName name="_xlnm._FilterDatabase" localSheetId="29" hidden="1">Manufactured_Homes!$A$5:$V$17</definedName>
    <definedName name="_xlnm._FilterDatabase" localSheetId="33" hidden="1">Room_AC!$A$5:$AC$12</definedName>
    <definedName name="_xlnm._FilterDatabase" localSheetId="37" hidden="1">Soundbars!$A$5:$AC$11</definedName>
    <definedName name="_xlnm._FilterDatabase" localSheetId="44" hidden="1">Standards!$A$5:$V$16</definedName>
    <definedName name="_xlnm._FilterDatabase" localSheetId="34" hidden="1">TVs!$A$5:$AC$12</definedName>
    <definedName name="_xlnm._FilterDatabase" localSheetId="41" hidden="1">Window_Attachmts!$A$5:$U$9</definedName>
    <definedName name="_xlnm._FilterDatabase" localSheetId="27" hidden="1">XMP!$A$5:$W$57</definedName>
    <definedName name="_Key1" localSheetId="8" hidden="1">#REF!</definedName>
    <definedName name="_Key1" localSheetId="11" hidden="1">#REF!</definedName>
    <definedName name="_Key1" localSheetId="29" hidden="1">#REF!</definedName>
    <definedName name="_Key1" localSheetId="9" hidden="1">#REF!</definedName>
    <definedName name="_Key1" localSheetId="5" hidden="1">#REF!</definedName>
    <definedName name="_Key1" localSheetId="13" hidden="1">#REF!</definedName>
    <definedName name="_Key1" localSheetId="12" hidden="1">#REF!</definedName>
    <definedName name="_Key1" hidden="1">#REF!</definedName>
    <definedName name="_Order1" hidden="1">255</definedName>
    <definedName name="_Sort" localSheetId="8" hidden="1">#REF!</definedName>
    <definedName name="_Sort" localSheetId="11" hidden="1">#REF!</definedName>
    <definedName name="_Sort" localSheetId="29" hidden="1">#REF!</definedName>
    <definedName name="_Sort" localSheetId="9" hidden="1">#REF!</definedName>
    <definedName name="_Sort" localSheetId="5" hidden="1">#REF!</definedName>
    <definedName name="_Sort" localSheetId="13" hidden="1">#REF!</definedName>
    <definedName name="_Sort" localSheetId="12" hidden="1">#REF!</definedName>
    <definedName name="_Sort" hidden="1">#REF!</definedName>
    <definedName name="Adjustments">HPWH!$H$257</definedName>
    <definedName name="Allocation_list" localSheetId="3">[1]Lists!$E$2:$E$5</definedName>
    <definedName name="Allocation_list" localSheetId="4">[1]Lists!$E$2:$E$5</definedName>
    <definedName name="Allocation_list" localSheetId="19">[1]Lists!$E$2:$E$5</definedName>
    <definedName name="Allocation_list">List!$E$2:$E$5</definedName>
    <definedName name="Baseline_List" localSheetId="8">#REF!</definedName>
    <definedName name="Baseline_List" localSheetId="1">#REF!</definedName>
    <definedName name="Baseline_List" localSheetId="11">#REF!</definedName>
    <definedName name="Baseline_List" localSheetId="29">#REF!</definedName>
    <definedName name="Baseline_List" localSheetId="9">#REF!</definedName>
    <definedName name="Baseline_List" localSheetId="5">#REF!</definedName>
    <definedName name="Baseline_List" localSheetId="13">#REF!</definedName>
    <definedName name="Baseline_List" localSheetId="12">#REF!</definedName>
    <definedName name="Baseline_List">#REF!</definedName>
    <definedName name="BaselineVersion_list">[2]lists!$I$6:$I$16</definedName>
    <definedName name="CostDataSourceTypes">[3]Sheet1!$A$2:$A$12</definedName>
    <definedName name="DBA0092c4b19a7a41b2b4c2add4bf5e10f6">[4]Sheet3!$E$2:$E$6</definedName>
    <definedName name="DBA38631bd3d87247758fcefe072f87c29b" localSheetId="1">#REF!</definedName>
    <definedName name="DBA38631bd3d87247758fcefe072f87c29b">[4]Sheet3!$B$2:$B$138</definedName>
    <definedName name="DBAb647fa05d29b4d878e18a72f3c11e087" localSheetId="1">#REF!</definedName>
    <definedName name="DBAb647fa05d29b4d878e18a72f3c11e087">[4]Sheet3!$C$2:$C$138</definedName>
    <definedName name="DBAd3358d62f67f4a81b6247fbf62d40ced" localSheetId="1">#REF!</definedName>
    <definedName name="DBAd3358d62f67f4a81b6247fbf62d40ced">[4]Sheet3!$D$2:$D$126</definedName>
    <definedName name="HiLo_List" localSheetId="8">#REF!</definedName>
    <definedName name="HiLo_List" localSheetId="1">#REF!</definedName>
    <definedName name="HiLo_List" localSheetId="11">#REF!</definedName>
    <definedName name="HiLo_List" localSheetId="29">#REF!</definedName>
    <definedName name="HiLo_List" localSheetId="9">#REF!</definedName>
    <definedName name="HiLo_List" localSheetId="5">#REF!</definedName>
    <definedName name="HiLo_List" localSheetId="13">#REF!</definedName>
    <definedName name="HiLo_List" localSheetId="12">#REF!</definedName>
    <definedName name="HiLo_List">#REF!</definedName>
    <definedName name="HOU">[5]Lamps_HOUandConditionedPcnt!$E$6:$E$17</definedName>
    <definedName name="hpwh7thpp" localSheetId="8">HPWH!#REF!</definedName>
    <definedName name="hpwh7thpp" localSheetId="11">HPWH!#REF!</definedName>
    <definedName name="hpwh7thpp" localSheetId="29">HPWH!#REF!</definedName>
    <definedName name="hpwh7thpp" localSheetId="9">HPWH!#REF!</definedName>
    <definedName name="hpwh7thpp" localSheetId="5">HPWH!#REF!</definedName>
    <definedName name="hpwh7thpp" localSheetId="13">HPWH!#REF!</definedName>
    <definedName name="hpwh7thpp" localSheetId="12">HPWH!#REF!</definedName>
    <definedName name="hpwh7thpp">HPWH!#REF!</definedName>
    <definedName name="hpwhrtf">HPWH!$H$94</definedName>
    <definedName name="ILC">[6]Overview!$AJ$1:$AJ$6</definedName>
    <definedName name="List_allocation">[7]Lists!$G$1:$G$5</definedName>
    <definedName name="List_Programs">[8]Lookup!$H$2:$H$103</definedName>
    <definedName name="List_ReportArchive">[1]Lists!$G$2:$G$35</definedName>
    <definedName name="List_ReportName">[7]Lists!$I$2:$I$20</definedName>
    <definedName name="List_year">[8]Lookup!$G$2:$G$34</definedName>
    <definedName name="Model_Status">[6]Overview!$AK$1:$AK$6</definedName>
    <definedName name="Period_list" localSheetId="3">[1]Lists!$D$2:$D$10</definedName>
    <definedName name="Period_list" localSheetId="4">[1]Lists!$D$2:$D$10</definedName>
    <definedName name="Period_list" localSheetId="19">[1]Lists!$D$2:$D$10</definedName>
    <definedName name="Period_List">List!$D$2:$D$8</definedName>
    <definedName name="PNWShare">'[9]All Products'!$M$6</definedName>
    <definedName name="pp_list">[2]lists!$M$5:$M$7</definedName>
    <definedName name="_xlnm.Print_Area" localSheetId="11">'Data Sources 20-21'!$C$2:$M$80</definedName>
    <definedName name="_xlnm.Print_Titles" localSheetId="11">'Data Sources 20-21'!$2:$3</definedName>
    <definedName name="Product_List" localSheetId="8">#REF!</definedName>
    <definedName name="Product_List" localSheetId="1">#REF!</definedName>
    <definedName name="Product_List" localSheetId="11">#REF!</definedName>
    <definedName name="Product_List" localSheetId="29">#REF!</definedName>
    <definedName name="Product_List" localSheetId="9">#REF!</definedName>
    <definedName name="Product_List" localSheetId="5">#REF!</definedName>
    <definedName name="Product_List" localSheetId="13">#REF!</definedName>
    <definedName name="Product_List" localSheetId="12">#REF!</definedName>
    <definedName name="Product_List">#REF!</definedName>
    <definedName name="ProductList" localSheetId="8">#REF!</definedName>
    <definedName name="ProductList" localSheetId="1">#REF!</definedName>
    <definedName name="ProductList" localSheetId="11">#REF!</definedName>
    <definedName name="ProductList" localSheetId="29">#REF!</definedName>
    <definedName name="ProductList" localSheetId="9">#REF!</definedName>
    <definedName name="ProductList" localSheetId="5">#REF!</definedName>
    <definedName name="ProductList" localSheetId="13">#REF!</definedName>
    <definedName name="ProductList" localSheetId="12">#REF!</definedName>
    <definedName name="ProductList">#REF!</definedName>
    <definedName name="Ramp_list" localSheetId="8">#REF!</definedName>
    <definedName name="Ramp_list" localSheetId="1">#REF!</definedName>
    <definedName name="Ramp_list" localSheetId="11">#REF!</definedName>
    <definedName name="Ramp_list" localSheetId="29">#REF!</definedName>
    <definedName name="Ramp_list" localSheetId="9">#REF!</definedName>
    <definedName name="Ramp_list" localSheetId="5">#REF!</definedName>
    <definedName name="Ramp_list" localSheetId="13">#REF!</definedName>
    <definedName name="Ramp_list" localSheetId="12">#REF!</definedName>
    <definedName name="Ramp_list">#REF!</definedName>
    <definedName name="Report_Archive">[2]lists!$L$5:$L$102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8">#REF!</definedName>
    <definedName name="Scenario_List" localSheetId="1">#REF!</definedName>
    <definedName name="Scenario_List" localSheetId="11">#REF!</definedName>
    <definedName name="Scenario_List" localSheetId="29">#REF!</definedName>
    <definedName name="Scenario_List" localSheetId="9">#REF!</definedName>
    <definedName name="Scenario_List" localSheetId="5">#REF!</definedName>
    <definedName name="Scenario_List" localSheetId="13">#REF!</definedName>
    <definedName name="Scenario_List" localSheetId="12">#REF!</definedName>
    <definedName name="Scenario_List">#REF!</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3">[1]Lists!$B$2:$B$6</definedName>
    <definedName name="State_list" localSheetId="4">[1]Lists!$B$2:$B$6</definedName>
    <definedName name="State_list" localSheetId="19">[1]Lists!$B$2:$B$6</definedName>
    <definedName name="State_List">List!$B$2:$B$6</definedName>
    <definedName name="TF_List">[2]lists!$K$6:$K$8</definedName>
    <definedName name="tier_list" localSheetId="8">#REF!</definedName>
    <definedName name="tier_list" localSheetId="1">#REF!</definedName>
    <definedName name="tier_list" localSheetId="11">#REF!</definedName>
    <definedName name="tier_list" localSheetId="29">#REF!</definedName>
    <definedName name="tier_list" localSheetId="9">#REF!</definedName>
    <definedName name="tier_list" localSheetId="5">#REF!</definedName>
    <definedName name="tier_list" localSheetId="13">#REF!</definedName>
    <definedName name="tier_list" localSheetId="12">#REF!</definedName>
    <definedName name="tier_list">#REF!</definedName>
    <definedName name="Year_List" localSheetId="1">#REF!</definedName>
    <definedName name="Year_List" localSheetId="3">[1]Lists!$F$2:$F$8</definedName>
    <definedName name="Year_List" localSheetId="4">[1]Lists!$F$2:$F$8</definedName>
    <definedName name="Year_List" localSheetId="19">[1]Lists!$F$2:$F$8</definedName>
    <definedName name="Year_list">List!$F$2:$F$5</definedName>
  </definedNames>
  <calcPr calcId="191029"/>
  <pivotCaches>
    <pivotCache cacheId="985" r:id="rId57"/>
    <pivotCache cacheId="986" r:id="rId58"/>
    <pivotCache cacheId="987" r:id="rId59"/>
    <pivotCache cacheId="988" r:id="rId60"/>
    <pivotCache cacheId="989" r:id="rId61"/>
    <pivotCache cacheId="990" r:id="rId6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8" i="18" l="1"/>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N171" i="8" l="1"/>
  <c r="O171" i="8" s="1"/>
  <c r="N170" i="8"/>
  <c r="O170" i="8" s="1"/>
  <c r="N163" i="8"/>
  <c r="O163" i="8" s="1"/>
  <c r="N162" i="8"/>
  <c r="O162" i="8" s="1"/>
  <c r="N177" i="8"/>
  <c r="N169" i="8" s="1"/>
  <c r="O169" i="8" s="1"/>
  <c r="N164" i="8" l="1"/>
  <c r="O164" i="8" s="1"/>
  <c r="N172" i="8"/>
  <c r="O172" i="8" s="1"/>
  <c r="N165" i="8"/>
  <c r="O165" i="8" s="1"/>
  <c r="N173" i="8"/>
  <c r="O173" i="8" s="1"/>
  <c r="N166" i="8"/>
  <c r="O166" i="8" s="1"/>
  <c r="N174" i="8"/>
  <c r="O174" i="8" s="1"/>
  <c r="N159" i="8"/>
  <c r="O159" i="8" s="1"/>
  <c r="N167" i="8"/>
  <c r="O167" i="8" s="1"/>
  <c r="N175" i="8"/>
  <c r="O175" i="8" s="1"/>
  <c r="N160" i="8"/>
  <c r="O160" i="8" s="1"/>
  <c r="N168" i="8"/>
  <c r="O168" i="8" s="1"/>
  <c r="N176" i="8"/>
  <c r="O176" i="8" s="1"/>
  <c r="N161" i="8"/>
  <c r="O161" i="8" s="1"/>
  <c r="J423" i="64" l="1"/>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5" i="64"/>
  <c r="C17" i="53"/>
  <c r="M38" i="8"/>
  <c r="M50" i="8"/>
  <c r="M35" i="8"/>
  <c r="M45" i="8"/>
  <c r="M52" i="8"/>
  <c r="M37" i="8"/>
  <c r="M41" i="8"/>
  <c r="M57" i="8"/>
  <c r="M55" i="8"/>
  <c r="M46" i="8"/>
  <c r="M44" i="8"/>
  <c r="M51" i="8"/>
  <c r="M58" i="8"/>
  <c r="M43" i="8"/>
  <c r="M53" i="8"/>
  <c r="M42" i="8"/>
  <c r="M56" i="8"/>
  <c r="M40" i="8"/>
  <c r="M48" i="8"/>
  <c r="M39" i="8"/>
  <c r="M47" i="8"/>
  <c r="M49" i="8"/>
  <c r="M54" i="8"/>
  <c r="M36" i="8"/>
  <c r="M9" i="65"/>
  <c r="M7" i="65"/>
  <c r="M8" i="65"/>
  <c r="O39" i="8" l="1"/>
  <c r="O38" i="8"/>
  <c r="K9" i="65"/>
  <c r="J9" i="65"/>
  <c r="I9" i="65"/>
  <c r="K8" i="65"/>
  <c r="J8" i="65"/>
  <c r="I8" i="65"/>
  <c r="K7" i="65"/>
  <c r="J7" i="65"/>
  <c r="I7" i="65"/>
  <c r="K6" i="65"/>
  <c r="J6" i="65"/>
  <c r="I6" i="65"/>
  <c r="H6" i="65"/>
  <c r="O9" i="65"/>
  <c r="M6" i="65"/>
  <c r="O6" i="65"/>
  <c r="O7" i="65"/>
  <c r="O8" i="65"/>
  <c r="H9" i="65" l="1"/>
  <c r="E9" i="65"/>
  <c r="B9" i="65"/>
  <c r="H8" i="65"/>
  <c r="E8" i="65"/>
  <c r="B8" i="65"/>
  <c r="H7" i="65"/>
  <c r="E7" i="65"/>
  <c r="B7" i="65"/>
  <c r="E6" i="65"/>
  <c r="B6" i="65"/>
  <c r="P5" i="65"/>
  <c r="F3" i="65"/>
  <c r="H2" i="65"/>
  <c r="I2" i="65" s="1"/>
  <c r="E2" i="65"/>
  <c r="G6" i="27"/>
  <c r="G7" i="27"/>
  <c r="G8" i="27"/>
  <c r="A3" i="27" a="1"/>
  <c r="A3" i="27" s="1"/>
  <c r="A2" i="27"/>
  <c r="N8" i="65"/>
  <c r="N9" i="65"/>
  <c r="Q6" i="65"/>
  <c r="N7" i="65"/>
  <c r="Q8" i="65"/>
  <c r="Q9" i="65"/>
  <c r="N6" i="65"/>
  <c r="Q7" i="65"/>
  <c r="J6" i="64" l="1"/>
  <c r="J7" i="64"/>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I3" i="8" l="1"/>
  <c r="I2" i="8"/>
  <c r="I2" i="20"/>
  <c r="I2" i="22"/>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E6" i="27" l="1"/>
  <c r="E9" i="27"/>
  <c r="B9" i="27"/>
  <c r="E7" i="27"/>
  <c r="C6" i="27"/>
  <c r="D6" i="27"/>
  <c r="G9" i="27"/>
  <c r="D9" i="27"/>
  <c r="F9" i="27"/>
  <c r="D8" i="27"/>
  <c r="B7" i="27"/>
  <c r="C7" i="27"/>
  <c r="C8" i="27"/>
  <c r="E8" i="27"/>
  <c r="D7" i="27"/>
  <c r="B6" i="27"/>
  <c r="C9" i="27"/>
  <c r="F7" i="27"/>
  <c r="B8" i="27"/>
  <c r="F6" i="27"/>
  <c r="F8" i="27"/>
  <c r="I10" i="24"/>
  <c r="I11" i="24"/>
  <c r="I12" i="24"/>
  <c r="I13" i="24"/>
  <c r="B7" i="24"/>
  <c r="B8" i="24"/>
  <c r="B9" i="24"/>
  <c r="B10" i="24"/>
  <c r="P7" i="65" l="1"/>
  <c r="O44" i="8"/>
  <c r="O41" i="8"/>
  <c r="O42" i="8"/>
  <c r="O40" i="8"/>
  <c r="O43" i="8"/>
  <c r="P9" i="65"/>
  <c r="O56" i="8"/>
  <c r="O55" i="8"/>
  <c r="O53" i="8"/>
  <c r="O58" i="8"/>
  <c r="O52" i="8"/>
  <c r="R52" i="8" s="1"/>
  <c r="O57" i="8"/>
  <c r="O54" i="8"/>
  <c r="O45" i="8"/>
  <c r="O48" i="8"/>
  <c r="O47" i="8"/>
  <c r="O46" i="8"/>
  <c r="O50" i="8"/>
  <c r="O49" i="8"/>
  <c r="O51" i="8"/>
  <c r="R51" i="8" s="1"/>
  <c r="T51" i="8" s="1"/>
  <c r="O36" i="8"/>
  <c r="O35" i="8"/>
  <c r="O37" i="8"/>
  <c r="S9" i="65"/>
  <c r="T9" i="65"/>
  <c r="S7" i="65"/>
  <c r="T7" i="65"/>
  <c r="P8" i="65"/>
  <c r="P6" i="65"/>
  <c r="T11" i="24"/>
  <c r="U11" i="24"/>
  <c r="T10" i="24"/>
  <c r="U10" i="24"/>
  <c r="T13" i="24"/>
  <c r="U13" i="24"/>
  <c r="U12" i="24"/>
  <c r="T12" i="24"/>
  <c r="R58" i="8"/>
  <c r="T58" i="8" s="1"/>
  <c r="R57" i="8"/>
  <c r="T57" i="8" s="1"/>
  <c r="R50" i="8"/>
  <c r="T50" i="8" s="1"/>
  <c r="H58" i="8"/>
  <c r="H57" i="8"/>
  <c r="H51" i="8"/>
  <c r="H50" i="8"/>
  <c r="E58" i="8"/>
  <c r="B58" i="8"/>
  <c r="E57" i="8"/>
  <c r="B57" i="8"/>
  <c r="E51" i="8"/>
  <c r="E50" i="8"/>
  <c r="B51" i="8"/>
  <c r="B50" i="8"/>
  <c r="U9" i="65" l="1"/>
  <c r="S6" i="65"/>
  <c r="T6" i="65"/>
  <c r="U7" i="65"/>
  <c r="S8" i="65"/>
  <c r="T8" i="65"/>
  <c r="V12" i="24"/>
  <c r="V11" i="24"/>
  <c r="V13" i="24"/>
  <c r="V10" i="24"/>
  <c r="L16" i="24"/>
  <c r="K16" i="24"/>
  <c r="J16" i="24"/>
  <c r="I16" i="24"/>
  <c r="B16" i="24"/>
  <c r="E16" i="24"/>
  <c r="I14" i="24"/>
  <c r="J14" i="24"/>
  <c r="K14" i="24"/>
  <c r="L14" i="24"/>
  <c r="I15" i="24"/>
  <c r="J15" i="24"/>
  <c r="K15" i="24"/>
  <c r="L15" i="24"/>
  <c r="E15" i="24"/>
  <c r="B15" i="24"/>
  <c r="E14" i="24"/>
  <c r="B14" i="24"/>
  <c r="R14" i="24"/>
  <c r="N14" i="24"/>
  <c r="R15" i="24"/>
  <c r="N15" i="24"/>
  <c r="R16" i="24"/>
  <c r="N16" i="24"/>
  <c r="O14" i="24"/>
  <c r="O15" i="24"/>
  <c r="O16" i="24"/>
  <c r="R17" i="53"/>
  <c r="N17" i="53"/>
  <c r="G15" i="63" l="1"/>
  <c r="D15" i="63"/>
  <c r="U6" i="65"/>
  <c r="U8" i="65"/>
  <c r="H9" i="57"/>
  <c r="I9" i="57"/>
  <c r="J9" i="57"/>
  <c r="K9" i="57"/>
  <c r="B9" i="57"/>
  <c r="I7" i="57"/>
  <c r="J7" i="57"/>
  <c r="K7" i="57"/>
  <c r="I8" i="57"/>
  <c r="J8" i="57"/>
  <c r="K8" i="57"/>
  <c r="K6" i="57"/>
  <c r="J6" i="57"/>
  <c r="I6" i="57"/>
  <c r="M9" i="57"/>
  <c r="Q9" i="57"/>
  <c r="N9" i="57"/>
  <c r="P17" i="53"/>
  <c r="L17" i="53"/>
  <c r="T17" i="53" l="1"/>
  <c r="C15" i="63"/>
  <c r="E15" i="63" s="1"/>
  <c r="F15" i="63"/>
  <c r="M83" i="17"/>
  <c r="M82" i="17"/>
  <c r="M81" i="17"/>
  <c r="M80" i="17"/>
  <c r="M79" i="17"/>
  <c r="M78" i="17"/>
  <c r="M77" i="17"/>
  <c r="M76" i="17"/>
  <c r="M75" i="17"/>
  <c r="M74" i="17"/>
  <c r="M73" i="17"/>
  <c r="M72" i="17"/>
  <c r="R69" i="15" l="1"/>
  <c r="R59" i="15"/>
  <c r="R53" i="15"/>
  <c r="R43" i="15"/>
  <c r="R37" i="15"/>
  <c r="R27" i="15"/>
  <c r="R21" i="15"/>
  <c r="R11" i="15"/>
  <c r="I7" i="15"/>
  <c r="J7" i="15"/>
  <c r="K7" i="15"/>
  <c r="I8" i="15"/>
  <c r="J8" i="15"/>
  <c r="K8" i="15"/>
  <c r="I9" i="15"/>
  <c r="J9" i="15"/>
  <c r="K9" i="15"/>
  <c r="I10" i="15"/>
  <c r="J10" i="15"/>
  <c r="K10" i="15"/>
  <c r="I11" i="15"/>
  <c r="J11" i="15"/>
  <c r="K11" i="15"/>
  <c r="I12" i="15"/>
  <c r="J12" i="15"/>
  <c r="K12" i="15"/>
  <c r="I13" i="15"/>
  <c r="J13" i="15"/>
  <c r="K13" i="15"/>
  <c r="I14" i="15"/>
  <c r="J14" i="15"/>
  <c r="K14" i="15"/>
  <c r="I15" i="15"/>
  <c r="J15" i="15"/>
  <c r="K15" i="15"/>
  <c r="I16" i="15"/>
  <c r="J16" i="15"/>
  <c r="K16" i="15"/>
  <c r="I17" i="15"/>
  <c r="J17" i="15"/>
  <c r="K17" i="15"/>
  <c r="I18" i="15"/>
  <c r="J18" i="15"/>
  <c r="K18" i="15"/>
  <c r="I19" i="15"/>
  <c r="J19" i="15"/>
  <c r="K19" i="15"/>
  <c r="I20" i="15"/>
  <c r="J20" i="15"/>
  <c r="K20" i="15"/>
  <c r="I21" i="15"/>
  <c r="J21" i="15"/>
  <c r="K21" i="15"/>
  <c r="I22" i="15"/>
  <c r="J22" i="15"/>
  <c r="K22" i="15"/>
  <c r="I23" i="15"/>
  <c r="J23" i="15"/>
  <c r="K23" i="15"/>
  <c r="I24" i="15"/>
  <c r="J24" i="15"/>
  <c r="K24" i="15"/>
  <c r="I25" i="15"/>
  <c r="J25" i="15"/>
  <c r="K25" i="15"/>
  <c r="I26" i="15"/>
  <c r="J26" i="15"/>
  <c r="K26" i="15"/>
  <c r="I27" i="15"/>
  <c r="J27" i="15"/>
  <c r="K27" i="15"/>
  <c r="I28" i="15"/>
  <c r="J28" i="15"/>
  <c r="K28" i="15"/>
  <c r="I29" i="15"/>
  <c r="J29" i="15"/>
  <c r="K29" i="15"/>
  <c r="I30" i="15"/>
  <c r="J30" i="15"/>
  <c r="K30" i="15"/>
  <c r="I31" i="15"/>
  <c r="J31" i="15"/>
  <c r="K31" i="15"/>
  <c r="I32" i="15"/>
  <c r="J32" i="15"/>
  <c r="K32" i="15"/>
  <c r="I33" i="15"/>
  <c r="J33" i="15"/>
  <c r="K33" i="15"/>
  <c r="I34" i="15"/>
  <c r="J34" i="15"/>
  <c r="K34" i="15"/>
  <c r="I35" i="15"/>
  <c r="J35" i="15"/>
  <c r="K35" i="15"/>
  <c r="I36" i="15"/>
  <c r="J36" i="15"/>
  <c r="K36" i="15"/>
  <c r="I37" i="15"/>
  <c r="J37" i="15"/>
  <c r="K37" i="15"/>
  <c r="I38" i="15"/>
  <c r="J38" i="15"/>
  <c r="K38" i="15"/>
  <c r="I39" i="15"/>
  <c r="J39" i="15"/>
  <c r="K39" i="15"/>
  <c r="I40" i="15"/>
  <c r="J40" i="15"/>
  <c r="K40" i="15"/>
  <c r="I41" i="15"/>
  <c r="J41" i="15"/>
  <c r="K41" i="15"/>
  <c r="I42" i="15"/>
  <c r="J42" i="15"/>
  <c r="K42" i="15"/>
  <c r="I43" i="15"/>
  <c r="J43" i="15"/>
  <c r="K43" i="15"/>
  <c r="I44" i="15"/>
  <c r="J44" i="15"/>
  <c r="K44" i="15"/>
  <c r="I45" i="15"/>
  <c r="J45" i="15"/>
  <c r="K45" i="15"/>
  <c r="I46" i="15"/>
  <c r="J46" i="15"/>
  <c r="K46" i="15"/>
  <c r="I47" i="15"/>
  <c r="J47" i="15"/>
  <c r="K47" i="15"/>
  <c r="I48" i="15"/>
  <c r="J48" i="15"/>
  <c r="K48" i="15"/>
  <c r="I49" i="15"/>
  <c r="J49" i="15"/>
  <c r="K49" i="15"/>
  <c r="I50" i="15"/>
  <c r="J50" i="15"/>
  <c r="K50" i="15"/>
  <c r="I51" i="15"/>
  <c r="J51" i="15"/>
  <c r="K51" i="15"/>
  <c r="I52" i="15"/>
  <c r="J52" i="15"/>
  <c r="K52" i="15"/>
  <c r="I53" i="15"/>
  <c r="J53" i="15"/>
  <c r="K53" i="15"/>
  <c r="I54" i="15"/>
  <c r="J54" i="15"/>
  <c r="K54" i="15"/>
  <c r="I55" i="15"/>
  <c r="J55" i="15"/>
  <c r="K55" i="15"/>
  <c r="I56" i="15"/>
  <c r="J56" i="15"/>
  <c r="K56" i="15"/>
  <c r="I57" i="15"/>
  <c r="J57" i="15"/>
  <c r="K57" i="15"/>
  <c r="I58" i="15"/>
  <c r="J58" i="15"/>
  <c r="K58" i="15"/>
  <c r="I59" i="15"/>
  <c r="J59" i="15"/>
  <c r="K59" i="15"/>
  <c r="I60" i="15"/>
  <c r="J60" i="15"/>
  <c r="K60" i="15"/>
  <c r="I61" i="15"/>
  <c r="J61" i="15"/>
  <c r="K61" i="15"/>
  <c r="I62" i="15"/>
  <c r="J62" i="15"/>
  <c r="K62" i="15"/>
  <c r="I63" i="15"/>
  <c r="J63" i="15"/>
  <c r="K63" i="15"/>
  <c r="I64" i="15"/>
  <c r="J64" i="15"/>
  <c r="K64" i="15"/>
  <c r="I65" i="15"/>
  <c r="J65" i="15"/>
  <c r="K65" i="15"/>
  <c r="I66" i="15"/>
  <c r="J66" i="15"/>
  <c r="K66" i="15"/>
  <c r="I67" i="15"/>
  <c r="J67" i="15"/>
  <c r="K67" i="15"/>
  <c r="I68" i="15"/>
  <c r="J68" i="15"/>
  <c r="K68" i="15"/>
  <c r="I69" i="15"/>
  <c r="J69" i="15"/>
  <c r="K69" i="15"/>
  <c r="K6" i="15"/>
  <c r="J6" i="15"/>
  <c r="I6" i="15"/>
  <c r="K83" i="15"/>
  <c r="I8" i="17"/>
  <c r="J8" i="17"/>
  <c r="K8" i="17"/>
  <c r="I9" i="17"/>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K7" i="17"/>
  <c r="J7" i="17"/>
  <c r="I7" i="17"/>
  <c r="K6" i="17"/>
  <c r="J6" i="17"/>
  <c r="I6" i="17"/>
  <c r="R48" i="15"/>
  <c r="G16" i="63" l="1"/>
  <c r="L9" i="24"/>
  <c r="K9" i="24"/>
  <c r="J9" i="24"/>
  <c r="I9" i="24"/>
  <c r="E9" i="24"/>
  <c r="H6" i="13"/>
  <c r="B9" i="13"/>
  <c r="E9" i="13"/>
  <c r="H9" i="13"/>
  <c r="E13" i="25"/>
  <c r="B13" i="25"/>
  <c r="E12" i="25"/>
  <c r="B12" i="25"/>
  <c r="B9" i="9"/>
  <c r="E9" i="9"/>
  <c r="H9" i="9"/>
  <c r="H8" i="22"/>
  <c r="N9" i="13"/>
  <c r="P9" i="9"/>
  <c r="M9" i="13"/>
  <c r="X9" i="9"/>
  <c r="S9" i="9"/>
  <c r="O9" i="13"/>
  <c r="X8" i="9"/>
  <c r="M9" i="9"/>
  <c r="N9" i="9"/>
  <c r="R9" i="13"/>
  <c r="P84" i="8"/>
  <c r="M77" i="8"/>
  <c r="M85" i="8"/>
  <c r="P85" i="8"/>
  <c r="P82" i="8"/>
  <c r="M76" i="8"/>
  <c r="P78" i="8"/>
  <c r="P79" i="8"/>
  <c r="P83" i="8"/>
  <c r="P77" i="8"/>
  <c r="M73" i="8"/>
  <c r="P86" i="8"/>
  <c r="P76" i="8"/>
  <c r="M86" i="8"/>
  <c r="M74" i="8"/>
  <c r="M80" i="8"/>
  <c r="M78" i="8"/>
  <c r="M75" i="8"/>
  <c r="P75" i="8"/>
  <c r="M84" i="8"/>
  <c r="M82" i="8"/>
  <c r="M83" i="8"/>
  <c r="M79" i="8"/>
  <c r="M81" i="8"/>
  <c r="N12" i="25"/>
  <c r="M12" i="25"/>
  <c r="N18" i="11"/>
  <c r="M17" i="11"/>
  <c r="N17" i="11"/>
  <c r="M13" i="25"/>
  <c r="O9" i="24"/>
  <c r="N13" i="25"/>
  <c r="M18" i="11"/>
  <c r="R9" i="24"/>
  <c r="N9" i="24"/>
  <c r="O81" i="8" l="1"/>
  <c r="O79" i="8"/>
  <c r="O83" i="8"/>
  <c r="O82" i="8"/>
  <c r="O84" i="8"/>
  <c r="O75" i="8"/>
  <c r="O78" i="8"/>
  <c r="O80" i="8"/>
  <c r="O74" i="8"/>
  <c r="O86" i="8"/>
  <c r="O73" i="8"/>
  <c r="O76" i="8"/>
  <c r="O85" i="8"/>
  <c r="O77" i="8"/>
  <c r="R9" i="9"/>
  <c r="V9" i="9" s="1"/>
  <c r="H9" i="21"/>
  <c r="E9" i="21"/>
  <c r="B9" i="21"/>
  <c r="H29" i="17"/>
  <c r="E29" i="17"/>
  <c r="B29" i="17"/>
  <c r="H28" i="17"/>
  <c r="E28" i="17"/>
  <c r="B28" i="17"/>
  <c r="H27" i="17"/>
  <c r="E27" i="17"/>
  <c r="B27" i="17"/>
  <c r="H26" i="17"/>
  <c r="E26" i="17"/>
  <c r="B26" i="17"/>
  <c r="H25" i="17"/>
  <c r="E25" i="17"/>
  <c r="B25" i="17"/>
  <c r="H24" i="17"/>
  <c r="E24" i="17"/>
  <c r="B24" i="17"/>
  <c r="Q15" i="18"/>
  <c r="Q16" i="18"/>
  <c r="Q17" i="18"/>
  <c r="K17" i="18"/>
  <c r="J17" i="18"/>
  <c r="I17" i="18"/>
  <c r="H17" i="18"/>
  <c r="E17" i="18"/>
  <c r="B17" i="18"/>
  <c r="K16" i="18"/>
  <c r="J16" i="18"/>
  <c r="I16" i="18"/>
  <c r="H16" i="18"/>
  <c r="E16" i="18"/>
  <c r="B16" i="18"/>
  <c r="K15" i="18"/>
  <c r="J15" i="18"/>
  <c r="I15" i="18"/>
  <c r="H15" i="18"/>
  <c r="E15" i="18"/>
  <c r="B15" i="18"/>
  <c r="L51" i="20"/>
  <c r="K51" i="20"/>
  <c r="J51" i="20"/>
  <c r="I51" i="20"/>
  <c r="H51" i="20"/>
  <c r="E51" i="20"/>
  <c r="B51" i="20"/>
  <c r="L50" i="20"/>
  <c r="K50" i="20"/>
  <c r="J50" i="20"/>
  <c r="I50" i="20"/>
  <c r="H50" i="20"/>
  <c r="E50" i="20"/>
  <c r="B50" i="20"/>
  <c r="L49" i="20"/>
  <c r="K49" i="20"/>
  <c r="J49" i="20"/>
  <c r="I49" i="20"/>
  <c r="H49" i="20"/>
  <c r="E49" i="20"/>
  <c r="B49" i="20"/>
  <c r="L48" i="20"/>
  <c r="K48" i="20"/>
  <c r="J48" i="20"/>
  <c r="I48" i="20"/>
  <c r="H48" i="20"/>
  <c r="E48" i="20"/>
  <c r="B48" i="20"/>
  <c r="L47" i="20"/>
  <c r="K47" i="20"/>
  <c r="J47" i="20"/>
  <c r="I47" i="20"/>
  <c r="H47" i="20"/>
  <c r="E47" i="20"/>
  <c r="B47" i="20"/>
  <c r="L46" i="20"/>
  <c r="K46" i="20"/>
  <c r="J46" i="20"/>
  <c r="I46" i="20"/>
  <c r="H46" i="20"/>
  <c r="E46" i="20"/>
  <c r="B46" i="20"/>
  <c r="L45" i="20"/>
  <c r="K45" i="20"/>
  <c r="J45" i="20"/>
  <c r="I45" i="20"/>
  <c r="H45" i="20"/>
  <c r="E45" i="20"/>
  <c r="B45" i="20"/>
  <c r="L44" i="20"/>
  <c r="K44" i="20"/>
  <c r="J44" i="20"/>
  <c r="I44" i="20"/>
  <c r="H44" i="20"/>
  <c r="E44" i="20"/>
  <c r="B44" i="20"/>
  <c r="L43" i="20"/>
  <c r="K43" i="20"/>
  <c r="J43" i="20"/>
  <c r="I43" i="20"/>
  <c r="H43" i="20"/>
  <c r="E43" i="20"/>
  <c r="B43" i="20"/>
  <c r="L42" i="20"/>
  <c r="K42" i="20"/>
  <c r="J42" i="20"/>
  <c r="I42" i="20"/>
  <c r="H42" i="20"/>
  <c r="E42" i="20"/>
  <c r="B42" i="20"/>
  <c r="L41" i="20"/>
  <c r="K41" i="20"/>
  <c r="J41" i="20"/>
  <c r="I41" i="20"/>
  <c r="H41" i="20"/>
  <c r="E41" i="20"/>
  <c r="B41" i="20"/>
  <c r="L40" i="20"/>
  <c r="K40" i="20"/>
  <c r="J40" i="20"/>
  <c r="I40" i="20"/>
  <c r="H40" i="20"/>
  <c r="E40" i="20"/>
  <c r="B40" i="20"/>
  <c r="N40" i="20"/>
  <c r="Q60" i="23"/>
  <c r="N41" i="20"/>
  <c r="N64" i="23"/>
  <c r="M54" i="23"/>
  <c r="O42" i="20"/>
  <c r="M53" i="23"/>
  <c r="R44" i="20"/>
  <c r="M57" i="23"/>
  <c r="R43" i="20"/>
  <c r="R50" i="20"/>
  <c r="N16" i="14"/>
  <c r="M58" i="23"/>
  <c r="N49" i="20"/>
  <c r="N17" i="14"/>
  <c r="M15" i="14"/>
  <c r="M60" i="23"/>
  <c r="N14" i="14"/>
  <c r="N15" i="14"/>
  <c r="N55" i="23"/>
  <c r="N52" i="23"/>
  <c r="Q55" i="23"/>
  <c r="Q14" i="14"/>
  <c r="M52" i="23"/>
  <c r="Q53" i="23"/>
  <c r="R49" i="20"/>
  <c r="Q9" i="21"/>
  <c r="Q63" i="23"/>
  <c r="Q61" i="23"/>
  <c r="O44" i="20"/>
  <c r="Q52" i="23"/>
  <c r="O45" i="20"/>
  <c r="M63" i="23"/>
  <c r="O49" i="20"/>
  <c r="O48" i="20"/>
  <c r="M9" i="21"/>
  <c r="N58" i="23"/>
  <c r="Q57" i="23"/>
  <c r="N60" i="23"/>
  <c r="M14" i="14"/>
  <c r="Q51" i="23"/>
  <c r="M17" i="14"/>
  <c r="Q15" i="14"/>
  <c r="Q17" i="14"/>
  <c r="Q59" i="23"/>
  <c r="R40" i="20"/>
  <c r="O51" i="20"/>
  <c r="M16" i="14"/>
  <c r="N54" i="23"/>
  <c r="O41" i="20"/>
  <c r="R47" i="20"/>
  <c r="R45" i="20"/>
  <c r="N50" i="20"/>
  <c r="N61" i="23"/>
  <c r="N59" i="23"/>
  <c r="Q16" i="14"/>
  <c r="Q62" i="23"/>
  <c r="R46" i="20"/>
  <c r="M56" i="23"/>
  <c r="N51" i="23"/>
  <c r="Q65" i="23"/>
  <c r="Q54" i="23"/>
  <c r="Q58" i="23"/>
  <c r="R51" i="20"/>
  <c r="M51" i="23"/>
  <c r="M61" i="23"/>
  <c r="M62" i="23"/>
  <c r="M65" i="23"/>
  <c r="M64" i="23"/>
  <c r="N45" i="20"/>
  <c r="Q64" i="23"/>
  <c r="O47" i="20"/>
  <c r="R41" i="20"/>
  <c r="N43" i="20"/>
  <c r="N46" i="20"/>
  <c r="R42" i="20"/>
  <c r="O46" i="20"/>
  <c r="Q56" i="23"/>
  <c r="N63" i="23"/>
  <c r="R48" i="20"/>
  <c r="N47" i="20"/>
  <c r="M59" i="23"/>
  <c r="N9" i="21"/>
  <c r="N42" i="20"/>
  <c r="N56" i="23"/>
  <c r="N62" i="23"/>
  <c r="M55" i="23"/>
  <c r="N48" i="20"/>
  <c r="N65" i="23"/>
  <c r="O40" i="20"/>
  <c r="N53" i="23"/>
  <c r="O43" i="20"/>
  <c r="N44" i="20"/>
  <c r="O50" i="20"/>
  <c r="N51" i="20"/>
  <c r="N57" i="23"/>
  <c r="O58" i="15"/>
  <c r="N16" i="52"/>
  <c r="M24" i="17"/>
  <c r="N17" i="18"/>
  <c r="N50" i="56"/>
  <c r="R68" i="15"/>
  <c r="O47" i="56"/>
  <c r="Q29" i="17"/>
  <c r="N61" i="15"/>
  <c r="N56" i="56"/>
  <c r="R67" i="15"/>
  <c r="M69" i="15"/>
  <c r="R66" i="15"/>
  <c r="M25" i="17"/>
  <c r="N17" i="52"/>
  <c r="N55" i="15"/>
  <c r="Q26" i="17"/>
  <c r="M15" i="52"/>
  <c r="N47" i="56"/>
  <c r="N25" i="17"/>
  <c r="O51" i="56"/>
  <c r="M68" i="15"/>
  <c r="N54" i="15"/>
  <c r="N53" i="56"/>
  <c r="O56" i="56"/>
  <c r="O50" i="56"/>
  <c r="N58" i="15"/>
  <c r="R49" i="56"/>
  <c r="M55" i="15"/>
  <c r="O54" i="15"/>
  <c r="N54" i="56"/>
  <c r="N63" i="15"/>
  <c r="M54" i="15"/>
  <c r="M56" i="15"/>
  <c r="Q27" i="17"/>
  <c r="O55" i="56"/>
  <c r="O45" i="56"/>
  <c r="O66" i="15"/>
  <c r="N51" i="56"/>
  <c r="N45" i="56"/>
  <c r="O56" i="15"/>
  <c r="O68" i="15"/>
  <c r="Q28" i="17"/>
  <c r="R62" i="15"/>
  <c r="M27" i="17"/>
  <c r="N60" i="15"/>
  <c r="M29" i="17"/>
  <c r="N27" i="17"/>
  <c r="M64" i="15"/>
  <c r="R52" i="56"/>
  <c r="N57" i="15"/>
  <c r="Q24" i="17"/>
  <c r="O60" i="15"/>
  <c r="M16" i="52"/>
  <c r="R16" i="52"/>
  <c r="N57" i="56"/>
  <c r="R54" i="15"/>
  <c r="O15" i="52"/>
  <c r="M60" i="15"/>
  <c r="R63" i="15"/>
  <c r="N55" i="56"/>
  <c r="M65" i="15"/>
  <c r="N69" i="15"/>
  <c r="N68" i="15"/>
  <c r="N49" i="56"/>
  <c r="M28" i="17"/>
  <c r="R51" i="56"/>
  <c r="N46" i="56"/>
  <c r="R50" i="56"/>
  <c r="N48" i="56"/>
  <c r="O55" i="15"/>
  <c r="O64" i="15"/>
  <c r="Q25" i="17"/>
  <c r="O52" i="56"/>
  <c r="N65" i="15"/>
  <c r="N59" i="15"/>
  <c r="M61" i="15"/>
  <c r="R54" i="56"/>
  <c r="M26" i="17"/>
  <c r="M62" i="15"/>
  <c r="N62" i="15"/>
  <c r="R57" i="15"/>
  <c r="R64" i="15"/>
  <c r="O57" i="56"/>
  <c r="N15" i="52"/>
  <c r="N16" i="18"/>
  <c r="N64" i="15"/>
  <c r="R56" i="15"/>
  <c r="M17" i="52"/>
  <c r="R56" i="56"/>
  <c r="O46" i="56"/>
  <c r="M63" i="15"/>
  <c r="R48" i="56"/>
  <c r="N66" i="15"/>
  <c r="O54" i="56"/>
  <c r="R45" i="56"/>
  <c r="O48" i="56"/>
  <c r="O67" i="15"/>
  <c r="N56" i="15"/>
  <c r="M67" i="15"/>
  <c r="O53" i="56"/>
  <c r="M58" i="15"/>
  <c r="M59" i="15"/>
  <c r="O61" i="15"/>
  <c r="O69" i="15"/>
  <c r="O49" i="56"/>
  <c r="R46" i="56"/>
  <c r="O59" i="15"/>
  <c r="M17" i="18"/>
  <c r="M15" i="18"/>
  <c r="N15" i="18"/>
  <c r="N52" i="56"/>
  <c r="R60" i="15"/>
  <c r="O65" i="15"/>
  <c r="R55" i="56"/>
  <c r="N28" i="17"/>
  <c r="O57" i="15"/>
  <c r="R53" i="56"/>
  <c r="R65" i="15"/>
  <c r="O63" i="15"/>
  <c r="N26" i="17"/>
  <c r="M66" i="15"/>
  <c r="R17" i="52"/>
  <c r="M57" i="15"/>
  <c r="R57" i="56"/>
  <c r="M16" i="18"/>
  <c r="R58" i="15"/>
  <c r="R61" i="15"/>
  <c r="O16" i="52"/>
  <c r="O17" i="52"/>
  <c r="O62" i="15"/>
  <c r="N29" i="17"/>
  <c r="R55" i="15"/>
  <c r="N67" i="15"/>
  <c r="R15" i="52"/>
  <c r="R47" i="56"/>
  <c r="N24" i="17"/>
  <c r="P27" i="17" l="1"/>
  <c r="S27" i="17" s="1"/>
  <c r="P28" i="17"/>
  <c r="S28" i="17" s="1"/>
  <c r="P26" i="17"/>
  <c r="T26" i="17" s="1"/>
  <c r="P17" i="18"/>
  <c r="S17" i="18" s="1"/>
  <c r="Q53" i="56"/>
  <c r="U53" i="56" s="1"/>
  <c r="U9" i="9"/>
  <c r="W9" i="9" s="1"/>
  <c r="P56" i="23"/>
  <c r="T56" i="23" s="1"/>
  <c r="P65" i="23"/>
  <c r="T65" i="23" s="1"/>
  <c r="P55" i="23"/>
  <c r="T55" i="23" s="1"/>
  <c r="P51" i="23"/>
  <c r="S51" i="23" s="1"/>
  <c r="P64" i="23"/>
  <c r="S64" i="23" s="1"/>
  <c r="P60" i="23"/>
  <c r="T60" i="23" s="1"/>
  <c r="P54" i="23"/>
  <c r="S54" i="23" s="1"/>
  <c r="P53" i="23"/>
  <c r="S53" i="23" s="1"/>
  <c r="P57" i="23"/>
  <c r="T57" i="23" s="1"/>
  <c r="P63" i="23"/>
  <c r="S63" i="23" s="1"/>
  <c r="P62" i="23"/>
  <c r="T62" i="23" s="1"/>
  <c r="P59" i="23"/>
  <c r="S59" i="23" s="1"/>
  <c r="P52" i="23"/>
  <c r="T52" i="23" s="1"/>
  <c r="P61" i="23"/>
  <c r="T61" i="23" s="1"/>
  <c r="P58" i="23"/>
  <c r="S58" i="23" s="1"/>
  <c r="S56" i="23" l="1"/>
  <c r="U56" i="23" s="1"/>
  <c r="T54" i="23"/>
  <c r="U54" i="23" s="1"/>
  <c r="T59" i="23"/>
  <c r="U59" i="23" s="1"/>
  <c r="T17" i="18"/>
  <c r="U17" i="18" s="1"/>
  <c r="S60" i="23"/>
  <c r="T28" i="17"/>
  <c r="U28" i="17" s="1"/>
  <c r="S52" i="23"/>
  <c r="U52" i="23" s="1"/>
  <c r="T64" i="23"/>
  <c r="U64" i="23" s="1"/>
  <c r="S65" i="23"/>
  <c r="U65" i="23" s="1"/>
  <c r="S26" i="17"/>
  <c r="U26" i="17" s="1"/>
  <c r="T27" i="17"/>
  <c r="U27" i="17" s="1"/>
  <c r="S61" i="23"/>
  <c r="U61" i="23" s="1"/>
  <c r="T53" i="23"/>
  <c r="U53" i="23" s="1"/>
  <c r="T58" i="23"/>
  <c r="U58" i="23" s="1"/>
  <c r="S62" i="23"/>
  <c r="U62" i="23" s="1"/>
  <c r="T51" i="23"/>
  <c r="U51" i="23" s="1"/>
  <c r="T63" i="23"/>
  <c r="U63" i="23" s="1"/>
  <c r="T53" i="56"/>
  <c r="V53" i="56" s="1"/>
  <c r="S57" i="23"/>
  <c r="U57" i="23" s="1"/>
  <c r="S55" i="23"/>
  <c r="U55" i="23" s="1"/>
  <c r="U60" i="23"/>
  <c r="E56" i="8"/>
  <c r="B56" i="8"/>
  <c r="E55" i="8"/>
  <c r="B55" i="8"/>
  <c r="E54" i="8"/>
  <c r="B54" i="8"/>
  <c r="E53" i="8"/>
  <c r="B53" i="8"/>
  <c r="E52" i="8"/>
  <c r="B52" i="8"/>
  <c r="H56" i="8"/>
  <c r="R55" i="8"/>
  <c r="T55" i="8" s="1"/>
  <c r="H55" i="8"/>
  <c r="R54" i="8"/>
  <c r="T54" i="8" s="1"/>
  <c r="H54" i="8"/>
  <c r="R53" i="8"/>
  <c r="T53" i="8" s="1"/>
  <c r="H53" i="8"/>
  <c r="T52" i="8"/>
  <c r="H52" i="8"/>
  <c r="G9" i="63" l="1"/>
  <c r="N16" i="11"/>
  <c r="N13" i="11"/>
  <c r="N10" i="11"/>
  <c r="M16" i="11"/>
  <c r="S16" i="11"/>
  <c r="H16" i="11"/>
  <c r="E16" i="11"/>
  <c r="B16" i="11"/>
  <c r="S7" i="37" l="1"/>
  <c r="T7" i="37"/>
  <c r="S8" i="37"/>
  <c r="T8" i="37"/>
  <c r="T9" i="37"/>
  <c r="S9" i="37"/>
  <c r="T16" i="11"/>
  <c r="U16" i="11" s="1"/>
  <c r="M13" i="11"/>
  <c r="U9" i="37" l="1"/>
  <c r="U8" i="37"/>
  <c r="U7" i="37"/>
  <c r="R22" i="53"/>
  <c r="N22" i="53"/>
  <c r="P22" i="53"/>
  <c r="G20" i="63" l="1"/>
  <c r="F20" i="63"/>
  <c r="D20" i="63"/>
  <c r="H20" i="63" l="1"/>
  <c r="R56" i="8" l="1"/>
  <c r="T56" i="8" s="1"/>
  <c r="H59" i="8"/>
  <c r="H60" i="8"/>
  <c r="H61" i="8"/>
  <c r="H62" i="8"/>
  <c r="H63" i="8"/>
  <c r="H64" i="8"/>
  <c r="H65" i="8"/>
  <c r="H66" i="8"/>
  <c r="H67" i="8"/>
  <c r="H68" i="8"/>
  <c r="H69" i="8"/>
  <c r="H70" i="8"/>
  <c r="H71" i="8"/>
  <c r="H72" i="8"/>
  <c r="H45" i="8"/>
  <c r="H46" i="8"/>
  <c r="H47" i="8"/>
  <c r="H48" i="8"/>
  <c r="H49" i="8"/>
  <c r="E59" i="8"/>
  <c r="E60" i="8"/>
  <c r="E61" i="8"/>
  <c r="E62" i="8"/>
  <c r="E63" i="8"/>
  <c r="E64" i="8"/>
  <c r="E65" i="8"/>
  <c r="E66" i="8"/>
  <c r="E67" i="8"/>
  <c r="E68" i="8"/>
  <c r="E69" i="8"/>
  <c r="E70" i="8"/>
  <c r="E71" i="8"/>
  <c r="E72" i="8"/>
  <c r="E45" i="8"/>
  <c r="E46" i="8"/>
  <c r="E47" i="8"/>
  <c r="E48" i="8"/>
  <c r="E49" i="8"/>
  <c r="B59" i="8"/>
  <c r="B60" i="8"/>
  <c r="B61" i="8"/>
  <c r="B62" i="8"/>
  <c r="B63" i="8"/>
  <c r="B64" i="8"/>
  <c r="B65" i="8"/>
  <c r="B66" i="8"/>
  <c r="B67" i="8"/>
  <c r="B68" i="8"/>
  <c r="B69" i="8"/>
  <c r="B70" i="8"/>
  <c r="B71" i="8"/>
  <c r="B72" i="8"/>
  <c r="B45" i="8"/>
  <c r="B46" i="8"/>
  <c r="B47" i="8"/>
  <c r="B48" i="8"/>
  <c r="B49" i="8"/>
  <c r="F16" i="63"/>
  <c r="H16" i="63" s="1"/>
  <c r="D16" i="63"/>
  <c r="C16" i="63"/>
  <c r="M64" i="8"/>
  <c r="P70" i="8"/>
  <c r="P69" i="8"/>
  <c r="M69" i="8"/>
  <c r="M72" i="8"/>
  <c r="M60" i="8"/>
  <c r="P72" i="8"/>
  <c r="M71" i="8"/>
  <c r="M70" i="8"/>
  <c r="M62" i="8"/>
  <c r="M59" i="8"/>
  <c r="P71" i="8"/>
  <c r="P63" i="8"/>
  <c r="M67" i="8"/>
  <c r="M66" i="8"/>
  <c r="M68" i="8"/>
  <c r="P68" i="8"/>
  <c r="M65" i="8"/>
  <c r="P62" i="8"/>
  <c r="M61" i="8"/>
  <c r="M63" i="8"/>
  <c r="P64" i="8"/>
  <c r="P65" i="8"/>
  <c r="P61" i="8"/>
  <c r="O63" i="8" l="1"/>
  <c r="O61" i="8"/>
  <c r="O65" i="8"/>
  <c r="O68" i="8"/>
  <c r="O66" i="8"/>
  <c r="O67" i="8"/>
  <c r="O59" i="8"/>
  <c r="O62" i="8"/>
  <c r="O70" i="8"/>
  <c r="O71" i="8"/>
  <c r="O60" i="8"/>
  <c r="O72" i="8"/>
  <c r="O69" i="8"/>
  <c r="O64" i="8"/>
  <c r="E16" i="63"/>
  <c r="R45" i="8"/>
  <c r="T45" i="8" s="1"/>
  <c r="R46" i="8"/>
  <c r="T46" i="8" s="1"/>
  <c r="R47" i="8"/>
  <c r="T47" i="8" s="1"/>
  <c r="R48" i="8"/>
  <c r="T48" i="8" s="1"/>
  <c r="R49" i="8"/>
  <c r="T49" i="8" s="1"/>
  <c r="I8" i="24"/>
  <c r="J8" i="24"/>
  <c r="K8" i="24"/>
  <c r="L8" i="24"/>
  <c r="E8" i="24"/>
  <c r="H8" i="13"/>
  <c r="E8" i="13"/>
  <c r="B8" i="13"/>
  <c r="Q9" i="25"/>
  <c r="B9" i="25"/>
  <c r="E9" i="25"/>
  <c r="B10" i="25"/>
  <c r="E10" i="25"/>
  <c r="B11" i="25"/>
  <c r="E11" i="25"/>
  <c r="Q12" i="11"/>
  <c r="Q11" i="11"/>
  <c r="H12" i="11"/>
  <c r="E15" i="11"/>
  <c r="B15" i="11"/>
  <c r="E14" i="11"/>
  <c r="B14" i="11"/>
  <c r="E13" i="11"/>
  <c r="B13" i="11"/>
  <c r="H8" i="9"/>
  <c r="B8" i="9"/>
  <c r="E8" i="9"/>
  <c r="H7" i="22"/>
  <c r="H8" i="57"/>
  <c r="B8" i="57"/>
  <c r="H8" i="21"/>
  <c r="B8" i="21"/>
  <c r="E8" i="21"/>
  <c r="H18" i="17"/>
  <c r="H19" i="17"/>
  <c r="H20" i="17"/>
  <c r="H21" i="17"/>
  <c r="H22" i="17"/>
  <c r="H23" i="17"/>
  <c r="E23" i="17"/>
  <c r="B23" i="17"/>
  <c r="E22" i="17"/>
  <c r="B22" i="17"/>
  <c r="E21" i="17"/>
  <c r="B21" i="17"/>
  <c r="E20" i="17"/>
  <c r="B20" i="17"/>
  <c r="E19" i="17"/>
  <c r="B19" i="17"/>
  <c r="E18" i="17"/>
  <c r="B18" i="17"/>
  <c r="E17" i="17"/>
  <c r="B17" i="17"/>
  <c r="R8" i="13"/>
  <c r="Q8" i="57"/>
  <c r="M8" i="21"/>
  <c r="N8" i="9"/>
  <c r="Q8" i="21"/>
  <c r="M8" i="57"/>
  <c r="P8" i="9"/>
  <c r="N8" i="57"/>
  <c r="N8" i="21"/>
  <c r="N8" i="13"/>
  <c r="O8" i="13"/>
  <c r="S8" i="9"/>
  <c r="M8" i="13"/>
  <c r="M8" i="9"/>
  <c r="N17" i="17"/>
  <c r="M23" i="17"/>
  <c r="N18" i="17"/>
  <c r="M21" i="17"/>
  <c r="M20" i="17"/>
  <c r="N14" i="17"/>
  <c r="M18" i="17"/>
  <c r="M17" i="17"/>
  <c r="M22" i="17"/>
  <c r="N39" i="56"/>
  <c r="N22" i="17"/>
  <c r="Q22" i="17"/>
  <c r="Q21" i="17"/>
  <c r="Q18" i="17"/>
  <c r="N15" i="17"/>
  <c r="Q19" i="17"/>
  <c r="M14" i="17"/>
  <c r="N34" i="56"/>
  <c r="N20" i="17"/>
  <c r="M19" i="17"/>
  <c r="N23" i="17"/>
  <c r="M15" i="17"/>
  <c r="Q20" i="17"/>
  <c r="N36" i="56"/>
  <c r="N19" i="17"/>
  <c r="N16" i="17"/>
  <c r="R35" i="56"/>
  <c r="Q17" i="17"/>
  <c r="Q23" i="17"/>
  <c r="N21" i="17"/>
  <c r="M16" i="17"/>
  <c r="N10" i="25"/>
  <c r="N9" i="25"/>
  <c r="O8" i="24"/>
  <c r="M14" i="11"/>
  <c r="M12" i="11"/>
  <c r="M11" i="25"/>
  <c r="N15" i="11"/>
  <c r="R8" i="24"/>
  <c r="N12" i="11"/>
  <c r="M9" i="25"/>
  <c r="N11" i="25"/>
  <c r="M10" i="25"/>
  <c r="M15" i="11"/>
  <c r="N14" i="11"/>
  <c r="N8" i="24"/>
  <c r="P16" i="17" l="1"/>
  <c r="P21" i="17"/>
  <c r="S21" i="17" s="1"/>
  <c r="P14" i="17"/>
  <c r="P22" i="17"/>
  <c r="S22" i="17" s="1"/>
  <c r="P15" i="17"/>
  <c r="P20" i="17"/>
  <c r="T20" i="17" s="1"/>
  <c r="R8" i="9"/>
  <c r="V8" i="9" s="1"/>
  <c r="S13" i="11"/>
  <c r="T13" i="11"/>
  <c r="Q12" i="18"/>
  <c r="Q13" i="18"/>
  <c r="Q14" i="18"/>
  <c r="H12" i="18"/>
  <c r="I12" i="18"/>
  <c r="J12" i="18"/>
  <c r="K12" i="18"/>
  <c r="H13" i="18"/>
  <c r="I13" i="18"/>
  <c r="J13" i="18"/>
  <c r="K13" i="18"/>
  <c r="H14" i="18"/>
  <c r="I14" i="18"/>
  <c r="J14" i="18"/>
  <c r="K14" i="18"/>
  <c r="B12" i="18"/>
  <c r="E12" i="18"/>
  <c r="B13" i="18"/>
  <c r="E13" i="18"/>
  <c r="B14" i="18"/>
  <c r="E14" i="18"/>
  <c r="H28" i="20"/>
  <c r="I28" i="20"/>
  <c r="J28" i="20"/>
  <c r="K28" i="20"/>
  <c r="L28" i="20"/>
  <c r="H29" i="20"/>
  <c r="I29" i="20"/>
  <c r="J29" i="20"/>
  <c r="K29" i="20"/>
  <c r="L29" i="20"/>
  <c r="H30" i="20"/>
  <c r="I30" i="20"/>
  <c r="J30" i="20"/>
  <c r="K30" i="20"/>
  <c r="L30" i="20"/>
  <c r="H31" i="20"/>
  <c r="I31" i="20"/>
  <c r="J31" i="20"/>
  <c r="K31" i="20"/>
  <c r="L31" i="20"/>
  <c r="H32" i="20"/>
  <c r="I32" i="20"/>
  <c r="J32" i="20"/>
  <c r="K32" i="20"/>
  <c r="L32" i="20"/>
  <c r="H33" i="20"/>
  <c r="I33" i="20"/>
  <c r="J33" i="20"/>
  <c r="K33" i="20"/>
  <c r="L33" i="20"/>
  <c r="H34" i="20"/>
  <c r="I34" i="20"/>
  <c r="J34" i="20"/>
  <c r="K34" i="20"/>
  <c r="L34" i="20"/>
  <c r="H35" i="20"/>
  <c r="I35" i="20"/>
  <c r="J35" i="20"/>
  <c r="K35" i="20"/>
  <c r="L35" i="20"/>
  <c r="H36" i="20"/>
  <c r="I36" i="20"/>
  <c r="J36" i="20"/>
  <c r="K36" i="20"/>
  <c r="L36" i="20"/>
  <c r="H37" i="20"/>
  <c r="I37" i="20"/>
  <c r="J37" i="20"/>
  <c r="K37" i="20"/>
  <c r="L37" i="20"/>
  <c r="H38" i="20"/>
  <c r="I38" i="20"/>
  <c r="J38" i="20"/>
  <c r="K38" i="20"/>
  <c r="L38" i="20"/>
  <c r="H39" i="20"/>
  <c r="I39" i="20"/>
  <c r="J39" i="20"/>
  <c r="K39" i="20"/>
  <c r="L39" i="20"/>
  <c r="B28" i="20"/>
  <c r="E28" i="20"/>
  <c r="B29" i="20"/>
  <c r="E29" i="20"/>
  <c r="B30" i="20"/>
  <c r="E30" i="20"/>
  <c r="B31" i="20"/>
  <c r="E31" i="20"/>
  <c r="B32" i="20"/>
  <c r="E32" i="20"/>
  <c r="B33" i="20"/>
  <c r="E33" i="20"/>
  <c r="B34" i="20"/>
  <c r="E34" i="20"/>
  <c r="B35" i="20"/>
  <c r="E35" i="20"/>
  <c r="B36" i="20"/>
  <c r="E36" i="20"/>
  <c r="B37" i="20"/>
  <c r="E37" i="20"/>
  <c r="B38" i="20"/>
  <c r="E38" i="20"/>
  <c r="B39" i="20"/>
  <c r="E39" i="20"/>
  <c r="H36" i="23"/>
  <c r="J36" i="23"/>
  <c r="K36" i="23"/>
  <c r="H37" i="23"/>
  <c r="J37" i="23"/>
  <c r="K37" i="23"/>
  <c r="H38" i="23"/>
  <c r="J38" i="23"/>
  <c r="K38" i="23"/>
  <c r="H39" i="23"/>
  <c r="J39" i="23"/>
  <c r="K39" i="23"/>
  <c r="H40" i="23"/>
  <c r="J40" i="23"/>
  <c r="K40" i="23"/>
  <c r="H41" i="23"/>
  <c r="J41" i="23"/>
  <c r="K41" i="23"/>
  <c r="H42" i="23"/>
  <c r="J42" i="23"/>
  <c r="K42" i="23"/>
  <c r="H43" i="23"/>
  <c r="J43" i="23"/>
  <c r="K43" i="23"/>
  <c r="H44" i="23"/>
  <c r="J44" i="23"/>
  <c r="K44" i="23"/>
  <c r="H45" i="23"/>
  <c r="J45" i="23"/>
  <c r="K45" i="23"/>
  <c r="H46" i="23"/>
  <c r="J46" i="23"/>
  <c r="K46" i="23"/>
  <c r="H47" i="23"/>
  <c r="J47" i="23"/>
  <c r="K47" i="23"/>
  <c r="H48" i="23"/>
  <c r="J48" i="23"/>
  <c r="K48" i="23"/>
  <c r="H49" i="23"/>
  <c r="J49" i="23"/>
  <c r="K49" i="23"/>
  <c r="H50" i="23"/>
  <c r="J50" i="23"/>
  <c r="K50" i="23"/>
  <c r="B36" i="23"/>
  <c r="E36" i="23"/>
  <c r="B37" i="23"/>
  <c r="E37" i="23"/>
  <c r="B38" i="23"/>
  <c r="E38" i="23"/>
  <c r="B39" i="23"/>
  <c r="E39" i="23"/>
  <c r="B40" i="23"/>
  <c r="E40" i="23"/>
  <c r="B41" i="23"/>
  <c r="E41" i="23"/>
  <c r="B42" i="23"/>
  <c r="E42" i="23"/>
  <c r="B43" i="23"/>
  <c r="E43" i="23"/>
  <c r="B44" i="23"/>
  <c r="E44" i="23"/>
  <c r="B45" i="23"/>
  <c r="E45" i="23"/>
  <c r="B46" i="23"/>
  <c r="E46" i="23"/>
  <c r="B47" i="23"/>
  <c r="E47" i="23"/>
  <c r="B48" i="23"/>
  <c r="E48" i="23"/>
  <c r="B49" i="23"/>
  <c r="E49" i="23"/>
  <c r="B50" i="23"/>
  <c r="E50" i="23"/>
  <c r="I12" i="52"/>
  <c r="J12" i="52"/>
  <c r="K12" i="52"/>
  <c r="I13" i="52"/>
  <c r="J13" i="52"/>
  <c r="K13" i="52"/>
  <c r="I14" i="52"/>
  <c r="J14" i="52"/>
  <c r="K14" i="52"/>
  <c r="B12" i="52"/>
  <c r="B13" i="52"/>
  <c r="B14" i="52"/>
  <c r="H38" i="15"/>
  <c r="H39" i="15"/>
  <c r="H40" i="15"/>
  <c r="H41" i="15"/>
  <c r="H42" i="15"/>
  <c r="H43" i="15"/>
  <c r="H44" i="15"/>
  <c r="H45" i="15"/>
  <c r="H46" i="15"/>
  <c r="H47" i="15"/>
  <c r="H48" i="15"/>
  <c r="H49" i="15"/>
  <c r="H50" i="15"/>
  <c r="H51" i="15"/>
  <c r="H52" i="15"/>
  <c r="H53" i="15"/>
  <c r="E53" i="15"/>
  <c r="B53" i="15"/>
  <c r="E52" i="15"/>
  <c r="B52" i="15"/>
  <c r="E51" i="15"/>
  <c r="B51" i="15"/>
  <c r="E50" i="15"/>
  <c r="B50" i="15"/>
  <c r="E49" i="15"/>
  <c r="B49" i="15"/>
  <c r="E48" i="15"/>
  <c r="B48" i="15"/>
  <c r="E47" i="15"/>
  <c r="B47" i="15"/>
  <c r="E46" i="15"/>
  <c r="B46" i="15"/>
  <c r="E45" i="15"/>
  <c r="B45" i="15"/>
  <c r="E44" i="15"/>
  <c r="B44" i="15"/>
  <c r="E43" i="15"/>
  <c r="B43" i="15"/>
  <c r="E42" i="15"/>
  <c r="B42" i="15"/>
  <c r="E41" i="15"/>
  <c r="B41" i="15"/>
  <c r="E40" i="15"/>
  <c r="B40" i="15"/>
  <c r="E39" i="15"/>
  <c r="B39" i="15"/>
  <c r="E38" i="15"/>
  <c r="B38" i="15"/>
  <c r="O33" i="20"/>
  <c r="N29" i="20"/>
  <c r="N47" i="23"/>
  <c r="M36" i="23"/>
  <c r="O28" i="20"/>
  <c r="M41" i="23"/>
  <c r="N35" i="20"/>
  <c r="O30" i="20"/>
  <c r="M38" i="23"/>
  <c r="R38" i="20"/>
  <c r="N45" i="23"/>
  <c r="Q43" i="23"/>
  <c r="N37" i="23"/>
  <c r="O38" i="20"/>
  <c r="Q38" i="23"/>
  <c r="Q46" i="23"/>
  <c r="Q50" i="23"/>
  <c r="N28" i="20"/>
  <c r="O32" i="20"/>
  <c r="N41" i="23"/>
  <c r="N27" i="20"/>
  <c r="N42" i="23"/>
  <c r="N38" i="23"/>
  <c r="Q42" i="23"/>
  <c r="O37" i="20"/>
  <c r="N37" i="20"/>
  <c r="M50" i="23"/>
  <c r="R30" i="20"/>
  <c r="O34" i="20"/>
  <c r="O27" i="20"/>
  <c r="Q44" i="23"/>
  <c r="M48" i="23"/>
  <c r="N40" i="23"/>
  <c r="O31" i="20"/>
  <c r="R36" i="20"/>
  <c r="M40" i="23"/>
  <c r="M44" i="23"/>
  <c r="O39" i="20"/>
  <c r="O35" i="20"/>
  <c r="N46" i="23"/>
  <c r="Q37" i="23"/>
  <c r="M39" i="23"/>
  <c r="R27" i="20"/>
  <c r="R31" i="20"/>
  <c r="M47" i="23"/>
  <c r="N50" i="23"/>
  <c r="Q39" i="23"/>
  <c r="O29" i="20"/>
  <c r="R34" i="20"/>
  <c r="M49" i="23"/>
  <c r="M37" i="23"/>
  <c r="Q49" i="23"/>
  <c r="R32" i="20"/>
  <c r="O36" i="20"/>
  <c r="N43" i="23"/>
  <c r="Q41" i="23"/>
  <c r="N49" i="23"/>
  <c r="N39" i="20"/>
  <c r="Q47" i="23"/>
  <c r="N38" i="20"/>
  <c r="N39" i="23"/>
  <c r="R37" i="20"/>
  <c r="Q45" i="23"/>
  <c r="Q48" i="23"/>
  <c r="N33" i="20"/>
  <c r="N31" i="20"/>
  <c r="R29" i="20"/>
  <c r="N36" i="23"/>
  <c r="N44" i="23"/>
  <c r="Q36" i="23"/>
  <c r="N34" i="20"/>
  <c r="N36" i="20"/>
  <c r="N48" i="23"/>
  <c r="M45" i="23"/>
  <c r="N30" i="20"/>
  <c r="M43" i="23"/>
  <c r="R28" i="20"/>
  <c r="M46" i="23"/>
  <c r="R33" i="20"/>
  <c r="N32" i="20"/>
  <c r="R39" i="20"/>
  <c r="M42" i="23"/>
  <c r="R35" i="20"/>
  <c r="Q40" i="23"/>
  <c r="N52" i="15"/>
  <c r="O46" i="15"/>
  <c r="N39" i="15"/>
  <c r="M39" i="15"/>
  <c r="N41" i="15"/>
  <c r="O53" i="15"/>
  <c r="N53" i="15"/>
  <c r="R12" i="52"/>
  <c r="R45" i="15"/>
  <c r="N13" i="52"/>
  <c r="M50" i="15"/>
  <c r="O52" i="15"/>
  <c r="M12" i="18"/>
  <c r="N14" i="52"/>
  <c r="M51" i="15"/>
  <c r="N45" i="15"/>
  <c r="O42" i="15"/>
  <c r="O48" i="15"/>
  <c r="N46" i="15"/>
  <c r="R47" i="15"/>
  <c r="N49" i="15"/>
  <c r="M41" i="15"/>
  <c r="M43" i="15"/>
  <c r="O41" i="15"/>
  <c r="O14" i="52"/>
  <c r="R13" i="52"/>
  <c r="N40" i="15"/>
  <c r="M48" i="15"/>
  <c r="O43" i="15"/>
  <c r="M42" i="15"/>
  <c r="O49" i="15"/>
  <c r="N51" i="15"/>
  <c r="N12" i="52"/>
  <c r="N13" i="18"/>
  <c r="M40" i="15"/>
  <c r="O44" i="15"/>
  <c r="O39" i="15"/>
  <c r="N43" i="15"/>
  <c r="M49" i="15"/>
  <c r="M12" i="52"/>
  <c r="M38" i="15"/>
  <c r="R14" i="52"/>
  <c r="N48" i="15"/>
  <c r="R42" i="15"/>
  <c r="R39" i="15"/>
  <c r="R50" i="15"/>
  <c r="M13" i="52"/>
  <c r="N38" i="15"/>
  <c r="N12" i="18"/>
  <c r="O40" i="15"/>
  <c r="R46" i="15"/>
  <c r="R44" i="15"/>
  <c r="R38" i="15"/>
  <c r="O51" i="15"/>
  <c r="M14" i="52"/>
  <c r="R49" i="15"/>
  <c r="M44" i="15"/>
  <c r="M53" i="15"/>
  <c r="M13" i="18"/>
  <c r="N42" i="15"/>
  <c r="R51" i="15"/>
  <c r="N47" i="15"/>
  <c r="O50" i="15"/>
  <c r="O38" i="15"/>
  <c r="N44" i="15"/>
  <c r="O13" i="52"/>
  <c r="R52" i="15"/>
  <c r="M47" i="15"/>
  <c r="M14" i="18"/>
  <c r="O45" i="15"/>
  <c r="N14" i="18"/>
  <c r="R40" i="15"/>
  <c r="R41" i="15"/>
  <c r="O47" i="15"/>
  <c r="M46" i="15"/>
  <c r="M45" i="15"/>
  <c r="O12" i="52"/>
  <c r="N50" i="15"/>
  <c r="M52" i="15"/>
  <c r="P14" i="18" l="1"/>
  <c r="U8" i="9"/>
  <c r="W8" i="9" s="1"/>
  <c r="S20" i="17"/>
  <c r="U20" i="17" s="1"/>
  <c r="T22" i="17"/>
  <c r="U22" i="17" s="1"/>
  <c r="P43" i="23"/>
  <c r="T43" i="23" s="1"/>
  <c r="P46" i="23"/>
  <c r="T46" i="23" s="1"/>
  <c r="P40" i="23"/>
  <c r="S40" i="23" s="1"/>
  <c r="P47" i="23"/>
  <c r="S47" i="23" s="1"/>
  <c r="S14" i="18"/>
  <c r="P41" i="23"/>
  <c r="T41" i="23" s="1"/>
  <c r="P50" i="23"/>
  <c r="S50" i="23" s="1"/>
  <c r="P49" i="23"/>
  <c r="S49" i="23" s="1"/>
  <c r="P37" i="23"/>
  <c r="T37" i="23" s="1"/>
  <c r="P39" i="23"/>
  <c r="S39" i="23" s="1"/>
  <c r="P38" i="23"/>
  <c r="T38" i="23" s="1"/>
  <c r="P42" i="23"/>
  <c r="T42" i="23" s="1"/>
  <c r="P45" i="23"/>
  <c r="T45" i="23" s="1"/>
  <c r="P48" i="23"/>
  <c r="S48" i="23" s="1"/>
  <c r="P36" i="23"/>
  <c r="S36" i="23" s="1"/>
  <c r="P44" i="23"/>
  <c r="S44" i="23" s="1"/>
  <c r="T21" i="17"/>
  <c r="U21" i="17" s="1"/>
  <c r="U13" i="11"/>
  <c r="I32" i="56"/>
  <c r="J32" i="56"/>
  <c r="H32" i="56" s="1"/>
  <c r="K32" i="56"/>
  <c r="L32" i="56"/>
  <c r="I33" i="56"/>
  <c r="J33" i="56"/>
  <c r="H33" i="56" s="1"/>
  <c r="K33" i="56"/>
  <c r="L33" i="56"/>
  <c r="I34" i="56"/>
  <c r="J34" i="56"/>
  <c r="H34" i="56" s="1"/>
  <c r="K34" i="56"/>
  <c r="L34" i="56"/>
  <c r="I35" i="56"/>
  <c r="J35" i="56"/>
  <c r="H35" i="56" s="1"/>
  <c r="K35" i="56"/>
  <c r="L35" i="56"/>
  <c r="I36" i="56"/>
  <c r="J36" i="56"/>
  <c r="H36" i="56" s="1"/>
  <c r="K36" i="56"/>
  <c r="L36" i="56"/>
  <c r="I37" i="56"/>
  <c r="J37" i="56"/>
  <c r="H37" i="56" s="1"/>
  <c r="K37" i="56"/>
  <c r="L37" i="56"/>
  <c r="I38" i="56"/>
  <c r="J38" i="56"/>
  <c r="H38" i="56" s="1"/>
  <c r="K38" i="56"/>
  <c r="L38" i="56"/>
  <c r="I39" i="56"/>
  <c r="J39" i="56"/>
  <c r="H39" i="56" s="1"/>
  <c r="K39" i="56"/>
  <c r="L39" i="56"/>
  <c r="I40" i="56"/>
  <c r="J40" i="56"/>
  <c r="H40" i="56" s="1"/>
  <c r="K40" i="56"/>
  <c r="L40" i="56"/>
  <c r="I41" i="56"/>
  <c r="J41" i="56"/>
  <c r="H41" i="56" s="1"/>
  <c r="K41" i="56"/>
  <c r="L41" i="56"/>
  <c r="I42" i="56"/>
  <c r="J42" i="56"/>
  <c r="H42" i="56" s="1"/>
  <c r="K42" i="56"/>
  <c r="L42" i="56"/>
  <c r="I43" i="56"/>
  <c r="J43" i="56"/>
  <c r="H43" i="56" s="1"/>
  <c r="K43" i="56"/>
  <c r="L43" i="56"/>
  <c r="I44" i="56"/>
  <c r="J44" i="56"/>
  <c r="H44" i="56" s="1"/>
  <c r="K44" i="56"/>
  <c r="L44" i="56"/>
  <c r="Q12" i="14"/>
  <c r="Q13" i="14"/>
  <c r="Q11" i="14"/>
  <c r="Q7" i="14"/>
  <c r="N41" i="56"/>
  <c r="O37" i="56"/>
  <c r="R37" i="56"/>
  <c r="N33" i="56"/>
  <c r="N42" i="56"/>
  <c r="N44" i="56"/>
  <c r="O36" i="56"/>
  <c r="O34" i="56"/>
  <c r="R38" i="56"/>
  <c r="O40" i="56"/>
  <c r="R39" i="56"/>
  <c r="O35" i="56"/>
  <c r="R41" i="56"/>
  <c r="N32" i="56"/>
  <c r="N38" i="56"/>
  <c r="N43" i="56"/>
  <c r="R32" i="56"/>
  <c r="O41" i="56"/>
  <c r="N35" i="56"/>
  <c r="O32" i="56"/>
  <c r="R36" i="56"/>
  <c r="R33" i="56"/>
  <c r="O38" i="56"/>
  <c r="R42" i="56"/>
  <c r="O33" i="56"/>
  <c r="O42" i="56"/>
  <c r="N40" i="56"/>
  <c r="O43" i="56"/>
  <c r="R44" i="56"/>
  <c r="O44" i="56"/>
  <c r="O39" i="56"/>
  <c r="R34" i="56"/>
  <c r="R43" i="56"/>
  <c r="N37" i="56"/>
  <c r="R40" i="56"/>
  <c r="Q40" i="56" l="1"/>
  <c r="T40" i="56" s="1"/>
  <c r="S37" i="23"/>
  <c r="U37" i="23" s="1"/>
  <c r="S42" i="23"/>
  <c r="U42" i="23" s="1"/>
  <c r="T49" i="23"/>
  <c r="U49" i="23" s="1"/>
  <c r="T36" i="23"/>
  <c r="U36" i="23" s="1"/>
  <c r="T44" i="23"/>
  <c r="U44" i="23" s="1"/>
  <c r="T50" i="23"/>
  <c r="U50" i="23" s="1"/>
  <c r="S45" i="23"/>
  <c r="U45" i="23" s="1"/>
  <c r="T39" i="23"/>
  <c r="U39" i="23" s="1"/>
  <c r="T14" i="18"/>
  <c r="U14" i="18" s="1"/>
  <c r="S41" i="23"/>
  <c r="U41" i="23" s="1"/>
  <c r="S43" i="23"/>
  <c r="U43" i="23" s="1"/>
  <c r="S38" i="23"/>
  <c r="U38" i="23" s="1"/>
  <c r="T40" i="23"/>
  <c r="U40" i="23" s="1"/>
  <c r="S46" i="23"/>
  <c r="U46" i="23" s="1"/>
  <c r="T48" i="23"/>
  <c r="U48" i="23" s="1"/>
  <c r="T47" i="23"/>
  <c r="U47" i="23" s="1"/>
  <c r="Q8" i="14"/>
  <c r="U40" i="56" l="1"/>
  <c r="V40" i="56" s="1"/>
  <c r="F9" i="63"/>
  <c r="H9" i="63" s="1"/>
  <c r="H12" i="14"/>
  <c r="I12" i="14"/>
  <c r="J12" i="14"/>
  <c r="K12" i="14"/>
  <c r="H13" i="14"/>
  <c r="I13" i="14"/>
  <c r="J13" i="14"/>
  <c r="K13" i="14"/>
  <c r="H14" i="14"/>
  <c r="I14" i="14"/>
  <c r="J14" i="14"/>
  <c r="K14" i="14"/>
  <c r="E14" i="14"/>
  <c r="E13" i="14"/>
  <c r="E12" i="14"/>
  <c r="B12" i="14"/>
  <c r="B13" i="14"/>
  <c r="B14" i="14"/>
  <c r="M13" i="14"/>
  <c r="Q9" i="14"/>
  <c r="Q10" i="14"/>
  <c r="N13" i="14"/>
  <c r="N12" i="14"/>
  <c r="M12" i="14"/>
  <c r="Q8" i="25" l="1"/>
  <c r="Q7" i="25"/>
  <c r="Q6" i="25"/>
  <c r="V82" i="25"/>
  <c r="V81" i="25"/>
  <c r="N57" i="25"/>
  <c r="N55" i="25"/>
  <c r="Q82" i="25" s="1"/>
  <c r="N54" i="25"/>
  <c r="N53" i="25"/>
  <c r="N39" i="25"/>
  <c r="M53" i="25" s="1"/>
  <c r="N38" i="25"/>
  <c r="N37" i="25"/>
  <c r="M55" i="25" s="1"/>
  <c r="L82" i="25" s="1"/>
  <c r="N36" i="25"/>
  <c r="Q9" i="11"/>
  <c r="Q8" i="11"/>
  <c r="V248" i="11"/>
  <c r="V247" i="11"/>
  <c r="N221" i="11"/>
  <c r="Q248" i="11" s="1"/>
  <c r="M221" i="11"/>
  <c r="L248" i="11" s="1"/>
  <c r="N220" i="11"/>
  <c r="N219" i="11"/>
  <c r="N223" i="11" s="1"/>
  <c r="N205" i="11"/>
  <c r="M219" i="11" s="1"/>
  <c r="N204" i="11"/>
  <c r="N203" i="11"/>
  <c r="M220" i="11" s="1"/>
  <c r="L247" i="11" s="1"/>
  <c r="N202" i="11"/>
  <c r="O53" i="25" l="1"/>
  <c r="T82" i="25"/>
  <c r="Y82" i="25" s="1"/>
  <c r="M57" i="25"/>
  <c r="O57" i="25" s="1"/>
  <c r="M56" i="25"/>
  <c r="O54" i="25"/>
  <c r="O55" i="25"/>
  <c r="N56" i="25"/>
  <c r="Q81" i="25"/>
  <c r="M54" i="25"/>
  <c r="L81" i="25" s="1"/>
  <c r="T248" i="11"/>
  <c r="Y248" i="11" s="1"/>
  <c r="M223" i="11"/>
  <c r="O223" i="11" s="1"/>
  <c r="M222" i="11"/>
  <c r="O220" i="11"/>
  <c r="O221" i="11"/>
  <c r="N222" i="11"/>
  <c r="Q247" i="11"/>
  <c r="O219" i="11"/>
  <c r="E14" i="62"/>
  <c r="G13" i="62"/>
  <c r="H13" i="62" s="1"/>
  <c r="K82" i="25" l="1"/>
  <c r="K81" i="25"/>
  <c r="T81" i="25"/>
  <c r="Y81" i="25" s="1"/>
  <c r="O56" i="25"/>
  <c r="P82" i="25"/>
  <c r="P81" i="25"/>
  <c r="S81" i="25" s="1"/>
  <c r="T247" i="11"/>
  <c r="Y247" i="11" s="1"/>
  <c r="K248" i="11"/>
  <c r="K247" i="11"/>
  <c r="O222" i="11"/>
  <c r="P248" i="11"/>
  <c r="P247" i="11"/>
  <c r="S247" i="11" s="1"/>
  <c r="H2" i="21"/>
  <c r="I2" i="21" s="1"/>
  <c r="N7" i="20"/>
  <c r="R81" i="25" l="1"/>
  <c r="U81" i="25"/>
  <c r="W81" i="25"/>
  <c r="Z81" i="25" s="1"/>
  <c r="S82" i="25"/>
  <c r="R82" i="25"/>
  <c r="U247" i="11"/>
  <c r="W247" i="11"/>
  <c r="Z247" i="11" s="1"/>
  <c r="S248" i="11"/>
  <c r="R248" i="11"/>
  <c r="R247" i="11"/>
  <c r="L7" i="24"/>
  <c r="L6" i="24"/>
  <c r="L31" i="56"/>
  <c r="L30" i="56"/>
  <c r="L29" i="56"/>
  <c r="L28" i="56"/>
  <c r="L27" i="56"/>
  <c r="L26" i="56"/>
  <c r="L22" i="56"/>
  <c r="L21" i="56"/>
  <c r="L18" i="56"/>
  <c r="L17" i="56"/>
  <c r="L16" i="56"/>
  <c r="L15" i="56"/>
  <c r="L14" i="56"/>
  <c r="L13" i="56"/>
  <c r="L9" i="56"/>
  <c r="L8" i="56"/>
  <c r="L7" i="20"/>
  <c r="L8" i="20"/>
  <c r="L9" i="20"/>
  <c r="L10" i="20"/>
  <c r="L11" i="20"/>
  <c r="L12" i="20"/>
  <c r="L13" i="20"/>
  <c r="L14" i="20"/>
  <c r="L15" i="20"/>
  <c r="L16" i="20"/>
  <c r="L17" i="20"/>
  <c r="L18" i="20"/>
  <c r="L19" i="20"/>
  <c r="L20" i="20"/>
  <c r="L21" i="20"/>
  <c r="L22" i="20"/>
  <c r="L23" i="20"/>
  <c r="L24" i="20"/>
  <c r="L25" i="20"/>
  <c r="L26" i="20"/>
  <c r="L27" i="20"/>
  <c r="L6" i="20"/>
  <c r="K17" i="53"/>
  <c r="K16" i="53"/>
  <c r="K15" i="53"/>
  <c r="K14" i="53"/>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I7" i="24"/>
  <c r="I6" i="24"/>
  <c r="K7" i="24"/>
  <c r="J7" i="24"/>
  <c r="J6" i="24"/>
  <c r="K6" i="24"/>
  <c r="U82" i="25" l="1"/>
  <c r="W82" i="25"/>
  <c r="Z82" i="25" s="1"/>
  <c r="AC81" i="25"/>
  <c r="AH81" i="25" s="1"/>
  <c r="AA81" i="25"/>
  <c r="AE81" i="25"/>
  <c r="W248" i="11"/>
  <c r="Z248" i="11" s="1"/>
  <c r="U248" i="11"/>
  <c r="AE247" i="11"/>
  <c r="AC247" i="11"/>
  <c r="AG247" i="11" s="1"/>
  <c r="AA247" i="11"/>
  <c r="K12" i="53"/>
  <c r="K9" i="53"/>
  <c r="K10" i="53"/>
  <c r="K11" i="53"/>
  <c r="K8" i="53"/>
  <c r="N20" i="20"/>
  <c r="N6" i="20"/>
  <c r="Q7" i="57"/>
  <c r="N26" i="20"/>
  <c r="N12" i="20"/>
  <c r="M8" i="17"/>
  <c r="M7" i="8"/>
  <c r="P8" i="17" l="1"/>
  <c r="AE82" i="25"/>
  <c r="AC82" i="25"/>
  <c r="AH82" i="25" s="1"/>
  <c r="AA82" i="25"/>
  <c r="AE248" i="11"/>
  <c r="AC248" i="11"/>
  <c r="AG248" i="11" s="1"/>
  <c r="AA248" i="11"/>
  <c r="K7" i="49"/>
  <c r="J7" i="49"/>
  <c r="K8" i="49" l="1"/>
  <c r="J8" i="49"/>
  <c r="M168" i="14" l="1"/>
  <c r="M169" i="14"/>
  <c r="M170" i="14"/>
  <c r="M149" i="14" l="1"/>
  <c r="N150" i="14"/>
  <c r="L171" i="14"/>
  <c r="K170" i="14"/>
  <c r="K169" i="14"/>
  <c r="I148" i="14"/>
  <c r="K168" i="14"/>
  <c r="K123" i="14"/>
  <c r="M122" i="14"/>
  <c r="M103" i="14" s="1"/>
  <c r="M123" i="14"/>
  <c r="N104" i="14" s="1"/>
  <c r="M121" i="14"/>
  <c r="K102" i="14" s="1"/>
  <c r="L124" i="14"/>
  <c r="J43" i="9"/>
  <c r="J44" i="9"/>
  <c r="J45" i="9"/>
  <c r="J46" i="9"/>
  <c r="J42" i="9"/>
  <c r="I57" i="9"/>
  <c r="I58" i="9" s="1"/>
  <c r="I59" i="9" s="1"/>
  <c r="I60" i="9" s="1"/>
  <c r="I61" i="9" s="1"/>
  <c r="J57" i="9"/>
  <c r="J58" i="9" s="1"/>
  <c r="J59" i="9" s="1"/>
  <c r="J60" i="9" s="1"/>
  <c r="J61" i="9" s="1"/>
  <c r="K57" i="9"/>
  <c r="I66" i="9" s="1"/>
  <c r="L57" i="9"/>
  <c r="L58" i="9" s="1"/>
  <c r="L59" i="9" s="1"/>
  <c r="L60" i="9" s="1"/>
  <c r="L61" i="9" s="1"/>
  <c r="N103" i="14" l="1"/>
  <c r="N148" i="14"/>
  <c r="Q148" i="14"/>
  <c r="Q104" i="14"/>
  <c r="J148" i="14"/>
  <c r="P148" i="14"/>
  <c r="O148" i="14"/>
  <c r="P149" i="14"/>
  <c r="J150" i="14"/>
  <c r="J149" i="14"/>
  <c r="I149" i="14"/>
  <c r="I150" i="14"/>
  <c r="Q150" i="14"/>
  <c r="M148" i="14"/>
  <c r="K150" i="14"/>
  <c r="L148" i="14"/>
  <c r="Q149" i="14"/>
  <c r="K148" i="14"/>
  <c r="M150" i="14"/>
  <c r="L149" i="14"/>
  <c r="L150" i="14"/>
  <c r="K149" i="14"/>
  <c r="P150" i="14"/>
  <c r="O149" i="14"/>
  <c r="O150" i="14"/>
  <c r="N149" i="14"/>
  <c r="N152" i="14" s="1"/>
  <c r="O104" i="14"/>
  <c r="M104" i="14"/>
  <c r="L103" i="14"/>
  <c r="J104" i="14"/>
  <c r="L104" i="14"/>
  <c r="K104" i="14"/>
  <c r="J102" i="14"/>
  <c r="K103" i="14"/>
  <c r="Q102" i="14"/>
  <c r="J103" i="14"/>
  <c r="Q103" i="14"/>
  <c r="P102" i="14"/>
  <c r="P103" i="14"/>
  <c r="O102" i="14"/>
  <c r="P104" i="14"/>
  <c r="O103" i="14"/>
  <c r="N102" i="14"/>
  <c r="M102" i="14"/>
  <c r="L102" i="14"/>
  <c r="K121" i="14"/>
  <c r="K122" i="14"/>
  <c r="I102" i="14"/>
  <c r="I104" i="14"/>
  <c r="I103" i="14"/>
  <c r="K58" i="9"/>
  <c r="K59" i="9" s="1"/>
  <c r="K60" i="9" s="1"/>
  <c r="K61" i="9" s="1"/>
  <c r="I70" i="9" s="1"/>
  <c r="K68" i="9"/>
  <c r="K69" i="9"/>
  <c r="K70" i="9"/>
  <c r="K66" i="9"/>
  <c r="M66" i="9" s="1"/>
  <c r="K67" i="9"/>
  <c r="S6" i="37"/>
  <c r="P5" i="37"/>
  <c r="I152" i="14" l="1"/>
  <c r="Q152" i="14"/>
  <c r="J152" i="14"/>
  <c r="O152" i="14"/>
  <c r="K152" i="14"/>
  <c r="M152" i="14"/>
  <c r="L152" i="14"/>
  <c r="P152" i="14"/>
  <c r="I106" i="14"/>
  <c r="I67" i="9"/>
  <c r="M67" i="9" s="1"/>
  <c r="I68" i="9"/>
  <c r="M68" i="9" s="1"/>
  <c r="I69" i="9"/>
  <c r="M69" i="9" s="1"/>
  <c r="M70" i="9"/>
  <c r="T6" i="37"/>
  <c r="U6" i="37" l="1"/>
  <c r="L22" i="53"/>
  <c r="C20" i="63" l="1"/>
  <c r="E20" i="63" s="1"/>
  <c r="T22" i="53"/>
  <c r="E9" i="37"/>
  <c r="E6" i="37"/>
  <c r="H43" i="8"/>
  <c r="H38" i="8"/>
  <c r="E43" i="8"/>
  <c r="B43" i="8"/>
  <c r="E38" i="8"/>
  <c r="B38" i="8"/>
  <c r="R38" i="8" l="1"/>
  <c r="R43" i="8"/>
  <c r="T38" i="8" l="1"/>
  <c r="T43" i="8"/>
  <c r="K34" i="8" l="1"/>
  <c r="H3" i="11" l="1"/>
  <c r="I3" i="11" s="1"/>
  <c r="H2" i="25"/>
  <c r="I2" i="25" s="1"/>
  <c r="M10" i="11"/>
  <c r="N7" i="11"/>
  <c r="M7" i="11"/>
  <c r="H21" i="8" l="1"/>
  <c r="I21" i="8"/>
  <c r="J21" i="8"/>
  <c r="K21" i="8"/>
  <c r="H22" i="8"/>
  <c r="I22" i="8"/>
  <c r="I4" i="8" s="1"/>
  <c r="J22" i="8"/>
  <c r="K22" i="8"/>
  <c r="H28" i="8"/>
  <c r="I28" i="8"/>
  <c r="J28" i="8"/>
  <c r="K28" i="8"/>
  <c r="H29" i="8"/>
  <c r="I29" i="8"/>
  <c r="J29" i="8"/>
  <c r="K29" i="8"/>
  <c r="B21" i="8"/>
  <c r="E21" i="8"/>
  <c r="B22" i="8"/>
  <c r="E22" i="8"/>
  <c r="B23" i="8"/>
  <c r="E23" i="8"/>
  <c r="B24" i="8"/>
  <c r="E24" i="8"/>
  <c r="B25" i="8"/>
  <c r="E25" i="8"/>
  <c r="B26" i="8"/>
  <c r="E26" i="8"/>
  <c r="B27" i="8"/>
  <c r="E27" i="8"/>
  <c r="B28" i="8"/>
  <c r="E28" i="8"/>
  <c r="B29" i="8"/>
  <c r="E29" i="8"/>
  <c r="K10" i="8"/>
  <c r="K9" i="8"/>
  <c r="J14" i="8"/>
  <c r="K14" i="8"/>
  <c r="J15" i="8"/>
  <c r="K15" i="8"/>
  <c r="H14" i="8"/>
  <c r="H15" i="8"/>
  <c r="E14" i="8"/>
  <c r="E15" i="8"/>
  <c r="B14" i="8"/>
  <c r="B15" i="8"/>
  <c r="J7" i="8"/>
  <c r="K7" i="8"/>
  <c r="J8" i="8"/>
  <c r="K8" i="8"/>
  <c r="H7" i="8"/>
  <c r="H8" i="8"/>
  <c r="E7" i="8"/>
  <c r="E8" i="8"/>
  <c r="B7" i="8"/>
  <c r="B8" i="8"/>
  <c r="M21" i="8"/>
  <c r="M15" i="8"/>
  <c r="M28" i="8"/>
  <c r="M14" i="8"/>
  <c r="M8" i="8"/>
  <c r="M22" i="8"/>
  <c r="M29" i="8"/>
  <c r="B19" i="8" l="1"/>
  <c r="K20" i="8"/>
  <c r="J20" i="8"/>
  <c r="K19" i="8"/>
  <c r="J19" i="8"/>
  <c r="K18" i="8"/>
  <c r="J18" i="8"/>
  <c r="K17" i="8"/>
  <c r="J17" i="8"/>
  <c r="K16" i="8"/>
  <c r="J16" i="8"/>
  <c r="K13" i="8"/>
  <c r="J13" i="8"/>
  <c r="K12" i="8"/>
  <c r="J12" i="8"/>
  <c r="K11" i="8"/>
  <c r="J11" i="8"/>
  <c r="J10" i="8"/>
  <c r="J9" i="8"/>
  <c r="J34" i="8"/>
  <c r="I34" i="8"/>
  <c r="H34" i="8"/>
  <c r="K33" i="8"/>
  <c r="J33" i="8"/>
  <c r="I33" i="8"/>
  <c r="H33" i="8"/>
  <c r="K32" i="8"/>
  <c r="J32" i="8"/>
  <c r="I32" i="8"/>
  <c r="H32" i="8"/>
  <c r="K31" i="8"/>
  <c r="J31" i="8"/>
  <c r="I31" i="8"/>
  <c r="H31" i="8"/>
  <c r="K30" i="8"/>
  <c r="J30" i="8"/>
  <c r="I30" i="8"/>
  <c r="H30" i="8"/>
  <c r="K27" i="8"/>
  <c r="J27" i="8"/>
  <c r="I27" i="8"/>
  <c r="H27" i="8"/>
  <c r="K26" i="8"/>
  <c r="J26" i="8"/>
  <c r="I26" i="8"/>
  <c r="H26" i="8"/>
  <c r="K25" i="8"/>
  <c r="J25" i="8"/>
  <c r="I25" i="8"/>
  <c r="H25" i="8"/>
  <c r="K24" i="8"/>
  <c r="J24" i="8"/>
  <c r="I24" i="8"/>
  <c r="H24" i="8"/>
  <c r="K23" i="8"/>
  <c r="J23" i="8"/>
  <c r="I23" i="8"/>
  <c r="M6" i="9"/>
  <c r="M7" i="9"/>
  <c r="K35" i="23" l="1"/>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K11" i="52"/>
  <c r="K10" i="52"/>
  <c r="K9" i="52"/>
  <c r="K8" i="52"/>
  <c r="K7" i="52"/>
  <c r="K6" i="52"/>
  <c r="J11" i="52"/>
  <c r="J10" i="52"/>
  <c r="J9" i="52"/>
  <c r="J8" i="52"/>
  <c r="J7" i="52"/>
  <c r="J6" i="52"/>
  <c r="I11" i="52"/>
  <c r="I10" i="52"/>
  <c r="I9" i="52"/>
  <c r="I8" i="52"/>
  <c r="I7" i="52"/>
  <c r="I6" i="52"/>
  <c r="H2" i="52" s="1"/>
  <c r="I2" i="52" s="1"/>
  <c r="M23" i="8"/>
  <c r="O23" i="8" l="1"/>
  <c r="AB73" i="11"/>
  <c r="AB72" i="11"/>
  <c r="K7" i="14" l="1"/>
  <c r="K8" i="14"/>
  <c r="K9" i="14"/>
  <c r="K10" i="14"/>
  <c r="K11" i="14"/>
  <c r="K6" i="14"/>
  <c r="I7" i="18"/>
  <c r="J7" i="18"/>
  <c r="K7" i="18"/>
  <c r="I8" i="18"/>
  <c r="J8" i="18"/>
  <c r="K8" i="18"/>
  <c r="I9" i="18"/>
  <c r="J9" i="18"/>
  <c r="K9" i="18"/>
  <c r="I10" i="18"/>
  <c r="J10" i="18"/>
  <c r="K10" i="18"/>
  <c r="I11" i="18"/>
  <c r="J11" i="18"/>
  <c r="K11" i="18"/>
  <c r="K6" i="18"/>
  <c r="J6" i="18"/>
  <c r="I6" i="18"/>
  <c r="E8"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K6" i="20"/>
  <c r="J6" i="20"/>
  <c r="I6" i="20"/>
  <c r="I7" i="20"/>
  <c r="I8" i="20"/>
  <c r="I9" i="20"/>
  <c r="I10" i="20"/>
  <c r="I11" i="20"/>
  <c r="I12" i="20"/>
  <c r="I13" i="20"/>
  <c r="I14" i="20"/>
  <c r="I15" i="20"/>
  <c r="I16" i="20"/>
  <c r="I17" i="20"/>
  <c r="I18" i="20"/>
  <c r="I19" i="20"/>
  <c r="I20" i="20"/>
  <c r="I21" i="20"/>
  <c r="I22" i="20"/>
  <c r="I23" i="20"/>
  <c r="I24" i="20"/>
  <c r="I25" i="20"/>
  <c r="I26" i="20"/>
  <c r="I27" i="20"/>
  <c r="I2" i="24"/>
  <c r="N6" i="18"/>
  <c r="Q11" i="18" l="1"/>
  <c r="Q10" i="18"/>
  <c r="Q9" i="18"/>
  <c r="Q7" i="18"/>
  <c r="Q6" i="18"/>
  <c r="H3" i="53" l="1"/>
  <c r="Q5" i="24"/>
  <c r="O6" i="8"/>
  <c r="B9" i="8"/>
  <c r="E9" i="8"/>
  <c r="H9" i="8"/>
  <c r="B12" i="8"/>
  <c r="E12" i="8"/>
  <c r="H12" i="8"/>
  <c r="B10" i="8"/>
  <c r="E10" i="8"/>
  <c r="H10" i="8"/>
  <c r="B13" i="8"/>
  <c r="E13" i="8"/>
  <c r="H13" i="8"/>
  <c r="B35" i="8"/>
  <c r="E35" i="8"/>
  <c r="H35" i="8"/>
  <c r="B36" i="8"/>
  <c r="E36" i="8"/>
  <c r="H36" i="8"/>
  <c r="B37" i="8"/>
  <c r="E37" i="8"/>
  <c r="H37" i="8"/>
  <c r="B39" i="8"/>
  <c r="E39" i="8"/>
  <c r="H39" i="8"/>
  <c r="H23" i="8"/>
  <c r="B30" i="8"/>
  <c r="E30" i="8"/>
  <c r="B31" i="8"/>
  <c r="E31" i="8"/>
  <c r="B32" i="8"/>
  <c r="E32" i="8"/>
  <c r="J45" i="49"/>
  <c r="J12" i="49"/>
  <c r="J11" i="49"/>
  <c r="K12" i="49"/>
  <c r="J10" i="49"/>
  <c r="K10" i="49"/>
  <c r="K11" i="49"/>
  <c r="M9" i="8"/>
  <c r="P33" i="8"/>
  <c r="P12" i="8"/>
  <c r="P16" i="8"/>
  <c r="P25" i="8"/>
  <c r="P19" i="8"/>
  <c r="P27" i="8"/>
  <c r="M20" i="8"/>
  <c r="P23" i="8"/>
  <c r="M10" i="8"/>
  <c r="M25" i="8"/>
  <c r="P20" i="8"/>
  <c r="P32" i="8"/>
  <c r="M12" i="8"/>
  <c r="P17" i="8"/>
  <c r="P9" i="8"/>
  <c r="P13" i="8"/>
  <c r="M7" i="52"/>
  <c r="M30" i="8"/>
  <c r="M24" i="8"/>
  <c r="M32" i="8"/>
  <c r="M19" i="8"/>
  <c r="M31" i="8"/>
  <c r="M26" i="8"/>
  <c r="P31" i="8"/>
  <c r="M18" i="8"/>
  <c r="M11" i="8"/>
  <c r="P30" i="8"/>
  <c r="P26" i="8"/>
  <c r="P11" i="8"/>
  <c r="P34" i="8"/>
  <c r="M27" i="8"/>
  <c r="M13" i="8"/>
  <c r="M17" i="8"/>
  <c r="P24" i="8"/>
  <c r="M16" i="8"/>
  <c r="M33" i="8"/>
  <c r="M34" i="8"/>
  <c r="P10" i="8"/>
  <c r="P18" i="8"/>
  <c r="R6" i="24"/>
  <c r="R7" i="24"/>
  <c r="N6" i="24"/>
  <c r="N7" i="24"/>
  <c r="O7" i="24"/>
  <c r="O6" i="24"/>
  <c r="O34" i="8" l="1"/>
  <c r="O33" i="8"/>
  <c r="O10" i="8"/>
  <c r="O24" i="8"/>
  <c r="R24" i="8" s="1"/>
  <c r="O17" i="8"/>
  <c r="O27" i="8"/>
  <c r="R27" i="8" s="1"/>
  <c r="O20" i="8"/>
  <c r="O13" i="8"/>
  <c r="O16" i="8"/>
  <c r="O31" i="8"/>
  <c r="O19" i="8"/>
  <c r="O9" i="8"/>
  <c r="O26" i="8"/>
  <c r="R26" i="8" s="1"/>
  <c r="O12" i="8"/>
  <c r="O30" i="8"/>
  <c r="R23" i="8"/>
  <c r="R10" i="8" l="1"/>
  <c r="T10" i="8" s="1"/>
  <c r="R17" i="8"/>
  <c r="T17" i="8" s="1"/>
  <c r="R36" i="8"/>
  <c r="T36" i="8" s="1"/>
  <c r="R40" i="8"/>
  <c r="T40" i="8" s="1"/>
  <c r="R42" i="8"/>
  <c r="T42" i="8" s="1"/>
  <c r="R34" i="8"/>
  <c r="T34" i="8" s="1"/>
  <c r="R20" i="8"/>
  <c r="T20" i="8" s="1"/>
  <c r="R39" i="8"/>
  <c r="T39" i="8" s="1"/>
  <c r="R12" i="8"/>
  <c r="T12" i="8" s="1"/>
  <c r="R37" i="8"/>
  <c r="T37" i="8" s="1"/>
  <c r="T24" i="8"/>
  <c r="R16" i="8"/>
  <c r="T16" i="8" s="1"/>
  <c r="T23" i="8"/>
  <c r="R31" i="8"/>
  <c r="T31" i="8" s="1"/>
  <c r="R33" i="8"/>
  <c r="T33" i="8" s="1"/>
  <c r="R9" i="8"/>
  <c r="T9" i="8" s="1"/>
  <c r="R44" i="8"/>
  <c r="T44" i="8" s="1"/>
  <c r="R19" i="8"/>
  <c r="T19" i="8" s="1"/>
  <c r="R41" i="8"/>
  <c r="T41" i="8" s="1"/>
  <c r="R30" i="8"/>
  <c r="T30" i="8" s="1"/>
  <c r="R35" i="8"/>
  <c r="T35" i="8" s="1"/>
  <c r="T27" i="8"/>
  <c r="R13" i="8"/>
  <c r="T13" i="8" s="1"/>
  <c r="T26" i="8"/>
  <c r="Q5" i="13"/>
  <c r="P5" i="25"/>
  <c r="P6" i="11"/>
  <c r="R5" i="9"/>
  <c r="P5" i="22"/>
  <c r="P5" i="57"/>
  <c r="J11" i="14"/>
  <c r="I11" i="14"/>
  <c r="J10" i="14"/>
  <c r="I10" i="14"/>
  <c r="J9" i="14"/>
  <c r="I9" i="14"/>
  <c r="J8" i="14"/>
  <c r="I8" i="14"/>
  <c r="J7" i="14"/>
  <c r="I7" i="14"/>
  <c r="J6" i="14"/>
  <c r="I6" i="14"/>
  <c r="H6" i="14"/>
  <c r="H7" i="14"/>
  <c r="K31" i="56"/>
  <c r="J31" i="56"/>
  <c r="I31" i="56"/>
  <c r="K30" i="56"/>
  <c r="J30" i="56"/>
  <c r="I30" i="56"/>
  <c r="K29" i="56"/>
  <c r="J29" i="56"/>
  <c r="I29" i="56"/>
  <c r="K28" i="56"/>
  <c r="J28" i="56"/>
  <c r="I28" i="56"/>
  <c r="K27" i="56"/>
  <c r="J27" i="56"/>
  <c r="I27" i="56"/>
  <c r="K26" i="56"/>
  <c r="J26" i="56"/>
  <c r="I26" i="56"/>
  <c r="K25" i="56"/>
  <c r="J25" i="56"/>
  <c r="I25" i="56"/>
  <c r="K24" i="56"/>
  <c r="J24" i="56"/>
  <c r="I24" i="56"/>
  <c r="K23" i="56"/>
  <c r="J23" i="56"/>
  <c r="I23" i="56"/>
  <c r="K22" i="56"/>
  <c r="J22" i="56"/>
  <c r="I22" i="56"/>
  <c r="K21" i="56"/>
  <c r="J21" i="56"/>
  <c r="I21" i="56"/>
  <c r="K20" i="56"/>
  <c r="J20" i="56"/>
  <c r="I20" i="56"/>
  <c r="K19" i="56"/>
  <c r="J19" i="56"/>
  <c r="I19" i="56"/>
  <c r="K18" i="56"/>
  <c r="J18" i="56"/>
  <c r="I18" i="56"/>
  <c r="K17" i="56"/>
  <c r="J17" i="56"/>
  <c r="I17" i="56"/>
  <c r="K16" i="56"/>
  <c r="J16" i="56"/>
  <c r="I16" i="56"/>
  <c r="K15" i="56"/>
  <c r="J15" i="56"/>
  <c r="I15" i="56"/>
  <c r="K14" i="56"/>
  <c r="J14" i="56"/>
  <c r="I14" i="56"/>
  <c r="K13" i="56"/>
  <c r="J13" i="56"/>
  <c r="I13" i="56"/>
  <c r="K12" i="56"/>
  <c r="J12" i="56"/>
  <c r="I12" i="56"/>
  <c r="K11" i="56"/>
  <c r="J11" i="56"/>
  <c r="I11" i="56"/>
  <c r="K10" i="56"/>
  <c r="J10" i="56"/>
  <c r="I10" i="56"/>
  <c r="K9" i="56"/>
  <c r="J9" i="56"/>
  <c r="I9" i="56"/>
  <c r="K8" i="56"/>
  <c r="J8" i="56"/>
  <c r="I8" i="56"/>
  <c r="K7" i="56"/>
  <c r="J7" i="56"/>
  <c r="I7" i="56"/>
  <c r="K6" i="56"/>
  <c r="J6" i="56"/>
  <c r="I6" i="56"/>
  <c r="P5" i="21"/>
  <c r="P5" i="17"/>
  <c r="P5" i="18"/>
  <c r="Q5" i="20"/>
  <c r="P5" i="23"/>
  <c r="Q5" i="52"/>
  <c r="Q5" i="15"/>
  <c r="Q5" i="56"/>
  <c r="B6" i="14" l="1"/>
  <c r="E6" i="14"/>
  <c r="B7" i="14"/>
  <c r="E7" i="14"/>
  <c r="B8" i="14"/>
  <c r="E8" i="14"/>
  <c r="H8" i="14"/>
  <c r="B9" i="14"/>
  <c r="E9" i="14"/>
  <c r="H9" i="14"/>
  <c r="B10" i="14"/>
  <c r="E10" i="14"/>
  <c r="H10" i="14"/>
  <c r="B11" i="14"/>
  <c r="E11" i="14"/>
  <c r="H11" i="14"/>
  <c r="T7" i="11" l="1"/>
  <c r="S10" i="11" l="1"/>
  <c r="T10" i="11"/>
  <c r="S7" i="11"/>
  <c r="M6" i="14" l="1"/>
  <c r="N28" i="23"/>
  <c r="R6" i="20"/>
  <c r="M8" i="14"/>
  <c r="N14" i="20"/>
  <c r="N17" i="20"/>
  <c r="N21" i="20"/>
  <c r="M27" i="23"/>
  <c r="N14" i="23"/>
  <c r="Q27" i="23"/>
  <c r="Q29" i="23"/>
  <c r="R6" i="13"/>
  <c r="M6" i="57"/>
  <c r="N24" i="23"/>
  <c r="N8" i="20"/>
  <c r="N11" i="14"/>
  <c r="N7" i="14"/>
  <c r="R11" i="20"/>
  <c r="Q6" i="23"/>
  <c r="O10" i="20"/>
  <c r="R26" i="20"/>
  <c r="N6" i="14"/>
  <c r="R9" i="20"/>
  <c r="M8" i="23"/>
  <c r="N33" i="23"/>
  <c r="M6" i="23"/>
  <c r="N32" i="23"/>
  <c r="Q7" i="21"/>
  <c r="Q6" i="21"/>
  <c r="M7" i="21"/>
  <c r="R7" i="20"/>
  <c r="S7" i="9"/>
  <c r="M6" i="21"/>
  <c r="N7" i="23"/>
  <c r="Q26" i="23"/>
  <c r="O7" i="20"/>
  <c r="N16" i="23"/>
  <c r="R21" i="20"/>
  <c r="M16" i="23"/>
  <c r="Q34" i="23"/>
  <c r="N6" i="23"/>
  <c r="R14" i="20"/>
  <c r="N15" i="23"/>
  <c r="R7" i="13"/>
  <c r="Q11" i="23"/>
  <c r="S6" i="9"/>
  <c r="N9" i="20"/>
  <c r="N20" i="23"/>
  <c r="R23" i="20"/>
  <c r="Q35" i="23"/>
  <c r="M25" i="23"/>
  <c r="M34" i="23"/>
  <c r="Q12" i="23"/>
  <c r="M20" i="23"/>
  <c r="R20" i="20"/>
  <c r="Q32" i="23"/>
  <c r="N6" i="57"/>
  <c r="Q23" i="23"/>
  <c r="M14" i="23"/>
  <c r="O14" i="20"/>
  <c r="N16" i="20"/>
  <c r="M24" i="23"/>
  <c r="N22" i="20"/>
  <c r="O15" i="20"/>
  <c r="P6" i="9"/>
  <c r="Q24" i="23"/>
  <c r="Q19" i="23"/>
  <c r="O23" i="20"/>
  <c r="M12" i="23"/>
  <c r="O11" i="20"/>
  <c r="N19" i="20"/>
  <c r="R19" i="20"/>
  <c r="Q21" i="23"/>
  <c r="M9" i="14"/>
  <c r="O24" i="20"/>
  <c r="N11" i="20"/>
  <c r="N31" i="23"/>
  <c r="Q10" i="23"/>
  <c r="Q20" i="23"/>
  <c r="X7" i="9"/>
  <c r="R25" i="20"/>
  <c r="N8" i="14"/>
  <c r="N23" i="23"/>
  <c r="O6" i="20"/>
  <c r="M6" i="13"/>
  <c r="N27" i="23"/>
  <c r="M7" i="57"/>
  <c r="M35" i="23"/>
  <c r="Q9" i="23"/>
  <c r="N7" i="13"/>
  <c r="Q6" i="14"/>
  <c r="N25" i="20"/>
  <c r="N18" i="20"/>
  <c r="R8" i="20"/>
  <c r="O21" i="20"/>
  <c r="Q33" i="23"/>
  <c r="Q22" i="23"/>
  <c r="N24" i="20"/>
  <c r="N18" i="23"/>
  <c r="O16" i="20"/>
  <c r="N23" i="20"/>
  <c r="Q25" i="23"/>
  <c r="M15" i="23"/>
  <c r="X6" i="9"/>
  <c r="Q15" i="23"/>
  <c r="N15" i="20"/>
  <c r="N6" i="9"/>
  <c r="M11" i="23"/>
  <c r="Q14" i="23"/>
  <c r="R18" i="20"/>
  <c r="N10" i="14"/>
  <c r="O12" i="20"/>
  <c r="N9" i="23"/>
  <c r="M13" i="23"/>
  <c r="N26" i="23"/>
  <c r="N8" i="23"/>
  <c r="M30" i="23"/>
  <c r="O9" i="20"/>
  <c r="O19" i="20"/>
  <c r="M7" i="14"/>
  <c r="Q30" i="23"/>
  <c r="M28" i="23"/>
  <c r="N12" i="23"/>
  <c r="M18" i="23"/>
  <c r="N6" i="21"/>
  <c r="M17" i="23"/>
  <c r="M26" i="23"/>
  <c r="O8" i="20"/>
  <c r="N7" i="57"/>
  <c r="R22" i="20"/>
  <c r="N22" i="23"/>
  <c r="R15" i="20"/>
  <c r="O20" i="20"/>
  <c r="O26" i="20"/>
  <c r="O7" i="13"/>
  <c r="O17" i="20"/>
  <c r="R12" i="20"/>
  <c r="R17" i="20"/>
  <c r="O18" i="20"/>
  <c r="R10" i="20"/>
  <c r="O6" i="13"/>
  <c r="M7" i="13"/>
  <c r="M9" i="23"/>
  <c r="M10" i="23"/>
  <c r="M7" i="23"/>
  <c r="R13" i="20"/>
  <c r="Q18" i="23"/>
  <c r="N7" i="9"/>
  <c r="Q16" i="23"/>
  <c r="M19" i="23"/>
  <c r="Q7" i="23"/>
  <c r="N34" i="23"/>
  <c r="M21" i="23"/>
  <c r="Q13" i="23"/>
  <c r="M32" i="23"/>
  <c r="O25" i="20"/>
  <c r="P7" i="9"/>
  <c r="N6" i="13"/>
  <c r="N25" i="23"/>
  <c r="R24" i="20"/>
  <c r="N13" i="23"/>
  <c r="Q17" i="23"/>
  <c r="M33" i="23"/>
  <c r="N10" i="23"/>
  <c r="M29" i="23"/>
  <c r="Q6" i="57"/>
  <c r="M31" i="23"/>
  <c r="R16" i="20"/>
  <c r="N10" i="20"/>
  <c r="N35" i="23"/>
  <c r="N21" i="23"/>
  <c r="M22" i="23"/>
  <c r="Q28" i="23"/>
  <c r="M10" i="14"/>
  <c r="N29" i="23"/>
  <c r="N11" i="23"/>
  <c r="Q8" i="23"/>
  <c r="N19" i="23"/>
  <c r="N13" i="20"/>
  <c r="Q31" i="23"/>
  <c r="N9" i="14"/>
  <c r="N17" i="23"/>
  <c r="M11" i="14"/>
  <c r="N7" i="21"/>
  <c r="M23" i="23"/>
  <c r="O22" i="20"/>
  <c r="O13" i="20"/>
  <c r="N30" i="23"/>
  <c r="R24" i="15"/>
  <c r="M6" i="15"/>
  <c r="N22" i="15"/>
  <c r="M32" i="15"/>
  <c r="N11" i="52"/>
  <c r="N9" i="15"/>
  <c r="N24" i="56"/>
  <c r="N10" i="15"/>
  <c r="N16" i="56"/>
  <c r="O28" i="15"/>
  <c r="O9" i="52"/>
  <c r="R20" i="15"/>
  <c r="N25" i="15"/>
  <c r="N13" i="56"/>
  <c r="O20" i="15"/>
  <c r="O14" i="56"/>
  <c r="O21" i="15"/>
  <c r="O29" i="56"/>
  <c r="O15" i="15"/>
  <c r="N10" i="18"/>
  <c r="N23" i="56"/>
  <c r="O9" i="15"/>
  <c r="O24" i="56"/>
  <c r="R26" i="15"/>
  <c r="N8" i="52"/>
  <c r="N33" i="15"/>
  <c r="Q8" i="17"/>
  <c r="N29" i="56"/>
  <c r="N13" i="15"/>
  <c r="M10" i="15"/>
  <c r="M8" i="52"/>
  <c r="R30" i="56"/>
  <c r="M6" i="17"/>
  <c r="M12" i="15"/>
  <c r="O6" i="52"/>
  <c r="N8" i="18"/>
  <c r="R8" i="56"/>
  <c r="M27" i="15"/>
  <c r="Q6" i="17"/>
  <c r="N18" i="56"/>
  <c r="O8" i="52"/>
  <c r="R31" i="56"/>
  <c r="M10" i="17"/>
  <c r="M20" i="15"/>
  <c r="O7" i="52"/>
  <c r="O21" i="56"/>
  <c r="M13" i="17"/>
  <c r="O16" i="56"/>
  <c r="R8" i="15"/>
  <c r="M11" i="15"/>
  <c r="R26" i="56"/>
  <c r="N11" i="56"/>
  <c r="O32" i="15"/>
  <c r="Q12" i="17"/>
  <c r="N37" i="15"/>
  <c r="R27" i="56"/>
  <c r="R13" i="15"/>
  <c r="N27" i="56"/>
  <c r="R11" i="52"/>
  <c r="O37" i="15"/>
  <c r="M17" i="15"/>
  <c r="M8" i="18"/>
  <c r="R6" i="52"/>
  <c r="N6" i="52"/>
  <c r="O14" i="15"/>
  <c r="R6" i="15"/>
  <c r="O12" i="15"/>
  <c r="O6" i="15"/>
  <c r="O31" i="56"/>
  <c r="Q13" i="17"/>
  <c r="R23" i="15"/>
  <c r="M31" i="15"/>
  <c r="M15" i="15"/>
  <c r="N22" i="56"/>
  <c r="N21" i="56"/>
  <c r="M6" i="18"/>
  <c r="R25" i="56"/>
  <c r="O29" i="15"/>
  <c r="N30" i="15"/>
  <c r="M28" i="15"/>
  <c r="M7" i="17"/>
  <c r="Q11" i="17"/>
  <c r="N36" i="15"/>
  <c r="Q7" i="17"/>
  <c r="M26" i="15"/>
  <c r="N19" i="15"/>
  <c r="M9" i="18"/>
  <c r="R22" i="15"/>
  <c r="R36" i="15"/>
  <c r="R15" i="56"/>
  <c r="N6" i="17"/>
  <c r="N17" i="15"/>
  <c r="N26" i="15"/>
  <c r="N7" i="18"/>
  <c r="Q16" i="17"/>
  <c r="O30" i="15"/>
  <c r="Q10" i="17"/>
  <c r="R9" i="56"/>
  <c r="M34" i="15"/>
  <c r="N30" i="56"/>
  <c r="O25" i="15"/>
  <c r="O19" i="56"/>
  <c r="M29" i="15"/>
  <c r="M9" i="17"/>
  <c r="N12" i="56"/>
  <c r="O8" i="56"/>
  <c r="M21" i="15"/>
  <c r="O36" i="15"/>
  <c r="R8" i="52"/>
  <c r="M14" i="15"/>
  <c r="N7" i="17"/>
  <c r="M9" i="15"/>
  <c r="R14" i="56"/>
  <c r="N35" i="15"/>
  <c r="M19" i="15"/>
  <c r="O8" i="15"/>
  <c r="M6" i="52"/>
  <c r="R7" i="15"/>
  <c r="M11" i="17"/>
  <c r="N10" i="17"/>
  <c r="N6" i="56"/>
  <c r="O18" i="15"/>
  <c r="R18" i="56"/>
  <c r="O13" i="15"/>
  <c r="R28" i="56"/>
  <c r="N6" i="15"/>
  <c r="O24" i="15"/>
  <c r="N20" i="56"/>
  <c r="O27" i="56"/>
  <c r="N11" i="17"/>
  <c r="M11" i="52"/>
  <c r="O33" i="15"/>
  <c r="R19" i="56"/>
  <c r="O20" i="56"/>
  <c r="N15" i="15"/>
  <c r="O35" i="15"/>
  <c r="O28" i="56"/>
  <c r="M18" i="15"/>
  <c r="R29" i="15"/>
  <c r="M7" i="15"/>
  <c r="N8" i="15"/>
  <c r="R6" i="56"/>
  <c r="R11" i="56"/>
  <c r="O19" i="15"/>
  <c r="R9" i="52"/>
  <c r="O13" i="56"/>
  <c r="N18" i="15"/>
  <c r="O26" i="15"/>
  <c r="R10" i="56"/>
  <c r="M9" i="52"/>
  <c r="R25" i="15"/>
  <c r="N11" i="15"/>
  <c r="O34" i="15"/>
  <c r="N8" i="56"/>
  <c r="R10" i="52"/>
  <c r="N7" i="15"/>
  <c r="O11" i="15"/>
  <c r="N27" i="15"/>
  <c r="Q9" i="17"/>
  <c r="O11" i="56"/>
  <c r="M37" i="15"/>
  <c r="O9" i="56"/>
  <c r="N15" i="56"/>
  <c r="O26" i="56"/>
  <c r="N32" i="15"/>
  <c r="M8" i="15"/>
  <c r="Q14" i="17"/>
  <c r="O15" i="56"/>
  <c r="R24" i="56"/>
  <c r="R9" i="15"/>
  <c r="M10" i="18"/>
  <c r="N12" i="17"/>
  <c r="R16" i="56"/>
  <c r="R23" i="56"/>
  <c r="M23" i="15"/>
  <c r="N12" i="15"/>
  <c r="O25" i="56"/>
  <c r="N7" i="52"/>
  <c r="N13" i="17"/>
  <c r="O10" i="56"/>
  <c r="O11" i="52"/>
  <c r="M10" i="52"/>
  <c r="N14" i="15"/>
  <c r="R7" i="52"/>
  <c r="O23" i="15"/>
  <c r="O7" i="56"/>
  <c r="M12" i="17"/>
  <c r="N9" i="17"/>
  <c r="N11" i="18"/>
  <c r="M16" i="15"/>
  <c r="O27" i="15"/>
  <c r="N24" i="15"/>
  <c r="N17" i="56"/>
  <c r="R13" i="56"/>
  <c r="O10" i="15"/>
  <c r="N9" i="56"/>
  <c r="O17" i="56"/>
  <c r="O12" i="56"/>
  <c r="O22" i="56"/>
  <c r="O18" i="56"/>
  <c r="O23" i="56"/>
  <c r="M25" i="15"/>
  <c r="O6" i="56"/>
  <c r="N20" i="15"/>
  <c r="R10" i="15"/>
  <c r="N9" i="52"/>
  <c r="N28" i="56"/>
  <c r="N31" i="15"/>
  <c r="N8" i="17"/>
  <c r="N19" i="56"/>
  <c r="R21" i="56"/>
  <c r="R22" i="56"/>
  <c r="N31" i="56"/>
  <c r="O17" i="15"/>
  <c r="M13" i="15"/>
  <c r="M36" i="15"/>
  <c r="N28" i="15"/>
  <c r="R7" i="56"/>
  <c r="N26" i="56"/>
  <c r="O31" i="15"/>
  <c r="N23" i="15"/>
  <c r="N9" i="18"/>
  <c r="M30" i="15"/>
  <c r="R29" i="56"/>
  <c r="N14" i="56"/>
  <c r="N10" i="52"/>
  <c r="M24" i="15"/>
  <c r="N29" i="15"/>
  <c r="O10" i="52"/>
  <c r="O22" i="15"/>
  <c r="N16" i="15"/>
  <c r="Q15" i="17"/>
  <c r="O30" i="56"/>
  <c r="N34" i="15"/>
  <c r="M35" i="15"/>
  <c r="N10" i="56"/>
  <c r="N7" i="56"/>
  <c r="N21" i="15"/>
  <c r="N25" i="56"/>
  <c r="R17" i="56"/>
  <c r="R20" i="56"/>
  <c r="O7" i="15"/>
  <c r="M33" i="15"/>
  <c r="M7" i="18"/>
  <c r="O16" i="15"/>
  <c r="R12" i="56"/>
  <c r="M11" i="18"/>
  <c r="M22" i="15"/>
  <c r="M8" i="11"/>
  <c r="N8" i="11"/>
  <c r="N6" i="25"/>
  <c r="M9" i="11"/>
  <c r="M7" i="25"/>
  <c r="M8" i="25"/>
  <c r="N7" i="25"/>
  <c r="N9" i="11"/>
  <c r="M11" i="11"/>
  <c r="M6" i="25"/>
  <c r="N8" i="25"/>
  <c r="N11" i="11"/>
  <c r="P6" i="18" l="1"/>
  <c r="P6" i="17"/>
  <c r="P13" i="23"/>
  <c r="S13" i="23" s="1"/>
  <c r="P20" i="23"/>
  <c r="S20" i="23" s="1"/>
  <c r="P19" i="23"/>
  <c r="S19" i="23" s="1"/>
  <c r="P33" i="23"/>
  <c r="S33" i="23" s="1"/>
  <c r="P17" i="23"/>
  <c r="S17" i="23" s="1"/>
  <c r="Q14" i="56"/>
  <c r="U14" i="56" s="1"/>
  <c r="P35" i="23"/>
  <c r="T35" i="23" s="1"/>
  <c r="S8" i="17"/>
  <c r="P34" i="23"/>
  <c r="S34" i="23" s="1"/>
  <c r="P27" i="23"/>
  <c r="S27" i="23" s="1"/>
  <c r="P6" i="23"/>
  <c r="S6" i="23" s="1"/>
  <c r="V9" i="14"/>
  <c r="P11" i="18"/>
  <c r="S11" i="18" s="1"/>
  <c r="P32" i="23"/>
  <c r="T32" i="23" s="1"/>
  <c r="P28" i="23"/>
  <c r="S28" i="23" s="1"/>
  <c r="P29" i="23"/>
  <c r="T29" i="23" s="1"/>
  <c r="P24" i="23"/>
  <c r="S24" i="23" s="1"/>
  <c r="P16" i="23"/>
  <c r="S16" i="23" s="1"/>
  <c r="P25" i="23"/>
  <c r="T25" i="23" s="1"/>
  <c r="Q27" i="56"/>
  <c r="T27" i="56" s="1"/>
  <c r="V6" i="14"/>
  <c r="P8" i="18"/>
  <c r="T8" i="18" s="1"/>
  <c r="S8" i="18"/>
  <c r="P23" i="23"/>
  <c r="S23" i="23" s="1"/>
  <c r="T34" i="23"/>
  <c r="P9" i="17"/>
  <c r="S9" i="17" s="1"/>
  <c r="P18" i="23"/>
  <c r="S18" i="23" s="1"/>
  <c r="P15" i="23"/>
  <c r="S15" i="23" s="1"/>
  <c r="P14" i="23"/>
  <c r="T14" i="23" s="1"/>
  <c r="T8" i="17"/>
  <c r="T6" i="23"/>
  <c r="P22" i="23"/>
  <c r="S22" i="23" s="1"/>
  <c r="T33" i="23"/>
  <c r="P7" i="23"/>
  <c r="T7" i="23" s="1"/>
  <c r="P10" i="17"/>
  <c r="T10" i="17" s="1"/>
  <c r="T16" i="17"/>
  <c r="S16" i="17"/>
  <c r="T19" i="23"/>
  <c r="P26" i="23"/>
  <c r="S26" i="23" s="1"/>
  <c r="P11" i="23"/>
  <c r="S11" i="23" s="1"/>
  <c r="T27" i="23"/>
  <c r="Q6" i="52"/>
  <c r="P8" i="23"/>
  <c r="T8" i="23" s="1"/>
  <c r="P21" i="23"/>
  <c r="T21" i="23" s="1"/>
  <c r="P10" i="23"/>
  <c r="S10" i="23" s="1"/>
  <c r="S14" i="17"/>
  <c r="T14" i="17"/>
  <c r="Q9" i="52"/>
  <c r="P12" i="23"/>
  <c r="T12" i="23" s="1"/>
  <c r="J13" i="49"/>
  <c r="P31" i="23"/>
  <c r="T31" i="23" s="1"/>
  <c r="T17" i="23"/>
  <c r="S15" i="17"/>
  <c r="T15" i="17"/>
  <c r="P9" i="23"/>
  <c r="T9" i="23" s="1"/>
  <c r="P30" i="23"/>
  <c r="T30" i="23" s="1"/>
  <c r="T20" i="23" l="1"/>
  <c r="U27" i="56"/>
  <c r="S14" i="23"/>
  <c r="S31" i="23"/>
  <c r="T28" i="23"/>
  <c r="T18" i="23"/>
  <c r="S29" i="23"/>
  <c r="T13" i="23"/>
  <c r="T24" i="23"/>
  <c r="T11" i="23"/>
  <c r="T23" i="23"/>
  <c r="S9" i="23"/>
  <c r="S32" i="23"/>
  <c r="T16" i="23"/>
  <c r="S30" i="23"/>
  <c r="S12" i="23"/>
  <c r="S21" i="23"/>
  <c r="T22" i="23"/>
  <c r="S10" i="17"/>
  <c r="T26" i="23"/>
  <c r="T10" i="23"/>
  <c r="T9" i="17"/>
  <c r="T14" i="56"/>
  <c r="S25" i="23"/>
  <c r="S35" i="23"/>
  <c r="T15" i="23"/>
  <c r="S8" i="23"/>
  <c r="S7" i="23"/>
  <c r="V13" i="53"/>
  <c r="J87" i="49" l="1"/>
  <c r="L1" i="51" l="1"/>
  <c r="C8" i="53"/>
  <c r="C10" i="53"/>
  <c r="C11" i="53"/>
  <c r="C12" i="53"/>
  <c r="C13" i="53"/>
  <c r="C14" i="53"/>
  <c r="C16" i="53"/>
  <c r="C19" i="53"/>
  <c r="C11" i="54" l="1"/>
  <c r="V20" i="53" l="1"/>
  <c r="H7" i="57" l="1"/>
  <c r="E7" i="57"/>
  <c r="B7" i="57"/>
  <c r="H6" i="57"/>
  <c r="E6" i="57"/>
  <c r="B6" i="57"/>
  <c r="H2" i="57"/>
  <c r="I2" i="57" s="1"/>
  <c r="E2" i="57"/>
  <c r="F3" i="57" s="1"/>
  <c r="J110" i="49" l="1"/>
  <c r="K110" i="49"/>
  <c r="H6" i="21" l="1"/>
  <c r="H7" i="21"/>
  <c r="E7" i="21"/>
  <c r="B7" i="21"/>
  <c r="E6" i="21"/>
  <c r="B6" i="21"/>
  <c r="K58" i="52" l="1"/>
  <c r="I64" i="52" s="1"/>
  <c r="K57" i="52"/>
  <c r="I63" i="52" s="1"/>
  <c r="K56" i="52"/>
  <c r="I62" i="52" s="1"/>
  <c r="I65" i="52" s="1"/>
  <c r="I69" i="52" s="1"/>
  <c r="I72" i="52" l="1"/>
  <c r="K44" i="49" s="1"/>
  <c r="I71" i="52"/>
  <c r="K43" i="49" s="1"/>
  <c r="H7" i="13" l="1"/>
  <c r="J55" i="49" l="1"/>
  <c r="K52" i="49"/>
  <c r="J52" i="49"/>
  <c r="I9" i="53" l="1"/>
  <c r="I20" i="53"/>
  <c r="H16" i="56" l="1"/>
  <c r="K25" i="49"/>
  <c r="K24" i="49"/>
  <c r="K23" i="49"/>
  <c r="K22" i="49"/>
  <c r="K21" i="49"/>
  <c r="K20" i="49"/>
  <c r="K19" i="49"/>
  <c r="K17" i="49"/>
  <c r="K16" i="49"/>
  <c r="K14" i="49"/>
  <c r="H31" i="56"/>
  <c r="H30" i="56"/>
  <c r="H29" i="56"/>
  <c r="H28" i="56"/>
  <c r="H27" i="56"/>
  <c r="H26" i="56"/>
  <c r="H25" i="56"/>
  <c r="H24" i="56"/>
  <c r="H23" i="56"/>
  <c r="H22" i="56"/>
  <c r="H21" i="56"/>
  <c r="H20" i="56"/>
  <c r="H19" i="56"/>
  <c r="E31" i="56"/>
  <c r="B31" i="56"/>
  <c r="E30" i="56"/>
  <c r="B30" i="56"/>
  <c r="E29" i="56"/>
  <c r="B29" i="56"/>
  <c r="E28" i="56"/>
  <c r="B28" i="56"/>
  <c r="E27" i="56"/>
  <c r="B27" i="56"/>
  <c r="E26" i="56"/>
  <c r="B26" i="56"/>
  <c r="E25" i="56"/>
  <c r="B25" i="56"/>
  <c r="E24" i="56"/>
  <c r="B24" i="56"/>
  <c r="E23" i="56"/>
  <c r="B23" i="56"/>
  <c r="E22" i="56"/>
  <c r="B22" i="56"/>
  <c r="E21" i="56"/>
  <c r="B21" i="56"/>
  <c r="E20" i="56"/>
  <c r="B20" i="56"/>
  <c r="E19" i="56"/>
  <c r="B19" i="56"/>
  <c r="K13" i="49" l="1"/>
  <c r="K15" i="49"/>
  <c r="K18" i="49"/>
  <c r="J25" i="49"/>
  <c r="J24" i="49"/>
  <c r="J23" i="49"/>
  <c r="J21" i="49"/>
  <c r="J20" i="49"/>
  <c r="J18" i="49"/>
  <c r="J17" i="49"/>
  <c r="J16" i="49"/>
  <c r="E12" i="56"/>
  <c r="E13" i="56"/>
  <c r="E14" i="56"/>
  <c r="E15" i="56"/>
  <c r="E16" i="56"/>
  <c r="E17" i="56"/>
  <c r="E18" i="56"/>
  <c r="H17" i="56"/>
  <c r="H18" i="56"/>
  <c r="H11" i="56"/>
  <c r="H12" i="56"/>
  <c r="H13" i="56"/>
  <c r="H14" i="56"/>
  <c r="H15" i="56"/>
  <c r="B12" i="56"/>
  <c r="B13" i="56"/>
  <c r="B14" i="56"/>
  <c r="B15" i="56"/>
  <c r="B16" i="56"/>
  <c r="B17" i="56"/>
  <c r="B18" i="56"/>
  <c r="E11" i="56"/>
  <c r="B11" i="56"/>
  <c r="H10" i="56"/>
  <c r="E10" i="56"/>
  <c r="B10" i="56"/>
  <c r="H9" i="56"/>
  <c r="E9" i="56"/>
  <c r="B9" i="56"/>
  <c r="H8" i="56"/>
  <c r="E8" i="56"/>
  <c r="B8" i="56"/>
  <c r="H7" i="56"/>
  <c r="E7" i="56"/>
  <c r="B7" i="56"/>
  <c r="H6" i="56"/>
  <c r="E6" i="56"/>
  <c r="B6" i="56"/>
  <c r="J14" i="49" l="1"/>
  <c r="V27" i="56"/>
  <c r="J15" i="49"/>
  <c r="J22" i="49"/>
  <c r="J19" i="49"/>
  <c r="H2" i="56"/>
  <c r="I2" i="56" s="1"/>
  <c r="V14" i="56" l="1"/>
  <c r="K57" i="49" l="1"/>
  <c r="J57" i="49"/>
  <c r="K56" i="49"/>
  <c r="J56" i="49"/>
  <c r="K54" i="49"/>
  <c r="J54" i="49"/>
  <c r="K53" i="49"/>
  <c r="J53" i="49"/>
  <c r="K51" i="49"/>
  <c r="J51" i="49" l="1"/>
  <c r="J9" i="49"/>
  <c r="K9" i="49"/>
  <c r="H2" i="14"/>
  <c r="I2" i="14" s="1"/>
  <c r="H2" i="22"/>
  <c r="AM18" i="54" l="1"/>
  <c r="AL18" i="54"/>
  <c r="AK18" i="54"/>
  <c r="AJ18" i="54"/>
  <c r="AI18" i="54"/>
  <c r="AH18" i="54"/>
  <c r="AG18" i="54"/>
  <c r="AF18" i="54"/>
  <c r="AE18" i="54"/>
  <c r="AD18" i="54"/>
  <c r="AC18" i="54"/>
  <c r="AB18" i="54"/>
  <c r="C14" i="54"/>
  <c r="C13" i="54"/>
  <c r="I12" i="54"/>
  <c r="C12" i="54"/>
  <c r="C9" i="54"/>
  <c r="H3" i="54"/>
  <c r="R14" i="54"/>
  <c r="P12" i="54"/>
  <c r="R12" i="54"/>
  <c r="R13" i="54"/>
  <c r="P13" i="54"/>
  <c r="G30" i="63" l="1"/>
  <c r="G31" i="63"/>
  <c r="F30" i="63"/>
  <c r="AC19" i="54"/>
  <c r="AI19" i="54"/>
  <c r="P14" i="54"/>
  <c r="L12" i="54"/>
  <c r="G29" i="63" l="1"/>
  <c r="C30" i="63"/>
  <c r="F31" i="63"/>
  <c r="H31" i="63" s="1"/>
  <c r="H30" i="63"/>
  <c r="AH20" i="54"/>
  <c r="AB20" i="54"/>
  <c r="AI21" i="54"/>
  <c r="AH21" i="54"/>
  <c r="AL20" i="54"/>
  <c r="AF21" i="54"/>
  <c r="AL21" i="54"/>
  <c r="AF20" i="54"/>
  <c r="AL19" i="54"/>
  <c r="AE29" i="54"/>
  <c r="AE24" i="54"/>
  <c r="AC29" i="54"/>
  <c r="AC24" i="54"/>
  <c r="F29" i="63" l="1"/>
  <c r="H29" i="63" s="1"/>
  <c r="AM21" i="54"/>
  <c r="AF19" i="54"/>
  <c r="AC21" i="54"/>
  <c r="AB21" i="54"/>
  <c r="AB26" i="54" s="1"/>
  <c r="AG21" i="54"/>
  <c r="AG19" i="54"/>
  <c r="AM20" i="54"/>
  <c r="AE31" i="54"/>
  <c r="AE26" i="54"/>
  <c r="AD31" i="54"/>
  <c r="AD26" i="54"/>
  <c r="AB30" i="54"/>
  <c r="AB25" i="54"/>
  <c r="AD30" i="54"/>
  <c r="AD25" i="54"/>
  <c r="AM19" i="54"/>
  <c r="AB31" i="54" l="1"/>
  <c r="AC31" i="54"/>
  <c r="AC26" i="54"/>
  <c r="AC20" i="54"/>
  <c r="AI20" i="54"/>
  <c r="AG20" i="54"/>
  <c r="AC30" i="54" l="1"/>
  <c r="AC25" i="54"/>
  <c r="AE30" i="54"/>
  <c r="AE25" i="54"/>
  <c r="I25" i="53" l="1"/>
  <c r="C25" i="53"/>
  <c r="I24" i="53"/>
  <c r="C24" i="53"/>
  <c r="I21" i="53"/>
  <c r="C21" i="53"/>
  <c r="I13" i="53"/>
  <c r="V11" i="53"/>
  <c r="I10" i="53"/>
  <c r="I8" i="53"/>
  <c r="A1" i="33"/>
  <c r="R21" i="53"/>
  <c r="G21" i="63" l="1"/>
  <c r="K61" i="14"/>
  <c r="K62" i="14"/>
  <c r="K63" i="14"/>
  <c r="K64" i="14"/>
  <c r="K65" i="14"/>
  <c r="K66" i="14"/>
  <c r="K67" i="14"/>
  <c r="K68" i="14"/>
  <c r="K60" i="14"/>
  <c r="S53" i="14"/>
  <c r="S52" i="14"/>
  <c r="S51" i="14"/>
  <c r="S50" i="14"/>
  <c r="S49" i="14"/>
  <c r="S48" i="14"/>
  <c r="S47" i="14"/>
  <c r="S46" i="14"/>
  <c r="S45" i="14"/>
  <c r="P21" i="53"/>
  <c r="F21" i="63" l="1"/>
  <c r="H21" i="63" s="1"/>
  <c r="M65" i="14"/>
  <c r="J33" i="14" s="1"/>
  <c r="N33" i="14"/>
  <c r="P33" i="14"/>
  <c r="Q33" i="14"/>
  <c r="O33" i="14"/>
  <c r="L33" i="14"/>
  <c r="M61" i="14"/>
  <c r="J29" i="14" s="1"/>
  <c r="M60" i="14"/>
  <c r="J28" i="14" s="1"/>
  <c r="M68" i="14"/>
  <c r="J36" i="14" s="1"/>
  <c r="M64" i="14"/>
  <c r="J32" i="14" s="1"/>
  <c r="M33" i="14"/>
  <c r="M67" i="14"/>
  <c r="J35" i="14" s="1"/>
  <c r="M63" i="14"/>
  <c r="J31" i="14" s="1"/>
  <c r="K33" i="14"/>
  <c r="M66" i="14"/>
  <c r="J34" i="14" s="1"/>
  <c r="M62" i="14"/>
  <c r="J30" i="14" s="1"/>
  <c r="K36" i="14"/>
  <c r="K32" i="14"/>
  <c r="K28" i="14" l="1"/>
  <c r="P31" i="14"/>
  <c r="P35" i="14"/>
  <c r="P36" i="14"/>
  <c r="O32" i="14"/>
  <c r="O36" i="14"/>
  <c r="O28" i="14"/>
  <c r="N28" i="14"/>
  <c r="O30" i="14"/>
  <c r="N30" i="14"/>
  <c r="O31" i="14"/>
  <c r="Q35" i="14"/>
  <c r="P34" i="14"/>
  <c r="Q36" i="14"/>
  <c r="P30" i="14"/>
  <c r="P32" i="14"/>
  <c r="N32" i="14"/>
  <c r="N31" i="14"/>
  <c r="Q28" i="14"/>
  <c r="O35" i="14"/>
  <c r="Q29" i="14"/>
  <c r="Q31" i="14"/>
  <c r="P28" i="14"/>
  <c r="N35" i="14"/>
  <c r="O29" i="14"/>
  <c r="Q34" i="14"/>
  <c r="N29" i="14"/>
  <c r="P29" i="14"/>
  <c r="N34" i="14"/>
  <c r="N36" i="14"/>
  <c r="Q30" i="14"/>
  <c r="Q32" i="14"/>
  <c r="O34" i="14"/>
  <c r="M29" i="14"/>
  <c r="K29" i="14"/>
  <c r="J38" i="14"/>
  <c r="M31" i="14"/>
  <c r="K34" i="14"/>
  <c r="L28" i="14"/>
  <c r="L36" i="14"/>
  <c r="M30" i="14"/>
  <c r="M28" i="14"/>
  <c r="L30" i="14"/>
  <c r="K31" i="14"/>
  <c r="M34" i="14"/>
  <c r="M36" i="14"/>
  <c r="M35" i="14"/>
  <c r="L32" i="14"/>
  <c r="K35" i="14"/>
  <c r="L35" i="14"/>
  <c r="M32" i="14"/>
  <c r="K30" i="14"/>
  <c r="L34" i="14"/>
  <c r="L31" i="14"/>
  <c r="L29" i="14"/>
  <c r="Q38" i="14" l="1"/>
  <c r="P38" i="14"/>
  <c r="K38" i="14"/>
  <c r="L38" i="14"/>
  <c r="M38" i="14"/>
  <c r="O38" i="14" l="1"/>
  <c r="N38" i="14"/>
  <c r="C22" i="39"/>
  <c r="X42" i="39" l="1"/>
  <c r="Y42" i="39"/>
  <c r="Z42" i="39"/>
  <c r="AA42" i="39"/>
  <c r="AB42" i="39"/>
  <c r="AC42" i="39"/>
  <c r="AD42" i="39"/>
  <c r="AE42" i="39"/>
  <c r="AF42" i="39"/>
  <c r="AG42" i="39"/>
  <c r="AH42" i="39"/>
  <c r="W42" i="39"/>
  <c r="I11" i="39" l="1"/>
  <c r="H40" i="8" l="1"/>
  <c r="E40" i="8"/>
  <c r="B40" i="8"/>
  <c r="K55" i="49"/>
  <c r="H42" i="8"/>
  <c r="E42" i="8"/>
  <c r="B42" i="8"/>
  <c r="J42" i="49" l="1"/>
  <c r="K42" i="49" s="1"/>
  <c r="C12" i="39" l="1"/>
  <c r="N12" i="39"/>
  <c r="AE12" i="39"/>
  <c r="J44" i="49" l="1"/>
  <c r="AA12" i="39"/>
  <c r="Y12" i="39"/>
  <c r="AG12" i="39"/>
  <c r="Q12" i="39" l="1"/>
  <c r="AH12" i="39"/>
  <c r="V12" i="39"/>
  <c r="U12" i="39"/>
  <c r="J43" i="49"/>
  <c r="B11" i="52"/>
  <c r="B10" i="52"/>
  <c r="B9" i="52"/>
  <c r="B8" i="52"/>
  <c r="B7" i="52"/>
  <c r="B6" i="52"/>
  <c r="U6" i="52" l="1"/>
  <c r="T9" i="52"/>
  <c r="T6" i="52"/>
  <c r="U9" i="52"/>
  <c r="V6" i="52" l="1"/>
  <c r="V9" i="52"/>
  <c r="B1" i="51" l="1"/>
  <c r="I2" i="23" l="1"/>
  <c r="A4" i="50" l="1"/>
  <c r="A5" i="50"/>
  <c r="N36" i="39" l="1"/>
  <c r="I36" i="39"/>
  <c r="C36" i="39"/>
  <c r="C37" i="39"/>
  <c r="I37" i="39"/>
  <c r="R37" i="39"/>
  <c r="AA37" i="39"/>
  <c r="W36" i="39"/>
  <c r="V37" i="39" l="1"/>
  <c r="L36" i="39"/>
  <c r="AB37" i="39"/>
  <c r="Y37" i="39"/>
  <c r="O36" i="39" l="1"/>
  <c r="AI37" i="39"/>
  <c r="A6" i="50"/>
  <c r="A1" i="50"/>
  <c r="AE37" i="39"/>
  <c r="AG37" i="39"/>
  <c r="AH37" i="39" l="1"/>
  <c r="U37" i="39"/>
  <c r="Q37" i="39"/>
  <c r="E33" i="8"/>
  <c r="E34" i="8"/>
  <c r="B33" i="8"/>
  <c r="B34" i="8"/>
  <c r="M58" i="49" l="1"/>
  <c r="H18" i="8" l="1"/>
  <c r="E18" i="8"/>
  <c r="B18" i="8"/>
  <c r="J108" i="49" l="1"/>
  <c r="K108" i="49" s="1"/>
  <c r="J107" i="49"/>
  <c r="K107" i="49" s="1"/>
  <c r="J106" i="49"/>
  <c r="K106" i="49" s="1"/>
  <c r="J105" i="49"/>
  <c r="K105" i="49" s="1"/>
  <c r="J102" i="49"/>
  <c r="K102" i="49" s="1"/>
  <c r="J101" i="49"/>
  <c r="K101" i="49" s="1"/>
  <c r="J100" i="49"/>
  <c r="K100" i="49" s="1"/>
  <c r="J99" i="49"/>
  <c r="K99" i="49" s="1"/>
  <c r="J98" i="49"/>
  <c r="K98" i="49" s="1"/>
  <c r="J97" i="49"/>
  <c r="K97" i="49" s="1"/>
  <c r="J104" i="49"/>
  <c r="K104" i="49" s="1"/>
  <c r="J103" i="49"/>
  <c r="K103" i="49" s="1"/>
  <c r="J91" i="49"/>
  <c r="K91" i="49" s="1"/>
  <c r="J90" i="49"/>
  <c r="K90" i="49" s="1"/>
  <c r="J89" i="49"/>
  <c r="K89" i="49" s="1"/>
  <c r="J88" i="49"/>
  <c r="K88" i="49" s="1"/>
  <c r="K87" i="49"/>
  <c r="J86" i="49"/>
  <c r="K86" i="49" s="1"/>
  <c r="J96" i="49"/>
  <c r="K96" i="49" s="1"/>
  <c r="J95" i="49"/>
  <c r="K95" i="49" s="1"/>
  <c r="J94" i="49"/>
  <c r="K94" i="49" s="1"/>
  <c r="J93" i="49"/>
  <c r="K93" i="49" s="1"/>
  <c r="K92" i="49" l="1"/>
  <c r="K111" i="49"/>
  <c r="J15" i="40" l="1"/>
  <c r="I15" i="40"/>
  <c r="H15" i="40"/>
  <c r="H21" i="40"/>
  <c r="J21" i="40"/>
  <c r="I21" i="40"/>
  <c r="K25" i="40"/>
  <c r="M23" i="40"/>
  <c r="M24" i="40"/>
  <c r="M22" i="40"/>
  <c r="L25" i="40"/>
  <c r="L21" i="40"/>
  <c r="K21" i="40"/>
  <c r="L15" i="40"/>
  <c r="K15" i="40"/>
  <c r="M17" i="40"/>
  <c r="M16" i="40"/>
  <c r="M15" i="40" l="1"/>
  <c r="M25" i="40"/>
  <c r="M21" i="40"/>
  <c r="AC27" i="39"/>
  <c r="W27" i="39"/>
  <c r="C21" i="40" l="1"/>
  <c r="D21" i="40"/>
  <c r="E21" i="40"/>
  <c r="F21" i="40"/>
  <c r="G21" i="40"/>
  <c r="B21" i="40"/>
  <c r="C15" i="40" l="1"/>
  <c r="D15" i="40"/>
  <c r="E15" i="40"/>
  <c r="F15" i="40"/>
  <c r="G15" i="40"/>
  <c r="B15" i="40"/>
  <c r="K49" i="49" l="1"/>
  <c r="K47" i="49" l="1"/>
  <c r="K50" i="49"/>
  <c r="K46" i="49"/>
  <c r="K45" i="49"/>
  <c r="H16" i="8" l="1"/>
  <c r="E16" i="8"/>
  <c r="B16" i="8"/>
  <c r="H20" i="8"/>
  <c r="E20" i="8"/>
  <c r="B20" i="8"/>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I34" i="39" l="1"/>
  <c r="AI32" i="39"/>
  <c r="AI23" i="39"/>
  <c r="AI17" i="39"/>
  <c r="AI16" i="39"/>
  <c r="AI13" i="39"/>
  <c r="AI8" i="39"/>
  <c r="B2" i="40" s="1"/>
  <c r="AI7" i="39"/>
  <c r="H3" i="39"/>
  <c r="J109" i="49" l="1"/>
  <c r="K109" i="49" l="1"/>
  <c r="L489" i="15" l="1"/>
  <c r="M489" i="15" s="1"/>
  <c r="L488" i="15"/>
  <c r="M488" i="15" s="1"/>
  <c r="V74" i="20" l="1"/>
  <c r="O310" i="15" l="1"/>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P5" i="14" l="1"/>
  <c r="M11" i="40" l="1"/>
  <c r="M46" i="40" s="1"/>
  <c r="M10" i="40"/>
  <c r="M45" i="40" s="1"/>
  <c r="A1" i="40" l="1"/>
  <c r="A6" i="40"/>
  <c r="A5" i="40"/>
  <c r="A4" i="40"/>
  <c r="L289" i="15" l="1"/>
  <c r="M289" i="15" s="1"/>
  <c r="L290" i="15"/>
  <c r="M290" i="15" s="1"/>
  <c r="L288" i="15"/>
  <c r="V75" i="20" l="1"/>
  <c r="V76" i="20" s="1"/>
  <c r="J92" i="49" l="1"/>
  <c r="J111" i="49"/>
  <c r="R7" i="9" l="1"/>
  <c r="R6" i="9"/>
  <c r="E7" i="24" l="1"/>
  <c r="E6" i="24"/>
  <c r="B6" i="24"/>
  <c r="H17" i="8"/>
  <c r="E17" i="8"/>
  <c r="B17" i="8"/>
  <c r="H19" i="8"/>
  <c r="E19" i="8"/>
  <c r="H11" i="8"/>
  <c r="E11" i="8"/>
  <c r="B11" i="8"/>
  <c r="H44" i="8"/>
  <c r="E44" i="8"/>
  <c r="B44" i="8"/>
  <c r="H41" i="8"/>
  <c r="E41" i="8"/>
  <c r="B41" i="8"/>
  <c r="N12" i="54"/>
  <c r="D30" i="63" l="1"/>
  <c r="E30" i="63" s="1"/>
  <c r="E8" i="25"/>
  <c r="B8" i="25"/>
  <c r="E7" i="13"/>
  <c r="B7" i="13"/>
  <c r="E12" i="11" l="1"/>
  <c r="B12" i="11"/>
  <c r="H11" i="11"/>
  <c r="E11" i="11"/>
  <c r="B11" i="11"/>
  <c r="H10" i="11"/>
  <c r="E10" i="11"/>
  <c r="B10" i="11"/>
  <c r="H17" i="17"/>
  <c r="H16" i="17"/>
  <c r="E16" i="17"/>
  <c r="B16" i="17"/>
  <c r="H15" i="17"/>
  <c r="E15" i="17"/>
  <c r="B15" i="17"/>
  <c r="H14" i="17"/>
  <c r="E14" i="17"/>
  <c r="B14" i="17"/>
  <c r="H13" i="17"/>
  <c r="E13" i="17"/>
  <c r="B13" i="17"/>
  <c r="H12" i="17"/>
  <c r="E12" i="17"/>
  <c r="B12" i="17"/>
  <c r="H11" i="18" l="1"/>
  <c r="E11" i="18"/>
  <c r="B11" i="18"/>
  <c r="H10" i="18"/>
  <c r="E10" i="18"/>
  <c r="B10" i="18"/>
  <c r="H9" i="18"/>
  <c r="E9" i="18"/>
  <c r="B9" i="18"/>
  <c r="H27" i="20" l="1"/>
  <c r="E27" i="20"/>
  <c r="B27" i="20"/>
  <c r="H26" i="20"/>
  <c r="E26" i="20"/>
  <c r="B26" i="20"/>
  <c r="H25" i="20"/>
  <c r="E25" i="20"/>
  <c r="B25" i="20"/>
  <c r="H24" i="20"/>
  <c r="E24" i="20"/>
  <c r="B24" i="20"/>
  <c r="H23" i="20"/>
  <c r="E23" i="20"/>
  <c r="B23" i="20"/>
  <c r="H22" i="20"/>
  <c r="E22" i="20"/>
  <c r="B22" i="20"/>
  <c r="H21" i="20"/>
  <c r="E21" i="20"/>
  <c r="B21" i="20"/>
  <c r="H20" i="20"/>
  <c r="E20" i="20"/>
  <c r="B20" i="20"/>
  <c r="H19" i="20"/>
  <c r="E19" i="20"/>
  <c r="B19" i="20"/>
  <c r="H18" i="20"/>
  <c r="E18" i="20"/>
  <c r="B18" i="20"/>
  <c r="H17" i="20"/>
  <c r="E17" i="20"/>
  <c r="B17" i="20"/>
  <c r="H16" i="20"/>
  <c r="E16" i="20"/>
  <c r="B16" i="20"/>
  <c r="H15" i="20"/>
  <c r="E15" i="20"/>
  <c r="B15" i="20"/>
  <c r="H14" i="20"/>
  <c r="E14" i="20"/>
  <c r="B14" i="20"/>
  <c r="H13" i="20"/>
  <c r="E13" i="20"/>
  <c r="B13" i="20"/>
  <c r="H12" i="20"/>
  <c r="E12" i="20"/>
  <c r="B12" i="20"/>
  <c r="H11" i="20"/>
  <c r="E11" i="20"/>
  <c r="B11" i="20"/>
  <c r="H10" i="20"/>
  <c r="E10" i="20"/>
  <c r="B10" i="20"/>
  <c r="H9" i="20"/>
  <c r="E9" i="20"/>
  <c r="B9" i="20"/>
  <c r="H8" i="20"/>
  <c r="B8" i="20"/>
  <c r="H7" i="20"/>
  <c r="E7" i="20"/>
  <c r="B7" i="20"/>
  <c r="H6" i="20"/>
  <c r="E6" i="20"/>
  <c r="B6" i="20"/>
  <c r="H37" i="15" l="1"/>
  <c r="E37" i="15"/>
  <c r="B37" i="15"/>
  <c r="H36" i="15"/>
  <c r="E36" i="15"/>
  <c r="B36" i="15"/>
  <c r="H35" i="15"/>
  <c r="E35" i="15"/>
  <c r="B35" i="15"/>
  <c r="H34" i="15"/>
  <c r="E34" i="15"/>
  <c r="B34" i="15"/>
  <c r="H33" i="15"/>
  <c r="E33" i="15"/>
  <c r="B33" i="15"/>
  <c r="H32" i="15"/>
  <c r="E32" i="15"/>
  <c r="B32" i="15"/>
  <c r="H31" i="15"/>
  <c r="E31" i="15"/>
  <c r="B31" i="15"/>
  <c r="H30" i="15"/>
  <c r="E30" i="15"/>
  <c r="B30" i="15"/>
  <c r="H29" i="15"/>
  <c r="E29" i="15"/>
  <c r="B29" i="15"/>
  <c r="H28" i="15"/>
  <c r="E28" i="15"/>
  <c r="B28" i="15"/>
  <c r="H27" i="15"/>
  <c r="E27" i="15"/>
  <c r="B27" i="15"/>
  <c r="H26" i="15"/>
  <c r="E26" i="15"/>
  <c r="B26" i="15"/>
  <c r="H25" i="15"/>
  <c r="E25" i="15"/>
  <c r="B25" i="15"/>
  <c r="H24" i="15"/>
  <c r="E24" i="15"/>
  <c r="B24" i="15"/>
  <c r="H23" i="15"/>
  <c r="E23" i="15"/>
  <c r="B23" i="15"/>
  <c r="H22" i="15"/>
  <c r="E22" i="15"/>
  <c r="B22" i="15"/>
  <c r="R34" i="39"/>
  <c r="I34" i="39"/>
  <c r="C34" i="39"/>
  <c r="R33" i="39"/>
  <c r="I33" i="39"/>
  <c r="C33" i="39"/>
  <c r="R32" i="39"/>
  <c r="I32" i="39"/>
  <c r="C32" i="39"/>
  <c r="N30" i="39"/>
  <c r="C30" i="39"/>
  <c r="N29" i="39"/>
  <c r="I29" i="39"/>
  <c r="C29" i="39"/>
  <c r="R28" i="39"/>
  <c r="I28" i="39"/>
  <c r="C28" i="39"/>
  <c r="R27" i="39"/>
  <c r="R26" i="39"/>
  <c r="I26" i="39"/>
  <c r="G27" i="39"/>
  <c r="F27" i="39"/>
  <c r="E27" i="39"/>
  <c r="D27" i="39"/>
  <c r="C26" i="39"/>
  <c r="R25" i="39"/>
  <c r="I25" i="39"/>
  <c r="C25" i="39"/>
  <c r="R24" i="39"/>
  <c r="I24" i="39"/>
  <c r="C24" i="39"/>
  <c r="R23" i="39"/>
  <c r="I23" i="39"/>
  <c r="C23" i="39"/>
  <c r="R21" i="39"/>
  <c r="C21" i="39"/>
  <c r="R18" i="39"/>
  <c r="C18" i="39"/>
  <c r="R17" i="39"/>
  <c r="C17" i="39"/>
  <c r="R16" i="39"/>
  <c r="I16" i="39"/>
  <c r="C16" i="39"/>
  <c r="R15" i="39"/>
  <c r="C15" i="39"/>
  <c r="N14" i="39"/>
  <c r="I14" i="39"/>
  <c r="C14" i="39"/>
  <c r="R13" i="39"/>
  <c r="I13" i="39"/>
  <c r="C13" i="39"/>
  <c r="N11" i="39"/>
  <c r="C11" i="39"/>
  <c r="R8" i="39"/>
  <c r="I8" i="39"/>
  <c r="C8" i="39"/>
  <c r="R7" i="39"/>
  <c r="I7" i="39"/>
  <c r="C7" i="39"/>
  <c r="Y25" i="39"/>
  <c r="Y28" i="39"/>
  <c r="AA29" i="39"/>
  <c r="AA33" i="39"/>
  <c r="AG7" i="39"/>
  <c r="Y9" i="39"/>
  <c r="W30" i="39"/>
  <c r="Y27" i="39"/>
  <c r="AE9" i="39"/>
  <c r="AE10" i="39"/>
  <c r="AA11" i="39"/>
  <c r="AA34" i="39"/>
  <c r="AE24" i="39"/>
  <c r="Y13" i="39"/>
  <c r="AA14" i="39"/>
  <c r="AA23" i="39"/>
  <c r="AE8" i="39"/>
  <c r="AG32" i="39"/>
  <c r="Y10" i="39"/>
  <c r="AE27" i="39"/>
  <c r="Y26" i="39"/>
  <c r="AH7" i="39" l="1"/>
  <c r="AH32" i="39"/>
  <c r="P22" i="15"/>
  <c r="P23" i="15"/>
  <c r="P24" i="15"/>
  <c r="P25" i="15"/>
  <c r="P26" i="15"/>
  <c r="P27" i="15"/>
  <c r="P28" i="15"/>
  <c r="P29" i="15"/>
  <c r="P30" i="15"/>
  <c r="P31" i="15"/>
  <c r="P32" i="15"/>
  <c r="P33" i="15"/>
  <c r="P34" i="15"/>
  <c r="P35" i="15"/>
  <c r="P36" i="15"/>
  <c r="P37" i="15"/>
  <c r="V34" i="39"/>
  <c r="AB34" i="39"/>
  <c r="AB23" i="39"/>
  <c r="V23" i="39"/>
  <c r="V29" i="39"/>
  <c r="AB29" i="39"/>
  <c r="V33" i="39"/>
  <c r="AB33" i="39"/>
  <c r="Q9" i="39"/>
  <c r="Q27" i="39"/>
  <c r="Q10" i="39"/>
  <c r="V11" i="39"/>
  <c r="AB14" i="39"/>
  <c r="V14" i="39"/>
  <c r="AE7" i="39"/>
  <c r="AA7" i="39"/>
  <c r="AG24" i="39"/>
  <c r="AE33" i="39"/>
  <c r="AE25" i="39"/>
  <c r="AC30" i="39"/>
  <c r="AC14" i="39"/>
  <c r="AA32" i="39"/>
  <c r="AE13" i="39"/>
  <c r="Y8" i="39"/>
  <c r="AG33" i="39"/>
  <c r="Y24" i="39"/>
  <c r="Y34" i="39"/>
  <c r="Y32" i="39"/>
  <c r="W11" i="39"/>
  <c r="Y33" i="39"/>
  <c r="AC11" i="39"/>
  <c r="AA8" i="39"/>
  <c r="AE34" i="39"/>
  <c r="AG23" i="39"/>
  <c r="Y23" i="39"/>
  <c r="AG25" i="39"/>
  <c r="AG29" i="39"/>
  <c r="AA25" i="39"/>
  <c r="AC29" i="39"/>
  <c r="W29" i="39"/>
  <c r="AG34" i="39"/>
  <c r="AG8" i="39"/>
  <c r="AG11" i="39"/>
  <c r="W14" i="39"/>
  <c r="AG14" i="39"/>
  <c r="Y7" i="39"/>
  <c r="AA28" i="39"/>
  <c r="AE32" i="39"/>
  <c r="AE23" i="39"/>
  <c r="AE28" i="39"/>
  <c r="AA24" i="39"/>
  <c r="AG28" i="39"/>
  <c r="Q7" i="39" l="1"/>
  <c r="AH14" i="39"/>
  <c r="U14" i="39"/>
  <c r="AH11" i="39"/>
  <c r="U11" i="39"/>
  <c r="AB45" i="39"/>
  <c r="Q13" i="39"/>
  <c r="AH34" i="39"/>
  <c r="U34" i="39"/>
  <c r="V7" i="39"/>
  <c r="AH8" i="39"/>
  <c r="AH23" i="39"/>
  <c r="AH25" i="39"/>
  <c r="AH29" i="39"/>
  <c r="AH24" i="39"/>
  <c r="AH28" i="39"/>
  <c r="AH33" i="39"/>
  <c r="Q8" i="39"/>
  <c r="Q32" i="39"/>
  <c r="Q28" i="39"/>
  <c r="U24" i="39"/>
  <c r="V24" i="39"/>
  <c r="AB24" i="39"/>
  <c r="Q24" i="39"/>
  <c r="AB28" i="39"/>
  <c r="U28" i="39"/>
  <c r="V28" i="39"/>
  <c r="U33" i="39"/>
  <c r="Q33" i="39"/>
  <c r="V8" i="39"/>
  <c r="U8" i="39"/>
  <c r="L11" i="39"/>
  <c r="O11" i="39" s="1"/>
  <c r="U29" i="39"/>
  <c r="U7" i="39"/>
  <c r="L29" i="39"/>
  <c r="O29" i="39" s="1"/>
  <c r="V25" i="39"/>
  <c r="U25" i="39"/>
  <c r="AB25" i="39"/>
  <c r="U23" i="39"/>
  <c r="Q25" i="39"/>
  <c r="Q34" i="39"/>
  <c r="Q23" i="39"/>
  <c r="L14" i="39"/>
  <c r="O14" i="39" s="1"/>
  <c r="L30" i="39"/>
  <c r="O30" i="39" s="1"/>
  <c r="V32" i="39"/>
  <c r="U32" i="39"/>
  <c r="AB32" i="39"/>
  <c r="AH45" i="39" l="1"/>
  <c r="H21" i="23"/>
  <c r="H22" i="23"/>
  <c r="H23" i="23"/>
  <c r="H24" i="23"/>
  <c r="H25" i="23"/>
  <c r="H26" i="23"/>
  <c r="H27" i="23"/>
  <c r="H28" i="23"/>
  <c r="H29" i="23"/>
  <c r="H30" i="23"/>
  <c r="H31" i="23"/>
  <c r="H32" i="23"/>
  <c r="H33" i="23"/>
  <c r="H34" i="23"/>
  <c r="H35" i="23"/>
  <c r="B21" i="23"/>
  <c r="E21" i="23"/>
  <c r="B22" i="23"/>
  <c r="E22" i="23"/>
  <c r="B23" i="23"/>
  <c r="E23" i="23"/>
  <c r="B24" i="23"/>
  <c r="E24" i="23"/>
  <c r="B25" i="23"/>
  <c r="E25" i="23"/>
  <c r="B26" i="23"/>
  <c r="E26" i="23"/>
  <c r="B27" i="23"/>
  <c r="E27" i="23"/>
  <c r="B28" i="23"/>
  <c r="E28" i="23"/>
  <c r="B29" i="23"/>
  <c r="E29" i="23"/>
  <c r="B30" i="23"/>
  <c r="E30" i="23"/>
  <c r="B31" i="23"/>
  <c r="E31" i="23"/>
  <c r="B32" i="23"/>
  <c r="E32" i="23"/>
  <c r="B33" i="23"/>
  <c r="E33" i="23"/>
  <c r="B34" i="23"/>
  <c r="E34" i="23"/>
  <c r="B35" i="23"/>
  <c r="E35" i="23"/>
  <c r="U28" i="23" l="1"/>
  <c r="U27" i="23"/>
  <c r="M98" i="17" l="1"/>
  <c r="M97" i="17"/>
  <c r="M96" i="17"/>
  <c r="M95" i="17"/>
  <c r="M94" i="17"/>
  <c r="M93" i="17"/>
  <c r="M92" i="17"/>
  <c r="M91" i="17"/>
  <c r="M90" i="17"/>
  <c r="Q91" i="17" s="1"/>
  <c r="M89" i="17"/>
  <c r="M88" i="17"/>
  <c r="M87" i="17"/>
  <c r="Q88" i="17" s="1"/>
  <c r="AE26" i="39"/>
  <c r="J112" i="49" l="1"/>
  <c r="K112" i="49"/>
  <c r="K115" i="49"/>
  <c r="J115" i="49"/>
  <c r="Q92" i="17"/>
  <c r="Q93" i="17"/>
  <c r="Q89" i="17"/>
  <c r="R89" i="17" s="1"/>
  <c r="Q90" i="17"/>
  <c r="Q26" i="39"/>
  <c r="R88" i="17"/>
  <c r="J113" i="49" l="1"/>
  <c r="K113" i="49"/>
  <c r="K117" i="49"/>
  <c r="J117" i="49"/>
  <c r="K116" i="49"/>
  <c r="J116" i="49"/>
  <c r="R93" i="17"/>
  <c r="R90" i="17"/>
  <c r="R92" i="17"/>
  <c r="R91"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J114" i="49" l="1"/>
  <c r="K114" i="49"/>
  <c r="U15" i="17"/>
  <c r="N207" i="15"/>
  <c r="U16" i="17" l="1"/>
  <c r="U14"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M216" i="15" l="1"/>
  <c r="K84" i="49" l="1"/>
  <c r="J83" i="49"/>
  <c r="K83" i="49"/>
  <c r="J84" i="49" l="1"/>
  <c r="J81" i="49"/>
  <c r="J82" i="49"/>
  <c r="K82" i="49"/>
  <c r="K81" i="49" l="1"/>
  <c r="G23" i="1" l="1"/>
  <c r="F23" i="1"/>
  <c r="D23" i="1"/>
  <c r="E23" i="1"/>
  <c r="O23" i="1" l="1"/>
  <c r="O9" i="1"/>
  <c r="O10" i="1"/>
  <c r="Z9" i="1"/>
  <c r="Z23" i="1"/>
  <c r="T9" i="1"/>
  <c r="T10" i="1"/>
  <c r="T23" i="1"/>
  <c r="Z10" i="1"/>
  <c r="N9" i="1" l="1"/>
  <c r="N10" i="1"/>
  <c r="N23" i="1"/>
  <c r="L88" i="15" l="1"/>
  <c r="M88" i="15"/>
  <c r="N88" i="15"/>
  <c r="O88" i="15"/>
  <c r="AC9" i="39"/>
  <c r="W9" i="39"/>
  <c r="W10" i="39"/>
  <c r="AC10" i="39"/>
  <c r="M10" i="39" l="1"/>
  <c r="L10" i="39"/>
  <c r="O10" i="39" s="1"/>
  <c r="M27" i="39"/>
  <c r="L27" i="39"/>
  <c r="O27" i="39" s="1"/>
  <c r="M9" i="39"/>
  <c r="L9" i="39"/>
  <c r="O9" i="39" s="1"/>
  <c r="J24" i="9" l="1"/>
  <c r="J67" i="49" l="1"/>
  <c r="K67" i="49" s="1"/>
  <c r="J68" i="49"/>
  <c r="K68" i="49" s="1"/>
  <c r="J66" i="49"/>
  <c r="K66" i="49" s="1"/>
  <c r="K251" i="15" l="1"/>
  <c r="M11" i="1" l="1"/>
  <c r="M13" i="1"/>
  <c r="M25" i="1"/>
  <c r="M26" i="1"/>
  <c r="O12" i="1"/>
  <c r="O22" i="1"/>
  <c r="H3" i="1" l="1"/>
  <c r="H21" i="15" l="1"/>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9" i="15"/>
  <c r="P8" i="15" l="1"/>
  <c r="P21" i="15"/>
  <c r="P10" i="15"/>
  <c r="P11" i="15"/>
  <c r="P12" i="15"/>
  <c r="P13" i="15"/>
  <c r="P14" i="15"/>
  <c r="P15" i="15"/>
  <c r="P16" i="15"/>
  <c r="P17" i="15"/>
  <c r="P18" i="15"/>
  <c r="P19" i="15"/>
  <c r="P20" i="15"/>
  <c r="P7" i="15"/>
  <c r="P6"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M466" i="15"/>
  <c r="N466" i="15"/>
  <c r="R466" i="15" l="1"/>
  <c r="U466" i="15" s="1"/>
  <c r="Q466" i="15"/>
  <c r="T466" i="15" s="1"/>
  <c r="M266" i="15"/>
  <c r="N266" i="15"/>
  <c r="R266" i="15" s="1"/>
  <c r="H17" i="23"/>
  <c r="H18" i="23"/>
  <c r="H19" i="23"/>
  <c r="H20" i="23"/>
  <c r="B17" i="23"/>
  <c r="E17" i="23"/>
  <c r="B18" i="23"/>
  <c r="E18" i="23"/>
  <c r="B19" i="23"/>
  <c r="E19" i="23"/>
  <c r="B20" i="23"/>
  <c r="E20" i="23"/>
  <c r="B16" i="23"/>
  <c r="E16" i="23"/>
  <c r="H16" i="23"/>
  <c r="H15" i="23"/>
  <c r="B15" i="23"/>
  <c r="E15" i="23"/>
  <c r="Q266" i="15" l="1"/>
  <c r="U18" i="23" l="1"/>
  <c r="K467" i="15" l="1"/>
  <c r="L467" i="15"/>
  <c r="K466" i="15"/>
  <c r="L466" i="15"/>
  <c r="L266" i="15" l="1"/>
  <c r="L267" i="15"/>
  <c r="K266" i="15"/>
  <c r="X6" i="15"/>
  <c r="K267" i="15"/>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1" i="17"/>
  <c r="E11" i="17"/>
  <c r="B11" i="17"/>
  <c r="H10" i="17"/>
  <c r="E10" i="17"/>
  <c r="B10" i="17"/>
  <c r="H9" i="17"/>
  <c r="E9" i="17"/>
  <c r="B9" i="17"/>
  <c r="H8" i="17"/>
  <c r="E8" i="17"/>
  <c r="B8" i="17"/>
  <c r="H7" i="17"/>
  <c r="E7" i="17"/>
  <c r="B7" i="17"/>
  <c r="H6" i="17"/>
  <c r="E6" i="17"/>
  <c r="B6" i="17"/>
  <c r="H7" i="15"/>
  <c r="E7" i="15"/>
  <c r="B7" i="15"/>
  <c r="A7" i="27"/>
  <c r="I26" i="1"/>
  <c r="C26" i="1"/>
  <c r="C8" i="1"/>
  <c r="C11" i="1"/>
  <c r="C12" i="1"/>
  <c r="C13" i="1"/>
  <c r="C14" i="1"/>
  <c r="C15" i="1"/>
  <c r="C16" i="1"/>
  <c r="C17" i="1"/>
  <c r="C18" i="1"/>
  <c r="C19" i="1"/>
  <c r="C20" i="1"/>
  <c r="C21" i="1"/>
  <c r="C22" i="1"/>
  <c r="C24" i="1"/>
  <c r="C25" i="1"/>
  <c r="C27" i="1"/>
  <c r="C28" i="1"/>
  <c r="C29" i="1"/>
  <c r="C30" i="1"/>
  <c r="C7" i="1"/>
  <c r="I11" i="1"/>
  <c r="I30" i="1"/>
  <c r="E7" i="25"/>
  <c r="B7" i="25"/>
  <c r="E6" i="25"/>
  <c r="B6" i="25"/>
  <c r="B8" i="23"/>
  <c r="E8" i="23"/>
  <c r="B9" i="23"/>
  <c r="E9" i="23"/>
  <c r="B10" i="23"/>
  <c r="E10" i="23"/>
  <c r="B11" i="23"/>
  <c r="E11" i="23"/>
  <c r="B12" i="23"/>
  <c r="E12" i="23"/>
  <c r="B13" i="23"/>
  <c r="E13" i="23"/>
  <c r="B14" i="23"/>
  <c r="E14" i="23"/>
  <c r="H8" i="23"/>
  <c r="H9" i="23"/>
  <c r="H10" i="23"/>
  <c r="H11" i="23"/>
  <c r="H12" i="23"/>
  <c r="H13" i="23"/>
  <c r="H14" i="23"/>
  <c r="H7" i="23"/>
  <c r="E7" i="23"/>
  <c r="B7" i="23"/>
  <c r="H6" i="23"/>
  <c r="E6" i="23"/>
  <c r="B6" i="23"/>
  <c r="E2" i="23"/>
  <c r="F3" i="23" s="1"/>
  <c r="H6" i="22"/>
  <c r="E6" i="22"/>
  <c r="B6" i="22"/>
  <c r="E2" i="22"/>
  <c r="F3" i="22" s="1"/>
  <c r="E2" i="21"/>
  <c r="F3" i="21" s="1"/>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H8" i="18"/>
  <c r="E8" i="18"/>
  <c r="B8" i="18"/>
  <c r="H7" i="18"/>
  <c r="E7" i="18"/>
  <c r="B7" i="18"/>
  <c r="H6" i="18"/>
  <c r="E6" i="18"/>
  <c r="B6" i="18"/>
  <c r="H2" i="18"/>
  <c r="I2" i="18" s="1"/>
  <c r="I21" i="1"/>
  <c r="I22" i="1"/>
  <c r="I24" i="1"/>
  <c r="I25" i="1"/>
  <c r="I27" i="1"/>
  <c r="I29" i="1"/>
  <c r="I28" i="1"/>
  <c r="I7" i="1"/>
  <c r="I8" i="1"/>
  <c r="I13" i="1"/>
  <c r="I12" i="1"/>
  <c r="I15" i="1"/>
  <c r="I19" i="1"/>
  <c r="I20" i="1"/>
  <c r="B8" i="15"/>
  <c r="E8" i="15"/>
  <c r="H8" i="15"/>
  <c r="B9" i="15"/>
  <c r="E9" i="15"/>
  <c r="H9" i="15"/>
  <c r="H2" i="15"/>
  <c r="I2" i="15" s="1"/>
  <c r="H6" i="15"/>
  <c r="E6" i="15"/>
  <c r="B6" i="15"/>
  <c r="H2" i="13"/>
  <c r="I2" i="13" s="1"/>
  <c r="E6" i="13"/>
  <c r="B6" i="13"/>
  <c r="B8" i="11"/>
  <c r="E8" i="11"/>
  <c r="H8" i="11"/>
  <c r="B9" i="11"/>
  <c r="E9" i="11"/>
  <c r="H9" i="11"/>
  <c r="H2" i="11"/>
  <c r="I2" i="11" s="1"/>
  <c r="H7" i="11"/>
  <c r="E7" i="11"/>
  <c r="B7" i="11"/>
  <c r="I2" i="9"/>
  <c r="H7" i="9"/>
  <c r="E7" i="9"/>
  <c r="B7" i="9"/>
  <c r="H6" i="9"/>
  <c r="E6" i="9"/>
  <c r="B6" i="9"/>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T14" i="1"/>
  <c r="X25" i="1"/>
  <c r="AG21" i="39"/>
  <c r="Y18" i="39"/>
  <c r="Z8" i="1"/>
  <c r="Z24" i="1"/>
  <c r="AB11" i="1"/>
  <c r="X11" i="1"/>
  <c r="V24" i="1"/>
  <c r="T16" i="1"/>
  <c r="AA16" i="39"/>
  <c r="AB24" i="1"/>
  <c r="T29" i="1"/>
  <c r="V14" i="1"/>
  <c r="Z16" i="1"/>
  <c r="V18" i="1"/>
  <c r="T15" i="1"/>
  <c r="Y17" i="39"/>
  <c r="AB15" i="1"/>
  <c r="T18" i="1"/>
  <c r="Z28" i="1"/>
  <c r="Z14" i="1"/>
  <c r="V20" i="1"/>
  <c r="X13" i="1"/>
  <c r="AB18" i="1"/>
  <c r="AE17" i="39"/>
  <c r="Z22" i="1"/>
  <c r="AG15" i="39"/>
  <c r="AB14" i="1"/>
  <c r="T19" i="1"/>
  <c r="T24" i="1"/>
  <c r="Z21" i="1"/>
  <c r="AB20" i="1"/>
  <c r="R25" i="1"/>
  <c r="Z18" i="1"/>
  <c r="Y21" i="39"/>
  <c r="AG16" i="39"/>
  <c r="V15" i="1"/>
  <c r="AB25" i="1"/>
  <c r="T20" i="1"/>
  <c r="Y15" i="39"/>
  <c r="AB17" i="1"/>
  <c r="AA15" i="39"/>
  <c r="AB27" i="1"/>
  <c r="T22" i="1"/>
  <c r="Z7" i="1"/>
  <c r="V29" i="1"/>
  <c r="V30" i="1"/>
  <c r="V16" i="1"/>
  <c r="AA21" i="39"/>
  <c r="AB29" i="1"/>
  <c r="AE21" i="39"/>
  <c r="AB28" i="1"/>
  <c r="V8" i="1"/>
  <c r="AG18" i="39"/>
  <c r="T27" i="1"/>
  <c r="AB16" i="1"/>
  <c r="AA18" i="39"/>
  <c r="AE15" i="39"/>
  <c r="AB19" i="1"/>
  <c r="AA17" i="39"/>
  <c r="V26" i="1"/>
  <c r="Z30" i="1"/>
  <c r="AG17" i="39"/>
  <c r="AB8" i="1"/>
  <c r="Z15" i="1"/>
  <c r="Z12" i="1"/>
  <c r="Y16" i="39"/>
  <c r="Z20" i="1"/>
  <c r="AE16" i="39"/>
  <c r="V25" i="1"/>
  <c r="T12" i="1"/>
  <c r="AB30" i="1"/>
  <c r="AE18" i="39"/>
  <c r="A8" i="27" l="1"/>
  <c r="AH17" i="39"/>
  <c r="AH18" i="39"/>
  <c r="AH21" i="39"/>
  <c r="AH15" i="39"/>
  <c r="AH16" i="39"/>
  <c r="O421" i="15"/>
  <c r="Q18" i="39"/>
  <c r="V18" i="39"/>
  <c r="U18" i="39"/>
  <c r="AB18" i="39"/>
  <c r="Q21" i="39"/>
  <c r="V21" i="39"/>
  <c r="AB21" i="39"/>
  <c r="U21" i="39"/>
  <c r="Q15" i="39"/>
  <c r="U15" i="39"/>
  <c r="AB15" i="39"/>
  <c r="V15" i="39"/>
  <c r="Q16" i="39"/>
  <c r="AB16" i="39"/>
  <c r="U16" i="39"/>
  <c r="V16" i="39"/>
  <c r="U17" i="39"/>
  <c r="AB17" i="39"/>
  <c r="V17" i="39"/>
  <c r="Q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5" i="1"/>
  <c r="H2" i="9"/>
  <c r="AC29" i="1"/>
  <c r="AC28" i="1"/>
  <c r="AC30" i="1"/>
  <c r="U204" i="15"/>
  <c r="T203" i="15"/>
  <c r="O17" i="1"/>
  <c r="N14" i="1"/>
  <c r="AC16" i="1"/>
  <c r="AC15" i="1"/>
  <c r="P15" i="1"/>
  <c r="W15" i="1"/>
  <c r="Q15" i="1"/>
  <c r="Q30" i="1"/>
  <c r="W30" i="1"/>
  <c r="P18" i="1"/>
  <c r="Q18" i="1"/>
  <c r="W18" i="1"/>
  <c r="AC18" i="1"/>
  <c r="N16" i="1"/>
  <c r="N18" i="1"/>
  <c r="O18" i="1"/>
  <c r="Q14" i="1"/>
  <c r="P14" i="1"/>
  <c r="W14" i="1"/>
  <c r="W16" i="1"/>
  <c r="P16" i="1"/>
  <c r="Q16" i="1"/>
  <c r="AC17" i="1"/>
  <c r="AC14" i="1"/>
  <c r="O27" i="1"/>
  <c r="P24" i="1"/>
  <c r="W24" i="1"/>
  <c r="Q24" i="1"/>
  <c r="AC24" i="1"/>
  <c r="K25" i="1"/>
  <c r="AE25" i="1" s="1"/>
  <c r="N15" i="1"/>
  <c r="O15" i="1"/>
  <c r="N12" i="1"/>
  <c r="P8" i="1"/>
  <c r="Q8" i="1"/>
  <c r="O7" i="1"/>
  <c r="AC8" i="1"/>
  <c r="P25" i="1"/>
  <c r="W25" i="1"/>
  <c r="Q25" i="1"/>
  <c r="N20" i="1"/>
  <c r="O28" i="1"/>
  <c r="W29" i="1"/>
  <c r="Q29" i="1"/>
  <c r="P20" i="1"/>
  <c r="Q20" i="1"/>
  <c r="W20" i="1"/>
  <c r="O21" i="1"/>
  <c r="N24" i="1"/>
  <c r="O24" i="1"/>
  <c r="N22" i="1"/>
  <c r="AC27" i="1"/>
  <c r="AC20" i="1"/>
  <c r="AC25" i="1"/>
  <c r="Q26" i="1"/>
  <c r="W26" i="1"/>
  <c r="H2" i="17"/>
  <c r="I2" i="17" s="1"/>
  <c r="V202" i="15"/>
  <c r="U202" i="15"/>
  <c r="V204" i="15"/>
  <c r="T202" i="15"/>
  <c r="T204" i="15"/>
  <c r="V203" i="15"/>
  <c r="R11" i="1"/>
  <c r="R26" i="1"/>
  <c r="T8" i="1"/>
  <c r="Z17" i="1"/>
  <c r="T28" i="1"/>
  <c r="R13" i="1"/>
  <c r="T21" i="1"/>
  <c r="V28" i="1"/>
  <c r="T30" i="1"/>
  <c r="AB21" i="1"/>
  <c r="AB26" i="1"/>
  <c r="V11" i="1"/>
  <c r="X26" i="1"/>
  <c r="V27" i="1"/>
  <c r="Z19" i="1"/>
  <c r="V7" i="1"/>
  <c r="AB7" i="1"/>
  <c r="V21" i="1"/>
  <c r="V13" i="1"/>
  <c r="AB13" i="1"/>
  <c r="V19" i="1"/>
  <c r="T17" i="1"/>
  <c r="V17" i="1"/>
  <c r="T7" i="1"/>
  <c r="Z29" i="1"/>
  <c r="Z27" i="1"/>
  <c r="N27" i="1" l="1"/>
  <c r="AC26" i="1"/>
  <c r="P26" i="1"/>
  <c r="Q13" i="1"/>
  <c r="W13" i="1"/>
  <c r="N7" i="1"/>
  <c r="K26" i="1"/>
  <c r="AE26" i="1" s="1"/>
  <c r="AD26" i="1"/>
  <c r="A9" i="27"/>
  <c r="Q7" i="1"/>
  <c r="AC21" i="1"/>
  <c r="N17" i="1"/>
  <c r="Q27" i="1"/>
  <c r="W27" i="1"/>
  <c r="P27" i="1"/>
  <c r="AD13" i="1"/>
  <c r="K13" i="1"/>
  <c r="AE13" i="1" s="1"/>
  <c r="N21" i="1"/>
  <c r="W17" i="1"/>
  <c r="P17" i="1"/>
  <c r="Q17" i="1"/>
  <c r="Q28" i="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X151" i="15"/>
  <c r="X132" i="15"/>
  <c r="X157" i="15"/>
  <c r="X126" i="15"/>
  <c r="X155" i="15"/>
  <c r="X154" i="15"/>
  <c r="X128" i="15"/>
  <c r="X149" i="15"/>
  <c r="AD11" i="1"/>
  <c r="L287" i="15"/>
  <c r="O14" i="1"/>
  <c r="O16" i="1"/>
  <c r="O20" i="1"/>
  <c r="O29" i="1"/>
  <c r="O19" i="1"/>
  <c r="O8" i="1"/>
  <c r="AC13" i="1"/>
  <c r="P13" i="1"/>
  <c r="N8" i="1"/>
  <c r="P29" i="1"/>
  <c r="AC11" i="1"/>
  <c r="Q21" i="1"/>
  <c r="W21" i="1"/>
  <c r="P21" i="1"/>
  <c r="W19" i="1"/>
  <c r="Q19" i="1"/>
  <c r="P19" i="1"/>
  <c r="N19" i="1"/>
  <c r="AC7" i="1"/>
  <c r="P7" i="1"/>
  <c r="P30" i="1"/>
  <c r="O30" i="1"/>
  <c r="N30" i="1"/>
  <c r="N29" i="1"/>
  <c r="AC19" i="1"/>
  <c r="K11" i="1"/>
  <c r="AE11" i="1" s="1"/>
  <c r="Q11" i="1"/>
  <c r="P11" i="1"/>
  <c r="V7" i="14" l="1"/>
  <c r="V10" i="14"/>
  <c r="V11" i="14"/>
  <c r="V8" i="14"/>
  <c r="K421" i="15"/>
  <c r="Q421" i="15" s="1"/>
  <c r="J77" i="49"/>
  <c r="J78" i="49"/>
  <c r="K77" i="49"/>
  <c r="K78" i="49"/>
  <c r="M217" i="15"/>
  <c r="M219" i="15"/>
  <c r="Q216" i="15"/>
  <c r="K80" i="15" s="1"/>
  <c r="K452" i="15" l="1"/>
  <c r="K305" i="15" s="1"/>
  <c r="Q217" i="15"/>
  <c r="Q218" i="15" s="1"/>
  <c r="K81" i="15" s="1"/>
  <c r="Q219" i="15"/>
  <c r="S309" i="15" l="1"/>
  <c r="Q309" i="15"/>
  <c r="R309" i="15"/>
  <c r="N309" i="15"/>
  <c r="P309" i="15"/>
  <c r="O309" i="15"/>
  <c r="L309" i="15"/>
  <c r="M309" i="15"/>
  <c r="Q220" i="15"/>
  <c r="K82" i="15" s="1"/>
  <c r="K252" i="15"/>
  <c r="K29" i="49" l="1"/>
  <c r="J29" i="49"/>
  <c r="M288" i="15" l="1"/>
  <c r="M287" i="15"/>
  <c r="T266" i="15" l="1"/>
  <c r="L84" i="15" s="1"/>
  <c r="R12" i="15" s="1"/>
  <c r="U266" i="15"/>
  <c r="M86" i="15" s="1"/>
  <c r="R18" i="15" s="1"/>
  <c r="T267" i="15"/>
  <c r="N86" i="15" s="1"/>
  <c r="R30" i="15" s="1"/>
  <c r="U267" i="15"/>
  <c r="L85" i="15" l="1"/>
  <c r="R15" i="15" s="1"/>
  <c r="O84" i="15"/>
  <c r="R32" i="15" s="1"/>
  <c r="O85" i="15"/>
  <c r="R33" i="15" s="1"/>
  <c r="O87" i="15"/>
  <c r="R35" i="15" s="1"/>
  <c r="O86" i="15"/>
  <c r="R34" i="15" s="1"/>
  <c r="M85" i="15"/>
  <c r="R17" i="15" s="1"/>
  <c r="M84" i="15"/>
  <c r="R16" i="15" s="1"/>
  <c r="M87" i="15"/>
  <c r="R19" i="15" s="1"/>
  <c r="N84" i="15"/>
  <c r="R28" i="15" s="1"/>
  <c r="N85" i="15"/>
  <c r="R31" i="15" s="1"/>
  <c r="N87" i="15"/>
  <c r="L87" i="15"/>
  <c r="L86" i="15"/>
  <c r="R14" i="15" s="1"/>
  <c r="Q328" i="15" l="1"/>
  <c r="Q331" i="15" s="1"/>
  <c r="K303" i="15" s="1"/>
  <c r="K27" i="49" l="1"/>
  <c r="J27" i="49"/>
  <c r="Q307" i="15"/>
  <c r="S307" i="15"/>
  <c r="O307" i="15"/>
  <c r="N307" i="15"/>
  <c r="P307" i="15"/>
  <c r="J31" i="49" s="1"/>
  <c r="R307" i="15"/>
  <c r="K31" i="49" s="1"/>
  <c r="M307" i="15"/>
  <c r="L307" i="15"/>
  <c r="P328" i="15"/>
  <c r="P331" i="15" s="1"/>
  <c r="K302" i="15" l="1"/>
  <c r="Q422" i="15"/>
  <c r="K304" i="15" s="1"/>
  <c r="J28" i="49" l="1"/>
  <c r="K28" i="49"/>
  <c r="J26" i="49"/>
  <c r="K26" i="49"/>
  <c r="Q306" i="15"/>
  <c r="S306" i="15"/>
  <c r="N306" i="15"/>
  <c r="O306" i="15"/>
  <c r="R306" i="15"/>
  <c r="P306" i="15"/>
  <c r="L306" i="15"/>
  <c r="M306" i="15"/>
  <c r="Q308" i="15"/>
  <c r="S308" i="15"/>
  <c r="O308" i="15"/>
  <c r="R308" i="15"/>
  <c r="K32" i="49" s="1"/>
  <c r="N308" i="15"/>
  <c r="P308" i="15"/>
  <c r="J32" i="49" s="1"/>
  <c r="M308" i="15"/>
  <c r="L308" i="15"/>
  <c r="K40" i="49" l="1"/>
  <c r="K39" i="49"/>
  <c r="J40" i="49"/>
  <c r="J39" i="49"/>
  <c r="J38" i="49"/>
  <c r="J41" i="49"/>
  <c r="J30" i="49"/>
  <c r="J33" i="49"/>
  <c r="K34" i="49"/>
  <c r="K37" i="49"/>
  <c r="K36" i="49"/>
  <c r="K35" i="49"/>
  <c r="K38" i="49"/>
  <c r="K41" i="49"/>
  <c r="K30" i="49"/>
  <c r="K33" i="49"/>
  <c r="J34" i="49"/>
  <c r="J37" i="49"/>
  <c r="J36" i="49"/>
  <c r="J35" i="49"/>
  <c r="K6" i="49" l="1"/>
  <c r="J6" i="49"/>
  <c r="K5" i="49" l="1"/>
  <c r="J5" i="49"/>
  <c r="R188" i="3" l="1"/>
  <c r="S188" i="3"/>
  <c r="R39" i="3"/>
  <c r="S39" i="3"/>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U12"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R150" i="3" l="1"/>
  <c r="S150" i="3"/>
  <c r="U13" i="23" l="1"/>
  <c r="R47" i="3"/>
  <c r="S47" i="3"/>
  <c r="T150" i="3"/>
  <c r="T47" i="3" l="1"/>
  <c r="U10" i="17"/>
  <c r="X22" i="1"/>
  <c r="R22" i="1"/>
  <c r="L22" i="1" l="1"/>
  <c r="K22" i="1"/>
  <c r="AD22" i="1" l="1"/>
  <c r="M22" i="1" l="1"/>
  <c r="AE22" i="1" s="1"/>
  <c r="R9" i="1"/>
  <c r="AD9" i="1" l="1"/>
  <c r="R10" i="1"/>
  <c r="R23" i="1"/>
  <c r="X9" i="1"/>
  <c r="X23" i="1"/>
  <c r="X10" i="1"/>
  <c r="AD23" i="1" l="1"/>
  <c r="AD10" i="1"/>
  <c r="K9" i="1"/>
  <c r="AE9" i="1" s="1"/>
  <c r="L9" i="1"/>
  <c r="K10" i="1"/>
  <c r="AE10" i="1" s="1"/>
  <c r="L10" i="1"/>
  <c r="K23" i="1"/>
  <c r="AE23" i="1" s="1"/>
  <c r="L23" i="1"/>
  <c r="AG9" i="1" l="1"/>
  <c r="K15" i="34"/>
  <c r="AC13" i="39"/>
  <c r="AG26" i="39"/>
  <c r="AA26" i="39"/>
  <c r="AH19" i="54" l="1"/>
  <c r="U26" i="39"/>
  <c r="AD29" i="54" l="1"/>
  <c r="AD24" i="54"/>
  <c r="U7" i="9" l="1"/>
  <c r="V7" i="9"/>
  <c r="W7" i="9" l="1"/>
  <c r="R14" i="1"/>
  <c r="AC24" i="39"/>
  <c r="X14" i="1"/>
  <c r="G7" i="62" l="1"/>
  <c r="K14" i="1"/>
  <c r="L14" i="1"/>
  <c r="AB19" i="54" l="1"/>
  <c r="AG30" i="39"/>
  <c r="AG36" i="39"/>
  <c r="AA30" i="39"/>
  <c r="AA36" i="39"/>
  <c r="AB29" i="54" l="1"/>
  <c r="AB24" i="54"/>
  <c r="AG45" i="39"/>
  <c r="AA45" i="39"/>
  <c r="O24" i="40"/>
  <c r="O7" i="50"/>
  <c r="P25" i="40"/>
  <c r="P8" i="50"/>
  <c r="U36" i="39"/>
  <c r="AB30" i="39"/>
  <c r="V30" i="39"/>
  <c r="U30" i="39"/>
  <c r="AH30" i="39"/>
  <c r="O8" i="50"/>
  <c r="O25" i="40"/>
  <c r="P24" i="40"/>
  <c r="P7" i="50"/>
  <c r="Q8" i="50" l="1"/>
  <c r="P23" i="40"/>
  <c r="Q7" i="50"/>
  <c r="Q25" i="40"/>
  <c r="P6" i="50"/>
  <c r="O6" i="50"/>
  <c r="Q24" i="40"/>
  <c r="O23" i="40"/>
  <c r="Q23" i="40" l="1"/>
  <c r="Q6" i="50"/>
  <c r="T11" i="18" l="1"/>
  <c r="U8" i="18" l="1"/>
  <c r="U33" i="23"/>
  <c r="U11" i="18"/>
  <c r="AG9" i="39"/>
  <c r="AG10" i="39"/>
  <c r="AK21" i="54" l="1"/>
  <c r="AF45" i="39"/>
  <c r="V9" i="54"/>
  <c r="R10" i="39"/>
  <c r="O26" i="1" l="1"/>
  <c r="V10" i="39"/>
  <c r="M15" i="1"/>
  <c r="AD43" i="39"/>
  <c r="Z53" i="39" s="1"/>
  <c r="N13" i="39"/>
  <c r="N34" i="39"/>
  <c r="V27" i="39"/>
  <c r="V21" i="53"/>
  <c r="V9" i="53"/>
  <c r="M29" i="1"/>
  <c r="R12" i="39"/>
  <c r="V13" i="54"/>
  <c r="Q10" i="1"/>
  <c r="N25" i="39"/>
  <c r="N8" i="39"/>
  <c r="M8" i="1"/>
  <c r="V10" i="53"/>
  <c r="Q23" i="1"/>
  <c r="N23" i="39"/>
  <c r="Q22" i="1"/>
  <c r="R14" i="39"/>
  <c r="V9" i="39"/>
  <c r="V13" i="39"/>
  <c r="AC31" i="1"/>
  <c r="N28" i="39"/>
  <c r="O13" i="1"/>
  <c r="M21" i="1"/>
  <c r="AE19" i="54"/>
  <c r="M19" i="1"/>
  <c r="Q9" i="1"/>
  <c r="M24" i="1"/>
  <c r="AF43" i="39"/>
  <c r="R9" i="39"/>
  <c r="AF38" i="39"/>
  <c r="M20" i="1"/>
  <c r="O25" i="1"/>
  <c r="AH43" i="39"/>
  <c r="AA31" i="1"/>
  <c r="V10" i="54"/>
  <c r="N15" i="39"/>
  <c r="V12" i="54"/>
  <c r="AE20" i="54"/>
  <c r="V8" i="53"/>
  <c r="N33" i="39"/>
  <c r="AE21" i="54"/>
  <c r="V14" i="54"/>
  <c r="R30" i="39"/>
  <c r="AF44" i="39"/>
  <c r="M7" i="1"/>
  <c r="AK20" i="54"/>
  <c r="AK19" i="54"/>
  <c r="M12" i="1"/>
  <c r="Z44" i="39"/>
  <c r="R29" i="39"/>
  <c r="Z43" i="39"/>
  <c r="R11" i="39"/>
  <c r="Z38" i="39"/>
  <c r="N24" i="39"/>
  <c r="M28" i="1"/>
  <c r="Q12" i="1"/>
  <c r="O11" i="1"/>
  <c r="U31" i="1"/>
  <c r="N16" i="39"/>
  <c r="Z45" i="39"/>
  <c r="R36" i="39"/>
  <c r="N7" i="39"/>
  <c r="Z48" i="39" l="1"/>
  <c r="V8" i="54"/>
  <c r="X43" i="39"/>
  <c r="X48" i="39" s="1"/>
  <c r="O31" i="1"/>
  <c r="R38" i="39"/>
  <c r="V12" i="53"/>
  <c r="V6" i="9"/>
  <c r="U6" i="9"/>
  <c r="AD14" i="1"/>
  <c r="M14" i="1"/>
  <c r="AE14" i="1" s="1"/>
  <c r="K19" i="34" s="1"/>
  <c r="AB43" i="39"/>
  <c r="W31" i="1"/>
  <c r="Q31" i="1"/>
  <c r="V22" i="1"/>
  <c r="V10" i="1"/>
  <c r="AB23" i="1"/>
  <c r="AB9" i="1"/>
  <c r="V9" i="1"/>
  <c r="AB10" i="1"/>
  <c r="V23" i="1"/>
  <c r="X53" i="39" l="1"/>
  <c r="U9" i="23"/>
  <c r="U34" i="23"/>
  <c r="U6" i="23"/>
  <c r="W6" i="9"/>
  <c r="U32" i="23"/>
  <c r="U9" i="17"/>
  <c r="U15" i="23"/>
  <c r="U16" i="23"/>
  <c r="U29" i="23"/>
  <c r="U14" i="23"/>
  <c r="U19" i="23"/>
  <c r="U21" i="23"/>
  <c r="U7" i="23"/>
  <c r="U17" i="23"/>
  <c r="U24" i="23"/>
  <c r="P10" i="1"/>
  <c r="P9" i="1"/>
  <c r="P23" i="1"/>
  <c r="U22" i="23"/>
  <c r="U26" i="23"/>
  <c r="U25" i="23"/>
  <c r="U20" i="23"/>
  <c r="U7" i="11"/>
  <c r="U10" i="11"/>
  <c r="U31" i="23"/>
  <c r="U30" i="23"/>
  <c r="U23" i="23"/>
  <c r="U8" i="23"/>
  <c r="U35" i="23"/>
  <c r="U8" i="17"/>
  <c r="U10" i="23"/>
  <c r="U11" i="23"/>
  <c r="L21" i="53"/>
  <c r="W32" i="39"/>
  <c r="W37" i="39"/>
  <c r="L13" i="54"/>
  <c r="Z13" i="1"/>
  <c r="R16" i="1"/>
  <c r="N21" i="53"/>
  <c r="V12" i="1"/>
  <c r="W12" i="39"/>
  <c r="W25" i="39"/>
  <c r="X24" i="1"/>
  <c r="W17" i="39"/>
  <c r="AC28" i="39"/>
  <c r="W24" i="39"/>
  <c r="X8" i="1"/>
  <c r="W21" i="39"/>
  <c r="AC18" i="39"/>
  <c r="W28" i="39"/>
  <c r="AE14" i="39"/>
  <c r="W18" i="39"/>
  <c r="AC7" i="39"/>
  <c r="T13" i="1"/>
  <c r="AC16" i="39"/>
  <c r="R12" i="1"/>
  <c r="AG13" i="39"/>
  <c r="W15" i="39"/>
  <c r="AC23" i="39"/>
  <c r="Y11" i="39"/>
  <c r="W8" i="39"/>
  <c r="R15" i="1"/>
  <c r="Z11" i="1"/>
  <c r="X15" i="1"/>
  <c r="T25" i="1"/>
  <c r="AE29" i="39"/>
  <c r="N13" i="54"/>
  <c r="AC17" i="39"/>
  <c r="AE30" i="39"/>
  <c r="R8" i="1"/>
  <c r="R24" i="1"/>
  <c r="X28" i="1"/>
  <c r="W13" i="39"/>
  <c r="R19" i="1"/>
  <c r="AC25" i="39"/>
  <c r="X17" i="1"/>
  <c r="W23" i="39"/>
  <c r="R18" i="1"/>
  <c r="X19" i="1"/>
  <c r="AA13" i="39"/>
  <c r="R28" i="1"/>
  <c r="R17" i="1"/>
  <c r="Y36" i="39"/>
  <c r="T26" i="1"/>
  <c r="X21" i="1"/>
  <c r="R20" i="1"/>
  <c r="R7" i="1"/>
  <c r="X18" i="1"/>
  <c r="T11" i="1"/>
  <c r="R21" i="1"/>
  <c r="AC12" i="39"/>
  <c r="AC37" i="39"/>
  <c r="AC15" i="39"/>
  <c r="N14" i="54"/>
  <c r="Z25" i="1"/>
  <c r="AC21" i="39"/>
  <c r="X27" i="1"/>
  <c r="R29" i="1"/>
  <c r="W34" i="39"/>
  <c r="W7" i="39"/>
  <c r="AC32" i="39"/>
  <c r="X29" i="1"/>
  <c r="Y29" i="39"/>
  <c r="Y14" i="39"/>
  <c r="X7" i="1"/>
  <c r="AC34" i="39"/>
  <c r="R27" i="1"/>
  <c r="X20" i="1"/>
  <c r="AE36" i="39"/>
  <c r="AB12" i="1"/>
  <c r="AE11" i="39"/>
  <c r="W16" i="39"/>
  <c r="L14" i="54"/>
  <c r="AC8" i="39"/>
  <c r="Y30" i="39"/>
  <c r="AB22" i="1"/>
  <c r="X12" i="1"/>
  <c r="AC33" i="39"/>
  <c r="R30" i="1"/>
  <c r="X16" i="1"/>
  <c r="W33" i="39"/>
  <c r="X30" i="1"/>
  <c r="Z26" i="1"/>
  <c r="F7" i="62" l="1"/>
  <c r="D9" i="63"/>
  <c r="C9" i="63"/>
  <c r="E9" i="63" s="1"/>
  <c r="D31" i="63"/>
  <c r="D29" i="63" s="1"/>
  <c r="C31" i="63"/>
  <c r="D21" i="63"/>
  <c r="C21" i="63"/>
  <c r="N13" i="1"/>
  <c r="L18" i="39"/>
  <c r="L13" i="39"/>
  <c r="O13" i="39" s="1"/>
  <c r="M13" i="39"/>
  <c r="AD29" i="1"/>
  <c r="L32" i="39"/>
  <c r="M32" i="39"/>
  <c r="AD7" i="1"/>
  <c r="AG43" i="39"/>
  <c r="AD45" i="39"/>
  <c r="Z50" i="39" s="1"/>
  <c r="AD28" i="1"/>
  <c r="L34" i="39"/>
  <c r="O34" i="39" s="1"/>
  <c r="M34" i="39"/>
  <c r="AE38" i="39"/>
  <c r="AE43" i="39"/>
  <c r="AD20" i="1"/>
  <c r="L20" i="1"/>
  <c r="K20" i="1"/>
  <c r="AE20" i="1" s="1"/>
  <c r="P12" i="1"/>
  <c r="V31" i="1"/>
  <c r="K16" i="1"/>
  <c r="P22" i="1"/>
  <c r="L12" i="39"/>
  <c r="O12" i="39" s="1"/>
  <c r="AJ21" i="54"/>
  <c r="X15" i="51"/>
  <c r="AE45" i="39"/>
  <c r="U13" i="39"/>
  <c r="K30" i="1"/>
  <c r="L30" i="1"/>
  <c r="L16" i="39"/>
  <c r="M16" i="39"/>
  <c r="Z31" i="1"/>
  <c r="M8" i="39"/>
  <c r="L8" i="39"/>
  <c r="O8" i="39" s="1"/>
  <c r="W43" i="39"/>
  <c r="AC43" i="39"/>
  <c r="L7" i="39"/>
  <c r="O7" i="39" s="1"/>
  <c r="M7" i="39"/>
  <c r="X31" i="1"/>
  <c r="K7" i="1"/>
  <c r="L7" i="1"/>
  <c r="AB31" i="1"/>
  <c r="K28" i="1"/>
  <c r="AE28" i="1" s="1"/>
  <c r="L28" i="1"/>
  <c r="L17" i="39"/>
  <c r="N11" i="1"/>
  <c r="T31" i="1"/>
  <c r="L21" i="39"/>
  <c r="M24" i="39"/>
  <c r="L24" i="39"/>
  <c r="O24" i="39" s="1"/>
  <c r="Q14" i="39"/>
  <c r="S14" i="39" s="1"/>
  <c r="L8" i="1"/>
  <c r="K8" i="1"/>
  <c r="AE8" i="1" s="1"/>
  <c r="K5" i="34" s="1"/>
  <c r="AD8" i="1"/>
  <c r="L31" i="1"/>
  <c r="R31" i="1"/>
  <c r="L25" i="39"/>
  <c r="O25" i="39" s="1"/>
  <c r="M25" i="39"/>
  <c r="K12" i="1"/>
  <c r="AE12" i="1" s="1"/>
  <c r="K13" i="34" s="1"/>
  <c r="AD12" i="1"/>
  <c r="L12" i="1"/>
  <c r="T13" i="54"/>
  <c r="W13" i="54" s="1"/>
  <c r="Q30" i="39"/>
  <c r="N26" i="1"/>
  <c r="L21" i="1"/>
  <c r="K21" i="1"/>
  <c r="AE21" i="1" s="1"/>
  <c r="K7" i="34" s="1"/>
  <c r="AD21" i="1"/>
  <c r="K29" i="1"/>
  <c r="AE29" i="1" s="1"/>
  <c r="L29" i="1"/>
  <c r="L19" i="1"/>
  <c r="K19" i="1"/>
  <c r="AE19" i="1" s="1"/>
  <c r="AD19" i="1"/>
  <c r="L15" i="39"/>
  <c r="O15" i="39" s="1"/>
  <c r="M15" i="39"/>
  <c r="K18" i="1"/>
  <c r="M37" i="39"/>
  <c r="L37" i="39"/>
  <c r="K15" i="1"/>
  <c r="L15" i="1"/>
  <c r="AD16" i="1"/>
  <c r="T21" i="53"/>
  <c r="W21" i="53" s="1"/>
  <c r="M28" i="39"/>
  <c r="L28" i="39"/>
  <c r="O28" i="39" s="1"/>
  <c r="N25" i="1"/>
  <c r="AF25" i="1" s="1"/>
  <c r="K17" i="34" s="1"/>
  <c r="L27" i="1"/>
  <c r="K27" i="1"/>
  <c r="AD20" i="54"/>
  <c r="T12" i="54"/>
  <c r="V12" i="51"/>
  <c r="Q29" i="39"/>
  <c r="S29" i="39" s="1"/>
  <c r="Y44" i="39"/>
  <c r="Q11" i="39"/>
  <c r="Y43" i="39"/>
  <c r="Y38" i="39"/>
  <c r="W45" i="39"/>
  <c r="L33" i="39"/>
  <c r="O33" i="39" s="1"/>
  <c r="M33" i="39"/>
  <c r="K17" i="1"/>
  <c r="Y45" i="39"/>
  <c r="Q36" i="39"/>
  <c r="AD21" i="54"/>
  <c r="V15" i="51"/>
  <c r="T14" i="54"/>
  <c r="W14" i="54" s="1"/>
  <c r="M23" i="39"/>
  <c r="L23" i="39"/>
  <c r="O23" i="39" s="1"/>
  <c r="K24" i="1"/>
  <c r="AE24" i="1" s="1"/>
  <c r="L24" i="1" s="1"/>
  <c r="AD24" i="1"/>
  <c r="AC45" i="39"/>
  <c r="AE44" i="39"/>
  <c r="AJ20" i="54"/>
  <c r="X12" i="51"/>
  <c r="AC26" i="39"/>
  <c r="W26" i="39"/>
  <c r="C29" i="63" l="1"/>
  <c r="E29" i="63" s="1"/>
  <c r="E31" i="63"/>
  <c r="E21" i="63"/>
  <c r="W12" i="54"/>
  <c r="W12" i="53"/>
  <c r="P31" i="1"/>
  <c r="Z55" i="39"/>
  <c r="N32" i="39"/>
  <c r="O32" i="39" s="1"/>
  <c r="V25" i="53"/>
  <c r="V24" i="53"/>
  <c r="O22" i="40"/>
  <c r="W38" i="39"/>
  <c r="B4" i="40" s="1"/>
  <c r="O5" i="50"/>
  <c r="W44" i="39"/>
  <c r="W49" i="39" s="1"/>
  <c r="Y31" i="1"/>
  <c r="AC44" i="39"/>
  <c r="P22" i="40"/>
  <c r="AC38" i="39"/>
  <c r="M26" i="39"/>
  <c r="L26" i="39"/>
  <c r="M38" i="39"/>
  <c r="P5" i="50"/>
  <c r="Y15" i="51"/>
  <c r="G15" i="51"/>
  <c r="N37" i="39"/>
  <c r="O37" i="39" s="1"/>
  <c r="X45" i="39"/>
  <c r="N31" i="1"/>
  <c r="Y53" i="39"/>
  <c r="Y48" i="39"/>
  <c r="G12" i="51"/>
  <c r="Y12" i="51"/>
  <c r="W12" i="51"/>
  <c r="F12" i="51" s="1"/>
  <c r="E12" i="51"/>
  <c r="O12" i="51" s="1"/>
  <c r="Z12" i="51"/>
  <c r="I12" i="51" s="1"/>
  <c r="W55" i="39"/>
  <c r="W50" i="39"/>
  <c r="E15" i="51"/>
  <c r="O15" i="51" s="1"/>
  <c r="Z15" i="51"/>
  <c r="I15" i="51" s="1"/>
  <c r="W15" i="51"/>
  <c r="F15" i="51" s="1"/>
  <c r="K31" i="1"/>
  <c r="AE7" i="1"/>
  <c r="K11" i="34" s="1"/>
  <c r="S11" i="39"/>
  <c r="Q38" i="39"/>
  <c r="B5" i="40"/>
  <c r="B5" i="50"/>
  <c r="O18" i="39"/>
  <c r="AD27" i="1"/>
  <c r="M27" i="1"/>
  <c r="S31" i="1"/>
  <c r="C5" i="40"/>
  <c r="C5" i="50"/>
  <c r="AD30" i="1"/>
  <c r="M30" i="1"/>
  <c r="AE30" i="1" s="1"/>
  <c r="W53" i="39"/>
  <c r="W48" i="39"/>
  <c r="Y50" i="39"/>
  <c r="Y55" i="39"/>
  <c r="AE16" i="1"/>
  <c r="P15" i="51" l="1"/>
  <c r="P12" i="51"/>
  <c r="Q22" i="40"/>
  <c r="W54" i="39"/>
  <c r="B4" i="50"/>
  <c r="Q5" i="50"/>
  <c r="S38" i="39"/>
  <c r="D5" i="50"/>
  <c r="D5" i="40"/>
  <c r="G5" i="50"/>
  <c r="AA12" i="51"/>
  <c r="J12" i="51" s="1"/>
  <c r="H12" i="51"/>
  <c r="F5" i="40"/>
  <c r="L38" i="39"/>
  <c r="AE27" i="1"/>
  <c r="K9" i="34" s="1"/>
  <c r="M31" i="1"/>
  <c r="C4" i="40"/>
  <c r="F4" i="40" s="1"/>
  <c r="C4" i="50"/>
  <c r="AA15" i="51"/>
  <c r="J15" i="51" s="1"/>
  <c r="H15" i="51"/>
  <c r="X55" i="39"/>
  <c r="X50" i="39"/>
  <c r="Y49" i="39"/>
  <c r="Y54" i="39"/>
  <c r="AA10" i="39"/>
  <c r="AG27" i="39"/>
  <c r="AA27" i="39"/>
  <c r="AA9" i="39"/>
  <c r="AA44" i="39" l="1"/>
  <c r="U10" i="39"/>
  <c r="O26" i="40"/>
  <c r="U9" i="39"/>
  <c r="AA43" i="39"/>
  <c r="O9" i="50"/>
  <c r="AA38" i="39"/>
  <c r="AG44" i="39"/>
  <c r="P9" i="50"/>
  <c r="AG38" i="39"/>
  <c r="P26" i="40"/>
  <c r="U27" i="39"/>
  <c r="G4" i="50"/>
  <c r="D4" i="50"/>
  <c r="D4" i="40"/>
  <c r="L39" i="39"/>
  <c r="AH44" i="39"/>
  <c r="AH38" i="39"/>
  <c r="V26" i="39"/>
  <c r="V38" i="39" s="1"/>
  <c r="AB44" i="39"/>
  <c r="AB38" i="39"/>
  <c r="N26" i="39"/>
  <c r="X38" i="39"/>
  <c r="X44" i="39"/>
  <c r="AD44" i="39"/>
  <c r="AD38" i="39"/>
  <c r="V7" i="53" l="1"/>
  <c r="Q9" i="50"/>
  <c r="U38" i="39"/>
  <c r="D6" i="50" s="1"/>
  <c r="C6" i="50"/>
  <c r="C6" i="40"/>
  <c r="Q26" i="40"/>
  <c r="B6" i="40"/>
  <c r="B6" i="50"/>
  <c r="Z54" i="39"/>
  <c r="Z49" i="39"/>
  <c r="X54" i="39"/>
  <c r="X49" i="39"/>
  <c r="N38" i="39"/>
  <c r="O26" i="39"/>
  <c r="G6" i="50" l="1"/>
  <c r="F6" i="40"/>
  <c r="D6" i="40"/>
  <c r="M39" i="39"/>
  <c r="O38" i="39"/>
  <c r="AC10" i="51"/>
  <c r="J106" i="14" l="1"/>
  <c r="M106" i="14"/>
  <c r="K106" i="14"/>
  <c r="L106" i="14"/>
  <c r="N106" i="14"/>
  <c r="O106" i="14" l="1"/>
  <c r="P106" i="14"/>
  <c r="Q106" i="14"/>
  <c r="P6" i="21" l="1"/>
  <c r="R81" i="8"/>
  <c r="T81" i="8" s="1"/>
  <c r="R71" i="8"/>
  <c r="T71" i="8" s="1"/>
  <c r="O29" i="8"/>
  <c r="R29" i="8" s="1"/>
  <c r="T29" i="8" s="1"/>
  <c r="S6" i="21" l="1"/>
  <c r="T6" i="21"/>
  <c r="R62" i="8"/>
  <c r="T62" i="8" s="1"/>
  <c r="R83" i="8"/>
  <c r="T83" i="8" s="1"/>
  <c r="R82" i="8"/>
  <c r="T82" i="8" s="1"/>
  <c r="P11" i="17"/>
  <c r="Q18" i="20"/>
  <c r="P8" i="14"/>
  <c r="R68" i="8"/>
  <c r="T68" i="8" s="1"/>
  <c r="R86" i="8"/>
  <c r="T86" i="8" s="1"/>
  <c r="Q7" i="56"/>
  <c r="Q11" i="20"/>
  <c r="Q12" i="56"/>
  <c r="Q9" i="56"/>
  <c r="Q10" i="20"/>
  <c r="Q24" i="15"/>
  <c r="Q7" i="24"/>
  <c r="Q11" i="52"/>
  <c r="Q10" i="52"/>
  <c r="Q30" i="15"/>
  <c r="P6" i="22"/>
  <c r="T6" i="22" s="1"/>
  <c r="Q31" i="15"/>
  <c r="Q28" i="15"/>
  <c r="Q33" i="15"/>
  <c r="Q25" i="15"/>
  <c r="Q7" i="13"/>
  <c r="Q37" i="15"/>
  <c r="Q29" i="15"/>
  <c r="Q35" i="15"/>
  <c r="Q32" i="15"/>
  <c r="Q36" i="15"/>
  <c r="Q23" i="15"/>
  <c r="Q26" i="15"/>
  <c r="Q34" i="15"/>
  <c r="Q22" i="15"/>
  <c r="Q27" i="15"/>
  <c r="P7" i="57"/>
  <c r="O28" i="8"/>
  <c r="R28" i="8" s="1"/>
  <c r="T28" i="8" s="1"/>
  <c r="P9" i="18"/>
  <c r="Q25" i="56"/>
  <c r="P10" i="18"/>
  <c r="Q8" i="20"/>
  <c r="P10" i="14"/>
  <c r="Q19" i="56"/>
  <c r="P12" i="11"/>
  <c r="Q22" i="56"/>
  <c r="Q13" i="20"/>
  <c r="P11" i="14"/>
  <c r="P11" i="11"/>
  <c r="Q21" i="56"/>
  <c r="Q17" i="20"/>
  <c r="Q31" i="56"/>
  <c r="Q25" i="20"/>
  <c r="Q26" i="56"/>
  <c r="Q23" i="20"/>
  <c r="Q24" i="56"/>
  <c r="Q16" i="20"/>
  <c r="Q24" i="20"/>
  <c r="Q29" i="56"/>
  <c r="P13" i="17"/>
  <c r="P7" i="21"/>
  <c r="Q20" i="56"/>
  <c r="Q28" i="56"/>
  <c r="Q12" i="20"/>
  <c r="Q26" i="20"/>
  <c r="Q9" i="20"/>
  <c r="P9" i="14"/>
  <c r="P9" i="25"/>
  <c r="P12" i="17"/>
  <c r="P8" i="25"/>
  <c r="Q27" i="20"/>
  <c r="P17" i="17"/>
  <c r="Q23" i="56"/>
  <c r="Q30" i="56"/>
  <c r="O14" i="8"/>
  <c r="R14" i="8" s="1"/>
  <c r="T14" i="8" s="1"/>
  <c r="O7" i="8"/>
  <c r="R7" i="8" s="1"/>
  <c r="T7" i="8" s="1"/>
  <c r="Q6" i="13"/>
  <c r="Q7" i="15"/>
  <c r="Q9" i="15"/>
  <c r="Q19" i="15"/>
  <c r="Q20" i="15"/>
  <c r="Q8" i="52"/>
  <c r="Q14" i="15"/>
  <c r="Q6" i="15"/>
  <c r="Q7" i="52"/>
  <c r="Q8" i="15"/>
  <c r="Q16" i="15"/>
  <c r="Q18" i="15"/>
  <c r="Q15" i="15"/>
  <c r="Q17" i="15"/>
  <c r="Q21" i="15"/>
  <c r="Q13" i="15"/>
  <c r="Q10" i="15"/>
  <c r="Q11" i="15"/>
  <c r="Q12" i="15"/>
  <c r="O21" i="8"/>
  <c r="R21" i="8" s="1"/>
  <c r="T21" i="8" s="1"/>
  <c r="R70" i="8"/>
  <c r="T70" i="8" s="1"/>
  <c r="R67" i="8"/>
  <c r="T67" i="8" s="1"/>
  <c r="R65" i="8"/>
  <c r="T65" i="8" s="1"/>
  <c r="R75" i="8"/>
  <c r="T75" i="8" s="1"/>
  <c r="R74" i="8"/>
  <c r="T74" i="8" s="1"/>
  <c r="Q21" i="20"/>
  <c r="P9" i="11"/>
  <c r="R61" i="8"/>
  <c r="T61" i="8" s="1"/>
  <c r="R78" i="8"/>
  <c r="T78" i="8" s="1"/>
  <c r="P8" i="22"/>
  <c r="T8" i="22" s="1"/>
  <c r="Q6" i="24"/>
  <c r="Q6" i="20"/>
  <c r="Q8" i="56"/>
  <c r="Q10" i="56"/>
  <c r="Q15" i="20"/>
  <c r="Q15" i="56"/>
  <c r="Q13" i="56"/>
  <c r="Q22" i="20"/>
  <c r="P9" i="21"/>
  <c r="Q49" i="20"/>
  <c r="Q42" i="20"/>
  <c r="Q54" i="56"/>
  <c r="P15" i="18"/>
  <c r="Q49" i="56"/>
  <c r="Q66" i="15"/>
  <c r="Q62" i="15"/>
  <c r="Q55" i="56"/>
  <c r="Q63" i="15"/>
  <c r="Q15" i="24"/>
  <c r="U15" i="24" s="1"/>
  <c r="Q65" i="15"/>
  <c r="Q58" i="15"/>
  <c r="Q9" i="24"/>
  <c r="Q64" i="15"/>
  <c r="Q44" i="20"/>
  <c r="Q55" i="15"/>
  <c r="P29" i="17"/>
  <c r="Q43" i="20"/>
  <c r="P25" i="17"/>
  <c r="Q50" i="56"/>
  <c r="P18" i="11"/>
  <c r="Q50" i="20"/>
  <c r="P12" i="25"/>
  <c r="Q9" i="13"/>
  <c r="Q46" i="56"/>
  <c r="P17" i="11"/>
  <c r="Q48" i="56"/>
  <c r="Q17" i="52"/>
  <c r="P17" i="14"/>
  <c r="Q51" i="20"/>
  <c r="Q40" i="20"/>
  <c r="R80" i="8"/>
  <c r="T80" i="8" s="1"/>
  <c r="Q69" i="15"/>
  <c r="P9" i="57"/>
  <c r="P15" i="14"/>
  <c r="P16" i="14"/>
  <c r="Q57" i="15"/>
  <c r="Q59" i="15"/>
  <c r="Q45" i="56"/>
  <c r="Q68" i="15"/>
  <c r="P24" i="17"/>
  <c r="Q14" i="24"/>
  <c r="Q46" i="20"/>
  <c r="Q15" i="52"/>
  <c r="Q61" i="15"/>
  <c r="Q54" i="15"/>
  <c r="Q48" i="20"/>
  <c r="P16" i="18"/>
  <c r="Q51" i="56"/>
  <c r="Q56" i="56"/>
  <c r="Q45" i="20"/>
  <c r="P13" i="25"/>
  <c r="Q16" i="24"/>
  <c r="Q57" i="56"/>
  <c r="Q52" i="56"/>
  <c r="Q60" i="15"/>
  <c r="Q47" i="20"/>
  <c r="Q16" i="52"/>
  <c r="Q41" i="20"/>
  <c r="Q47" i="56"/>
  <c r="Q56" i="15"/>
  <c r="Q67" i="15"/>
  <c r="R73" i="8"/>
  <c r="T73" i="8" s="1"/>
  <c r="O18" i="8"/>
  <c r="R18" i="8" s="1"/>
  <c r="T18" i="8" s="1"/>
  <c r="R69" i="8"/>
  <c r="T69" i="8" s="1"/>
  <c r="R76" i="8"/>
  <c r="T76" i="8" s="1"/>
  <c r="O22" i="8"/>
  <c r="R22" i="8" s="1"/>
  <c r="T22" i="8" s="1"/>
  <c r="O25" i="8"/>
  <c r="R25" i="8" s="1"/>
  <c r="T25" i="8" s="1"/>
  <c r="P6" i="25"/>
  <c r="P7" i="14"/>
  <c r="R64" i="8"/>
  <c r="T64" i="8" s="1"/>
  <c r="R72" i="8"/>
  <c r="T72" i="8" s="1"/>
  <c r="R84" i="8"/>
  <c r="T84" i="8" s="1"/>
  <c r="Q20" i="20"/>
  <c r="Q7" i="20"/>
  <c r="P8" i="11"/>
  <c r="P7" i="17"/>
  <c r="Q11" i="56"/>
  <c r="Q17" i="56"/>
  <c r="Q34" i="56"/>
  <c r="Q40" i="15"/>
  <c r="Q31" i="20"/>
  <c r="Q38" i="56"/>
  <c r="R66" i="8"/>
  <c r="T66" i="8" s="1"/>
  <c r="Q45" i="15"/>
  <c r="Q44" i="56"/>
  <c r="P13" i="14"/>
  <c r="Q34" i="20"/>
  <c r="P12" i="18"/>
  <c r="Q39" i="20"/>
  <c r="P14" i="11"/>
  <c r="Q51" i="15"/>
  <c r="Q44" i="15"/>
  <c r="Q8" i="24"/>
  <c r="P8" i="21"/>
  <c r="Q38" i="15"/>
  <c r="Q36" i="56"/>
  <c r="Q32" i="56"/>
  <c r="Q41" i="15"/>
  <c r="Q38" i="20"/>
  <c r="Q30" i="20"/>
  <c r="Q33" i="20"/>
  <c r="P14" i="14"/>
  <c r="Q36" i="20"/>
  <c r="Q39" i="15"/>
  <c r="P13" i="18"/>
  <c r="Q12" i="52"/>
  <c r="Q37" i="20"/>
  <c r="P10" i="25"/>
  <c r="P19" i="17"/>
  <c r="Q32" i="20"/>
  <c r="P11" i="25"/>
  <c r="Q29" i="20"/>
  <c r="Q35" i="56"/>
  <c r="Q46" i="15"/>
  <c r="Q43" i="56"/>
  <c r="Q8" i="13"/>
  <c r="Q42" i="15"/>
  <c r="Q42" i="56"/>
  <c r="P12" i="14"/>
  <c r="Q13" i="52"/>
  <c r="Q37" i="56"/>
  <c r="Q52" i="15"/>
  <c r="Q28" i="20"/>
  <c r="Q53" i="15"/>
  <c r="Q35" i="20"/>
  <c r="Q50" i="15"/>
  <c r="Q49" i="15"/>
  <c r="Q41" i="56"/>
  <c r="P8" i="57"/>
  <c r="Q43" i="15"/>
  <c r="Q39" i="56"/>
  <c r="Q33" i="56"/>
  <c r="Q47" i="15"/>
  <c r="Q14" i="52"/>
  <c r="P23" i="17"/>
  <c r="Q48" i="15"/>
  <c r="P18" i="17"/>
  <c r="P15" i="11"/>
  <c r="R59" i="8"/>
  <c r="T59" i="8" s="1"/>
  <c r="O32" i="8"/>
  <c r="R32" i="8" s="1"/>
  <c r="T32" i="8" s="1"/>
  <c r="R63" i="8"/>
  <c r="T63" i="8" s="1"/>
  <c r="P7" i="22"/>
  <c r="T7" i="22" s="1"/>
  <c r="R85" i="8"/>
  <c r="T85" i="8" s="1"/>
  <c r="P7" i="25"/>
  <c r="P6" i="14"/>
  <c r="Q16" i="56"/>
  <c r="P6" i="57"/>
  <c r="O15" i="8"/>
  <c r="R15" i="8" s="1"/>
  <c r="T15" i="8" s="1"/>
  <c r="R60" i="8"/>
  <c r="T60" i="8" s="1"/>
  <c r="R77" i="8"/>
  <c r="T77" i="8" s="1"/>
  <c r="R79" i="8"/>
  <c r="T79" i="8" s="1"/>
  <c r="O8" i="8"/>
  <c r="R8" i="8" s="1"/>
  <c r="T8" i="8" s="1"/>
  <c r="O11" i="8"/>
  <c r="R11" i="8" s="1"/>
  <c r="T11" i="8" s="1"/>
  <c r="Q18" i="56"/>
  <c r="Q14" i="20"/>
  <c r="Q6" i="56"/>
  <c r="Q19" i="20"/>
  <c r="P7" i="18"/>
  <c r="N10" i="54"/>
  <c r="R9" i="54"/>
  <c r="R10" i="54"/>
  <c r="L9" i="54"/>
  <c r="P10" i="54"/>
  <c r="L10" i="54"/>
  <c r="N9" i="54"/>
  <c r="P9" i="54"/>
  <c r="T10" i="54" l="1"/>
  <c r="W10" i="54" s="1"/>
  <c r="D27" i="63"/>
  <c r="AJ19" i="54"/>
  <c r="F27" i="63"/>
  <c r="G27" i="63"/>
  <c r="T9" i="54"/>
  <c r="C27" i="63"/>
  <c r="AD19" i="54"/>
  <c r="T50" i="15"/>
  <c r="U50" i="15"/>
  <c r="S14" i="14"/>
  <c r="T14" i="14"/>
  <c r="T17" i="56"/>
  <c r="U17" i="56"/>
  <c r="T9" i="13"/>
  <c r="U9" i="13"/>
  <c r="T13" i="15"/>
  <c r="U13" i="15"/>
  <c r="T31" i="56"/>
  <c r="U31" i="56"/>
  <c r="T33" i="20"/>
  <c r="U33" i="20"/>
  <c r="T45" i="56"/>
  <c r="U45" i="56"/>
  <c r="U44" i="20"/>
  <c r="T44" i="20"/>
  <c r="T14" i="20"/>
  <c r="U14" i="20"/>
  <c r="S6" i="14"/>
  <c r="T6" i="14"/>
  <c r="S18" i="17"/>
  <c r="T18" i="17"/>
  <c r="S8" i="57"/>
  <c r="T8" i="57"/>
  <c r="T37" i="56"/>
  <c r="U37" i="56"/>
  <c r="T35" i="56"/>
  <c r="U35" i="56"/>
  <c r="S13" i="18"/>
  <c r="T13" i="18"/>
  <c r="T32" i="56"/>
  <c r="U32" i="56"/>
  <c r="T39" i="20"/>
  <c r="U39" i="20"/>
  <c r="T31" i="20"/>
  <c r="U31" i="20"/>
  <c r="T20" i="20"/>
  <c r="U20" i="20"/>
  <c r="T41" i="20"/>
  <c r="U41" i="20"/>
  <c r="T45" i="20"/>
  <c r="U45" i="20"/>
  <c r="T46" i="20"/>
  <c r="U46" i="20"/>
  <c r="S15" i="14"/>
  <c r="T15" i="14"/>
  <c r="T48" i="56"/>
  <c r="U48" i="56"/>
  <c r="S25" i="17"/>
  <c r="T25" i="17"/>
  <c r="T65" i="15"/>
  <c r="U65" i="15"/>
  <c r="T54" i="56"/>
  <c r="U54" i="56"/>
  <c r="T10" i="56"/>
  <c r="U10" i="56"/>
  <c r="S9" i="11"/>
  <c r="T9" i="11"/>
  <c r="U12" i="15"/>
  <c r="T12" i="15"/>
  <c r="U16" i="15"/>
  <c r="T16" i="15"/>
  <c r="T9" i="15"/>
  <c r="U9" i="15"/>
  <c r="T27" i="20"/>
  <c r="U27" i="20"/>
  <c r="T28" i="56"/>
  <c r="U28" i="56"/>
  <c r="T23" i="20"/>
  <c r="U23" i="20"/>
  <c r="T13" i="20"/>
  <c r="U13" i="20"/>
  <c r="T25" i="56"/>
  <c r="U25" i="56"/>
  <c r="T23" i="15"/>
  <c r="U23" i="15"/>
  <c r="U33" i="15"/>
  <c r="T33" i="15"/>
  <c r="U24" i="15"/>
  <c r="T24" i="15"/>
  <c r="T8" i="14"/>
  <c r="S8" i="14"/>
  <c r="T14" i="52"/>
  <c r="U14" i="52"/>
  <c r="T42" i="56"/>
  <c r="U42" i="56"/>
  <c r="T60" i="15"/>
  <c r="U60" i="15"/>
  <c r="S16" i="18"/>
  <c r="T16" i="18"/>
  <c r="T55" i="15"/>
  <c r="U55" i="15"/>
  <c r="S13" i="17"/>
  <c r="T13" i="17"/>
  <c r="U35" i="20"/>
  <c r="T35" i="20"/>
  <c r="S19" i="17"/>
  <c r="T19" i="17"/>
  <c r="S12" i="25"/>
  <c r="T12" i="25"/>
  <c r="S7" i="25"/>
  <c r="T7" i="25"/>
  <c r="T48" i="15"/>
  <c r="U48" i="15"/>
  <c r="T41" i="56"/>
  <c r="U41" i="56"/>
  <c r="T13" i="52"/>
  <c r="U13" i="52"/>
  <c r="T29" i="20"/>
  <c r="U29" i="20"/>
  <c r="T39" i="15"/>
  <c r="U39" i="15"/>
  <c r="T36" i="56"/>
  <c r="U36" i="56"/>
  <c r="S12" i="18"/>
  <c r="T12" i="18"/>
  <c r="T40" i="15"/>
  <c r="U40" i="15"/>
  <c r="T16" i="52"/>
  <c r="U16" i="52"/>
  <c r="U56" i="56"/>
  <c r="T56" i="56"/>
  <c r="T14" i="24"/>
  <c r="U14" i="24"/>
  <c r="S9" i="57"/>
  <c r="T9" i="57"/>
  <c r="S17" i="11"/>
  <c r="T17" i="11"/>
  <c r="T43" i="20"/>
  <c r="U43" i="20"/>
  <c r="T15" i="24"/>
  <c r="T42" i="20"/>
  <c r="U42" i="20"/>
  <c r="T8" i="56"/>
  <c r="U8" i="56"/>
  <c r="T21" i="20"/>
  <c r="U21" i="20"/>
  <c r="T11" i="15"/>
  <c r="U11" i="15"/>
  <c r="T8" i="15"/>
  <c r="U8" i="15"/>
  <c r="U7" i="15"/>
  <c r="T7" i="15"/>
  <c r="S8" i="25"/>
  <c r="T8" i="25"/>
  <c r="T20" i="56"/>
  <c r="U20" i="56"/>
  <c r="T26" i="56"/>
  <c r="U26" i="56"/>
  <c r="T22" i="56"/>
  <c r="U22" i="56"/>
  <c r="S9" i="18"/>
  <c r="T9" i="18"/>
  <c r="T36" i="15"/>
  <c r="U36" i="15"/>
  <c r="U28" i="15"/>
  <c r="T28" i="15"/>
  <c r="T10" i="20"/>
  <c r="U10" i="20"/>
  <c r="T18" i="20"/>
  <c r="U18" i="20"/>
  <c r="T6" i="24"/>
  <c r="U6" i="24"/>
  <c r="S7" i="57"/>
  <c r="T7" i="57"/>
  <c r="S7" i="18"/>
  <c r="T7" i="18"/>
  <c r="S23" i="17"/>
  <c r="T23" i="17"/>
  <c r="T49" i="15"/>
  <c r="U49" i="15"/>
  <c r="S12" i="14"/>
  <c r="T12" i="14"/>
  <c r="S11" i="25"/>
  <c r="T11" i="25"/>
  <c r="T36" i="20"/>
  <c r="U36" i="20"/>
  <c r="T38" i="15"/>
  <c r="U38" i="15"/>
  <c r="T34" i="20"/>
  <c r="U34" i="20"/>
  <c r="T34" i="56"/>
  <c r="U34" i="56"/>
  <c r="T47" i="20"/>
  <c r="U47" i="20"/>
  <c r="T51" i="56"/>
  <c r="U51" i="56"/>
  <c r="S24" i="17"/>
  <c r="T24" i="17"/>
  <c r="T69" i="15"/>
  <c r="U69" i="15"/>
  <c r="T46" i="56"/>
  <c r="U46" i="56"/>
  <c r="S29" i="17"/>
  <c r="T29" i="17"/>
  <c r="T63" i="15"/>
  <c r="U63" i="15"/>
  <c r="T49" i="20"/>
  <c r="U49" i="20"/>
  <c r="T6" i="20"/>
  <c r="U6" i="20"/>
  <c r="T10" i="15"/>
  <c r="U10" i="15"/>
  <c r="T7" i="52"/>
  <c r="U7" i="52"/>
  <c r="T6" i="13"/>
  <c r="U6" i="13"/>
  <c r="S12" i="17"/>
  <c r="T12" i="17"/>
  <c r="S7" i="21"/>
  <c r="T7" i="21"/>
  <c r="T25" i="20"/>
  <c r="U25" i="20"/>
  <c r="S12" i="11"/>
  <c r="T12" i="11"/>
  <c r="T32" i="15"/>
  <c r="U32" i="15"/>
  <c r="T31" i="15"/>
  <c r="U31" i="15"/>
  <c r="T9" i="56"/>
  <c r="U9" i="56"/>
  <c r="S11" i="17"/>
  <c r="T11" i="17"/>
  <c r="T35" i="15"/>
  <c r="U35" i="15"/>
  <c r="T12" i="56"/>
  <c r="U12" i="56"/>
  <c r="T21" i="15"/>
  <c r="U21" i="15"/>
  <c r="T14" i="15"/>
  <c r="U14" i="15"/>
  <c r="S9" i="14"/>
  <c r="T9" i="14"/>
  <c r="T29" i="56"/>
  <c r="U29" i="56"/>
  <c r="T17" i="20"/>
  <c r="U17" i="20"/>
  <c r="S10" i="14"/>
  <c r="T10" i="14"/>
  <c r="T27" i="15"/>
  <c r="U27" i="15"/>
  <c r="T29" i="15"/>
  <c r="U29" i="15"/>
  <c r="T30" i="15"/>
  <c r="U30" i="15"/>
  <c r="T11" i="20"/>
  <c r="U11" i="20"/>
  <c r="T32" i="20"/>
  <c r="U32" i="20"/>
  <c r="S13" i="14"/>
  <c r="T13" i="14"/>
  <c r="T68" i="15"/>
  <c r="U68" i="15"/>
  <c r="T19" i="56"/>
  <c r="U19" i="56"/>
  <c r="T47" i="15"/>
  <c r="U47" i="15"/>
  <c r="T11" i="56"/>
  <c r="U11" i="56"/>
  <c r="T52" i="56"/>
  <c r="U52" i="56"/>
  <c r="T22" i="20"/>
  <c r="U22" i="20"/>
  <c r="T33" i="56"/>
  <c r="U33" i="56"/>
  <c r="T53" i="15"/>
  <c r="U53" i="15"/>
  <c r="T8" i="13"/>
  <c r="U8" i="13"/>
  <c r="S10" i="25"/>
  <c r="T10" i="25"/>
  <c r="T30" i="20"/>
  <c r="U30" i="20"/>
  <c r="T44" i="15"/>
  <c r="U44" i="15"/>
  <c r="T45" i="15"/>
  <c r="U45" i="15"/>
  <c r="S7" i="17"/>
  <c r="T7" i="17"/>
  <c r="C15" i="26"/>
  <c r="S7" i="14"/>
  <c r="T7" i="14"/>
  <c r="T67" i="15"/>
  <c r="U67" i="15"/>
  <c r="T57" i="56"/>
  <c r="U57" i="56"/>
  <c r="T54" i="15"/>
  <c r="U54" i="15"/>
  <c r="T59" i="15"/>
  <c r="U59" i="15"/>
  <c r="T51" i="20"/>
  <c r="U51" i="20"/>
  <c r="T50" i="20"/>
  <c r="U50" i="20"/>
  <c r="U64" i="15"/>
  <c r="T64" i="15"/>
  <c r="T66" i="15"/>
  <c r="U66" i="15"/>
  <c r="T13" i="56"/>
  <c r="U13" i="56"/>
  <c r="T17" i="15"/>
  <c r="U17" i="15"/>
  <c r="U8" i="52"/>
  <c r="T8" i="52"/>
  <c r="T30" i="56"/>
  <c r="U30" i="56"/>
  <c r="T9" i="20"/>
  <c r="C14" i="26"/>
  <c r="U9" i="20"/>
  <c r="T24" i="20"/>
  <c r="U24" i="20"/>
  <c r="T21" i="56"/>
  <c r="U21" i="56"/>
  <c r="T22" i="15"/>
  <c r="U22" i="15"/>
  <c r="T37" i="15"/>
  <c r="U37" i="15"/>
  <c r="T10" i="52"/>
  <c r="U10" i="52"/>
  <c r="T7" i="56"/>
  <c r="U7" i="56"/>
  <c r="S8" i="21"/>
  <c r="T8" i="21"/>
  <c r="S9" i="21"/>
  <c r="T9" i="21"/>
  <c r="T6" i="15"/>
  <c r="U6" i="15"/>
  <c r="T6" i="56"/>
  <c r="U6" i="56"/>
  <c r="T8" i="24"/>
  <c r="U8" i="24"/>
  <c r="T62" i="15"/>
  <c r="U62" i="15"/>
  <c r="S6" i="18"/>
  <c r="T6" i="18"/>
  <c r="T28" i="20"/>
  <c r="U28" i="20"/>
  <c r="T43" i="56"/>
  <c r="U43" i="56"/>
  <c r="T37" i="20"/>
  <c r="U37" i="20"/>
  <c r="T38" i="20"/>
  <c r="U38" i="20"/>
  <c r="T51" i="15"/>
  <c r="U51" i="15"/>
  <c r="S8" i="11"/>
  <c r="T8" i="11"/>
  <c r="S6" i="25"/>
  <c r="T6" i="25"/>
  <c r="T56" i="15"/>
  <c r="U56" i="15"/>
  <c r="T16" i="24"/>
  <c r="U16" i="24"/>
  <c r="T61" i="15"/>
  <c r="U61" i="15"/>
  <c r="T57" i="15"/>
  <c r="U57" i="15"/>
  <c r="S17" i="14"/>
  <c r="T17" i="14"/>
  <c r="S18" i="11"/>
  <c r="T18" i="11"/>
  <c r="T9" i="24"/>
  <c r="U9" i="24"/>
  <c r="T49" i="56"/>
  <c r="U49" i="56"/>
  <c r="T15" i="56"/>
  <c r="U15" i="56"/>
  <c r="T15" i="15"/>
  <c r="U15" i="15"/>
  <c r="U20" i="15"/>
  <c r="T20" i="15"/>
  <c r="T23" i="56"/>
  <c r="U23" i="56"/>
  <c r="T26" i="20"/>
  <c r="U26" i="20"/>
  <c r="T16" i="20"/>
  <c r="U16" i="20"/>
  <c r="S11" i="11"/>
  <c r="T11" i="11"/>
  <c r="T8" i="20"/>
  <c r="U8" i="20"/>
  <c r="T34" i="15"/>
  <c r="U34" i="15"/>
  <c r="T7" i="13"/>
  <c r="U7" i="13"/>
  <c r="U11" i="52"/>
  <c r="T11" i="52"/>
  <c r="T19" i="20"/>
  <c r="U19" i="20"/>
  <c r="T55" i="56"/>
  <c r="U55" i="56"/>
  <c r="S9" i="25"/>
  <c r="T9" i="25"/>
  <c r="U42" i="15"/>
  <c r="T42" i="15"/>
  <c r="T44" i="56"/>
  <c r="U44" i="56"/>
  <c r="T48" i="20"/>
  <c r="U48" i="20"/>
  <c r="T40" i="20"/>
  <c r="U40" i="20"/>
  <c r="S6" i="57"/>
  <c r="T6" i="57"/>
  <c r="T39" i="56"/>
  <c r="U39" i="56"/>
  <c r="T18" i="56"/>
  <c r="U18" i="56"/>
  <c r="T16" i="56"/>
  <c r="U16" i="56"/>
  <c r="S15" i="11"/>
  <c r="T15" i="11"/>
  <c r="T43" i="15"/>
  <c r="U43" i="15"/>
  <c r="T52" i="15"/>
  <c r="U52" i="15"/>
  <c r="T46" i="15"/>
  <c r="U46" i="15"/>
  <c r="T12" i="52"/>
  <c r="U12" i="52"/>
  <c r="T41" i="15"/>
  <c r="U41" i="15"/>
  <c r="S14" i="11"/>
  <c r="T14" i="11"/>
  <c r="T38" i="56"/>
  <c r="U38" i="56"/>
  <c r="T7" i="20"/>
  <c r="U7" i="20"/>
  <c r="T47" i="56"/>
  <c r="U47" i="56"/>
  <c r="S13" i="25"/>
  <c r="T13" i="25"/>
  <c r="T15" i="52"/>
  <c r="U15" i="52"/>
  <c r="S16" i="14"/>
  <c r="T16" i="14"/>
  <c r="T17" i="52"/>
  <c r="U17" i="52"/>
  <c r="T50" i="56"/>
  <c r="U50" i="56"/>
  <c r="T58" i="15"/>
  <c r="U58" i="15"/>
  <c r="S15" i="18"/>
  <c r="T15" i="18"/>
  <c r="T15" i="20"/>
  <c r="U15" i="20"/>
  <c r="S6" i="17"/>
  <c r="T6" i="17"/>
  <c r="T18" i="15"/>
  <c r="U18" i="15"/>
  <c r="T19" i="15"/>
  <c r="U19" i="15"/>
  <c r="T17" i="17"/>
  <c r="S17" i="17"/>
  <c r="T12" i="20"/>
  <c r="U12" i="20"/>
  <c r="T24" i="56"/>
  <c r="U24" i="56"/>
  <c r="S11" i="14"/>
  <c r="T11" i="14"/>
  <c r="S10" i="18"/>
  <c r="T10" i="18"/>
  <c r="T26" i="15"/>
  <c r="U26" i="15"/>
  <c r="U25" i="15"/>
  <c r="T25" i="15"/>
  <c r="T7" i="24"/>
  <c r="U7" i="24"/>
  <c r="U6" i="21"/>
  <c r="L16" i="53"/>
  <c r="V17" i="15" l="1"/>
  <c r="U17" i="17"/>
  <c r="V55" i="15"/>
  <c r="V25" i="15"/>
  <c r="V30" i="56"/>
  <c r="V66" i="15"/>
  <c r="V59" i="15"/>
  <c r="U7" i="14"/>
  <c r="V41" i="56"/>
  <c r="V14" i="52"/>
  <c r="V50" i="20"/>
  <c r="U6" i="17"/>
  <c r="V50" i="56"/>
  <c r="U13" i="25"/>
  <c r="U14" i="11"/>
  <c r="V52" i="15"/>
  <c r="V18" i="56"/>
  <c r="V48" i="20"/>
  <c r="V55" i="56"/>
  <c r="V34" i="15"/>
  <c r="V26" i="20"/>
  <c r="V15" i="56"/>
  <c r="U17" i="14"/>
  <c r="V56" i="15"/>
  <c r="V38" i="20"/>
  <c r="U6" i="18"/>
  <c r="V6" i="15"/>
  <c r="V21" i="56"/>
  <c r="V8" i="52"/>
  <c r="V64" i="15"/>
  <c r="V30" i="20"/>
  <c r="V33" i="56"/>
  <c r="V47" i="15"/>
  <c r="V32" i="20"/>
  <c r="V27" i="15"/>
  <c r="U9" i="14"/>
  <c r="V35" i="15"/>
  <c r="V32" i="15"/>
  <c r="U12" i="17"/>
  <c r="V6" i="20"/>
  <c r="V46" i="56"/>
  <c r="V47" i="20"/>
  <c r="V36" i="20"/>
  <c r="U23" i="17"/>
  <c r="V18" i="20"/>
  <c r="U9" i="18"/>
  <c r="U8" i="25"/>
  <c r="V21" i="20"/>
  <c r="V43" i="20"/>
  <c r="V36" i="56"/>
  <c r="V23" i="15"/>
  <c r="V12" i="20"/>
  <c r="V13" i="56"/>
  <c r="V51" i="20"/>
  <c r="U8" i="14"/>
  <c r="V33" i="15"/>
  <c r="V16" i="15"/>
  <c r="V42" i="15"/>
  <c r="V11" i="52"/>
  <c r="V20" i="15"/>
  <c r="V28" i="15"/>
  <c r="V28" i="56"/>
  <c r="V10" i="52"/>
  <c r="V7" i="15"/>
  <c r="V65" i="15"/>
  <c r="V46" i="20"/>
  <c r="V67" i="15"/>
  <c r="V31" i="20"/>
  <c r="V57" i="56"/>
  <c r="V13" i="15"/>
  <c r="V35" i="56"/>
  <c r="V26" i="15"/>
  <c r="V13" i="20"/>
  <c r="V9" i="15"/>
  <c r="V50" i="15"/>
  <c r="C14" i="63"/>
  <c r="V35" i="20"/>
  <c r="V24" i="15"/>
  <c r="V44" i="20"/>
  <c r="U15" i="18"/>
  <c r="U16" i="14"/>
  <c r="V7" i="20"/>
  <c r="V12" i="52"/>
  <c r="U15" i="11"/>
  <c r="U6" i="57"/>
  <c r="L18" i="53" s="1"/>
  <c r="C17" i="63" s="1"/>
  <c r="U11" i="11"/>
  <c r="V9" i="24"/>
  <c r="V61" i="15"/>
  <c r="U8" i="11"/>
  <c r="V43" i="56"/>
  <c r="V8" i="24"/>
  <c r="U8" i="21"/>
  <c r="V22" i="15"/>
  <c r="V45" i="15"/>
  <c r="V8" i="13"/>
  <c r="V52" i="56"/>
  <c r="V68" i="15"/>
  <c r="V30" i="15"/>
  <c r="V17" i="20"/>
  <c r="V21" i="15"/>
  <c r="V9" i="56"/>
  <c r="V25" i="20"/>
  <c r="V7" i="52"/>
  <c r="V63" i="15"/>
  <c r="U24" i="17"/>
  <c r="V34" i="20"/>
  <c r="U12" i="14"/>
  <c r="U7" i="57"/>
  <c r="N18" i="53" s="1"/>
  <c r="V26" i="56"/>
  <c r="V8" i="15"/>
  <c r="V42" i="20"/>
  <c r="U9" i="57"/>
  <c r="R18" i="53" s="1"/>
  <c r="G17" i="63" s="1"/>
  <c r="V40" i="15"/>
  <c r="V29" i="20"/>
  <c r="U7" i="25"/>
  <c r="V60" i="15"/>
  <c r="V10" i="56"/>
  <c r="V48" i="56"/>
  <c r="V41" i="20"/>
  <c r="V32" i="56"/>
  <c r="U8" i="57"/>
  <c r="P18" i="53" s="1"/>
  <c r="F17" i="63" s="1"/>
  <c r="V7" i="24"/>
  <c r="V9" i="20"/>
  <c r="H27" i="63"/>
  <c r="U11" i="14"/>
  <c r="V24" i="56"/>
  <c r="V18" i="15"/>
  <c r="V58" i="15"/>
  <c r="V15" i="52"/>
  <c r="V38" i="56"/>
  <c r="V46" i="15"/>
  <c r="V16" i="56"/>
  <c r="V40" i="20"/>
  <c r="U9" i="25"/>
  <c r="V7" i="13"/>
  <c r="V16" i="20"/>
  <c r="V15" i="15"/>
  <c r="U18" i="11"/>
  <c r="V16" i="24"/>
  <c r="V51" i="15"/>
  <c r="V28" i="20"/>
  <c r="V6" i="56"/>
  <c r="V7" i="56"/>
  <c r="V44" i="15"/>
  <c r="V53" i="15"/>
  <c r="V11" i="56"/>
  <c r="U13" i="14"/>
  <c r="V29" i="15"/>
  <c r="V29" i="56"/>
  <c r="V12" i="56"/>
  <c r="V31" i="15"/>
  <c r="U7" i="21"/>
  <c r="V10" i="15"/>
  <c r="U29" i="17"/>
  <c r="V51" i="56"/>
  <c r="V38" i="15"/>
  <c r="V49" i="15"/>
  <c r="V6" i="24"/>
  <c r="V36" i="15"/>
  <c r="V20" i="56"/>
  <c r="V11" i="15"/>
  <c r="V15" i="24"/>
  <c r="V14" i="24"/>
  <c r="U12" i="18"/>
  <c r="V13" i="52"/>
  <c r="U12" i="25"/>
  <c r="U13" i="17"/>
  <c r="V42" i="56"/>
  <c r="V23" i="20"/>
  <c r="V54" i="56"/>
  <c r="U15" i="14"/>
  <c r="V20" i="20"/>
  <c r="U13" i="18"/>
  <c r="U18" i="17"/>
  <c r="V45" i="56"/>
  <c r="V9" i="13"/>
  <c r="E27" i="63"/>
  <c r="V56" i="56"/>
  <c r="V12" i="15"/>
  <c r="U6" i="14"/>
  <c r="V33" i="20"/>
  <c r="V17" i="56"/>
  <c r="W9" i="54"/>
  <c r="V19" i="15"/>
  <c r="V54" i="15"/>
  <c r="U10" i="18"/>
  <c r="V15" i="20"/>
  <c r="V17" i="52"/>
  <c r="V47" i="56"/>
  <c r="V41" i="15"/>
  <c r="V43" i="15"/>
  <c r="V39" i="56"/>
  <c r="V44" i="56"/>
  <c r="V19" i="20"/>
  <c r="V8" i="20"/>
  <c r="V23" i="56"/>
  <c r="V49" i="56"/>
  <c r="V57" i="15"/>
  <c r="U6" i="25"/>
  <c r="V37" i="20"/>
  <c r="V62" i="15"/>
  <c r="U9" i="21"/>
  <c r="V37" i="15"/>
  <c r="V24" i="20"/>
  <c r="U7" i="17"/>
  <c r="U10" i="25"/>
  <c r="V22" i="20"/>
  <c r="V19" i="56"/>
  <c r="V11" i="20"/>
  <c r="U10" i="14"/>
  <c r="V14" i="15"/>
  <c r="U11" i="17"/>
  <c r="U12" i="11"/>
  <c r="V6" i="13"/>
  <c r="V49" i="20"/>
  <c r="V69" i="15"/>
  <c r="V34" i="56"/>
  <c r="U11" i="25"/>
  <c r="U7" i="18"/>
  <c r="V10" i="20"/>
  <c r="V22" i="56"/>
  <c r="V8" i="56"/>
  <c r="K20" i="53" a="1"/>
  <c r="K20" i="53" s="1"/>
  <c r="U17" i="11"/>
  <c r="V16" i="52"/>
  <c r="V39" i="15"/>
  <c r="V48" i="15"/>
  <c r="U19" i="17"/>
  <c r="U16" i="18"/>
  <c r="V25" i="56"/>
  <c r="V27" i="20"/>
  <c r="U9" i="11"/>
  <c r="U25" i="17"/>
  <c r="V45" i="20"/>
  <c r="V39" i="20"/>
  <c r="V37" i="56"/>
  <c r="V14" i="20"/>
  <c r="V31" i="56"/>
  <c r="U14" i="14"/>
  <c r="L14" i="53"/>
  <c r="L24" i="53"/>
  <c r="L15" i="53"/>
  <c r="P11" i="54"/>
  <c r="N24" i="53"/>
  <c r="N9" i="53"/>
  <c r="P8" i="53"/>
  <c r="R20" i="53"/>
  <c r="N15" i="53"/>
  <c r="N11" i="54"/>
  <c r="P13" i="53"/>
  <c r="N16" i="53"/>
  <c r="R8" i="53"/>
  <c r="R11" i="53"/>
  <c r="P11" i="53"/>
  <c r="P15" i="53"/>
  <c r="R13" i="53"/>
  <c r="L11" i="54"/>
  <c r="L8" i="53"/>
  <c r="N10" i="53"/>
  <c r="L10" i="53"/>
  <c r="R10" i="53"/>
  <c r="R15" i="53"/>
  <c r="P20" i="53"/>
  <c r="R16" i="53"/>
  <c r="L11" i="53"/>
  <c r="R14" i="53"/>
  <c r="N20" i="53"/>
  <c r="P14" i="53"/>
  <c r="N11" i="53"/>
  <c r="N14" i="53"/>
  <c r="P9" i="53"/>
  <c r="L20" i="53"/>
  <c r="P25" i="53"/>
  <c r="P10" i="53"/>
  <c r="L9" i="53"/>
  <c r="P24" i="53"/>
  <c r="N8" i="53"/>
  <c r="R9" i="53"/>
  <c r="R24" i="53"/>
  <c r="L13" i="53"/>
  <c r="R25" i="53"/>
  <c r="P16" i="53"/>
  <c r="R11" i="54"/>
  <c r="N13" i="53"/>
  <c r="L25" i="53"/>
  <c r="N25" i="53"/>
  <c r="D10" i="63" l="1"/>
  <c r="K13" i="53"/>
  <c r="N7" i="53"/>
  <c r="D6" i="63"/>
  <c r="X8" i="51"/>
  <c r="G14" i="63"/>
  <c r="D12" i="63"/>
  <c r="L7" i="53"/>
  <c r="T8" i="53"/>
  <c r="V8" i="51"/>
  <c r="C6" i="63"/>
  <c r="F13" i="63"/>
  <c r="G24" i="63"/>
  <c r="G23" i="63" s="1"/>
  <c r="C28" i="63"/>
  <c r="T11" i="54"/>
  <c r="T8" i="54" s="1"/>
  <c r="W8" i="54" s="1"/>
  <c r="L8" i="54"/>
  <c r="V9" i="51"/>
  <c r="X14" i="51"/>
  <c r="F8" i="63"/>
  <c r="G12" i="63"/>
  <c r="C8" i="63"/>
  <c r="T9" i="53"/>
  <c r="D24" i="63"/>
  <c r="C10" i="63"/>
  <c r="T11" i="53"/>
  <c r="W11" i="53" s="1"/>
  <c r="G28" i="63"/>
  <c r="G26" i="63" s="1"/>
  <c r="G25" i="63" s="1"/>
  <c r="R8" i="54"/>
  <c r="G22" i="63"/>
  <c r="D8" i="63"/>
  <c r="G7" i="63"/>
  <c r="F12" i="63"/>
  <c r="F7" i="63"/>
  <c r="F11" i="63"/>
  <c r="G11" i="63"/>
  <c r="C7" i="63"/>
  <c r="T10" i="53"/>
  <c r="W10" i="53" s="1"/>
  <c r="D22" i="63"/>
  <c r="T25" i="53"/>
  <c r="W25" i="53" s="1"/>
  <c r="C24" i="63"/>
  <c r="G6" i="63"/>
  <c r="R7" i="53"/>
  <c r="D7" i="63"/>
  <c r="F19" i="63"/>
  <c r="V11" i="51"/>
  <c r="T20" i="53"/>
  <c r="W20" i="53" s="1"/>
  <c r="C19" i="63"/>
  <c r="F14" i="63"/>
  <c r="F22" i="63"/>
  <c r="X11" i="51"/>
  <c r="D19" i="63"/>
  <c r="C13" i="63"/>
  <c r="T15" i="53"/>
  <c r="G19" i="63"/>
  <c r="F6" i="63"/>
  <c r="P7" i="53"/>
  <c r="F28" i="63"/>
  <c r="P8" i="54"/>
  <c r="F10" i="63"/>
  <c r="F24" i="63"/>
  <c r="D14" i="63"/>
  <c r="E14" i="63" s="1"/>
  <c r="T16" i="53"/>
  <c r="G10" i="63"/>
  <c r="D28" i="63"/>
  <c r="D26" i="63" s="1"/>
  <c r="D25" i="63" s="1"/>
  <c r="X9" i="51"/>
  <c r="N8" i="54"/>
  <c r="G6" i="62" s="1"/>
  <c r="C11" i="63"/>
  <c r="T13" i="53"/>
  <c r="V14" i="51"/>
  <c r="T14" i="53"/>
  <c r="C12" i="63"/>
  <c r="D11" i="63"/>
  <c r="G8" i="63"/>
  <c r="D13" i="63"/>
  <c r="G13" i="63"/>
  <c r="T24" i="53"/>
  <c r="W24" i="53" s="1"/>
  <c r="C22" i="63"/>
  <c r="K11" i="54" a="1"/>
  <c r="K11" i="54" s="1"/>
  <c r="T18" i="53"/>
  <c r="D17" i="63"/>
  <c r="E17" i="63" s="1"/>
  <c r="H17" i="63"/>
  <c r="E10" i="63" l="1"/>
  <c r="H24" i="63"/>
  <c r="H22" i="63"/>
  <c r="E12" i="63"/>
  <c r="H12" i="63"/>
  <c r="E22" i="63"/>
  <c r="D18" i="63"/>
  <c r="H14" i="63"/>
  <c r="G18" i="63"/>
  <c r="H7" i="63"/>
  <c r="G5" i="63"/>
  <c r="E24" i="63"/>
  <c r="E11" i="63"/>
  <c r="E7" i="63"/>
  <c r="D23" i="63"/>
  <c r="V5" i="51"/>
  <c r="V7" i="51"/>
  <c r="W8" i="51"/>
  <c r="P8" i="51" s="1"/>
  <c r="E8" i="51"/>
  <c r="O8" i="51" s="1"/>
  <c r="W9" i="51"/>
  <c r="P9" i="51" s="1"/>
  <c r="V6" i="51"/>
  <c r="E9" i="51"/>
  <c r="O9" i="51" s="1"/>
  <c r="T7" i="53"/>
  <c r="W8" i="53"/>
  <c r="F21" i="62"/>
  <c r="F6" i="62"/>
  <c r="F5" i="62"/>
  <c r="Q4" i="51"/>
  <c r="AF4" i="51"/>
  <c r="W9" i="53"/>
  <c r="W9" i="56"/>
  <c r="E8" i="63"/>
  <c r="E28" i="63"/>
  <c r="C26" i="63"/>
  <c r="C23" i="63"/>
  <c r="C18" i="63"/>
  <c r="E19" i="63"/>
  <c r="E13" i="63"/>
  <c r="F18" i="63"/>
  <c r="H19" i="63"/>
  <c r="X5" i="51"/>
  <c r="G5" i="51" s="1"/>
  <c r="Y8" i="51"/>
  <c r="Z8" i="51"/>
  <c r="X7" i="51"/>
  <c r="G8" i="51"/>
  <c r="F5" i="63"/>
  <c r="H6" i="63"/>
  <c r="V13" i="51"/>
  <c r="W14" i="51"/>
  <c r="E14" i="51"/>
  <c r="O14" i="51" s="1"/>
  <c r="Z11" i="51"/>
  <c r="I11" i="51" s="1"/>
  <c r="E11" i="51"/>
  <c r="O11" i="51" s="1"/>
  <c r="W11" i="51"/>
  <c r="P11" i="51" s="1"/>
  <c r="V10" i="51"/>
  <c r="H10" i="63"/>
  <c r="H8" i="63"/>
  <c r="H13" i="63"/>
  <c r="D5" i="63"/>
  <c r="H28" i="63"/>
  <c r="F26" i="63"/>
  <c r="W13" i="53"/>
  <c r="Z9" i="51"/>
  <c r="Y9" i="51"/>
  <c r="G9" i="51"/>
  <c r="X6" i="51"/>
  <c r="G6" i="51" s="1"/>
  <c r="Y11" i="51"/>
  <c r="X10" i="51"/>
  <c r="G10" i="51" s="1"/>
  <c r="G11" i="51"/>
  <c r="H11" i="63"/>
  <c r="F23" i="63"/>
  <c r="H23" i="63" s="1"/>
  <c r="Y14" i="51"/>
  <c r="G14" i="51"/>
  <c r="Z14" i="51"/>
  <c r="I14" i="51" s="1"/>
  <c r="X13" i="51"/>
  <c r="G13" i="51" s="1"/>
  <c r="C5" i="63"/>
  <c r="E6" i="63"/>
  <c r="G5" i="62"/>
  <c r="G8" i="62" s="1"/>
  <c r="R4" i="51"/>
  <c r="D4" i="63" l="1"/>
  <c r="E18" i="63"/>
  <c r="H18" i="63"/>
  <c r="G4" i="63"/>
  <c r="G3" i="63" s="1"/>
  <c r="D3" i="63"/>
  <c r="E23" i="63"/>
  <c r="F8" i="62"/>
  <c r="F14" i="62" s="1"/>
  <c r="G14" i="62" s="1"/>
  <c r="H14" i="62" s="1"/>
  <c r="AA8" i="51"/>
  <c r="H8" i="51"/>
  <c r="Y7" i="51"/>
  <c r="Y5" i="51"/>
  <c r="H5" i="51" s="1"/>
  <c r="C4" i="63"/>
  <c r="E5" i="63"/>
  <c r="W10" i="51"/>
  <c r="P10" i="51" s="1"/>
  <c r="F11" i="51"/>
  <c r="F4" i="63"/>
  <c r="H5" i="63"/>
  <c r="W7" i="53"/>
  <c r="AC8" i="51"/>
  <c r="Z7" i="51"/>
  <c r="I7" i="51" s="1"/>
  <c r="E7" i="51"/>
  <c r="O7" i="51" s="1"/>
  <c r="V4" i="51"/>
  <c r="E5" i="51"/>
  <c r="O5" i="51" s="1"/>
  <c r="H11" i="51"/>
  <c r="Y10" i="51"/>
  <c r="H10" i="51" s="1"/>
  <c r="AA11" i="51"/>
  <c r="J11" i="51" s="1"/>
  <c r="X4" i="51"/>
  <c r="G4" i="51" s="1"/>
  <c r="G7" i="51"/>
  <c r="E6" i="51"/>
  <c r="O6" i="51" s="1"/>
  <c r="Q8" i="51" s="1"/>
  <c r="Z5" i="51"/>
  <c r="I8" i="51"/>
  <c r="W6" i="51"/>
  <c r="F6" i="51" s="1"/>
  <c r="AA9" i="51"/>
  <c r="F9" i="51"/>
  <c r="AA14" i="51"/>
  <c r="F14" i="51"/>
  <c r="W13" i="51"/>
  <c r="F13" i="51" s="1"/>
  <c r="C25" i="63"/>
  <c r="E25" i="63" s="1"/>
  <c r="E26" i="63"/>
  <c r="H9" i="51"/>
  <c r="Y6" i="51"/>
  <c r="H6" i="51" s="1"/>
  <c r="Z13" i="51"/>
  <c r="I13" i="51" s="1"/>
  <c r="E13" i="51"/>
  <c r="O13" i="51" s="1"/>
  <c r="P14" i="51"/>
  <c r="Z10" i="51"/>
  <c r="I10" i="51" s="1"/>
  <c r="E10" i="51"/>
  <c r="O10" i="51" s="1"/>
  <c r="W7" i="51"/>
  <c r="F8" i="51"/>
  <c r="W5" i="51"/>
  <c r="F5" i="51" s="1"/>
  <c r="Y13" i="51"/>
  <c r="H13" i="51" s="1"/>
  <c r="H14" i="51"/>
  <c r="I9" i="51"/>
  <c r="Z6" i="51"/>
  <c r="H26" i="63"/>
  <c r="F25" i="63"/>
  <c r="H25" i="63" s="1"/>
  <c r="E4" i="63" l="1"/>
  <c r="E3" i="63"/>
  <c r="H4" i="63"/>
  <c r="H3" i="63" s="1"/>
  <c r="P13" i="51"/>
  <c r="P5" i="51"/>
  <c r="E4" i="51"/>
  <c r="O4" i="51" s="1"/>
  <c r="Z4" i="51"/>
  <c r="I4" i="51" s="1"/>
  <c r="AA13" i="51"/>
  <c r="J13" i="51" s="1"/>
  <c r="J14" i="51"/>
  <c r="F10" i="51"/>
  <c r="AA10" i="51"/>
  <c r="J10" i="51" s="1"/>
  <c r="AC9" i="51"/>
  <c r="W4" i="51"/>
  <c r="F4" i="51" s="1"/>
  <c r="AA7" i="51"/>
  <c r="F7" i="51"/>
  <c r="AA6" i="51"/>
  <c r="J6" i="51" s="1"/>
  <c r="J9" i="51"/>
  <c r="P7" i="51"/>
  <c r="C3" i="63"/>
  <c r="H7" i="51"/>
  <c r="Y4" i="51"/>
  <c r="H4" i="51" s="1"/>
  <c r="I6" i="51"/>
  <c r="I5" i="51"/>
  <c r="P6" i="51"/>
  <c r="F3" i="63"/>
  <c r="J8" i="51"/>
  <c r="AA5" i="51"/>
  <c r="J5" i="51" s="1"/>
  <c r="P4" i="51" l="1"/>
  <c r="AC6" i="51"/>
  <c r="AA4" i="51"/>
  <c r="J4" i="51" s="1"/>
  <c r="J7" i="51"/>
  <c r="AC5"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6" authorId="0" shapeId="0" xr:uid="{00000000-0006-0000-0F00-00000100000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Ryan Brown</author>
  </authors>
  <commentList>
    <comment ref="M5" authorId="0" shapeId="0" xr:uid="{00000000-0006-0000-1300-000002000000}">
      <text>
        <r>
          <rPr>
            <b/>
            <sz val="9"/>
            <color indexed="81"/>
            <rFont val="Tahoma"/>
            <family val="2"/>
          </rPr>
          <t>Christina Steinhoff:</t>
        </r>
        <r>
          <rPr>
            <sz val="9"/>
            <color indexed="81"/>
            <rFont val="Tahoma"/>
            <family val="2"/>
          </rPr>
          <t xml:space="preserve">
Units are additive</t>
        </r>
      </text>
    </comment>
    <comment ref="N5"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5F889BFB-23D0-496D-8EDD-AF7487B5BDFC}">
      <text>
        <r>
          <rPr>
            <b/>
            <sz val="9"/>
            <color indexed="81"/>
            <rFont val="Tahoma"/>
            <family val="2"/>
          </rPr>
          <t>Greg Kaleka:</t>
        </r>
        <r>
          <rPr>
            <sz val="9"/>
            <color indexed="81"/>
            <rFont val="Tahoma"/>
            <family val="2"/>
          </rPr>
          <t xml:space="preserve">
This needs fixing - consider a very rough approximation for now!</t>
        </r>
      </text>
    </comment>
    <comment ref="K87" authorId="2"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8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C2C6122E-E02D-4564-8FDD-8B9A0881156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1C8A23EF-8884-420D-B13E-3861AFF3094A}">
      <text>
        <r>
          <rPr>
            <b/>
            <sz val="9"/>
            <color indexed="81"/>
            <rFont val="Tahoma"/>
            <family val="2"/>
          </rPr>
          <t>Christina Steinhoff:</t>
        </r>
        <r>
          <rPr>
            <sz val="9"/>
            <color indexed="81"/>
            <rFont val="Tahoma"/>
            <family val="2"/>
          </rPr>
          <t xml:space="preserve">
Pulling total sales</t>
        </r>
      </text>
    </comment>
    <comment ref="N5"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C143A3B-5CC5-4ED3-9691-58871C8F9B4D}">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7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D1CB5E6D-8DDB-417F-BB9A-3476FB22D4E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4BE77A6B-B134-4798-903A-DF7FC84FF61D}">
      <text>
        <r>
          <rPr>
            <b/>
            <sz val="9"/>
            <color indexed="81"/>
            <rFont val="Tahoma"/>
            <family val="2"/>
          </rPr>
          <t>Christina Steinhoff:</t>
        </r>
        <r>
          <rPr>
            <sz val="9"/>
            <color indexed="81"/>
            <rFont val="Tahoma"/>
            <family val="2"/>
          </rPr>
          <t xml:space="preserve">
Pulling total sales</t>
        </r>
      </text>
    </comment>
    <comment ref="N5"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27DABBF-04F3-43AD-9D14-26A728C04A7C}">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9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Greg Kaleka</author>
  </authors>
  <commentList>
    <comment ref="M5" authorId="0" shapeId="0" xr:uid="{00000000-0006-0000-1F00-000001000000}">
      <text>
        <r>
          <rPr>
            <b/>
            <sz val="9"/>
            <color indexed="81"/>
            <rFont val="Tahoma"/>
            <family val="2"/>
          </rPr>
          <t>Christina Steinhoff:</t>
        </r>
        <r>
          <rPr>
            <sz val="9"/>
            <color indexed="81"/>
            <rFont val="Tahoma"/>
            <family val="2"/>
          </rPr>
          <t xml:space="preserve">
Values are additive</t>
        </r>
      </text>
    </comment>
    <comment ref="N5" authorId="0" shapeId="0" xr:uid="{00000000-0006-0000-1F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xr:uid="{00000000-0006-0000-1F00-000003000000}">
      <text>
        <r>
          <rPr>
            <b/>
            <sz val="9"/>
            <color indexed="81"/>
            <rFont val="Tahoma"/>
            <family val="2"/>
          </rPr>
          <t>Ryan Brown:</t>
        </r>
        <r>
          <rPr>
            <sz val="9"/>
            <color indexed="81"/>
            <rFont val="Tahoma"/>
            <family val="2"/>
          </rPr>
          <t xml:space="preserve">
Replacements for desktops sold during the power plan.</t>
        </r>
      </text>
    </comment>
    <comment ref="P5" authorId="0" shapeId="0" xr:uid="{00000000-0006-0000-1F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5" authorId="2" shapeId="0" xr:uid="{A09AF53A-83EE-43A2-9963-7F351D90DC8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Charlie Grist</author>
    <author>Kathryn Bae</author>
    <author>Christian</author>
  </authors>
  <commentList>
    <comment ref="N6"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6" authorId="1" shapeId="0" xr:uid="{FAB50CE0-EA32-40E4-B263-235382876319}">
      <text>
        <r>
          <rPr>
            <b/>
            <sz val="9"/>
            <color indexed="81"/>
            <rFont val="Tahoma"/>
            <family val="2"/>
          </rPr>
          <t>Greg Kaleka:</t>
        </r>
        <r>
          <rPr>
            <sz val="9"/>
            <color indexed="81"/>
            <rFont val="Tahoma"/>
            <family val="2"/>
          </rPr>
          <t xml:space="preserve">
This needs fixing - consider a very rough approximation for now!</t>
        </r>
      </text>
    </comment>
    <comment ref="AQ79" authorId="2"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R79" authorId="2"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S79" authorId="2"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 ref="J218" authorId="3" shapeId="0" xr:uid="{959C3F4B-C7D3-472E-8D09-9DDD178EEA6A}">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223" authorId="3" shapeId="0" xr:uid="{EA290A11-1197-4297-8D10-CC766298E8ED}">
      <text>
        <r>
          <rPr>
            <b/>
            <sz val="9"/>
            <color indexed="81"/>
            <rFont val="Tahoma"/>
            <family val="2"/>
          </rPr>
          <t>Kathryn Bae:</t>
        </r>
        <r>
          <rPr>
            <sz val="9"/>
            <color indexed="81"/>
            <rFont val="Tahoma"/>
            <family val="2"/>
          </rPr>
          <t xml:space="preserve">
Values in the draft 2021 Plan</t>
        </r>
      </text>
    </comment>
    <comment ref="AB246" authorId="4" shapeId="0" xr:uid="{3A3D67F2-471A-4AC5-AF65-A71FA4EE75E0}">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246" authorId="4" shapeId="0" xr:uid="{295CE110-044E-46BA-9E98-44E8C95FEAC1}">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Kathryn Bae</author>
    <author>Christian</author>
  </authors>
  <commentList>
    <comment ref="N5" authorId="0" shapeId="0" xr:uid="{00000000-0006-0000-25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01DBE583-627D-45E3-9A78-76948BD15042}">
      <text>
        <r>
          <rPr>
            <b/>
            <sz val="9"/>
            <color indexed="81"/>
            <rFont val="Tahoma"/>
            <family val="2"/>
          </rPr>
          <t>Greg Kaleka:</t>
        </r>
        <r>
          <rPr>
            <sz val="9"/>
            <color indexed="81"/>
            <rFont val="Tahoma"/>
            <family val="2"/>
          </rPr>
          <t xml:space="preserve">
This needs fixing - consider a very rough approximation for now!</t>
        </r>
      </text>
    </comment>
    <comment ref="J52" authorId="2" shapeId="0" xr:uid="{509E50D2-ADA3-4347-A766-04FA217A9B01}">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57" authorId="2" shapeId="0" xr:uid="{20C0AED9-52E6-4F69-9CDA-97364AC654C9}">
      <text>
        <r>
          <rPr>
            <b/>
            <sz val="9"/>
            <color indexed="81"/>
            <rFont val="Tahoma"/>
            <family val="2"/>
          </rPr>
          <t>Kathryn Bae:</t>
        </r>
        <r>
          <rPr>
            <sz val="9"/>
            <color indexed="81"/>
            <rFont val="Tahoma"/>
            <family val="2"/>
          </rPr>
          <t xml:space="preserve">
Values in the draft 2021 Plan</t>
        </r>
      </text>
    </comment>
    <comment ref="AB80" authorId="3" shapeId="0" xr:uid="{96598712-A329-4966-B192-143EA05DA17E}">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80" authorId="3" shapeId="0" xr:uid="{53BC96EE-A53F-4993-98B3-258BFD5D4796}">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I6" authorId="0" shapeId="0" xr:uid="{00000000-0006-0000-0E00-000001000000}">
      <text>
        <r>
          <rPr>
            <b/>
            <sz val="9"/>
            <color indexed="81"/>
            <rFont val="Tahoma"/>
            <family val="2"/>
          </rPr>
          <t>Christina Steinhoff:</t>
        </r>
        <r>
          <rPr>
            <sz val="9"/>
            <color indexed="81"/>
            <rFont val="Tahoma"/>
            <family val="2"/>
          </rPr>
          <t xml:space="preserve">
For blue highlighted programs, go to tab to switch the baseline</t>
        </r>
      </text>
    </comment>
    <comment ref="X7" authorId="0" shapeId="0" xr:uid="{87A6314F-4EFB-48BC-91CE-9A17871C9DA1}">
      <text>
        <r>
          <rPr>
            <b/>
            <sz val="9"/>
            <color indexed="81"/>
            <rFont val="Tahoma"/>
            <family val="2"/>
          </rPr>
          <t>Christina Steinhoff:</t>
        </r>
        <r>
          <rPr>
            <sz val="9"/>
            <color indexed="81"/>
            <rFont val="Tahoma"/>
            <family val="2"/>
          </rPr>
          <t xml:space="preserve">
Updated with RTF on 9/1/2020</t>
        </r>
      </text>
    </comment>
    <comment ref="AD7" authorId="0" shapeId="0" xr:uid="{C0AF4A4E-192D-4D70-8770-C30C750CABC2}">
      <text>
        <r>
          <rPr>
            <b/>
            <sz val="9"/>
            <color indexed="81"/>
            <rFont val="Tahoma"/>
            <family val="2"/>
          </rPr>
          <t>Christina Steinhoff:</t>
        </r>
        <r>
          <rPr>
            <sz val="9"/>
            <color indexed="81"/>
            <rFont val="Tahoma"/>
            <family val="2"/>
          </rPr>
          <t xml:space="preserve">
updated with RTF on 9/1/2020</t>
        </r>
      </text>
    </comment>
    <comment ref="J25" authorId="0" shapeId="0" xr:uid="{7D70C957-10CE-42A6-A6B9-0ED2031807A9}">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22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22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75B04B42-19A1-4950-8726-65766151012B}">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K6"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O6" authorId="1" shapeId="0" xr:uid="{244F1C2F-52AF-4C3D-A0C6-0212AA47134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00000000-0006-0000-16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2BAEB359-D838-4D48-A583-7C6F3026A523}">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3" authorId="0" shapeId="0" xr:uid="{00000000-0006-0000-24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xr:uid="{00000000-0006-0000-24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tc={344CAB06-87E9-49CC-8401-4004EF1B7586}</author>
    <author>tc={50C09E9C-6FD8-4023-8FB2-F7EED38A928F}</author>
    <author>Kathryn Bae</author>
    <author>Christina Steinhoff</author>
  </authors>
  <commentList>
    <comment ref="J3" authorId="0" shapeId="0" xr:uid="{344CAB06-87E9-49CC-8401-4004EF1B7586}">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K3" authorId="1" shapeId="0" xr:uid="{50C09E9C-6FD8-4023-8FB2-F7EED38A928F}">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E53" authorId="2" shapeId="0" xr:uid="{76095D9E-0BBD-4853-B62B-17C8E73BE137}">
      <text>
        <r>
          <rPr>
            <b/>
            <sz val="9"/>
            <color indexed="81"/>
            <rFont val="Tahoma"/>
            <family val="2"/>
          </rPr>
          <t>Kathryn Bae:</t>
        </r>
        <r>
          <rPr>
            <sz val="9"/>
            <color indexed="81"/>
            <rFont val="Tahoma"/>
            <family val="2"/>
          </rPr>
          <t xml:space="preserve">
 MT 2018 IECC won't likely happen in 2021.</t>
        </r>
      </text>
    </comment>
    <comment ref="E70" authorId="3" shapeId="0" xr:uid="{1D7AFA7A-F68D-421B-A9C5-A49241D12065}">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 xml:space="preserve"> </author>
  </authors>
  <commentList>
    <comment ref="K5" authorId="0" shapeId="0" xr:uid="{00000000-0006-0000-1100-000002000000}">
      <text>
        <r>
          <rPr>
            <b/>
            <sz val="9"/>
            <color indexed="81"/>
            <rFont val="Tahoma"/>
            <family val="2"/>
          </rPr>
          <t>Christina Steinhoff:</t>
        </r>
        <r>
          <rPr>
            <sz val="9"/>
            <color indexed="81"/>
            <rFont val="Tahoma"/>
            <family val="2"/>
          </rPr>
          <t xml:space="preserve">
efficiency level</t>
        </r>
      </text>
    </comment>
    <comment ref="M5"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N5"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218CA39-5379-4C76-81BE-9E0B4F225C27}">
      <text>
        <r>
          <rPr>
            <b/>
            <sz val="9"/>
            <color indexed="81"/>
            <rFont val="Tahoma"/>
            <family val="2"/>
          </rPr>
          <t>Greg Kaleka:</t>
        </r>
        <r>
          <rPr>
            <sz val="9"/>
            <color indexed="81"/>
            <rFont val="Tahoma"/>
            <family val="2"/>
          </rPr>
          <t xml:space="preserve">
This needs fixing - consider a very rough approximation for now!</t>
        </r>
      </text>
    </comment>
    <comment ref="H112" authorId="2" shapeId="0" xr:uid="{E9E32E1A-0A2B-4BB6-8BB9-758366E60A64}">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12" authorId="2" shapeId="0" xr:uid="{F8976636-24D9-4A92-9974-BF35E9FA3508}">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12" authorId="2" shapeId="0" xr:uid="{B17B93CF-1419-43FC-B7CB-38760855B33F}">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12" authorId="2" shapeId="0" xr:uid="{7768E45F-FC0E-4E7D-A26B-F530417CDC0A}">
      <text>
        <r>
          <rPr>
            <b/>
            <sz val="8"/>
            <color indexed="81"/>
            <rFont val="Tahoma"/>
            <family val="2"/>
          </rPr>
          <t xml:space="preserve"> :ProCost</t>
        </r>
        <r>
          <rPr>
            <sz val="8"/>
            <color indexed="81"/>
            <rFont val="Tahoma"/>
            <family val="2"/>
          </rPr>
          <t xml:space="preserve">
Physical life of the measure in years.  Must be &gt;=1.</t>
        </r>
      </text>
    </comment>
    <comment ref="L112" authorId="2" shapeId="0" xr:uid="{43F600C2-BCBE-4454-B2FF-8394FEEF5C4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12" authorId="2" shapeId="0" xr:uid="{FFCF6BB5-5277-4207-8DE9-4E546478063C}">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12" authorId="2" shapeId="0" xr:uid="{30BF1964-DCAD-479F-94CC-7DD278E8EA77}">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12" authorId="2" shapeId="0" xr:uid="{5262C2B5-B60F-4A62-81D5-87922E738F6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159" authorId="2" shapeId="0" xr:uid="{46D67E3D-EDF6-49AE-8C77-2E17873614E2}">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59" authorId="2" shapeId="0" xr:uid="{6525CA2C-D8F3-46A1-A7D0-647931F353B1}">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59" authorId="2" shapeId="0" xr:uid="{61C216B4-D3BB-4992-8890-ED874F67BC3D}">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59" authorId="2" shapeId="0" xr:uid="{DC5D8463-BE11-4E96-AC7C-F812B1737A4E}">
      <text>
        <r>
          <rPr>
            <b/>
            <sz val="8"/>
            <color indexed="81"/>
            <rFont val="Tahoma"/>
            <family val="2"/>
          </rPr>
          <t xml:space="preserve"> :ProCost</t>
        </r>
        <r>
          <rPr>
            <sz val="8"/>
            <color indexed="81"/>
            <rFont val="Tahoma"/>
            <family val="2"/>
          </rPr>
          <t xml:space="preserve">
Physical life of the measure in years.  Must be &gt;=1.</t>
        </r>
      </text>
    </comment>
    <comment ref="L159" authorId="2" shapeId="0" xr:uid="{D1E376E5-1E15-457F-A2F9-2154244EC6F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59" authorId="2" shapeId="0" xr:uid="{D2ADF629-95E3-4250-94CB-CEFA99EAA8F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59" authorId="2" shapeId="0" xr:uid="{786495A1-B9C2-4474-B200-780FD36AE68B}">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59" authorId="2" shapeId="0" xr:uid="{706B062F-FDEB-4461-961E-34CD3391255D}">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4CEF64E7-C6DB-4A9D-9AF8-70622505DE4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N5"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33543141-D854-497B-9C7E-BC8627BF822C}">
      <text>
        <r>
          <rPr>
            <b/>
            <sz val="9"/>
            <color indexed="81"/>
            <rFont val="Tahoma"/>
            <family val="2"/>
          </rPr>
          <t>Greg Kaleka:</t>
        </r>
        <r>
          <rPr>
            <sz val="9"/>
            <color indexed="81"/>
            <rFont val="Tahoma"/>
            <family val="2"/>
          </rPr>
          <t xml:space="preserve">
This needs fixing - consider a very rough approximation for now!</t>
        </r>
      </text>
    </comment>
    <comment ref="F16" authorId="0" shapeId="0" xr:uid="{00000000-0006-0000-1200-000005000000}">
      <text>
        <r>
          <rPr>
            <b/>
            <sz val="9"/>
            <color indexed="81"/>
            <rFont val="Tahoma"/>
            <family val="2"/>
          </rPr>
          <t>Christina Steinhoff:</t>
        </r>
        <r>
          <rPr>
            <sz val="9"/>
            <color indexed="81"/>
            <rFont val="Tahoma"/>
            <family val="2"/>
          </rPr>
          <t xml:space="preserve">
is this above baseline?</t>
        </r>
      </text>
    </comment>
    <comment ref="F32" authorId="0" shapeId="0" xr:uid="{00000000-0006-0000-1200-000008000000}">
      <text>
        <r>
          <rPr>
            <b/>
            <sz val="9"/>
            <color indexed="81"/>
            <rFont val="Tahoma"/>
            <family val="2"/>
          </rPr>
          <t>Christina Steinhoff:</t>
        </r>
        <r>
          <rPr>
            <sz val="9"/>
            <color indexed="81"/>
            <rFont val="Tahoma"/>
            <family val="2"/>
          </rPr>
          <t xml:space="preserve">
is this above baseline?</t>
        </r>
      </text>
    </comment>
    <comment ref="L323" authorId="0" shapeId="0" xr:uid="{00000000-0006-0000-1200-00000900000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C20C7392-F1A6-417D-86D5-F44899209AFD}">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84E6412D-7D23-4862-B337-BC82AB8F203E}">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O5"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EC801E35-9852-4257-8CA6-1E52201EA515}">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N5"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B4D51F5-1BEF-4E0B-B960-A7EE4860327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1BCEA7-6D35-49E1-B4E2-C9FA3E818986}" keepAlive="1" name="Query - vwFunderShare" type="5" refreshedVersion="6" deleted="1" background="1">
    <dbPr connection="" command=""/>
  </connection>
  <connection id="2" xr16:uid="{30052B1F-DB44-4522-9816-69968F766E8D}" name="Query - vwFunderShare1" description="Connection to the 'vwFunderShare' query in the workbook." type="100" refreshedVersion="6" minRefreshableVersion="5">
    <extLst>
      <ext xmlns:x15="http://schemas.microsoft.com/office/spreadsheetml/2010/11/main" uri="{DE250136-89BD-433C-8126-D09CA5730AF9}">
        <x15:connection id="c15b68aa-d8ce-43ec-9e36-155735d7fc0b"/>
      </ext>
    </extLst>
  </connection>
  <connection id="3" xr16:uid="{A9777C27-5887-4CDA-A69F-702FD2756BA7}" keepAlive="1" name="Query - vwFundingCycleFlagsWAIOU" description="Connection to the 'vwFundingCycleFlagsWAIOU' query in the workbook." type="5" refreshedVersion="6" background="1" saveData="1">
    <dbPr connection="Provider=Microsoft.Mashup.OleDb.1;Data Source=$Workbook$;Location=vwFundingCycleFlagsWAIOU;Extended Properties=&quot;&quot;" command="SELECT * FROM [vwFundingCycleFlagsWAIOU]"/>
  </connection>
  <connection id="4" xr16:uid="{086D95A0-635E-4B97-914F-9839D64BF957}" name="Query - vwMeasures" description="Connection to the 'vwMeasures' query in the workbook." type="100" refreshedVersion="6" minRefreshableVersion="5">
    <extLst>
      <ext xmlns:x15="http://schemas.microsoft.com/office/spreadsheetml/2010/11/main" uri="{DE250136-89BD-433C-8126-D09CA5730AF9}">
        <x15:connection id="a613dd8a-5da2-40d3-8682-0a1925d7f924"/>
      </ext>
    </extLst>
  </connection>
  <connection id="5" xr16:uid="{5BC9CC51-1835-4EC4-9D05-203DCFED4C99}" keepAlive="1" name="Query - vwWAIOU" description="Connection to the 'vwWAIOU' query in the workbook." type="5" refreshedVersion="6" background="1">
    <dbPr connection="Provider=Microsoft.Mashup.OleDb.1;Data Source=$Workbook$;Location=vwWAIOU;Extended Properties=&quot;&quot;" command="SELECT * FROM [vwWAIOU]"/>
  </connection>
  <connection id="6" xr16:uid="{922DA24C-5050-48E1-A97F-4FA73798DE8C}"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0000000}"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Ace Model Version].[Is Current].&amp;[Yes]}"/>
    <s v="{[Snapshot].[Snapshot Name].&amp;[Current Data]}"/>
    <s v="VAMMOPROD02 Planning"/>
  </metadataStrings>
  <mdxMetadata count="2">
    <mdx n="2" f="s">
      <ms ns="1" c="0"/>
    </mdx>
    <mdx n="2" f="s">
      <ms ns="0"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<sst xmlns="http://schemas.openxmlformats.org/spreadsheetml/2006/main" count="20590" uniqueCount="3295">
  <si>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</si>
  <si>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</si>
  <si>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</si>
  <si>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</si>
  <si>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</si>
  <si>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</si>
  <si>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</si>
  <si>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</si>
  <si>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</si>
  <si>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</si>
  <si>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</si>
  <si>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</si>
  <si>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</si>
  <si>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</si>
  <si>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</si>
  <si>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</si>
  <si>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</si>
  <si>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</si>
  <si>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</si>
  <si>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</si>
  <si>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</si>
  <si>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</si>
  <si>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</si>
  <si>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</si>
  <si>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</si>
  <si>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</si>
  <si>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</si>
  <si>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</si>
  <si>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</si>
  <si>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</si>
  <si>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</si>
  <si>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</si>
  <si>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</si>
  <si>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</si>
  <si>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</si>
  <si>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</si>
  <si>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</si>
  <si>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</si>
  <si>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</si>
  <si>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</si>
  <si>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</si>
  <si>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</si>
  <si>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</si>
  <si>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</si>
  <si>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</si>
  <si>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</si>
  <si>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</si>
  <si>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</si>
  <si>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</si>
  <si>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</si>
  <si>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</si>
  <si>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</si>
  <si>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</si>
  <si>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</si>
  <si>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</si>
  <si>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</si>
  <si>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</si>
  <si>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</si>
  <si>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</si>
  <si>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</si>
  <si>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</si>
  <si>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</si>
  <si>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</si>
  <si>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</si>
  <si>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</si>
  <si>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</si>
  <si>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</si>
  <si>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</si>
  <si>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</si>
  <si>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</si>
  <si>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</si>
  <si>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</si>
  <si>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</si>
  <si>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</si>
  <si>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</si>
  <si>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</si>
  <si>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</si>
  <si>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</si>
  <si>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</si>
  <si>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</si>
  <si>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</si>
  <si>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</si>
  <si>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</si>
  <si>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</si>
  <si>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</si>
  <si>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</si>
  <si>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</si>
  <si>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</si>
  <si>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</si>
  <si>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</si>
  <si>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</si>
  <si>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</si>
  <si>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</si>
  <si>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</si>
  <si>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</si>
  <si>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</si>
  <si>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</si>
  <si>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</si>
  <si>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</si>
  <si>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</si>
  <si>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</si>
  <si>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</si>
  <si>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</si>
  <si>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</si>
  <si>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</si>
  <si>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</si>
  <si>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</si>
  <si>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</si>
  <si>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</si>
  <si>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</si>
  <si>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</si>
  <si>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</si>
  <si>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</si>
  <si>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</si>
  <si>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</si>
  <si>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</si>
  <si>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</si>
  <si>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</si>
  <si>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</si>
  <si>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</si>
  <si>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</si>
  <si>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</si>
  <si>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</si>
  <si>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</si>
  <si>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</si>
  <si>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</si>
  <si>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</si>
  <si>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</si>
  <si>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</si>
  <si>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</si>
  <si>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</si>
  <si>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</si>
  <si>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</si>
  <si>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</si>
  <si>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</si>
  <si>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</si>
  <si>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</si>
  <si>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</si>
  <si>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</si>
  <si>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</si>
  <si>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</si>
  <si>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</si>
  <si>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</si>
  <si>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</si>
  <si>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</si>
  <si>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</si>
  <si>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</si>
  <si>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</si>
  <si>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</si>
  <si>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</si>
  <si>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</si>
  <si>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</si>
  <si>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</si>
  <si>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</si>
  <si>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</si>
  <si>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</si>
  <si>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</si>
  <si>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</si>
  <si>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</si>
  <si>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</si>
  <si>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</si>
  <si>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</si>
  <si>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</si>
  <si>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</si>
  <si>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</si>
  <si>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</si>
  <si>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</si>
  <si>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</si>
  <si>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</si>
  <si>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</si>
  <si>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</si>
  <si>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</si>
  <si>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</si>
  <si>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</si>
  <si>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</si>
  <si>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</si>
  <si>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</si>
  <si>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</si>
  <si>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</si>
  <si>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</si>
  <si>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</si>
  <si>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</si>
  <si>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</si>
  <si>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</si>
  <si>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</si>
  <si>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0</t>
  </si>
  <si>
    <t>Phase 4</t>
  </si>
  <si>
    <t>Remaining Savings 7th Power Plan</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</si>
  <si>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</si>
  <si>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</si>
  <si>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</si>
  <si>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</si>
  <si>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</si>
  <si>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</si>
  <si>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</si>
  <si>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</si>
  <si>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</si>
  <si>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</si>
  <si>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</si>
  <si>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</si>
  <si>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</si>
  <si>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</si>
  <si>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</si>
  <si>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</si>
  <si>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</si>
  <si>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</si>
  <si>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</si>
  <si>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</si>
  <si>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</si>
  <si>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</si>
  <si>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Controls Savings Fraction</t>
  </si>
  <si>
    <t>Duplicate?</t>
  </si>
  <si>
    <t>0% of the annual savings. Proxy measures used are the tune up measures in Food, Cold Storage and Fruit Storage sectors. (Energy Conservation Measure numbers: 34, 35, 53, 54, 55, 58).</t>
  </si>
  <si>
    <t>Savings are site based (e.g. reported in aMW)</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</si>
  <si>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</si>
  <si>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</si>
  <si>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</si>
  <si>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</si>
  <si>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</si>
  <si>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</si>
  <si>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</si>
  <si>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</si>
  <si>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</si>
  <si>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</si>
  <si>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</si>
  <si>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</si>
  <si>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</si>
  <si>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</si>
  <si>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</si>
  <si>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</si>
  <si>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</si>
  <si>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</si>
  <si>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</si>
  <si>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</si>
  <si>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</si>
  <si>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</si>
  <si>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</si>
  <si>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</si>
  <si>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</si>
  <si>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</si>
  <si>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</si>
  <si>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</si>
  <si>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</si>
  <si>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</si>
  <si>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</si>
  <si>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</si>
  <si>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</si>
  <si>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</si>
  <si>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</si>
  <si>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</si>
  <si>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</si>
  <si>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</si>
  <si>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</si>
  <si>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</si>
  <si>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</si>
  <si>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</si>
  <si>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</si>
  <si>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</si>
  <si>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</si>
  <si>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</si>
  <si>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</si>
  <si>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</si>
  <si>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</si>
  <si>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</si>
  <si>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</si>
  <si>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</si>
  <si>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</si>
  <si>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</si>
  <si>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RES_201403_P11T1</t>
  </si>
  <si>
    <t>RES_201403_P11T2</t>
  </si>
  <si>
    <t>RES_201403_P11T3</t>
  </si>
  <si>
    <t>Single Family</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</si>
  <si>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</si>
  <si>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</si>
  <si>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</si>
  <si>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</si>
  <si>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</si>
  <si>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</si>
  <si>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</si>
  <si>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</si>
  <si>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</si>
  <si>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</si>
  <si>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</si>
  <si>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</si>
  <si>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</si>
  <si>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</si>
  <si>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</si>
  <si>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</si>
  <si>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</si>
  <si>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</si>
  <si>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</si>
  <si>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</si>
  <si>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</si>
  <si>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</si>
  <si>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</si>
  <si>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</si>
  <si>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</si>
  <si>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</si>
  <si>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</si>
  <si>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</si>
  <si>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</si>
  <si>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</si>
  <si>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</si>
  <si>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</si>
  <si>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</si>
  <si>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</si>
  <si>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</si>
  <si>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</si>
  <si>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</si>
  <si>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</si>
  <si>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</si>
  <si>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</si>
  <si>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</si>
  <si>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</si>
  <si>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</si>
  <si>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</si>
  <si>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</si>
  <si>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</si>
  <si>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</si>
  <si>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</si>
  <si>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</si>
  <si>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</si>
  <si>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</si>
  <si>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</si>
  <si>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</si>
  <si>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</si>
  <si>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</si>
  <si>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</si>
  <si>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</si>
  <si>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</si>
  <si>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</si>
  <si>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</si>
  <si>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</si>
  <si>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</si>
  <si>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</si>
  <si>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</si>
  <si>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</si>
  <si>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</si>
  <si>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</si>
  <si>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</si>
  <si>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</si>
  <si>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</si>
  <si>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</si>
  <si>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</si>
  <si>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</si>
  <si>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</si>
  <si>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</si>
  <si>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</si>
  <si>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</si>
  <si>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</si>
  <si>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</si>
  <si>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</si>
  <si>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</si>
  <si>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</si>
  <si>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</si>
  <si>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</si>
  <si>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</si>
  <si>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</si>
  <si>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</si>
  <si>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</si>
  <si>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</si>
  <si>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</si>
  <si>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</si>
  <si>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</si>
  <si>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</si>
  <si>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</si>
  <si>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</si>
  <si>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</si>
  <si>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</si>
  <si>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</si>
  <si>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</si>
  <si>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</si>
  <si>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</si>
  <si>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</si>
  <si>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</si>
  <si>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</si>
  <si>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</si>
  <si>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</si>
  <si>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</si>
  <si>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</si>
  <si>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</si>
  <si>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</si>
  <si>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</si>
  <si>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</si>
  <si>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</si>
  <si>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</si>
  <si>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</si>
  <si>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</si>
  <si>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</si>
  <si>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</si>
  <si>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</si>
  <si>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</si>
  <si>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</si>
  <si>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</si>
  <si>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</si>
  <si>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</si>
  <si>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</si>
  <si>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</si>
  <si>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</si>
  <si>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</si>
  <si>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</si>
  <si>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</si>
  <si>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</si>
  <si>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</si>
  <si>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</si>
  <si>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</si>
  <si>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</si>
  <si>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</si>
  <si>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</si>
  <si>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</si>
  <si>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</si>
  <si>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</si>
  <si>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</si>
  <si>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</si>
  <si>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</si>
  <si>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</si>
  <si>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</si>
  <si>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</si>
  <si>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</si>
  <si>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</si>
  <si>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</si>
  <si>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</si>
  <si>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</si>
  <si>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</si>
  <si>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</si>
  <si>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</si>
  <si>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</si>
  <si>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</si>
  <si>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</si>
  <si>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</si>
  <si>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</si>
  <si>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</si>
  <si>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</si>
  <si>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</si>
  <si>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</si>
  <si>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</si>
  <si>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</si>
  <si>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</si>
  <si>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</si>
  <si>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</si>
  <si>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</si>
  <si>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</si>
  <si>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</si>
  <si>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</si>
  <si>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</si>
  <si>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</si>
  <si>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</si>
  <si>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</si>
  <si>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</si>
  <si>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</si>
  <si>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</si>
  <si>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</si>
  <si>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</si>
  <si>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</si>
  <si>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</si>
  <si>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</si>
  <si>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</si>
  <si>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</si>
  <si>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</si>
  <si>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</si>
  <si>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</si>
  <si>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</si>
  <si>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</si>
  <si>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</si>
  <si>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</si>
  <si>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</si>
  <si>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</si>
  <si>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</si>
  <si>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</si>
  <si>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</si>
  <si>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</si>
  <si>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</si>
  <si>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Local Programs Units NEEA</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</si>
  <si>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</si>
  <si>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</si>
  <si>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</si>
  <si>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</si>
  <si>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</si>
  <si>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</si>
  <si>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</si>
  <si>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</si>
  <si>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</si>
  <si>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</si>
  <si>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</si>
  <si>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</si>
  <si>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</si>
  <si>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Lighting Controls</t>
  </si>
  <si>
    <t>LLC</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</si>
  <si>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</si>
  <si>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</si>
  <si>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</si>
  <si>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</si>
  <si>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</si>
  <si>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</si>
  <si>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</si>
  <si>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</si>
  <si>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</si>
  <si>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</si>
  <si>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</si>
  <si>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</si>
  <si>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</si>
  <si>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RES_201403_P10t1</t>
  </si>
  <si>
    <t>RES_201403_P10t2</t>
  </si>
  <si>
    <t>RES_201403_P5t1</t>
  </si>
  <si>
    <t>RES_201403_P5t2</t>
  </si>
  <si>
    <t>RES_201403_P9t1</t>
  </si>
  <si>
    <t>RES_201403_P9t2</t>
  </si>
  <si>
    <t>Input Data</t>
  </si>
  <si>
    <t>Chest</t>
  </si>
  <si>
    <t>Clothes_Washers</t>
  </si>
  <si>
    <t>Frig_Freezers</t>
  </si>
  <si>
    <t>RES_201403_P3t1</t>
  </si>
  <si>
    <t>Room AC</t>
  </si>
  <si>
    <t>RES_201403_P4t1</t>
  </si>
  <si>
    <t>RES_201403_P4t2</t>
  </si>
  <si>
    <t>RES_201403_P4t3</t>
  </si>
  <si>
    <t>Room_AC</t>
  </si>
  <si>
    <t>Soundbars</t>
  </si>
  <si>
    <t>Homes_Vol</t>
  </si>
  <si>
    <t>Baseline Assumption - Luminaire Lighting Controls</t>
  </si>
  <si>
    <t>Source File:</t>
  </si>
  <si>
    <t>Com-InteriorLightingControls-7P_V10.xlsx</t>
  </si>
  <si>
    <t>Retail</t>
  </si>
  <si>
    <t>School</t>
  </si>
  <si>
    <t>State</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</si>
  <si>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</si>
  <si>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</si>
  <si>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</si>
  <si>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</si>
  <si>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</si>
  <si>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</si>
  <si>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</si>
  <si>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</si>
  <si>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</si>
  <si>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</si>
  <si>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</si>
  <si>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</si>
  <si>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</si>
  <si>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</si>
  <si>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</si>
  <si>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</si>
  <si>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</si>
  <si>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</si>
  <si>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</si>
  <si>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</si>
  <si>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</si>
  <si>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</si>
  <si>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</si>
  <si>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</si>
  <si>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</si>
  <si>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kWh/ Unit-Yr.</t>
  </si>
  <si>
    <t>kWh/ Unit-Year</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</si>
  <si>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</si>
  <si>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</si>
  <si>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</si>
  <si>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</si>
  <si>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</si>
  <si>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</si>
  <si>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</si>
  <si>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</si>
  <si>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</si>
  <si>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</si>
  <si>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</si>
  <si>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</si>
  <si>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</si>
  <si>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</si>
  <si>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</si>
  <si>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</si>
  <si>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</si>
  <si>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</si>
  <si>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</si>
  <si>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</si>
  <si>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</si>
  <si>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</si>
  <si>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</si>
  <si>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</si>
  <si>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</si>
  <si>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</si>
  <si>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</si>
  <si>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</si>
  <si>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</si>
  <si>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</si>
  <si>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</si>
  <si>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</si>
  <si>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</si>
  <si>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</si>
  <si>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</si>
  <si>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</si>
  <si>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</si>
  <si>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</si>
  <si>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</si>
  <si>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</si>
  <si>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</si>
  <si>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</si>
  <si>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</si>
  <si>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</si>
  <si>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</si>
  <si>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</si>
  <si>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</si>
  <si>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Replacements</t>
  </si>
  <si>
    <t>Res-ClothesDryer-7P_v2.xlsx</t>
  </si>
  <si>
    <t>See below</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</si>
  <si>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</si>
  <si>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</si>
  <si>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</si>
  <si>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</si>
  <si>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</si>
  <si>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</si>
  <si>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</si>
  <si>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</si>
  <si>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</si>
  <si>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</si>
  <si>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</si>
  <si>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</si>
  <si>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</si>
  <si>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</si>
  <si>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</si>
  <si>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</si>
  <si>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</si>
  <si>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</si>
  <si>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</si>
  <si>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</si>
  <si>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</si>
  <si>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</si>
  <si>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</si>
  <si>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</si>
  <si>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</si>
  <si>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</si>
  <si>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</si>
  <si>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</si>
  <si>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</si>
  <si>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</si>
  <si>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</si>
  <si>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</si>
  <si>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</si>
  <si>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</si>
  <si>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</si>
  <si>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</si>
  <si>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</si>
  <si>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</si>
  <si>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</si>
  <si>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</si>
  <si>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</si>
  <si>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</si>
  <si>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</si>
  <si>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</si>
  <si>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</si>
  <si>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</si>
  <si>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</si>
  <si>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</si>
  <si>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</si>
  <si>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</si>
  <si>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</si>
  <si>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</si>
  <si>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</si>
  <si>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</si>
  <si>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</si>
  <si>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</si>
  <si>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</si>
  <si>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</si>
  <si>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</si>
  <si>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</si>
  <si>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</si>
  <si>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</si>
  <si>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</si>
  <si>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</si>
  <si>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</si>
  <si>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</si>
  <si>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</si>
  <si>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</si>
  <si>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</si>
  <si>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</si>
  <si>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</si>
  <si>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</si>
  <si>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</si>
  <si>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</si>
  <si>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</si>
  <si>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</si>
  <si>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</si>
  <si>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</si>
  <si>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Each tab in this spreadsheet contains sources and additional information regarding the savings rate calculations.</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</si>
  <si>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</si>
  <si>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</si>
  <si>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</si>
  <si>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</si>
  <si>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</si>
  <si>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</si>
  <si>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</si>
  <si>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</si>
  <si>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</si>
  <si>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</si>
  <si>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</si>
  <si>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</si>
  <si>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</si>
  <si>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</si>
  <si>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</si>
  <si>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</si>
  <si>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</si>
  <si>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</si>
  <si>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</si>
  <si>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</si>
  <si>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</si>
  <si>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</si>
  <si>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</si>
  <si>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</si>
  <si>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</si>
  <si>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</si>
  <si>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</si>
  <si>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</si>
  <si>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</si>
  <si>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</si>
  <si>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</si>
  <si>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</si>
  <si>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</si>
  <si>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</si>
  <si>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</si>
  <si>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</si>
  <si>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</si>
  <si>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</si>
  <si>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</si>
  <si>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</si>
  <si>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</si>
  <si>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</si>
  <si>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</si>
  <si>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</si>
  <si>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</si>
  <si>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</si>
  <si>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</si>
  <si>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</si>
  <si>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</si>
  <si>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</si>
  <si>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</si>
  <si>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</si>
  <si>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</si>
  <si>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</si>
  <si>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N/A</t>
  </si>
  <si>
    <t>The baseline comes from the 7th Power Plan (Baseline saturation for Commercial Energy Management measure).</t>
  </si>
  <si>
    <t>Com_Master_7P.xlsm</t>
  </si>
  <si>
    <t>The baseline comes from the 7th Power Plan (Food, Cold Storage and Fruit Storage measures Energy Conservation Measure numbers: 34, 35, 53, 54, 55, 58).</t>
  </si>
  <si>
    <t>Industrial_tool_7thPlan v09.xlsm</t>
  </si>
  <si>
    <t xml:space="preserve">NEEA Planning. 2016. Guidelines for Reporting against the 7th Power Plan Baseline.  Based on June, 5, 2015 meeting with Northwest Power and Conservation Council staff. Updated based on May 9, 2016 meeting with staff. </t>
  </si>
  <si>
    <t>ENERGY STAR 6.0</t>
  </si>
  <si>
    <t>COM-Computers-7P_V3.xlsx</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</si>
  <si>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</si>
  <si>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</si>
  <si>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</si>
  <si>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</si>
  <si>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</si>
  <si>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</si>
  <si>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</si>
  <si>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</si>
  <si>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</si>
  <si>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The baseline comes from the 7th Power Plan (incorporated in the savings rate).</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</si>
  <si>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</si>
  <si>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</si>
  <si>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</si>
  <si>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</si>
  <si>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</si>
  <si>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</si>
  <si>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</si>
  <si>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</si>
  <si>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</si>
  <si>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</si>
  <si>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</si>
  <si>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</si>
  <si>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</si>
  <si>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</si>
  <si>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</si>
  <si>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</si>
  <si>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</si>
  <si>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</si>
  <si>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</si>
  <si>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</si>
  <si>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</si>
  <si>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Standards adopted by Dec 31 2014 are in the 7th Power Plan baseline load forecast or explicitly in the measures.</t>
  </si>
  <si>
    <t>No</t>
  </si>
  <si>
    <t>Target</t>
  </si>
  <si>
    <t>Current</t>
  </si>
  <si>
    <t>WA IOU 2018-2019 Targets</t>
  </si>
  <si>
    <t>Forecasted for Target</t>
  </si>
  <si>
    <t>NEEA calculation. See below for details. Update is based on sales data.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</si>
  <si>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</si>
  <si>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</si>
  <si>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</si>
  <si>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</si>
  <si>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</si>
  <si>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</si>
  <si>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</si>
  <si>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</si>
  <si>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</si>
  <si>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</si>
  <si>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</si>
  <si>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</si>
  <si>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</si>
  <si>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</si>
  <si>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</si>
  <si>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</si>
  <si>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</si>
  <si>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</si>
  <si>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</si>
  <si>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</si>
  <si>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</si>
  <si>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</si>
  <si>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</si>
  <si>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</si>
  <si>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</si>
  <si>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</si>
  <si>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</si>
  <si>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</si>
  <si>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</si>
  <si>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</si>
  <si>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</si>
  <si>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</si>
  <si>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</si>
  <si>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</si>
  <si>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</si>
  <si>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</si>
  <si>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</si>
  <si>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</si>
  <si>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</si>
  <si>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</si>
  <si>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</si>
  <si>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</si>
  <si>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</si>
  <si>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</si>
  <si>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</si>
  <si>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</si>
  <si>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</si>
  <si>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</si>
  <si>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</si>
  <si>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</si>
  <si>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</si>
  <si>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</si>
  <si>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</si>
  <si>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</si>
  <si>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</si>
  <si>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</si>
  <si>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</si>
  <si>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Codes adopted by Dec 31 2014 are in the 7th Power Plan baseline load forecast or explicitly in the measures. As a result, the baseline is the code announced before 2015 (OR 2014).</t>
  </si>
  <si>
    <t>Freezer Track Units from:</t>
  </si>
  <si>
    <t>Track Units from:</t>
  </si>
  <si>
    <t>Refrigerator Track Units From:</t>
  </si>
  <si>
    <t>Sales(7)</t>
  </si>
  <si>
    <t>Normalized Within the Year AEC(8C)
(kWh/yr)</t>
  </si>
  <si>
    <t>Percent of Annual Market Share</t>
  </si>
  <si>
    <t>ESTAR v5</t>
  </si>
  <si>
    <t>ESTAR v5 +5%</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</si>
  <si>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</si>
  <si>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</si>
  <si>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</si>
  <si>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</si>
  <si>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</si>
  <si>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</si>
  <si>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</si>
  <si>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</si>
  <si>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</si>
  <si>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</si>
  <si>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</si>
  <si>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</si>
  <si>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</si>
  <si>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</si>
  <si>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</si>
  <si>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</si>
  <si>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</si>
  <si>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</si>
  <si>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</si>
  <si>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</si>
  <si>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</si>
  <si>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</si>
  <si>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</si>
  <si>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</si>
  <si>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</si>
  <si>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</si>
  <si>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</si>
  <si>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</si>
  <si>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</si>
  <si>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COM_200202_P2T6</t>
  </si>
  <si>
    <t>COM_200202_P2T7</t>
  </si>
  <si>
    <t>COM_200202_P2T8</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</si>
  <si>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</si>
  <si>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</si>
  <si>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</si>
  <si>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</si>
  <si>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</si>
  <si>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</si>
  <si>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</si>
  <si>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</si>
  <si>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</si>
  <si>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</si>
  <si>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</si>
  <si>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</si>
  <si>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</si>
  <si>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</si>
  <si>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</si>
  <si>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</si>
  <si>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</si>
  <si>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</si>
  <si>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</si>
  <si>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</si>
  <si>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</si>
  <si>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</si>
  <si>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</si>
  <si>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</si>
  <si>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</si>
  <si>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</si>
  <si>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</si>
  <si>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</si>
  <si>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</si>
  <si>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</si>
  <si>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</si>
  <si>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</si>
  <si>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</si>
  <si>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</si>
  <si>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</si>
  <si>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</si>
  <si>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</si>
  <si>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</si>
  <si>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</si>
  <si>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</si>
  <si>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</si>
  <si>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</si>
  <si>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</si>
  <si>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</si>
  <si>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</si>
  <si>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</si>
  <si>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</si>
  <si>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</si>
  <si>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</si>
  <si>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</si>
  <si>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</si>
  <si>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</si>
  <si>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</si>
  <si>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</si>
  <si>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</si>
  <si>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</si>
  <si>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</si>
  <si>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</si>
  <si>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</si>
  <si>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</si>
  <si>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</si>
  <si>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</si>
  <si>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</si>
  <si>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</si>
  <si>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</si>
  <si>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</si>
  <si>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</si>
  <si>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</si>
  <si>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</si>
  <si>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</si>
  <si>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</si>
  <si>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</si>
  <si>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</si>
  <si>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</si>
  <si>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</si>
  <si>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</si>
  <si>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</si>
  <si>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</si>
  <si>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</si>
  <si>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Savings Rate Calculations</t>
  </si>
  <si>
    <t>US Total</t>
  </si>
  <si>
    <t>Employees</t>
  </si>
  <si>
    <t>NW share of Total U.S. Employment</t>
  </si>
  <si>
    <t>Data Source</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</si>
  <si>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</si>
  <si>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</si>
  <si>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</si>
  <si>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</si>
  <si>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</si>
  <si>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</si>
  <si>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</si>
  <si>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</si>
  <si>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</si>
  <si>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</si>
  <si>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</si>
  <si>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</si>
  <si>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</si>
  <si>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Desktops</t>
  </si>
  <si>
    <t>Laptops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</si>
  <si>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</si>
  <si>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</si>
  <si>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</si>
  <si>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</si>
  <si>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</si>
  <si>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</si>
  <si>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</si>
  <si>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</si>
  <si>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</si>
  <si>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</si>
  <si>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</si>
  <si>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</si>
  <si>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</si>
  <si>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</si>
  <si>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</si>
  <si>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</si>
  <si>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</si>
  <si>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</si>
  <si>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</si>
  <si>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</si>
  <si>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</si>
  <si>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Savings Rate Source</t>
  </si>
  <si>
    <t>Other_ES_Products</t>
  </si>
  <si>
    <t>Residential Desktops</t>
  </si>
  <si>
    <t>Bureau of Labor and Statistics, Table D-2.  2018.</t>
  </si>
  <si>
    <t>ENERGY STAR 6.0 Desktops</t>
  </si>
  <si>
    <t>ENERGY STAR 6.0  Laptops</t>
  </si>
  <si>
    <t>ENERGY STAR 6.0 Laptops</t>
  </si>
  <si>
    <t>OTH_201601_P1T0</t>
  </si>
  <si>
    <t>Non-Qualifying</t>
  </si>
  <si>
    <t>OTH_201601_P2T0</t>
  </si>
  <si>
    <t>OTH_201601_P3T0</t>
  </si>
  <si>
    <t>Updates from Targets</t>
  </si>
  <si>
    <t>Below is a list of the primary updates from original targets.</t>
  </si>
  <si>
    <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</si>
  <si>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</si>
  <si>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</si>
  <si>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</si>
  <si>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</si>
  <si>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</si>
  <si>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</si>
  <si>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</si>
  <si>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</si>
  <si>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</si>
  <si>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</si>
  <si>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</si>
  <si>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</si>
  <si>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Total</t>
  </si>
  <si>
    <t>Vending Machines, Roof Top Units, Pre-rinse Spray Valves</t>
  </si>
  <si>
    <t>Commerical Code</t>
  </si>
  <si>
    <t>Ducltess Heat Pumps</t>
  </si>
  <si>
    <t>NEEA Planning Staff</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</si>
  <si>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</si>
  <si>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family val="3"/>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</si>
  <si>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family val="3"/>
      </rPr>
      <t>The 2018-2019 savings estimate declined by 0.01 aMW.</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</si>
  <si>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family val="3"/>
      </rPr>
      <t>The 2018-2019 savings estimate decreased by 0.04 aMW.</t>
    </r>
  </si>
  <si>
    <r>
      <t xml:space="preserve">The variance from the target has to do with the slower than expected increase in the 28W lamp market share. </t>
    </r>
    <r>
      <rPr>
        <sz val="10"/>
        <color rgb="FF0083CA"/>
        <rFont val="Trade Gothic LT Std"/>
        <family val="3"/>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</si>
  <si>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family val="3"/>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</si>
  <si>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family val="3"/>
      </rPr>
      <t>The 2018-2019 savings estimate increased by 0.09 aMW.</t>
    </r>
  </si>
  <si>
    <r>
      <rPr>
        <sz val="10"/>
        <rFont val="Trade Gothic LT Std"/>
        <family val="3"/>
      </rPr>
      <t>The new forecast of commercial building in Washington is nearly double the original forecast.</t>
    </r>
    <r>
      <rPr>
        <sz val="10"/>
        <color rgb="FFFF0000"/>
        <rFont val="Trade Gothic LT Std"/>
        <family val="3"/>
      </rPr>
      <t xml:space="preserve"> </t>
    </r>
    <r>
      <rPr>
        <sz val="10"/>
        <color rgb="FF0083CA"/>
        <rFont val="Trade Gothic LT Std"/>
        <family val="3"/>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</si>
  <si>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family val="3"/>
      </rPr>
      <t>These homes increased the savings in 2018 by 0.02 aMW.</t>
    </r>
  </si>
  <si>
    <t>Hours of Use</t>
  </si>
  <si>
    <t>Savings Rate - RTF - Tiers 1-3 (Existing Construction)</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</si>
  <si>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</si>
  <si>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</si>
  <si>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</si>
  <si>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</si>
  <si>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</si>
  <si>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</si>
  <si>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</si>
  <si>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</si>
  <si>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</si>
  <si>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</si>
  <si>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</si>
  <si>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</si>
  <si>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</si>
  <si>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</si>
  <si>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</si>
  <si>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</si>
  <si>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</si>
  <si>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</si>
  <si>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</si>
  <si>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</si>
  <si>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</si>
  <si>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</si>
  <si>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</si>
  <si>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</si>
  <si>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</si>
  <si>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</si>
  <si>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</si>
  <si>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</si>
  <si>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</si>
  <si>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</si>
  <si>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</si>
  <si>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</si>
  <si>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</si>
  <si>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</si>
  <si>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</si>
  <si>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</si>
  <si>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</si>
  <si>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</si>
  <si>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</si>
  <si>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</si>
  <si>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</si>
  <si>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</si>
  <si>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</si>
  <si>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</si>
  <si>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</si>
  <si>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</si>
  <si>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</si>
  <si>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</si>
  <si>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</si>
  <si>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</si>
  <si>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</si>
  <si>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The savings rates for HPWHs are relative to the RTFs current practice baseline</t>
  </si>
  <si>
    <t>The savings rates for Residential Lighting are relative to the RTFs current practice baseline</t>
  </si>
  <si>
    <t>ResDHPonFAF_v2_1.xlsx</t>
  </si>
  <si>
    <t>Measure Application</t>
  </si>
  <si>
    <t>Savings Component</t>
  </si>
  <si>
    <t>Measure Life</t>
  </si>
  <si>
    <t>R-All-Plug-Dryer-All-All-R</t>
  </si>
  <si>
    <t>RTF -&gt; NEEA Measure Mapping</t>
  </si>
  <si>
    <t>Vented</t>
  </si>
  <si>
    <t>Tier_4</t>
  </si>
  <si>
    <t>Tier_5</t>
  </si>
  <si>
    <t>Tier_6</t>
  </si>
  <si>
    <t>Ventless</t>
  </si>
  <si>
    <t>Incremental</t>
  </si>
  <si>
    <t>COM_200701_P1T4</t>
  </si>
  <si>
    <t>Extended Motor Products</t>
  </si>
  <si>
    <t>Window Attachments</t>
  </si>
  <si>
    <t>ENERGY STAR 7.0</t>
  </si>
  <si>
    <t>Heating and Cooling</t>
  </si>
  <si>
    <t>RTF</t>
  </si>
  <si>
    <t>COM_201304_P9T3</t>
  </si>
  <si>
    <t>COM_201304_P9T1</t>
  </si>
  <si>
    <t>COM_201304_P9T2</t>
  </si>
  <si>
    <t>COM_201304_P6T2</t>
  </si>
  <si>
    <t>TRS</t>
  </si>
  <si>
    <t>7th Plan</t>
  </si>
  <si>
    <t>There is a Planning RTF UES for medium and large office application: Commercial Secondary Glazing Systems v1.1.xlsm</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</si>
  <si>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</si>
  <si>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</si>
  <si>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</si>
  <si>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</si>
  <si>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</si>
  <si>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</si>
  <si>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</si>
  <si>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</si>
  <si>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</si>
  <si>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</si>
  <si>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</si>
  <si>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</si>
  <si>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</si>
  <si>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</si>
  <si>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</si>
  <si>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</si>
  <si>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</si>
  <si>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</si>
  <si>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</si>
  <si>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</si>
  <si>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</si>
  <si>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</si>
  <si>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</si>
  <si>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</si>
  <si>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</si>
  <si>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</si>
  <si>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</si>
  <si>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</si>
  <si>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</si>
  <si>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</si>
  <si>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</si>
  <si>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</si>
  <si>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</si>
  <si>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</si>
  <si>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</si>
  <si>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</si>
  <si>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</si>
  <si>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</si>
  <si>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</si>
  <si>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</si>
  <si>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</si>
  <si>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Market Transformation</t>
  </si>
  <si>
    <t>7th Power Plan (RTF Updates)</t>
  </si>
  <si>
    <t>7th Power Plan (NEEA Updates)</t>
  </si>
  <si>
    <t>7th Power Plan (Frozen)</t>
  </si>
  <si>
    <t>2020-2021</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</si>
  <si>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</si>
  <si>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</si>
  <si>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</si>
  <si>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</si>
  <si>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</si>
  <si>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</si>
  <si>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</si>
  <si>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</si>
  <si>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</si>
  <si>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</si>
  <si>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</si>
  <si>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</si>
  <si>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</si>
  <si>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</si>
  <si>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</si>
  <si>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</si>
  <si>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</si>
  <si>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</si>
  <si>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</si>
  <si>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</si>
  <si>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</si>
  <si>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</si>
  <si>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</si>
  <si>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</si>
  <si>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</si>
  <si>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</si>
  <si>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</si>
  <si>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</si>
  <si>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</si>
  <si>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</si>
  <si>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</si>
  <si>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</si>
  <si>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</si>
  <si>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</si>
  <si>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</si>
  <si>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</si>
  <si>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</si>
  <si>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</si>
  <si>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</si>
  <si>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</si>
  <si>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</si>
  <si>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</si>
  <si>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</si>
  <si>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</si>
  <si>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</si>
  <si>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</si>
  <si>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</si>
  <si>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</si>
  <si>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</si>
  <si>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</si>
  <si>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</si>
  <si>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NEEA Calc of 7th PP</t>
  </si>
  <si>
    <t>Region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</si>
  <si>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</si>
  <si>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</si>
  <si>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</si>
  <si>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</si>
  <si>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</si>
  <si>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</si>
  <si>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</si>
  <si>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</si>
  <si>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2.67 (2.33-3.02)</t>
  </si>
  <si>
    <t>Pacific Power Hard Coded</t>
  </si>
  <si>
    <t>Avista Washington Hard Coded</t>
  </si>
  <si>
    <t>A part of Voluntary Program</t>
  </si>
  <si>
    <t>A part of Other Codes &amp; Standards Work</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</si>
  <si>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</si>
  <si>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</si>
  <si>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</si>
  <si>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</si>
  <si>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</si>
  <si>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</si>
  <si>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</si>
  <si>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</si>
  <si>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</si>
  <si>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</si>
  <si>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</si>
  <si>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2020-2021 Biennial</t>
  </si>
  <si>
    <t>Programs</t>
  </si>
  <si>
    <t>Code or Standard</t>
  </si>
  <si>
    <t>Details</t>
  </si>
  <si>
    <t>Federal Standard, Effective 2019, DOE Final Rule 2016, Pre-rinse Spray Valves</t>
  </si>
  <si>
    <t>Savings rate is incremental to a standard electric water heater.</t>
  </si>
  <si>
    <t>Activities include:  Identify opportunities, provide technical expertise, present to committees, submit comments to improve test procedures, support national coalitions.</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</si>
  <si>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</si>
  <si>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</si>
  <si>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</si>
  <si>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</si>
  <si>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</si>
  <si>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Other Standards</t>
  </si>
  <si>
    <t>ENERGY STAR Most Efficient 2018</t>
  </si>
  <si>
    <t>ENERGY STAR Effective Date</t>
  </si>
  <si>
    <t>NEEA Measures Name</t>
  </si>
  <si>
    <t>Equiv. CEE Tier</t>
  </si>
  <si>
    <t>CEE Effective Date</t>
  </si>
  <si>
    <t>CEE Specification</t>
  </si>
  <si>
    <t>ENERGY STAR Specification</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</si>
  <si>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</si>
  <si>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</si>
  <si>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</si>
  <si>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</si>
  <si>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</si>
  <si>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</si>
  <si>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</si>
  <si>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</si>
  <si>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</si>
  <si>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</si>
  <si>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</si>
  <si>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The DHP data noted that the RBSA 2011 was used as a data source for climate zone weighting – why 2011 and not the 2017 RBSA?  Is it because that was the most recent data available for the 7th PP?</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</si>
  <si>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</si>
  <si>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 xml:space="preserve">In regards to Codes, how long does NEEA claim savings for codes?  </t>
  </si>
  <si>
    <t xml:space="preserve">From the year of adoption, does NEEA claim savings each year until the code is updated? </t>
  </si>
  <si>
    <t xml:space="preserve"> If a code isn’t updated, does NEEA continue to claim savings indefinitely, or is there a maximum?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</si>
  <si>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</si>
  <si>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</si>
  <si>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</si>
  <si>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RTF. Feb. 5, 2018. Residential Clothes Washers V6.1</t>
  </si>
  <si>
    <t xml:space="preserve">The current practice baseline is based on NEEA's program data provided in 2018. </t>
  </si>
  <si>
    <t>See RTF workbook</t>
  </si>
  <si>
    <t>RTF. Feb. 25, 2019. Residential  Refrigerators and Freezers v 5.1</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</si>
  <si>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</si>
  <si>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</si>
  <si>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</si>
  <si>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</si>
  <si>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 xml:space="preserve">Retail ENERGY STAR V4 Most Efficient (future spec) Soundbar </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</si>
  <si>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</si>
  <si>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</si>
  <si>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</si>
  <si>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</si>
  <si>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</si>
  <si>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</si>
  <si>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</si>
  <si>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NEEA is using 4% savings over the prior code based on preliminary analysis by Mike Kennedy. The code is expected to spur lighting improvements, envelope improvements for certain building types, among others.</t>
  </si>
  <si>
    <t>Communication with Mike Kennedy.</t>
  </si>
  <si>
    <t>The savings rates for installs came from the Regional Technical Forum's December 2018 updated workbook. NEEA weighted the rates using data from the 2016 Residential Building Stock Assessment. The calculation detail is available on the DHP program detail worksheet.</t>
  </si>
  <si>
    <t>RTF. Dec. 7, 2018. ResDHPonFAF_v2_1.xlsm</t>
  </si>
  <si>
    <t>Cadeo. Jun. 2018. RefrigeratedBeverageVendingMachine_StandardModel.xlsm (available upon request)</t>
  </si>
  <si>
    <t>Cadeo. Oct. 18, 2018. NonRes_PrerinseSprayValves_Model.xlsm (available upon request)</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</si>
  <si>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</si>
  <si>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Ecotope calculation using SEEM.  Baseline is the prior code.</t>
  </si>
  <si>
    <t>Ecotope. 2019. WSEC2018_proposal_estsavings.xlsx</t>
  </si>
  <si>
    <t>Ecotope. 2018. OR_Code_Impact_2018-05-09.xlsx.</t>
  </si>
  <si>
    <t>Ecotope. 2018. WSEC_Analysis_2016-09-13.xlsx.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</si>
  <si>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</si>
  <si>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</si>
  <si>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</si>
  <si>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</si>
  <si>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RES_200601_P3T5</t>
  </si>
  <si>
    <t>NEEA. Jul. 23, 2012. Long Term Monitoring and Tracking Report on 2011 Activities. NEEA updates the savings rates based on commercial and industrial.</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</si>
  <si>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</si>
  <si>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</si>
  <si>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</si>
  <si>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</si>
  <si>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</si>
  <si>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</si>
  <si>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</si>
  <si>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</si>
  <si>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</si>
  <si>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</si>
  <si>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</si>
  <si>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</si>
  <si>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</si>
  <si>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NEEM Plus</t>
  </si>
  <si>
    <t>Key Assumptions for the 2020-2021 Savings Reports to the Washington Investor Owned Utilities
More information is available upon request.</t>
  </si>
  <si>
    <t>Measures</t>
  </si>
  <si>
    <t>Source for the Savings Rate</t>
  </si>
  <si>
    <t>Reporting Timeline</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</si>
  <si>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</si>
  <si>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</si>
  <si>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</si>
  <si>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</si>
  <si>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</si>
  <si>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Beverage Machines, Roof Top Units, Pre-rinse Spray Valves</t>
  </si>
  <si>
    <t>Pumps (Ag and Industrial)</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</si>
  <si>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</si>
  <si>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</si>
  <si>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</si>
  <si>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</si>
  <si>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</si>
  <si>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</si>
  <si>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</si>
  <si>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Pumps</t>
  </si>
  <si>
    <t>Codes and Standards Savings Included</t>
  </si>
  <si>
    <t>Description of the Baseline Used</t>
  </si>
  <si>
    <t>Air Cleaners</t>
  </si>
  <si>
    <t>Televisions</t>
  </si>
  <si>
    <t>ES Spec is under revision</t>
  </si>
  <si>
    <t>NEEA is conducting field testing</t>
  </si>
  <si>
    <t>Medium and Large Office</t>
  </si>
  <si>
    <t>Extended Motors Products</t>
  </si>
  <si>
    <t>Commercial &amp; Industrial Pumps</t>
  </si>
  <si>
    <t>New Program</t>
  </si>
  <si>
    <t>These are site-base, first year savings allocated by funding share.
*Program Measures can result in a code or standard. As a result, some of the first year savings from Program Measures are reported as Codes &amp; Standards Measures.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</si>
  <si>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</si>
  <si>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</si>
  <si>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</si>
  <si>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</si>
  <si>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</si>
  <si>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</si>
  <si>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</si>
  <si>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</si>
  <si>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</si>
  <si>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</si>
  <si>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</si>
  <si>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</si>
  <si>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</si>
  <si>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</si>
  <si>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</si>
  <si>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</si>
  <si>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</si>
  <si>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</si>
  <si>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</si>
  <si>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</si>
  <si>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</si>
  <si>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</si>
  <si>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</si>
  <si>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</si>
  <si>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</si>
  <si>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</si>
  <si>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</si>
  <si>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</si>
  <si>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</si>
  <si>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</si>
  <si>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</si>
  <si>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</si>
  <si>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</si>
  <si>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</si>
  <si>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</si>
  <si>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</si>
  <si>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</si>
  <si>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</si>
  <si>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</si>
  <si>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</si>
  <si>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</si>
  <si>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</si>
  <si>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</si>
  <si>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</si>
  <si>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</si>
  <si>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</si>
  <si>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</si>
  <si>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</si>
  <si>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The region is working together to demonstrate success for a new voluntary above code specification (NEEM 2.0) in the market prior to a HUD code change, providing manufacturers/retailers with the tools and resources they need to drive consumer demand.</t>
  </si>
  <si>
    <t>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t>
  </si>
  <si>
    <t>Ecotope calculation using SEEM. Baseline is prior code.</t>
  </si>
  <si>
    <t>Modeling Approach</t>
  </si>
  <si>
    <t>Beverage Vending Machines</t>
  </si>
  <si>
    <t>Biennial</t>
  </si>
  <si>
    <t>WA IOU 2020-2021 Targets</t>
  </si>
  <si>
    <t>-</t>
  </si>
  <si>
    <t>Varies</t>
  </si>
  <si>
    <t>4 to 5</t>
  </si>
  <si>
    <t>6.5 (Freezers) 15.2 (Fridges)</t>
  </si>
  <si>
    <t>NEEA is using the RTF savings rate assumptions for both eFAF DHP measures.</t>
  </si>
  <si>
    <t>Efficiency Tier</t>
  </si>
  <si>
    <t>HZ</t>
  </si>
  <si>
    <t>CZ</t>
  </si>
  <si>
    <t>UEC</t>
  </si>
  <si>
    <t>Base HUD</t>
  </si>
  <si>
    <t>TOTAL</t>
  </si>
  <si>
    <t>Inefficient Units</t>
  </si>
  <si>
    <t>UES</t>
  </si>
  <si>
    <t>HUD Code 2024</t>
  </si>
  <si>
    <t>Manufactured_Homes</t>
  </si>
  <si>
    <t>Code savings count against the 7th Power Plan baseline if adopted after December 31, 2015.  This code has not yet been adopted, so the baseline is 0%.</t>
  </si>
  <si>
    <t>SEEM UEC outputs for HUD, NEEM 1.1, and NEEM 2.0 homes in each heating/cooling zone are weighted by the percentage of homes in each climate zone per the 2016 RBSA.</t>
  </si>
  <si>
    <t>RTF. July 1, 2020. ResMHNewHomesandHVAC_v4_1.xlsm.</t>
  </si>
  <si>
    <t>COM_200701_P1T2</t>
  </si>
  <si>
    <t>ENERGY STAR 5.0</t>
  </si>
  <si>
    <t>2020 Q4 Update</t>
  </si>
  <si>
    <t>COM_200701_P1T0</t>
  </si>
  <si>
    <t>2020 Q3 Update</t>
  </si>
  <si>
    <t>Current Report Name</t>
  </si>
  <si>
    <t>Current Forecast</t>
  </si>
  <si>
    <t>Variance</t>
  </si>
  <si>
    <t>Updated the Savings Rate in both the target and the forecast using the most recent RTF values</t>
  </si>
  <si>
    <t xml:space="preserve">The increase in commissioning savings is driven by a higher forecast of ReCx OCx and rCx commissioning in recent years, based off of the results of our annual commissioning survey. </t>
  </si>
  <si>
    <t>COM_201304_P5T1</t>
  </si>
  <si>
    <t>Commercial Refrigeration Equipment</t>
  </si>
  <si>
    <t>COM_201304_P6T1</t>
  </si>
  <si>
    <t>2014 Standard</t>
  </si>
  <si>
    <t>2017 Standard</t>
  </si>
  <si>
    <t>COM_201304_P8T1</t>
  </si>
  <si>
    <t>Electric Motors</t>
  </si>
  <si>
    <t>Other Market Progress</t>
  </si>
  <si>
    <t xml:space="preserve">T8 linear fluorescent lamp shipments are declining less aggressively than previously forecasted in the WA IOU targets. </t>
  </si>
  <si>
    <t>New program, NEEA is using the RTF savings rate.</t>
  </si>
  <si>
    <t>The decrease in savings is because NEEA updated its new construction forecast to reflect the current economic conditions using 2020 data. Some of the saving decline is offset by moving 3&amp;4 low-rise units from the  Multifamily codes savings category to the Single-family codes category.</t>
  </si>
  <si>
    <t>The decrease in savings is because NEEA moved 3&amp;4 units from Multifamily to Single-family in an effort to align the definition of single-family homes with its new Residential New Construction Program. In addition, NEEA is forecasting a slower growth in mf new construction.</t>
  </si>
  <si>
    <t xml:space="preserve">Based on 2019 data, the adoption of ENERGY STAR v7, effective in 2018, is higher than NEEA's original forecast. </t>
  </si>
  <si>
    <t>The forecast for number of new voluntary homes declined by approx. 1,000 for 2020-2021 to account for the effects of COVID-19 and 2020 data showing that homes certification programs are down.</t>
  </si>
  <si>
    <t>Sales of appliances have held steady through COVID-19. Moreover, the adoption of the ENERGY STAR top-loading clothes washers seems to be picking up. NEEA is evaluating savings estimates for Air Cleaners.</t>
  </si>
  <si>
    <t>Inconsistent streams of projects and savings levels make it difficult to forecast savings for this program.</t>
  </si>
  <si>
    <t>Residential Standards</t>
  </si>
  <si>
    <t>Varince</t>
  </si>
  <si>
    <r>
      <t>These are site-based,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
    </r>
  </si>
  <si>
    <t>Codes and Standards</t>
  </si>
  <si>
    <t>Codes and Standards*</t>
  </si>
  <si>
    <t xml:space="preserve">Source: </t>
  </si>
  <si>
    <t>ResSFExistingHVAC_v5_1.xls</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</si>
  <si>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</si>
  <si>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</si>
  <si>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</si>
  <si>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</si>
  <si>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</si>
  <si>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</si>
  <si>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</si>
  <si>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</si>
  <si>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</si>
  <si>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</si>
  <si>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</si>
  <si>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</si>
  <si>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</si>
  <si>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</si>
  <si>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</si>
  <si>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</si>
  <si>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</si>
  <si>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</si>
  <si>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</si>
  <si>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</si>
  <si>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</si>
  <si>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original DHP Target</t>
  </si>
  <si>
    <t>Updated DHP Target</t>
  </si>
  <si>
    <t>Program Measures (aMW)</t>
  </si>
  <si>
    <t>Current Forecast 
w/ Range</t>
  </si>
  <si>
    <t xml:space="preserve">Target 
w/ variance 
(Sept. 2019) </t>
  </si>
  <si>
    <t>Savings rates come from Mike Kennedy's savings analysis using EnergyPlus models.</t>
  </si>
  <si>
    <t>Commercial Buildings</t>
  </si>
  <si>
    <r>
      <t>aMW Remaining Savings</t>
    </r>
    <r>
      <rPr>
        <i/>
        <sz val="11"/>
        <color rgb="FF44546A"/>
        <rFont val="Calibri"/>
        <family val="2"/>
      </rPr>
      <t xml:space="preserve"> (Variance from Targets)</t>
    </r>
  </si>
  <si>
    <t>Program Measures Summary</t>
  </si>
  <si>
    <t>Codes and Stds Summary</t>
  </si>
  <si>
    <r>
      <t xml:space="preserve">RTF. Dec. 29, 2017. Ind_and_Ag_GreenMotorRewind_v3_1.xlsm </t>
    </r>
    <r>
      <rPr>
        <i/>
        <sz val="10"/>
        <color theme="5"/>
        <rFont val="Calibri"/>
        <family val="2"/>
        <scheme val="minor"/>
      </rPr>
      <t>Updated in 2019.</t>
    </r>
  </si>
  <si>
    <t>NEEA. 2019. Retail Products Portfolio Sales Data.</t>
  </si>
  <si>
    <t>NEEA. 2019. Retail Products Portfolio Sales Data. Updated July 2019.</t>
  </si>
  <si>
    <r>
      <rPr>
        <sz val="10"/>
        <color theme="1" tint="0.499984740745262"/>
        <rFont val="Calibri"/>
        <family val="2"/>
        <scheme val="minor"/>
      </rPr>
      <t xml:space="preserve">Notes: </t>
    </r>
    <r>
      <rPr>
        <i/>
        <sz val="10"/>
        <color theme="1" tint="0.499984740745262"/>
        <rFont val="Calibri"/>
        <family val="2"/>
        <scheme val="minor"/>
      </rPr>
      <t xml:space="preserve">
-These are site-based, first year savings allocated by funding share, net of local programs.
-Program Measures can result in a code or standard. As a result, some of the first-year savings from Program Measures are reported as Codes &amp; Standards Measures.
</t>
    </r>
  </si>
  <si>
    <t>Summary Table</t>
  </si>
  <si>
    <t>NEEA updates its planning models twice a year. For DHPs, NEEA staff was still vetting the RBSA results in March when it pulled together its Annual Report. NEEA has since updated the climate zone distributions to match the units it tracks through the program.</t>
  </si>
  <si>
    <t>Targets</t>
  </si>
  <si>
    <t>Year 1 Update</t>
  </si>
  <si>
    <t xml:space="preserve">Year 2 Update </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</si>
  <si>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</si>
  <si>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</si>
  <si>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</si>
  <si>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</si>
  <si>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</si>
  <si>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Your understanding of the "Bonneville Approach" and the RTF updates is correct. </t>
  </si>
  <si>
    <t>OR 2010 OEESC</t>
  </si>
  <si>
    <t>OR 2019 OZERCC</t>
  </si>
  <si>
    <t>OR 2021 OZERCC</t>
  </si>
  <si>
    <t>OR 2023 OZERCC</t>
  </si>
  <si>
    <t>OR 2026 OZERCC</t>
  </si>
  <si>
    <t>OR 2029 OZERCC</t>
  </si>
  <si>
    <t>COM_200701_P1T5</t>
  </si>
  <si>
    <t>ENERGY STAR 8.0</t>
  </si>
  <si>
    <t>Or. Res Specialty 2011</t>
  </si>
  <si>
    <t>RES_200601_P1T6</t>
  </si>
  <si>
    <t>RES_200601_P2T6</t>
  </si>
  <si>
    <t>RES_200601_P3T2</t>
  </si>
  <si>
    <t>RES_200601_P3T3</t>
  </si>
  <si>
    <t>Or. Specialty Code 2014</t>
  </si>
  <si>
    <t>RES_200601_P3T6</t>
  </si>
  <si>
    <t>RES_200601_P4T6</t>
  </si>
  <si>
    <t>WSEC 2021+</t>
  </si>
  <si>
    <t>RES_200902_P1T0</t>
  </si>
  <si>
    <t>Above 2009 Baseline</t>
  </si>
  <si>
    <t>ID National Green Building Standard Single-family</t>
  </si>
  <si>
    <t>MT National Green Building Standard Single-family</t>
  </si>
  <si>
    <t>OR National Green Building Standard Single-family</t>
  </si>
  <si>
    <t>ENERGY STAR v8 Most Efficient</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</si>
  <si>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</si>
  <si>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</si>
  <si>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</si>
  <si>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</si>
  <si>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</si>
  <si>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</si>
  <si>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</si>
  <si>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</si>
  <si>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</si>
  <si>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</si>
  <si>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</si>
  <si>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</si>
  <si>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To set targets, the UES will be come from:</t>
  </si>
  <si>
    <t>To compare against the targets, NEEA will only update the UES if:</t>
  </si>
  <si>
    <t>Unit Energy Savings (UES)</t>
  </si>
  <si>
    <t>The targets will stay the same.</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</si>
  <si>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</si>
  <si>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</si>
  <si>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</si>
  <si>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</si>
  <si>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</si>
  <si>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</si>
  <si>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</si>
  <si>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</si>
  <si>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</si>
  <si>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</si>
  <si>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</si>
  <si>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</si>
  <si>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</si>
  <si>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Products that encompass fans, circulators, pumps, etc in both residential and commercial sectors</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</si>
  <si>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</si>
  <si>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</si>
  <si>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</si>
  <si>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</si>
  <si>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</si>
  <si>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</si>
  <si>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</si>
  <si>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</si>
  <si>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-Construction Start: Dodge Data &amp; Analytics, Inc. 2021. 2021 Q1 Dodge. (dataset). 
-Code Compliance Rate: An internal assumption until completion of code compliance study.
-Code Permit Rate: Energy Trust of Oregon's New Buildings Program.  2012.  PECI permit occupancy dates - 2-15-2012. (dataset).</t>
  </si>
  <si>
    <t>Luminaire Level Lighting Controls:</t>
  </si>
  <si>
    <t>Reduced Wattage Lamps:</t>
  </si>
  <si>
    <t>XMP</t>
  </si>
  <si>
    <t>Commercial CS Pump</t>
  </si>
  <si>
    <t>Residential HH Circulator, Tier 1</t>
  </si>
  <si>
    <t>Residential HH Circulator, Tier 2</t>
  </si>
  <si>
    <t>Commercial HH Circulator, Tier 1</t>
  </si>
  <si>
    <t>Commercial HH Circulator, Tier 2</t>
  </si>
  <si>
    <t>Residential DHW Circulator, Tier 1</t>
  </si>
  <si>
    <t>Residential DHW Circulator, Tier 2</t>
  </si>
  <si>
    <t>Residential DHW Circulator, Tier 3</t>
  </si>
  <si>
    <t>Commercial DHW Circulator, Tier 1</t>
  </si>
  <si>
    <t>Commercial DHW Circulator, Tier 2</t>
  </si>
  <si>
    <t>Commercial DHW Circulator, Tier 3</t>
  </si>
  <si>
    <t>Commercial VS Pump, Tier 1</t>
  </si>
  <si>
    <t>Commercial VS Pump, Tier 2</t>
  </si>
  <si>
    <t>Extended Motor Products (XMP)</t>
  </si>
  <si>
    <t>Residential Hydronic Heating Circulator with an efficient ECM.</t>
  </si>
  <si>
    <t xml:space="preserve">Residential Hydronic Heating Circulator with an efficient ECM and "Advanced Speed Controls."  Advanced controls include proportional pressure, adaptive pressure, or differential temperature. </t>
  </si>
  <si>
    <t>Commercial Hydronic Heating Circulator with an efficient ECM.</t>
  </si>
  <si>
    <t xml:space="preserve">Commercial Hydronic Heating Circulator with an efficient ECM and "Advanced Speed Controls."  Advanced controls include proportional pressure, adaptive pressure, or differential temperature. </t>
  </si>
  <si>
    <t>A residential DHW circulator pump with efficient ECM and no Run Hours Controls</t>
  </si>
  <si>
    <t>Commercial Constant Speed Clean Water Pump.</t>
  </si>
  <si>
    <t>Commercial Variable Speed Clean Water Pump.</t>
  </si>
  <si>
    <t>Commercial Variable Speed Clean Water Pump replacing Constant Speed Pump.</t>
  </si>
  <si>
    <t>A residential DHW circulator pump with induction motor and Run Hours Controls.</t>
  </si>
  <si>
    <t>A residential DHW circulator pump with efficient ECM and Run Hours Controls.</t>
  </si>
  <si>
    <t>A commercial DHW circulator pump with efficient ECM and no Run Hours Controls</t>
  </si>
  <si>
    <t>A commercial DHW circulator pump with induction motor and Run Hours Controls.</t>
  </si>
  <si>
    <t>A commercial DHW circulator pump with efficient ECM and Run Hours Controls.</t>
  </si>
  <si>
    <t>The Baseline comes from the RTF, incorporated in the savings rate.</t>
  </si>
  <si>
    <t>RTF. Aug 10, 2020. Circulator Pumps v 2.1</t>
  </si>
  <si>
    <t>RTF. Jun 14, 2017. Efficient Pumps v 1.1</t>
  </si>
  <si>
    <t>Savings are incremental to DOE EL 2. See RTF Efficient Pumps workbook V1.1.</t>
  </si>
  <si>
    <t>Savings are incremental to average VL efficiency as calculated in the RTF workbook. See RTF Efficient Pumps workbook V1.1.</t>
  </si>
  <si>
    <t>Savings are based on the CL-&gt;VL deemed savings from the RTF workbook See RTF Efficient Pumps workbook V1.1.</t>
  </si>
  <si>
    <t>Savings are estimated using RTF method.</t>
  </si>
  <si>
    <t>RTF's current practice is incorportated into the savings rate calculation</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</si>
  <si>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2021. </t>
    </r>
    <r>
      <rPr>
        <i/>
        <sz val="10"/>
        <color theme="1"/>
        <rFont val="Calibri"/>
        <family val="2"/>
        <scheme val="minor"/>
      </rPr>
      <t>Consumer Products UES- Energy Solutions (dataset)</t>
    </r>
    <r>
      <rPr>
        <sz val="10"/>
        <color theme="1"/>
        <rFont val="Calibri"/>
        <family val="2"/>
        <scheme val="minor"/>
      </rPr>
      <t xml:space="preserve">.
-Data from: ICF. 2021.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</si>
  <si>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t>Energy Star v1</t>
  </si>
  <si>
    <t>Other Commercial Codes</t>
  </si>
  <si>
    <t>NEEA’s Codes Program has made a significant contribution to the Northwest region through its support of energy code development and adoption, and implementation, as well as the Program’s efforts on the national model code.
For Washington State, NEEA provided technical support in developing Washington State Energy Code Technical Roadmap that identifies a set of technologies and building strategies to achieve the 2030 goal.  (Noresco. September 28, 2020. Washington State Commercial Energy Code Technical Roadmap Report.)</t>
  </si>
  <si>
    <t>The program receives national commercial desktop computer shipment data on an annual basis from International Data Corporation (IDC).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</si>
  <si>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</si>
  <si>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</si>
  <si>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</si>
  <si>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</si>
  <si>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</si>
  <si>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</si>
  <si>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</si>
  <si>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</si>
  <si>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</si>
  <si>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</si>
  <si>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</si>
  <si>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</si>
  <si>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</si>
  <si>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</si>
  <si>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</si>
  <si>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</si>
  <si>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</si>
  <si>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</si>
  <si>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</si>
  <si>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</si>
  <si>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</si>
  <si>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</si>
  <si>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</si>
  <si>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</si>
  <si>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</si>
  <si>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</si>
  <si>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</si>
  <si>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</si>
  <si>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</si>
  <si>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</si>
  <si>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</si>
  <si>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</si>
  <si>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</si>
  <si>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</si>
  <si>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</si>
  <si>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</si>
  <si>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</si>
  <si>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</si>
  <si>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</si>
  <si>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</si>
  <si>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</si>
  <si>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</si>
  <si>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</si>
  <si>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</si>
  <si>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</si>
  <si>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</si>
  <si>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</si>
  <si>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</si>
  <si>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</si>
  <si>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</si>
  <si>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</si>
  <si>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</si>
  <si>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PNNL. 2020. Energy and Energy Cost Savings Analysis of the 2015 IECC for Commercial Buildings.</t>
  </si>
  <si>
    <t>Mike Kennedy. 2020. 2019 Oregon Commercial Energy Code - Energy Savings Analysis.</t>
  </si>
  <si>
    <t>Mike Kennedy. 2018. Washington 2015 Non-Res Energy Code Energy Savings.</t>
  </si>
  <si>
    <t>PNNL. 2020. Energy and Energy Cost Savings Analysis of the 2018 IECC for Commercial Buildings.</t>
  </si>
  <si>
    <t>NEEA used PNNL's 2015 IECC analysis to estimate savings for the state of Idaho.</t>
  </si>
  <si>
    <t>NEEA used PNNL's 2018 IECC analysis to estimate savings for the state of Montana.</t>
  </si>
  <si>
    <t>NEEA used PNNL's 2018 IECC analysis to estimate savings for the state of Idaho.</t>
  </si>
  <si>
    <t>NEEA forecasted savings rates assuming a 6% EUI reduction from Oregon's 2019 OZERCC.</t>
  </si>
  <si>
    <t xml:space="preserve">Approximate site-based savings for RETA CRES submitted projects documented through RETA's Refrigeration Certification Database (RCD). (dataset) </t>
  </si>
  <si>
    <t>- NEEM database export of all NEEM 1.1 and 2.0 certified homes in the northwest is provided directly to NEEA through Northwest Energy Works.</t>
  </si>
  <si>
    <t>2020 Market Share</t>
  </si>
  <si>
    <t xml:space="preserve"> Current - 2020 UEC (kWh/yr)</t>
  </si>
  <si>
    <t>2020 Blended</t>
  </si>
  <si>
    <t xml:space="preserve">RETA. 2020 Refrigeration Certification Database (dataset). </t>
  </si>
  <si>
    <t>NEEA utilizes the RTF measure for the single-family electric zonal-heated applications with the addition .  The RTF updated their measures for the single-family zonal applications in October 2019. These updates were based on field studies conducted by both Energy Trust and BPA that showed a higher prevalence of sub-optimal applications of DHPs that was previously assumed. Since this update came after targets were established for 2020, NEEA worked with funders to determine how to handle this update. It was agreed in late 2020 that we would apply this update to the savings rate starting in 2021.</t>
  </si>
  <si>
    <t>RBSA 2016 Database</t>
  </si>
  <si>
    <t>RES_201301_P25T4</t>
  </si>
  <si>
    <t>RES_201403_P3t2</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</si>
  <si>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</si>
  <si>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Retail Product Portfolio:</t>
  </si>
  <si>
    <t>Configuration</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</si>
  <si>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</si>
  <si>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</si>
  <si>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</si>
  <si>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</si>
  <si>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</si>
  <si>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</si>
  <si>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</si>
  <si>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</si>
  <si>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</si>
  <si>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</si>
  <si>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</si>
  <si>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</si>
  <si>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 &amp; Circulators</t>
  </si>
  <si>
    <t>Residential Pumps &amp; Circulators</t>
  </si>
  <si>
    <t>Commercial Pumps</t>
  </si>
  <si>
    <t>Circulator Pumps</t>
  </si>
  <si>
    <r>
      <t xml:space="preserve">Savings is calculated per RTF Method as [Baseline UEC - Efficent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DOE EL 2)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RTF. Jun 14, 2017. Efficient Pumps v 1.1</t>
    </r>
  </si>
  <si>
    <r>
      <t xml:space="preserve">For Circulator Pumps Savings are calculated consistent with RTF Circulator Pumps Workbook V2.1. 
Savings rate is average of tracked circulators across control type and HP.
</t>
    </r>
    <r>
      <rPr>
        <b/>
        <sz val="10"/>
        <rFont val="Calibri"/>
        <family val="2"/>
        <scheme val="minor"/>
      </rPr>
      <t xml:space="preserve">
https://rtf.nwcouncil.org/measure/circulator-pumps
RTF. Aug 10, 2020. Circulator Pumps v 2.1</t>
    </r>
  </si>
  <si>
    <t>Other Code (Single-family)</t>
  </si>
  <si>
    <t>Actuals</t>
  </si>
  <si>
    <t>Codes (Single-family)</t>
  </si>
  <si>
    <t>Codes (multifamily)</t>
  </si>
  <si>
    <t>Site-based</t>
  </si>
  <si>
    <t>Energy 350. 2021. Final 2020-NEEA_Homes_Savings_Validation_Memo.docx.</t>
  </si>
  <si>
    <t>TRC. Feb. 12, 2021. NEEA-NewHomes_2020ProgramSavingsReporting_FINAL_2021-02-12</t>
  </si>
  <si>
    <t>Ecotope calculation using SEEM.  Baseline is the prior code. Adjusted by NEEA to account for amendments.</t>
  </si>
  <si>
    <t xml:space="preserve">Cadeo. 2020. Ceiling Fan Standard Model. </t>
  </si>
  <si>
    <r>
      <t xml:space="preserve">Cadeo. Aug. 15, 2017. RTU_Standards_Model.xlsm (available upon request) </t>
    </r>
    <r>
      <rPr>
        <i/>
        <sz val="10"/>
        <rFont val="Calibri"/>
        <family val="2"/>
        <scheme val="minor"/>
      </rPr>
      <t>Updated 2020</t>
    </r>
    <r>
      <rPr>
        <sz val="10"/>
        <rFont val="Calibri"/>
        <family val="2"/>
        <scheme val="minor"/>
      </rPr>
      <t xml:space="preserve">; Savings Rate analysis by Mike Kennedy. </t>
    </r>
  </si>
  <si>
    <t xml:space="preserve">Cadeo.2020. NonRed Walkin Coolers and Freezers Model. </t>
  </si>
  <si>
    <t>Cadeo. 2020. Commercial_Industrial_Pumps_Standards_Model.xlsm</t>
  </si>
  <si>
    <t xml:space="preserve">Savings Rate analysis by Mike Kennedy. </t>
  </si>
  <si>
    <t>Next Step Homes/Efficient Homes/Other codes</t>
  </si>
  <si>
    <t>NEEA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NEEA gathers information during these activities that can then be used to develop and support code proposals.</t>
  </si>
  <si>
    <t>Federal Standard, Effective 2020, DOE Final Rule 2017, Residential Ceiling Fans</t>
  </si>
  <si>
    <t>2020-2024</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</si>
  <si>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</si>
  <si>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Common Questions (updated 3/11/2021)</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</si>
  <si>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</si>
  <si>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</si>
  <si>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Note that this report uses the RTF rates if they were updated after the Power Plan was developed and before September the year prior to the report year (See Methodology Tab).</t>
  </si>
  <si>
    <t>RTF current practice. Baseline contained in UES calculation. 2020 Source: ResMHNewHomesandHVAC_v3_4.xlsm. 2021 Source: ResMHNewHomesandHVAC_v4_1.xlsm</t>
  </si>
  <si>
    <t>RTF Savings Rates</t>
  </si>
  <si>
    <t>Savings rates come from the RTF's most recent dryer workbook. The RTF workbook contians more granular UEC tiers than NEEA tracks, so closest-matching RTF tiers are used for each NEEA tier (see mapping  below). These savings rates are then weighted by the share of vented and ventless dryer shipments  in each tier.</t>
  </si>
  <si>
    <t>NEEA uses the 2018 RTF UEC values. Details can be found on the Clothes_Dryers tab.</t>
  </si>
  <si>
    <t>RTF. Jul. 23, 2018. ResClothesDryers_v3.1</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</si>
  <si>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</si>
  <si>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</si>
  <si>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NonResLightingCodeCompliantProtocolCalculator_v1_1.xlsm</t>
  </si>
  <si>
    <t>NEEA uses the 2018 RTF Non-Residential Lighting Standard Protocol for Control Savings Fraction (CSF) and Annual Lighting Hours of Use and apply them to each LLLC fixture watage. Details can be found on the Com_Lighting tab.</t>
  </si>
  <si>
    <t>RTF. May 9, 2018. NonResLightingCodeCompliantProtocolCalculator_v1_1</t>
  </si>
  <si>
    <t>Savings Rates:</t>
  </si>
  <si>
    <r>
      <t xml:space="preserve">aMW Remaining Savings </t>
    </r>
    <r>
      <rPr>
        <b/>
        <sz val="11"/>
        <color theme="5"/>
        <rFont val="Calibri"/>
        <family val="2"/>
      </rPr>
      <t>2020</t>
    </r>
  </si>
  <si>
    <t>2021 (F)</t>
  </si>
  <si>
    <t>Home Certification Programs</t>
  </si>
  <si>
    <t>Refrigerators &amp; Freezers</t>
  </si>
  <si>
    <t>Commercial VS Pump</t>
  </si>
  <si>
    <t>-International Data Corporation (IDC). 2021. Estar20Q4 data_US (dataset).</t>
  </si>
  <si>
    <t>-2020: RTF. 2017. ResMHNewHomesandHVAC.xlsm.  SEEM UEC outputs for HUD, NEEM 1.1, and NEEM 2.0 homes in each heating/cooling zone are weighted by the percentage of homes in each climate zone per the RBSA.
-2021: RTF. July 1, 2020. ResMHNewHomesandHVAC_v4_1.xlsm.</t>
  </si>
  <si>
    <t xml:space="preserve">Site-based savings from RETA's Refrigeration Certification Database (RCD). Projects are submitted with estimated kWh savings to RCD. </t>
  </si>
  <si>
    <t>Codes adopted by Dec 31, 2014 are in the 7th Power Plan baseline load forecast or explicitly in the measures. As a result, the baseline is the code announced before 2015.</t>
  </si>
  <si>
    <t>NEEA is assuming a 0% baseline.</t>
  </si>
  <si>
    <t>RES_201403_P2T0</t>
  </si>
  <si>
    <t>Snapshot</t>
  </si>
  <si>
    <t>Savings Category</t>
  </si>
  <si>
    <t>Local_Incentives_2021PP</t>
  </si>
  <si>
    <t>Regional_Market_2021PP</t>
  </si>
  <si>
    <t>Savings Rate Type</t>
  </si>
  <si>
    <t>Savings_Rate_2021PP</t>
  </si>
  <si>
    <t>Sum of Units</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</si>
  <si>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</si>
  <si>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</si>
  <si>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</si>
  <si>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</si>
  <si>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</si>
  <si>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</si>
  <si>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</si>
  <si>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</si>
  <si>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</si>
  <si>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</si>
  <si>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</si>
  <si>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</si>
  <si>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</si>
  <si>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</si>
  <si>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</si>
  <si>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</si>
  <si>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</si>
  <si>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</si>
  <si>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Savings from projects submitted by Certified Refrigeration Energy Specialists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</si>
  <si>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</si>
  <si>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</si>
  <si>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</si>
  <si>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</si>
  <si>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</si>
  <si>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</si>
  <si>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</si>
  <si>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</si>
  <si>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</si>
  <si>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</si>
  <si>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</si>
  <si>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</si>
  <si>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</si>
  <si>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</si>
  <si>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</si>
  <si>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</si>
  <si>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</si>
  <si>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</si>
  <si>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</si>
  <si>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</si>
  <si>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</si>
  <si>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</si>
  <si>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</si>
  <si>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</si>
  <si>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</si>
  <si>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</si>
  <si>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</si>
  <si>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</si>
  <si>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</si>
  <si>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</si>
  <si>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</si>
  <si>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</si>
  <si>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</si>
  <si>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</si>
  <si>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</si>
  <si>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</si>
  <si>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</si>
  <si>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</si>
  <si>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</si>
  <si>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</si>
  <si>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</si>
  <si>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</si>
  <si>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Oregon Code, New Commercial, OZERCC 2021</t>
  </si>
  <si>
    <t>2021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</si>
  <si>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</si>
  <si>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</si>
  <si>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</si>
  <si>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</si>
  <si>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</si>
  <si>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</si>
  <si>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</si>
  <si>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</si>
  <si>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</si>
  <si>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</si>
  <si>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</si>
  <si>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</si>
  <si>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</si>
  <si>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</si>
  <si>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</si>
  <si>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</si>
  <si>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</si>
  <si>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</si>
  <si>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Montana Code, New Multifamily, IECC 2018</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</si>
  <si>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</si>
  <si>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</si>
  <si>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</si>
  <si>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</si>
  <si>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</si>
  <si>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</si>
  <si>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</si>
  <si>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</si>
  <si>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</si>
  <si>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</si>
  <si>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</si>
  <si>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</si>
  <si>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</si>
  <si>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</si>
  <si>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</si>
  <si>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</si>
  <si>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</si>
  <si>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</si>
  <si>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</si>
  <si>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</si>
  <si>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</si>
  <si>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</si>
  <si>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</si>
  <si>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</si>
  <si>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</si>
  <si>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</si>
  <si>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</si>
  <si>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</si>
  <si>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</si>
  <si>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</si>
  <si>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</si>
  <si>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Refrigerators, Standard-size Top-mount Freezers/Other, ENERGY STAR v5 (CEE Tier 1)</t>
  </si>
  <si>
    <t>Refrigerators, Standard-size Top-mount Freezers/Other, ENERGY STAR  v5 (CEE Tier 1)</t>
  </si>
  <si>
    <t>Refrigerators, Standard-size Top-mount Freezers/Other, ENERGY STAR v5 Most Efficient (CEE Tier 2)</t>
  </si>
  <si>
    <t>Refrigerators, Standard-size Top-mount Freezers/Other, ENERGY STAR  Most Efficient (CEE Tier 2)</t>
  </si>
  <si>
    <t>Refrigerators, Standard-size Side-mount Freezers, ENERGY STAR v5 (CEE Tier 1)</t>
  </si>
  <si>
    <t>Refrigerators, Standard-size Side-mount Freezers, ENERGY STAR  v5 (CEE Tier 1)</t>
  </si>
  <si>
    <t>Refrigerators, Standard-size Side-mount Freezers, ENERGY STAR v5 Most Efficient (CEE Tier 2)</t>
  </si>
  <si>
    <t>Refrigerators, Standard-size Side-mount Freezers, ENERGY STAR  Most Efficient (CEE Tier 2)</t>
  </si>
  <si>
    <t>Refrigerators, Standard-size Bottom-mount Freezers, ENERGY STAR v5 (CEE Tier 1)</t>
  </si>
  <si>
    <t>Refrigerators, Standard-size Bottom-mount Freezers, ENERGY STAR  v5 (CEE Tier 1)</t>
  </si>
  <si>
    <t>Soundbar, ENERGY STAR +50%</t>
  </si>
  <si>
    <t>Clothes Washers, Standard-size Top-Loading, Electric, ENERGY STAR v7 (IMEF 2.09)</t>
  </si>
  <si>
    <t>Clothes Washers, Standard-size Top-Loading, Electric, ENERGY STAR v8 Most Efficient (CEE Tier 1, IMEF 2.76)</t>
  </si>
  <si>
    <t>Clothes Washers, Front-Loading, Electric, ENERGY STAR v8 Most Efficient 2017 (CEE Tier 1, IMEF 2.77)</t>
  </si>
  <si>
    <t>Clothes Washer, Front-Loading, Electric, ENERGY STAR v8 Most Efficient 2017 (CEE Tier 1, IMEF 2.77)</t>
  </si>
  <si>
    <t>Clothes Washers, Front-Loading, Electric, ENERGY STAR v8 Most Efficient 2018 (CEE Tier 2, IMEF 2.91)</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</si>
  <si>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</si>
  <si>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</si>
  <si>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</si>
  <si>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</si>
  <si>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</si>
  <si>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</si>
  <si>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</si>
  <si>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Refrigerators, Standard-size Bottom-mount Freezers, ENERGY STAR v5 Most Efficient (CEE Tier 2)</t>
  </si>
  <si>
    <t>Refrigerators, Standard-size Bottom-mount Freezers, ENERGY STAR  Most Efficient (CEE Tier 2)</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</si>
  <si>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</si>
  <si>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</si>
  <si>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</si>
  <si>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</si>
  <si>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</si>
  <si>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</si>
  <si>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</si>
  <si>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</si>
  <si>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</si>
  <si>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</si>
  <si>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</si>
  <si>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</si>
  <si>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</si>
  <si>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</si>
  <si>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</si>
  <si>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RTF. 2020</t>
  </si>
  <si>
    <t>RTF current practice. 2020.</t>
  </si>
  <si>
    <t>Source: RTF. 2020. ResClothesWashers_v7_1.xlsm.</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</si>
  <si>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</si>
  <si>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</si>
  <si>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</si>
  <si>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</si>
  <si>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</si>
  <si>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</si>
  <si>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</si>
  <si>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</si>
  <si>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</si>
  <si>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</si>
  <si>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</si>
  <si>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</si>
  <si>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</si>
  <si>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</si>
  <si>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</si>
  <si>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</si>
  <si>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</si>
  <si>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</si>
  <si>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</si>
  <si>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</si>
  <si>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</si>
  <si>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</si>
  <si>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</si>
  <si>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</si>
  <si>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</si>
  <si>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</si>
  <si>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</si>
  <si>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</si>
  <si>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</si>
  <si>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</si>
  <si>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</si>
  <si>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</si>
  <si>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</si>
  <si>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</si>
  <si>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</si>
  <si>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</si>
  <si>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</si>
  <si>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</si>
  <si>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</si>
  <si>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</si>
  <si>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</si>
  <si>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</si>
  <si>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</si>
  <si>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</si>
  <si>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</si>
  <si>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</si>
  <si>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</si>
  <si>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</si>
  <si>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</si>
  <si>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</si>
  <si>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</si>
  <si>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</si>
  <si>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</si>
  <si>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</si>
  <si>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</si>
  <si>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</si>
  <si>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</si>
  <si>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</si>
  <si>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</si>
  <si>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</si>
  <si>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</si>
  <si>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</si>
  <si>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</si>
  <si>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</si>
  <si>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Install a 9.5 HSPF or better DHP, with nominal tonnage ≥ 3/4 ton in the main living area of a house with permanently installed electric forced air furnace space heat.</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</si>
  <si>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</si>
  <si>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</si>
  <si>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</si>
  <si>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</si>
  <si>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</si>
  <si>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</si>
  <si>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</si>
  <si>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</si>
  <si>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Lighting controls in commercial buildings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</si>
  <si>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</si>
  <si>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</si>
  <si>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</si>
  <si>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</si>
  <si>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</si>
  <si>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</si>
  <si>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</si>
  <si>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</si>
  <si>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</si>
  <si>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</si>
  <si>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</si>
  <si>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</si>
  <si>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</si>
  <si>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</si>
  <si>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</si>
  <si>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</si>
  <si>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</si>
  <si>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</si>
  <si>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</si>
  <si>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</si>
  <si>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</si>
  <si>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</si>
  <si>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</si>
  <si>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</si>
  <si>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</si>
  <si>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</si>
  <si>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</si>
  <si>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</si>
  <si>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</si>
  <si>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</si>
  <si>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</si>
  <si>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</si>
  <si>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</si>
  <si>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</si>
  <si>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</si>
  <si>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</si>
  <si>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</si>
  <si>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</si>
  <si>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</si>
  <si>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</si>
  <si>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</si>
  <si>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</si>
  <si>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</si>
  <si>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</si>
  <si>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</si>
  <si>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</si>
  <si>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</si>
  <si>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</si>
  <si>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</si>
  <si>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</si>
  <si>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</si>
  <si>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</si>
  <si>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</si>
  <si>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</si>
  <si>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</si>
  <si>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</si>
  <si>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</si>
  <si>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</si>
  <si>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</si>
  <si>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</si>
  <si>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</si>
  <si>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</si>
  <si>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</si>
  <si>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</si>
  <si>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</si>
  <si>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</si>
  <si>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</si>
  <si>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</si>
  <si>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</si>
  <si>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</si>
  <si>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</si>
  <si>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</si>
  <si>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</si>
  <si>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</si>
  <si>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</si>
  <si>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</si>
  <si>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</si>
  <si>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</si>
  <si>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</si>
  <si>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</si>
  <si>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</si>
  <si>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</si>
  <si>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</si>
  <si>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</si>
  <si>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</si>
  <si>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</si>
  <si>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</si>
  <si>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</si>
  <si>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</si>
  <si>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</si>
  <si>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</si>
  <si>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</si>
  <si>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</si>
  <si>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Install Luminaire level lighting controls in commercial new construction</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</si>
  <si>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</si>
  <si>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</si>
  <si>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</si>
  <si>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</si>
  <si>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</si>
  <si>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</si>
  <si>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</si>
  <si>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</si>
  <si>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</si>
  <si>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</si>
  <si>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</si>
  <si>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</si>
  <si>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</si>
  <si>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</si>
  <si>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</si>
  <si>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</si>
  <si>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</si>
  <si>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</si>
  <si>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</si>
  <si>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</si>
  <si>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</si>
  <si>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</si>
  <si>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</si>
  <si>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</si>
  <si>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</si>
  <si>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</si>
  <si>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</si>
  <si>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</si>
  <si>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</si>
  <si>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</si>
  <si>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</si>
  <si>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</si>
  <si>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</si>
  <si>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</si>
  <si>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</si>
  <si>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</si>
  <si>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</si>
  <si>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</si>
  <si>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</si>
  <si>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</si>
  <si>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</si>
  <si>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</si>
  <si>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</si>
  <si>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</si>
  <si>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</si>
  <si>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</si>
  <si>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</si>
  <si>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</si>
  <si>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</si>
  <si>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</si>
  <si>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</si>
  <si>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</si>
  <si>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</si>
  <si>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</si>
  <si>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</si>
  <si>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</si>
  <si>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2023 OZERCC Non-residential new construction built in Oregon</t>
  </si>
  <si>
    <t>2026 OZERCC Non-residential new construction built in Oregon</t>
  </si>
  <si>
    <t>2029 OZERCC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</si>
  <si>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</si>
  <si>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</si>
  <si>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</si>
  <si>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</si>
  <si>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</si>
  <si>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</si>
  <si>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</si>
  <si>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</si>
  <si>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</si>
  <si>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</si>
  <si>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</si>
  <si>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</si>
  <si>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</si>
  <si>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</si>
  <si>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</si>
  <si>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</si>
  <si>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Future IECC Code home built in Montana, all heating systems, regional climate zones,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</si>
  <si>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</si>
  <si>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</si>
  <si>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</si>
  <si>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</si>
  <si>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</si>
  <si>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</si>
  <si>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</si>
  <si>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</si>
  <si>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</si>
  <si>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</si>
  <si>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</si>
  <si>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</si>
  <si>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</si>
  <si>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</si>
  <si>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</si>
  <si>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</si>
  <si>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</si>
  <si>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</si>
  <si>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</si>
  <si>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</si>
  <si>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</si>
  <si>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</si>
  <si>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</si>
  <si>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</si>
  <si>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</si>
  <si>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</si>
  <si>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</si>
  <si>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</si>
  <si>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</si>
  <si>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</si>
  <si>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</si>
  <si>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</si>
  <si>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</si>
  <si>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</si>
  <si>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</si>
  <si>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</si>
  <si>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</si>
  <si>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</si>
  <si>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</si>
  <si>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</si>
  <si>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</si>
  <si>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</si>
  <si>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</si>
  <si>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</si>
  <si>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</si>
  <si>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</si>
  <si>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</si>
  <si>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</si>
  <si>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</si>
  <si>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</si>
  <si>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</si>
  <si>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</si>
  <si>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</si>
  <si>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</si>
  <si>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</si>
  <si>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</si>
  <si>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</si>
  <si>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</si>
  <si>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</si>
  <si>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</si>
  <si>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</si>
  <si>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</si>
  <si>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</si>
  <si>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</si>
  <si>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</si>
  <si>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</si>
  <si>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</si>
  <si>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</si>
  <si>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ENERGY STAR Most Efficient (CEE Tier 2)</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</si>
  <si>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</si>
  <si>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</si>
  <si>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</si>
  <si>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</si>
  <si>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</si>
  <si>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ENERGY STAR Most Efficient (CEE Tier 2)</t>
  </si>
  <si>
    <t>Refrigerators, Standard-size Top-mount Freezers/Other, Non-Qualifying</t>
  </si>
  <si>
    <t>Refrigerators, Standard-size Side-mount Freezers, ENERGY STAR +20% or better above Standard</t>
  </si>
  <si>
    <t>Refrigerators, Standard-size Side-mount Freezers, ENERGY STAR Most Efficient (CEE Tier 2)</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</si>
  <si>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</si>
  <si>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</si>
  <si>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</si>
  <si>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</si>
  <si>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</si>
  <si>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</si>
  <si>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</si>
  <si>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</si>
  <si>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</si>
  <si>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</si>
  <si>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</si>
  <si>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</si>
  <si>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</si>
  <si>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</si>
  <si>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</si>
  <si>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</si>
  <si>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</si>
  <si>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</si>
  <si>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</si>
  <si>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</si>
  <si>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</si>
  <si>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</si>
  <si>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</si>
  <si>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</si>
  <si>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</si>
  <si>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</si>
  <si>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</si>
  <si>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</si>
  <si>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</si>
  <si>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efficient ECM and no Run Hours Controls</t>
  </si>
  <si>
    <t>A commercial circulator pump with induction motor and Run Hours Controls.</t>
  </si>
  <si>
    <t>A commercial circulator pump with efficient ECM and Run Hours Controls.</t>
  </si>
  <si>
    <t>Commercial Hydronic Heating Circulator with an efficient ECM and "Advanced Speed Controls."  Advanced controls include proportional pressure, adaptive pressure, or differential temperature.</t>
  </si>
  <si>
    <t>A residential circulator pump with efficient ECM and no Run Hours Controls</t>
  </si>
  <si>
    <t>A residential circulator pump with induction motor and Run Hours Controls.</t>
  </si>
  <si>
    <t>A residential circulator pump with efficient ECM and Run Hours Controls.</t>
  </si>
  <si>
    <t>Residential Hydronic Heating Circulator with an efficient ECM and "Advanced Speed Controls."  Advanced controls include proportional pressure, adaptive pressure, or differential temperature.</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</si>
  <si>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</si>
  <si>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</si>
  <si>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</si>
  <si>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</si>
  <si>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</si>
  <si>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</si>
  <si>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</si>
  <si>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</si>
  <si>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</si>
  <si>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</si>
  <si>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</si>
  <si>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</si>
  <si>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</si>
  <si>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</si>
  <si>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</si>
  <si>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</si>
  <si>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</si>
  <si>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</si>
  <si>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</si>
  <si>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</si>
  <si>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</si>
  <si>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</si>
  <si>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</si>
  <si>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</si>
  <si>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</si>
  <si>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</si>
  <si>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</si>
  <si>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</si>
  <si>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</si>
  <si>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</si>
  <si>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</si>
  <si>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</si>
  <si>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</si>
  <si>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</si>
  <si>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</si>
  <si>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</si>
  <si>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</si>
  <si>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</si>
  <si>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</si>
  <si>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</si>
  <si>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</si>
  <si>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</si>
  <si>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</si>
  <si>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</si>
  <si>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</si>
  <si>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</si>
  <si>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</si>
  <si>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</si>
  <si>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</si>
  <si>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</si>
  <si>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</si>
  <si>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</si>
  <si>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</si>
  <si>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</si>
  <si>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</si>
  <si>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</si>
  <si>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</si>
  <si>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</si>
  <si>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</si>
  <si>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</si>
  <si>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</si>
  <si>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</si>
  <si>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</si>
  <si>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</si>
  <si>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</si>
  <si>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</si>
  <si>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</si>
  <si>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</si>
  <si>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</si>
  <si>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</si>
  <si>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</si>
  <si>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</si>
  <si>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</si>
  <si>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</si>
  <si>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</si>
  <si>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</si>
  <si>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</si>
  <si>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</si>
  <si>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</si>
  <si>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</si>
  <si>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</si>
  <si>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</si>
  <si>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</si>
  <si>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</si>
  <si>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</si>
  <si>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</si>
  <si>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</si>
  <si>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</si>
  <si>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</si>
  <si>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</si>
  <si>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</si>
  <si>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</si>
  <si>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</si>
  <si>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</si>
  <si>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</si>
  <si>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</si>
  <si>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</si>
  <si>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</si>
  <si>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</si>
  <si>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</si>
  <si>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</si>
  <si>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</si>
  <si>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</si>
  <si>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</si>
  <si>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Oregon Code, New Commercial, OZERCC 2023</t>
  </si>
  <si>
    <t>Oregon Code, New Commercial, OZERCC 2026</t>
  </si>
  <si>
    <t>Oregon Code, New Commercial, OZERCC 2029</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</si>
  <si>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</si>
  <si>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</si>
  <si>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</si>
  <si>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</si>
  <si>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</si>
  <si>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</si>
  <si>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</si>
  <si>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</si>
  <si>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</si>
  <si>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</si>
  <si>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</si>
  <si>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</si>
  <si>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</si>
  <si>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</si>
  <si>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</si>
  <si>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</si>
  <si>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</si>
  <si>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</si>
  <si>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</si>
  <si>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</si>
  <si>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</si>
  <si>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</si>
  <si>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</si>
  <si>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</si>
  <si>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</si>
  <si>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</si>
  <si>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Luminaire Level Lighting Controls, Commercial New Construction</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</si>
  <si>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</si>
  <si>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</si>
  <si>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</si>
  <si>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</si>
  <si>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</si>
  <si>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</si>
  <si>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</si>
  <si>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</si>
  <si>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</si>
  <si>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</si>
  <si>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</si>
  <si>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</si>
  <si>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</si>
  <si>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</si>
  <si>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</si>
  <si>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</si>
  <si>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</si>
  <si>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</si>
  <si>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</si>
  <si>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</si>
  <si>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</si>
  <si>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</si>
  <si>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</si>
  <si>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</si>
  <si>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</si>
  <si>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</si>
  <si>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</si>
  <si>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</si>
  <si>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</si>
  <si>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</si>
  <si>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</si>
  <si>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</si>
  <si>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</si>
  <si>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</si>
  <si>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</si>
  <si>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</si>
  <si>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</si>
  <si>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</si>
  <si>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</si>
  <si>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</si>
  <si>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</si>
  <si>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</si>
  <si>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</si>
  <si>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</si>
  <si>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</si>
  <si>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</si>
  <si>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</si>
  <si>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</si>
  <si>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</si>
  <si>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</si>
  <si>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</si>
  <si>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</si>
  <si>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</si>
  <si>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</si>
  <si>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</si>
  <si>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</si>
  <si>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</si>
  <si>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</si>
  <si>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</si>
  <si>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</si>
  <si>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</si>
  <si>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</si>
  <si>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</si>
  <si>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</si>
  <si>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</si>
  <si>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</si>
  <si>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</si>
  <si>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</si>
  <si>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</si>
  <si>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</si>
  <si>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</si>
  <si>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</si>
  <si>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</si>
  <si>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</si>
  <si>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</si>
  <si>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</si>
  <si>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</si>
  <si>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</si>
  <si>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</si>
  <si>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</si>
  <si>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</si>
  <si>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</si>
  <si>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</si>
  <si>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</si>
  <si>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</si>
  <si>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</si>
  <si>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</si>
  <si>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</si>
  <si>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</si>
  <si>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</si>
  <si>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</si>
  <si>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</si>
  <si>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</si>
  <si>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</si>
  <si>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</si>
  <si>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</si>
  <si>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</si>
  <si>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</si>
  <si>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</si>
  <si>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</si>
  <si>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</si>
  <si>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</si>
  <si>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</si>
  <si>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</si>
  <si>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</si>
  <si>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</si>
  <si>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</si>
  <si>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</si>
  <si>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</si>
  <si>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</si>
  <si>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</si>
  <si>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</si>
  <si>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</si>
  <si>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</si>
  <si>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</si>
  <si>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</si>
  <si>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</si>
  <si>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</si>
  <si>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</si>
  <si>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</si>
  <si>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</si>
  <si>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</si>
  <si>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</si>
  <si>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</si>
  <si>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</si>
  <si>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</si>
  <si>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</si>
  <si>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</si>
  <si>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</si>
  <si>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</si>
  <si>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</si>
  <si>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</si>
  <si>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</si>
  <si>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</si>
  <si>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</si>
  <si>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</si>
  <si>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</si>
  <si>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</si>
  <si>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</si>
  <si>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</si>
  <si>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</si>
  <si>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</si>
  <si>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</si>
  <si>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</si>
  <si>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</si>
  <si>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Clothes Washers, Standard-size Top-Loading, Electric, Non-Qualifying</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</si>
  <si>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</si>
  <si>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</si>
  <si>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</si>
  <si>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</si>
  <si>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</si>
  <si>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</si>
  <si>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</si>
  <si>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</si>
  <si>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</si>
  <si>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</si>
  <si>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</si>
  <si>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</si>
  <si>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</si>
  <si>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</si>
  <si>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Clothes Washers, Compact, Electric, Non-Qualifying</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</si>
  <si>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</si>
  <si>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</si>
  <si>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</si>
  <si>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</si>
  <si>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</si>
  <si>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</si>
  <si>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</si>
  <si>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</si>
  <si>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</si>
  <si>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Clothes Washers, Front-Loading, Electric, Non-Qualifying (IMEF 1.84)</t>
  </si>
  <si>
    <t>Clothes Washers, Front-Loading, Electric, CEE Tier 3, IMEF 2.92+</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</si>
  <si>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</si>
  <si>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</si>
  <si>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</si>
  <si>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</si>
  <si>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</si>
  <si>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</si>
  <si>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</si>
  <si>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</si>
  <si>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</si>
  <si>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</si>
  <si>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</si>
  <si>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</si>
  <si>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</si>
  <si>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Commercial, Variable Speed Clean Water Pump - CS Replacement</t>
  </si>
  <si>
    <t>Measure Description</t>
  </si>
  <si>
    <t>Product Description</t>
  </si>
  <si>
    <t xml:space="preserve">The 2021 PP baseline is 0% because this is a retrofit measure. </t>
  </si>
  <si>
    <t>Applications</t>
  </si>
  <si>
    <t>NEEA's HVAC Distributor Dataset for 2020 will not be available until Q3 2021.  In the interim we are using historical data through 2019 to project the total market units for 2022 and 2023.  Local utility programs data are actuals for 2020.
NEEA has a method for extrapolating the total sales of DHPs reviewed by Ecotope in February 2020. NEEA then applies findings from installer interviews to estimate the portion of non-incented units that end up in the program's target housing types.</t>
  </si>
  <si>
    <t>Tracked Units come from distributor partner sales data. No extrapolation to full market is done.</t>
  </si>
  <si>
    <t>NEEA collects regional LLLC shipments data from participating LLLC manufacturers. 
- Encentiv Energy. NEEA LLLC Report. (dataset)</t>
  </si>
  <si>
    <t>Com-LightingInterior-2021P_V20.xlsm</t>
  </si>
  <si>
    <t>2021 Baseline Sales for LLLC is:</t>
  </si>
  <si>
    <t xml:space="preserve">See 'Lists&amp;Tables' DW39:DW43.  </t>
  </si>
  <si>
    <t>The baseline value comes from a commercial supporting file linked to the workbook: Int_Light_Comp-2021P_V3.xlsx. '2021 Sales Pen' J36.  The table indicates the percentage applies to the subtytpe 'Luminaire Level Control Multi.'</t>
  </si>
  <si>
    <t>Savings Rate Assumptions- Luminaire Level Lighting Controls</t>
  </si>
  <si>
    <t>2021 Plan</t>
  </si>
  <si>
    <t>Energy Savings Calculation Basis</t>
  </si>
  <si>
    <t>[Fixture Watts] x [Hours] x [HVAC Interaction] x [Control savings fraction]</t>
  </si>
  <si>
    <t>Original Data Source: RTF. July 2019. Non-Residential Lighting Standard Protocol v4.2</t>
  </si>
  <si>
    <t>Building Type</t>
  </si>
  <si>
    <t>Annual Hours of Operation</t>
  </si>
  <si>
    <t>LPD Adjust</t>
  </si>
  <si>
    <t>Floor Area %, Existing Buildings</t>
  </si>
  <si>
    <t>Floor Area %, New Buildings</t>
  </si>
  <si>
    <t>Weighted Avg Bldg, Existing</t>
  </si>
  <si>
    <t>Weighted Avg Bldg, New</t>
  </si>
  <si>
    <t>HVAC Interaction, New Buildings</t>
  </si>
  <si>
    <t>HVAC Interaction, Existing Buildings</t>
  </si>
  <si>
    <t>LSYieldElecHt&amp;AC</t>
  </si>
  <si>
    <t>LSYieldGasHt&amp;AC</t>
  </si>
  <si>
    <t>LSYieldHtPmpHt&amp;AC</t>
  </si>
  <si>
    <t>Avg HVAC System Electric Savings Yield</t>
  </si>
  <si>
    <t>Therms per kWh Saved</t>
  </si>
  <si>
    <t>Avg HVAC System Gas Penalty (therms per kWh saved)</t>
  </si>
  <si>
    <t>Floor Area %</t>
  </si>
  <si>
    <t>Weighted Avg Bldg</t>
  </si>
  <si>
    <t>Control Savings Fraction</t>
  </si>
  <si>
    <t>Original Data Source: Navigant. 2019. USDOE Energy Savings Forecast for SSL. Data resides in Int_Light_Comp-2021P_V3.xlsx and Price Perf 2021P.xlsx</t>
  </si>
  <si>
    <t>Lighting Controls Savings (Energy)(Multi)</t>
  </si>
  <si>
    <t>Lighting Controls Savings Energy)(Connected)</t>
  </si>
  <si>
    <t>LLLC New</t>
  </si>
  <si>
    <t>DOE/Navigant</t>
  </si>
  <si>
    <t>RTF Ex-Ante</t>
  </si>
  <si>
    <t>Current RTF Assumptions (Published Dec 2020 and Mar 2021)</t>
  </si>
  <si>
    <t>NonResLightingCodeCompliantProtocolCalculator_v2_2.xlsm</t>
  </si>
  <si>
    <t>Published Dec 16, 2020</t>
  </si>
  <si>
    <t>Published Mar 9, 2021</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</si>
  <si>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</si>
  <si>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</si>
  <si>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</si>
  <si>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</si>
  <si>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</si>
  <si>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</si>
  <si>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</si>
  <si>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</si>
  <si>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</si>
  <si>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</si>
  <si>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</si>
  <si>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</si>
  <si>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</si>
  <si>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</si>
  <si>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</si>
  <si>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</si>
  <si>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</si>
  <si>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</si>
  <si>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</si>
  <si>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</si>
  <si>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</si>
  <si>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</si>
  <si>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</si>
  <si>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</si>
  <si>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</si>
  <si>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</si>
  <si>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</si>
  <si>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</si>
  <si>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</si>
  <si>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</si>
  <si>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</si>
  <si>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</si>
  <si>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</si>
  <si>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</si>
  <si>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</si>
  <si>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</si>
  <si>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</si>
  <si>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</si>
  <si>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</si>
  <si>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Heating Savings [kWh]/Lighting Savings [kWh]</t>
  </si>
  <si>
    <t>Cooling Savings [kWh]/Lighting Savings [kWh]</t>
  </si>
  <si>
    <t>Heating Savings [therm]/Lighting Savings [kWh]</t>
  </si>
  <si>
    <t>Council Building Type</t>
  </si>
  <si>
    <t>EnergyPlus Building Prototype*</t>
  </si>
  <si>
    <t>7th Plan Building Type</t>
  </si>
  <si>
    <t>Electric Resistance Heating</t>
  </si>
  <si>
    <t>Heat Pump Heating</t>
  </si>
  <si>
    <t>Refrigerated</t>
  </si>
  <si>
    <t>Gas Heating</t>
  </si>
  <si>
    <t>6th Power Plan / RTF SIW v2.2</t>
  </si>
  <si>
    <t>7th Power Plan / RTF SIW v4.2 (Restaurant-Full Service)</t>
  </si>
  <si>
    <t>Retail - Stand Alone</t>
  </si>
  <si>
    <t>7th Power Plan / RTF SIW v4.2 (Retail-Stand Alone)</t>
  </si>
  <si>
    <t>Exterior/Streetlight</t>
  </si>
  <si>
    <t>7th Power Plan / RTF SIW v4.2</t>
  </si>
  <si>
    <t>7th Power Plan / RTF SIW v4.2 (Hotel-Small)</t>
  </si>
  <si>
    <t>Office - Small</t>
  </si>
  <si>
    <t>Office - Large</t>
  </si>
  <si>
    <t>Office - Medium</t>
  </si>
  <si>
    <t>7th Power Plan / RTF SIW v3.1</t>
  </si>
  <si>
    <t>Retail - Strip Mall</t>
  </si>
  <si>
    <t>7th Power Plan / RTF SIW v4.2 (Grocery)</t>
  </si>
  <si>
    <t>7th Power Plan / RTF SIW v4.2 (School-Primary)</t>
  </si>
  <si>
    <t>*BPA, Navigant, and Mike Kennedy developed a set of PNW commercial building models in 2015 which were used to determine an updated set of HVAC interaction factors for some building types.</t>
  </si>
  <si>
    <t>Note that these factors are representative at the regional level. For factors representative at sub-regional levels, see the latest version of the RTF SIW.</t>
  </si>
  <si>
    <t>Networked Lighting Control</t>
  </si>
  <si>
    <t>Site savings are estimated using the assumptions in RTF's Non-Residential Lighting Standard Protocol presented below.</t>
  </si>
  <si>
    <t>RTF. 2020.</t>
  </si>
  <si>
    <t>Baseline and Savings Rate Assumptions - Reduced Wattage Lamp Replacement</t>
  </si>
  <si>
    <t>NonResLightingMidstream_v4-1.xlsm</t>
  </si>
  <si>
    <t>RTF's Non-Residential Lighting Midstream UES. Published Dec 16, 2020</t>
  </si>
  <si>
    <t>TLED</t>
  </si>
  <si>
    <r>
      <t>NEEA collects and estimates annual sales based on sales reported in the Non-Residential Lighting Distributor Collection (NLDC) from prior year.
- NEEA</t>
    </r>
    <r>
      <rPr>
        <sz val="10"/>
        <rFont val="Calibri"/>
        <family val="2"/>
        <scheme val="minor"/>
      </rPr>
      <t>. 2020. 2019 Non-Residential Lighting Distributor Survey. (dataset)</t>
    </r>
  </si>
  <si>
    <r>
      <t>NEEA collects and estimates annual sales based on sales reported in the Non-Residential Lighting Distributor Collection (NLDC) from prior year.
-</t>
    </r>
    <r>
      <rPr>
        <sz val="10"/>
        <rFont val="Calibri"/>
        <family val="2"/>
        <scheme val="minor"/>
      </rPr>
      <t xml:space="preserve"> NEEA. 2020. 2019 Non-Residential Lighting Distributor Survey. (dataset)</t>
    </r>
  </si>
  <si>
    <t>Savings Rates pulled from NEEA's Savings Models 4/22/2021:</t>
  </si>
  <si>
    <t>75% of the savings (55% for Washington State) are baseline according to the 2021 Power Plan.  Source: Com_Master_2021P.xlsm.</t>
  </si>
  <si>
    <t>28W</t>
  </si>
  <si>
    <t>25W</t>
  </si>
  <si>
    <t>Commercial Secondary Windows</t>
  </si>
  <si>
    <t xml:space="preserve">Window Attachments: </t>
  </si>
  <si>
    <t>The 2021 Plan assumes 0% baseline.</t>
  </si>
  <si>
    <t>Savings will likely be site-specific.</t>
  </si>
  <si>
    <t>Baseline Market Share Assumption (Desktop)</t>
  </si>
  <si>
    <t>Baseline Market Share Assumption (Desktop) - WA</t>
  </si>
  <si>
    <t>From Northwest Market Size Worksheet 'Employment Data'</t>
  </si>
  <si>
    <t>Average Regional Share by State</t>
  </si>
  <si>
    <t>Qualifying Units Baseline Market Share</t>
  </si>
  <si>
    <t>Non- Washington Units</t>
  </si>
  <si>
    <t>Non- WA Baseline Market Share</t>
  </si>
  <si>
    <t>Washington Units</t>
  </si>
  <si>
    <t>Wasington Baseline Market Share</t>
  </si>
  <si>
    <t>Overall Baseline Market Share</t>
  </si>
  <si>
    <t>Savings for Period 1 (kwh/yr)</t>
  </si>
  <si>
    <t>Measure Life (yrs)</t>
  </si>
  <si>
    <t>ENEGY STAR Desktop Computer - ES8</t>
  </si>
  <si>
    <t>ENEGY STAR Desktop Computer - Washington State - ES8</t>
  </si>
  <si>
    <t>The Savings Rate for the 2021 PP is determined by weighting the baseline market share assumptions for both the standard baseline and the Washington State baseline</t>
  </si>
  <si>
    <t>Regional Market Units 2021 PP</t>
  </si>
  <si>
    <t>Calculated average baseline market share</t>
  </si>
  <si>
    <t>Overall Savings Rate (kWh/Yr)</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</si>
  <si>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</si>
  <si>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</si>
  <si>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</si>
  <si>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</si>
  <si>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</si>
  <si>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</si>
  <si>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</si>
  <si>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</si>
  <si>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</si>
  <si>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</si>
  <si>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</si>
  <si>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</si>
  <si>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</si>
  <si>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</si>
  <si>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Com_Master_2021P.xlsx</t>
  </si>
  <si>
    <t>The savings rate for ENERGY STAR Version 8 Commercial Desktops is based on the difference between a UEC of Version 8 units and the baseline savings rate of ENERGY STAR Version 7.1</t>
  </si>
  <si>
    <t>The savings rate for ENERGY STAR Version 8 Commercial Desktops is based on the difference between a UEC of Version 8 units and a baseline savings rate established in Washington State Code</t>
  </si>
  <si>
    <t>The baseline is based on the market share of non-qualifying (non-ENERGY STAR), and the Washington State established baseline</t>
  </si>
  <si>
    <t>Com-Computers-2021_V3</t>
  </si>
  <si>
    <t>Commercial Desktops, ENERGY STAR 8.0 (Washington)</t>
  </si>
  <si>
    <t>Commercial Desktop ENERGY STAR 8.0 (Washington)</t>
  </si>
  <si>
    <t xml:space="preserve">The baseline is based on the market share of non-qualifying (non-ENERGY STAR), 80+, and ENERGY STAR Versions 5.0, 6.0, 7.0, and 7.1. Baseline is 0% for ENERGY STAR Version 8 computers. </t>
  </si>
  <si>
    <t>The baseline comes from the 2021 Power Plan (Baseline Saturation percentages), and is 0% because it is a retrofit measure.</t>
  </si>
  <si>
    <t>Res_Master2021PP.xlsx</t>
  </si>
  <si>
    <t>RTF. Oct. 22, 2019. ResDHPforZonal-v5-1.xlsm</t>
  </si>
  <si>
    <t>The savings rates for installs came from the Regional Technical Forum's September 2019 workbook. NEEA weighted the rates using data from the 2016 Residential Building Stock Assessment. The calculation detail is available on the DHP program detail worksheet.</t>
  </si>
  <si>
    <t>Code not effective yet</t>
  </si>
  <si>
    <t>- RTF. 2020. ResMHNewHomesandHVAC_v4_1.xlsm.  SEEM UEC outputs for HUD, NEEM 1.1, and NEEM 2.0 homes in each heating/cooling zone are weighted by the percentage of homes in each climate zone per the 2016 RBSA.  UEC includes electric heating, electric cooling, non-electric heating, lighting, and refrigeration.</t>
  </si>
  <si>
    <t>Residential New Construction</t>
  </si>
  <si>
    <t>Current Code</t>
  </si>
  <si>
    <t>See validation report:  https://neea.org/portal/sign-in under New Construction (Above Code).</t>
  </si>
  <si>
    <r>
      <rPr>
        <b/>
        <sz val="10"/>
        <color theme="1"/>
        <rFont val="Calibri"/>
        <family val="2"/>
        <scheme val="minor"/>
      </rPr>
      <t>No equivalent Power Plan measure. The Council recommended NEEA use its savings rates.</t>
    </r>
    <r>
      <rPr>
        <sz val="10"/>
        <color theme="1"/>
        <rFont val="Calibri"/>
        <family val="2"/>
        <scheme val="minor"/>
      </rPr>
      <t xml:space="preserve">
NEEA tracks above code home certifications through its Residential New Construction program.  NEEA gathers detailed data from most programs and extrapolates the savings rates for the remaining certification programs based on this dataset. 
</t>
    </r>
    <r>
      <rPr>
        <i/>
        <sz val="10"/>
        <color theme="0" tint="-0.499984740745262"/>
        <rFont val="Calibri"/>
        <family val="2"/>
        <scheme val="minor"/>
      </rPr>
      <t>TRC. Feb. 12, 2021. NEEA-NewHomes_2020ProgramSavingsReporting_FINAL_2021-02-12</t>
    </r>
    <r>
      <rPr>
        <sz val="10"/>
        <color theme="1"/>
        <rFont val="Calibri"/>
        <family val="2"/>
        <scheme val="minor"/>
      </rPr>
      <t xml:space="preserve">
The analysis is evaluated by Energy 350. The validation report is available at https://neea.org/portal/sign-in under New Construction (Above Code).</t>
    </r>
  </si>
  <si>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</si>
  <si>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</si>
  <si>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</si>
  <si>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</si>
  <si>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</si>
  <si>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Other Codes (Single-family)</t>
  </si>
  <si>
    <t xml:space="preserve">Code savings count toward the 2021 Power Plan if adopted after December 31, 2019. Baseline is prior code. </t>
  </si>
  <si>
    <t xml:space="preserve">Forecast. Final savings rate analysis will be completed in 2022. </t>
  </si>
  <si>
    <t>Forecast based on code roadmap.</t>
  </si>
  <si>
    <t>New, single-family, site-built homes</t>
  </si>
  <si>
    <t>New low-rise, multifamily Homes</t>
  </si>
  <si>
    <t>Target TBD
(Sept. 2021)</t>
  </si>
  <si>
    <t xml:space="preserve">Target 
TBD
(Sept. 2021) </t>
  </si>
  <si>
    <t>Mesure Life</t>
  </si>
  <si>
    <r>
      <t>NEEA calculation of the UES using the same methdology as the RTF (</t>
    </r>
    <r>
      <rPr>
        <i/>
        <sz val="10"/>
        <color rgb="FF006100"/>
        <rFont val="Calibri"/>
        <family val="2"/>
        <scheme val="minor"/>
      </rPr>
      <t>RTF. January 2019. Residential Refrigerators and Freezers v5.1</t>
    </r>
    <r>
      <rPr>
        <sz val="10"/>
        <color rgb="FF006100"/>
        <rFont val="Calibri"/>
        <family val="2"/>
        <scheme val="minor"/>
      </rPr>
      <t xml:space="preserve">). </t>
    </r>
  </si>
  <si>
    <t>Baseline is the 2020 sales weighted average efficiency mix.</t>
  </si>
  <si>
    <t xml:space="preserve">NEEA calculation of the UES using the same methdology as the RTF (RTF. January 2019. Residential Refrigerators and Freezers v5.1). </t>
  </si>
  <si>
    <t>NEEA calculation.</t>
  </si>
  <si>
    <t>See methodology document.</t>
  </si>
  <si>
    <t>Very High Efficiency Dedicated Outdoor Air Engine</t>
  </si>
  <si>
    <t>Voluntary Prg</t>
  </si>
  <si>
    <t>C&amp;S</t>
  </si>
  <si>
    <t>First Year</t>
  </si>
  <si>
    <t>Switch to</t>
  </si>
  <si>
    <t>7th</t>
  </si>
  <si>
    <t>6th</t>
  </si>
  <si>
    <t>6th PP</t>
  </si>
  <si>
    <t>Start</t>
  </si>
  <si>
    <t>Finish</t>
  </si>
  <si>
    <t>Largest Saver</t>
  </si>
  <si>
    <t>40% TVs</t>
  </si>
  <si>
    <t>8th PP</t>
  </si>
  <si>
    <t>57% Res Lighting</t>
  </si>
  <si>
    <t>DHP and CW 20% each</t>
  </si>
  <si>
    <t>Draft 2021 Plan, posted on NW Council site on April 20, 2020</t>
  </si>
  <si>
    <t>For linear lamps, the draft 2021 Plan defined the base system efficacy using the sales-weighted linear fluorescent lamps.</t>
  </si>
  <si>
    <t>The Plan's savings potential is based on the adoption of LED only. NEEA calculated incremental efficiency gains of a RW linear fluorescent lamp relative to the Plan's baseline.</t>
  </si>
  <si>
    <t xml:space="preserve">The calculation approach and assumptions are based on the draft 2021 plan.  </t>
  </si>
  <si>
    <t>From 'Linear FL specs' worksheet:</t>
  </si>
  <si>
    <t>Fixture efficacy and lumen output values come from CEE.</t>
  </si>
  <si>
    <t>Linear Ambient Indoor</t>
  </si>
  <si>
    <t>Lumen Category</t>
  </si>
  <si>
    <t>Initial Source Efficacy*</t>
  </si>
  <si>
    <t>Fixture Efficiency***</t>
  </si>
  <si>
    <t>Additional Driver Loss****</t>
  </si>
  <si>
    <t>Lumen Maintenance*****</t>
  </si>
  <si>
    <t>Mean Delivered Efficacy</t>
  </si>
  <si>
    <t>Mean Delivered Lumens</t>
  </si>
  <si>
    <t xml:space="preserve">Any Lumen </t>
  </si>
  <si>
    <t>TLED**</t>
  </si>
  <si>
    <t>Reduced Wattage T8**-25W</t>
  </si>
  <si>
    <t>Reduced Wattage T8**-28W</t>
  </si>
  <si>
    <t>Standard T8</t>
  </si>
  <si>
    <t>Table 5.3.8 Lamp Replacement Engineering Analysis for a Two-Lamp Instant Start 32 W T8, 4,100 K System in the Commercial and Industrial Sectors</t>
  </si>
  <si>
    <t>2014 GSLF Final Rule effective 2018</t>
  </si>
  <si>
    <t>Nominal Watt</t>
  </si>
  <si>
    <t>System Power</t>
  </si>
  <si>
    <t>Mean System Light Output</t>
  </si>
  <si>
    <t xml:space="preserve">Mean System Lumens per Watt </t>
  </si>
  <si>
    <t>Initial System Lumens per Watt</t>
  </si>
  <si>
    <t>Two-Lamp T8 2014 Standard 32W</t>
  </si>
  <si>
    <t>Two-Lamp T8 2018 Standard 32W</t>
  </si>
  <si>
    <t>Two-Lamp T8 2018 Standard 28W</t>
  </si>
  <si>
    <t>Two-Lamp T8 2018 Standard 25W</t>
  </si>
  <si>
    <t>The base system efficacy is a sales weighted average of linear fluorescent lamps.</t>
  </si>
  <si>
    <t>Linear fluorescent compliant with 2018 GSFL standard (see 'Linear FL Specs'!N9)</t>
  </si>
  <si>
    <t>The draft 2021 Plan based the sales data from 2019.  This calculation updated the sales mix with more recent values from the RTF's Non-Res Lighting Midstream workbook published in 2020.</t>
  </si>
  <si>
    <t>Sales Mix</t>
  </si>
  <si>
    <t>Weighted Average LF</t>
  </si>
  <si>
    <t>Sales (NEEA),
2019</t>
  </si>
  <si>
    <t>RTF Non-Res Lighting Midstream,
2020</t>
  </si>
  <si>
    <t>Lamp</t>
  </si>
  <si>
    <t>Mean Delivered lumens/Watt</t>
  </si>
  <si>
    <t>Fixture Watts</t>
  </si>
  <si>
    <t>32W</t>
  </si>
  <si>
    <t>Sales WT</t>
  </si>
  <si>
    <t>Sales WT (orig.)</t>
  </si>
  <si>
    <t>From the RTF Midstream Workbook, NonResLightingMidstream_v4-1.xlsm:</t>
  </si>
  <si>
    <t>In 'HOU' worksheet</t>
  </si>
  <si>
    <t>Annual hours of use, rounded to nearest 100</t>
  </si>
  <si>
    <t xml:space="preserve">Screw-in </t>
  </si>
  <si>
    <t>Pennsylvania Statewide Act 129: 2014 Commercial &amp; Residential Light Metering Study. Prepared by GDS Associates, Nexant, Research Into Action, Apex Analytics. January 2014.</t>
  </si>
  <si>
    <t>Reflectors</t>
  </si>
  <si>
    <t>2014 Non-Residential Downstream Deemed ESPI Lighting Impact Evaluation Report. Prepared for California Public Utilities Commission by Itron, Inc. March 29, 2016.</t>
  </si>
  <si>
    <t xml:space="preserve">Linear </t>
  </si>
  <si>
    <t>BPA Non-Residential Lighting Impact Evaluation. SBW Consulting. 2015.</t>
  </si>
  <si>
    <t>Wall Pack</t>
  </si>
  <si>
    <t>Photosensor</t>
  </si>
  <si>
    <t>In 'Parameters' worksheet</t>
  </si>
  <si>
    <t>Parameter</t>
  </si>
  <si>
    <t>Value</t>
  </si>
  <si>
    <t>Certainty</t>
  </si>
  <si>
    <t>Maximum lamp lifetime (years)</t>
  </si>
  <si>
    <t>Ceiling on lamp lifetime to account for failure modes not addressed in rating process and for removal before failure</t>
  </si>
  <si>
    <t>RTF Judgment, account for natural replacement cycle, lamps are not installed as long as their lifetimes in non-residential settings. Consistent with Non-residential Lighting Retrofit Standard Protocol and BPA 2017 Non-residential Lighting model.</t>
  </si>
  <si>
    <t>Low</t>
  </si>
  <si>
    <t>Using the format in 'Proxy Measures':</t>
  </si>
  <si>
    <t>Annual energy consumption for Base and EE Systems are calculated.  EE systems are 25W and 28W lamps</t>
  </si>
  <si>
    <t>A regional average savings rate is calculated as "Weighted Avg Bldg."</t>
  </si>
  <si>
    <t>RTF Estimate</t>
  </si>
  <si>
    <t>Base Lamp</t>
  </si>
  <si>
    <t>EE Lamp</t>
  </si>
  <si>
    <t>Base System Efficacy (Delivered l/W)</t>
  </si>
  <si>
    <t>EE System Efficacy (Delivered l/W)</t>
  </si>
  <si>
    <t>Fixture Reference Case</t>
  </si>
  <si>
    <t>Reference Fixture Lamps</t>
  </si>
  <si>
    <t>Reference Fixture Ballasts</t>
  </si>
  <si>
    <t>Base Fixture Lumens</t>
  </si>
  <si>
    <t>EE Fixture Lumens</t>
  </si>
  <si>
    <t>EE % of Base Fixture Lumens</t>
  </si>
  <si>
    <t>Base Fixture Watts</t>
  </si>
  <si>
    <t>EE Fixture Watts</t>
  </si>
  <si>
    <t>Fixture Watt Reduct</t>
  </si>
  <si>
    <t>Annual Energy Consump Pre (kWh)</t>
  </si>
  <si>
    <t>Annual Energy Consump Post (kWh)</t>
  </si>
  <si>
    <t>Annual Energy Savings, no HVAC (kWh)</t>
  </si>
  <si>
    <t>Annual Energy Savings w Controls (%)</t>
  </si>
  <si>
    <t>Annual Energy Savings with HVAC (kWh)</t>
  </si>
  <si>
    <t>Avg HVAC System Gas Penalty (therms)</t>
  </si>
  <si>
    <t>Electric Shape Pointer</t>
  </si>
  <si>
    <t>Per-lamp Energy Savings with HVAC (kWh)</t>
  </si>
  <si>
    <t>LFTube</t>
  </si>
  <si>
    <t>LFTube_28W</t>
  </si>
  <si>
    <t>2L x 4ft troffer</t>
  </si>
  <si>
    <t>C-All-Lgt-LPD Int-All-All-E</t>
  </si>
  <si>
    <t>LFTube_25W</t>
  </si>
  <si>
    <t>The following input assumptions have been updated with the RTF's Non-Residential Lighting Midstream workbook: Sales mix of linear lamps and annual lighting hours of use.</t>
  </si>
  <si>
    <t>The draft 2021 Plan assumes 10% baseline.</t>
  </si>
  <si>
    <t>RTF. 2020. Sales mix of linear fluorescent lamps.</t>
  </si>
  <si>
    <t>Draft 2021 Plan. See below for details.</t>
  </si>
  <si>
    <t>(blank)</t>
  </si>
  <si>
    <t>XMP_202001_P1T0</t>
  </si>
  <si>
    <t>Residential, Non-Qualifying Hydronic Heating Circulator with ECM</t>
  </si>
  <si>
    <t>Non-Qualifying Residential Hydronic Heating Circulator with an efficient ECM.</t>
  </si>
  <si>
    <t>XMP_202001_P2T0</t>
  </si>
  <si>
    <t>Commercial, Non-Qualifying Hydronic Heating Circulator with ECM</t>
  </si>
  <si>
    <t>Non-Qualifying Commercial Hydronic Heating Circulator with an efficient ECM.</t>
  </si>
  <si>
    <t>XMP_202001_P3T0</t>
  </si>
  <si>
    <t>Residential, Non-Qualifying DHW ECM Circulator</t>
  </si>
  <si>
    <t>A non-qualifying residential circulator pump with efficient ECM and no Run Hours Controls</t>
  </si>
  <si>
    <t>XMP_202001_P4T0</t>
  </si>
  <si>
    <t>Commercial, Non-Qualifying DHW ECM Circulator</t>
  </si>
  <si>
    <t>A non-qualifying commercial circulator pump with efficient ECM and no Run Hours Controls</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</si>
  <si>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</si>
  <si>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</si>
  <si>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</si>
  <si>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</si>
  <si>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</si>
  <si>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</si>
  <si>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</si>
  <si>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</si>
  <si>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</si>
  <si>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Non Funder</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</si>
  <si>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</si>
  <si>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</si>
  <si>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</si>
  <si>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</si>
  <si>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</si>
  <si>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</si>
  <si>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</si>
  <si>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</si>
  <si>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</si>
  <si>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</si>
  <si>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</si>
  <si>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</si>
  <si>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</si>
  <si>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</si>
  <si>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</si>
  <si>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</si>
  <si>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</si>
  <si>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</si>
  <si>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</si>
  <si>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</si>
  <si>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NEEA forecasted savings rates based on the WSEC 2030 target. See assumptions below.</t>
  </si>
  <si>
    <t>Res_201301</t>
  </si>
  <si>
    <t>Codes &amp; Standards</t>
  </si>
  <si>
    <t>2025</t>
  </si>
  <si>
    <t>WA IOU 2022-2023 Draft Targets</t>
  </si>
  <si>
    <t>2022-2023 Biennial</t>
  </si>
  <si>
    <r>
      <t xml:space="preserve">Notes: 
</t>
    </r>
    <r>
      <rPr>
        <sz val="10"/>
        <color theme="1" tint="0.499984740745262"/>
        <rFont val="Calibri"/>
        <family val="2"/>
        <scheme val="minor"/>
      </rPr>
      <t>-These are site-based, first year savings allocated by funding share, net of local programs.
-Program Measures can result in a code or standard. As a result, some of the first-year savings from Program Measures are reported as Codes &amp; Standards Measures.</t>
    </r>
  </si>
  <si>
    <t>These are site-base, first year savings allocated by funding share.
Program Measures can result in a code or standard. As a result, some of the first year savings from Program Measures are reported as Codes &amp; Standards Measures.</t>
  </si>
  <si>
    <t>NEEA is using the RTF savings rates.</t>
  </si>
  <si>
    <t>Savings rates reflect RTF updates from mid-2020. See below.</t>
  </si>
  <si>
    <t xml:space="preserve">Program is in early development. </t>
  </si>
  <si>
    <t xml:space="preserve">NEEA is using the RTF savings rates. NEEA adjusts the new construction savings rates to exclude savings accounted through codes. </t>
  </si>
  <si>
    <t>https://neea.org/portal/sign-in under Savings Reports, Consumer Products</t>
  </si>
  <si>
    <t>ResClothesDryers_v4.0.xlsm</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</si>
  <si>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</si>
  <si>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</si>
  <si>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</si>
  <si>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</si>
  <si>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</si>
  <si>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</si>
  <si>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</si>
  <si>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</si>
  <si>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</si>
  <si>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</si>
  <si>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</si>
  <si>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</si>
  <si>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</si>
  <si>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</si>
  <si>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</si>
  <si>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</si>
  <si>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</si>
  <si>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</si>
  <si>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</si>
  <si>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</si>
  <si>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</si>
  <si>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</si>
  <si>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</si>
  <si>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</si>
  <si>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</si>
  <si>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</si>
  <si>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</si>
  <si>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</si>
  <si>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</si>
  <si>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</si>
  <si>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</si>
  <si>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Savings KWh/yr</t>
  </si>
  <si>
    <t>2021 PP Venting Weighting</t>
  </si>
  <si>
    <t>See below for savings rate description detail.</t>
  </si>
  <si>
    <t>The baseline is handled in the savings rate</t>
  </si>
  <si>
    <t xml:space="preserve">NEEA calculated the UES using the efficiency mix in 2020 as the baseline. </t>
  </si>
  <si>
    <t xml:space="preserve">NEEA calculated the UES using the efficiency mix in 2019/2020 as the baseline. </t>
  </si>
  <si>
    <t>UES is based on the RTF methodology (2019) but uses program data and updated the baseline using the efficiency mix in 2020.</t>
  </si>
  <si>
    <t>NEEA will report savings on codes adopted after 2019. These include: 
-IECC 2018 ID (2022+)
-IECC 2018 MT (2022+)
-OR Specialty Code 2021 (2022+)
-WSEC 2021 (2023+)</t>
  </si>
  <si>
    <t>NEEA will report savings on codes adopted after 2019. These include: 
-IECC 2018 ID (2022+)
-IECC 2018 MT (2022+)
-OR 2021 OZERCC (2022+)
-WSEC 2021 (2023+)</t>
  </si>
  <si>
    <t>Technical assumptions are from the RTF; baseline share is from the 2021 Plan</t>
  </si>
  <si>
    <t xml:space="preserve">Technical assumptions from the 2021 Plan; baseline sales mix from the RTF </t>
  </si>
  <si>
    <t>Montana IECC 2018</t>
  </si>
  <si>
    <t xml:space="preserve">Idaho IECC 2018 </t>
  </si>
  <si>
    <t>Oregon Residential Specialty Code 2021</t>
  </si>
  <si>
    <t>Washington Code 2021 WSEC</t>
  </si>
  <si>
    <t>Standard approved after 2019 count torward the 2021 Power Plan</t>
  </si>
  <si>
    <t>Forecasted value. Final analysis may be available in end of 2022.</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</si>
  <si>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</si>
  <si>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</si>
  <si>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</si>
  <si>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</si>
  <si>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</si>
  <si>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</si>
  <si>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</si>
  <si>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</si>
  <si>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</si>
  <si>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</si>
  <si>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</si>
  <si>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</si>
  <si>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</si>
  <si>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</si>
  <si>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</si>
  <si>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</si>
  <si>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</si>
  <si>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</si>
  <si>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</si>
  <si>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</si>
  <si>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</si>
  <si>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</si>
  <si>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</si>
  <si>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</si>
  <si>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</si>
  <si>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</si>
  <si>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</si>
  <si>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</si>
  <si>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</si>
  <si>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</si>
  <si>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</si>
  <si>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</si>
  <si>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</si>
  <si>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</si>
  <si>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Other Codes (Commercial):</t>
  </si>
  <si>
    <t>Other Codes (Residential):</t>
  </si>
  <si>
    <t>Funding Cycle</t>
  </si>
  <si>
    <t>Sum of Regional Market Units 2021PP</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</si>
  <si>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</si>
  <si>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</si>
  <si>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</si>
  <si>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</si>
  <si>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</si>
  <si>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</si>
  <si>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Window_Attachmts</t>
  </si>
  <si>
    <r>
      <t xml:space="preserve">These are site-base, first year savings allocated by funding share.
</t>
    </r>
    <r>
      <rPr>
        <sz val="10"/>
        <color theme="5"/>
        <rFont val="Calibri"/>
        <family val="2"/>
        <scheme val="minor"/>
      </rPr>
      <t>Program Measures can result in a code or standard. As a result, some of the first year savings from Program Measures are reported as Codes &amp; Standards Measures.</t>
    </r>
  </si>
  <si>
    <t>Federal Standard, Effective 2022, DOE Final Rule 2016, Residential Uninterruptible Power Supplies
Federal Standard, Effective 2025, DOE Final Rule 2016, Non-Residential Portable Air Conditioners
Federal Standard, Effective 2025, DOE Final Rule 2016, Commercial Air Compressors</t>
  </si>
  <si>
    <t>Windows Attachments</t>
  </si>
  <si>
    <t>-The RTF makes an update after Sept. 1 of the year prior to Biennium (e.g. 2021) and before Oct. 1 of the first year of the biennium (e.g.  2022); then, NEEA will update the forecast for the second year (e.g. 2023) with the new RTF UES; 
-The UES is weighted based on tracked units (e.g. commercial building type, installs by climate zone, etc.);
-Or, NEEA finalized savings analysis for a code or standard.</t>
  </si>
  <si>
    <t>Updated 6/5/2021</t>
  </si>
  <si>
    <t>Funder Share Table</t>
  </si>
  <si>
    <t>Lists the funder shares used to allocate regional savings</t>
  </si>
  <si>
    <t>2022-2023 Biennium Savings Forecast (aMW)</t>
  </si>
  <si>
    <t>2024-2025 Biennium Savings Forecast (aMW)</t>
  </si>
  <si>
    <t>Televisions, Ultra-High Definition, ENERGY STAR v9 (On Mode Power)</t>
  </si>
  <si>
    <t>UHD Televisions (On Mode Power)</t>
  </si>
  <si>
    <t>ENERGY STAR v9</t>
  </si>
  <si>
    <r>
      <t xml:space="preserve">NEEA uses Ecotope's SEEM modeling and technical assumptions from the Regional Technical Forum Savings. Savings are code to code.
The UES values for Montana and Idaho were updated in July 2021.
</t>
    </r>
    <r>
      <rPr>
        <i/>
        <sz val="10"/>
        <color theme="1"/>
        <rFont val="Calibri"/>
        <family val="2"/>
        <scheme val="minor"/>
      </rPr>
      <t xml:space="preserve">Source: Ecotope Inc. 2021. ID &amp; MT 2018 IECC Code Analysis. IDMT_SEEMtemplate_v1_9_deliv20210714.
</t>
    </r>
    <r>
      <rPr>
        <sz val="10"/>
        <color theme="1"/>
        <rFont val="Calibri"/>
        <family val="2"/>
        <scheme val="minor"/>
      </rPr>
      <t xml:space="preserve">
The UES for OR Residential Specialty 2021 will be ready by early 2022.
Forecasts are based on adjustments to prior forecasts from Ecotope on IECC 2018 and the </t>
    </r>
    <r>
      <rPr>
        <i/>
        <sz val="10"/>
        <color theme="1"/>
        <rFont val="Calibri"/>
        <family val="2"/>
        <scheme val="minor"/>
      </rPr>
      <t>Oregon Residential Specialty Code: 2005 Baseline &amp; Code Roadmap</t>
    </r>
    <r>
      <rPr>
        <sz val="10"/>
        <color theme="1"/>
        <rFont val="Calibri"/>
        <family val="2"/>
        <scheme val="minor"/>
      </rPr>
      <t>.</t>
    </r>
  </si>
  <si>
    <t xml:space="preserve">Final savings rate analysis completed July 2021. </t>
  </si>
  <si>
    <t>Clothes Washers, Front-Loading, Electric, ENERGY STAR 7/8 (CEE Tier 1, IMEF 2.77)</t>
  </si>
  <si>
    <t>Clothes Washers, Standard-size Top-Loading, Electric, ENERGY STAR v7 (IMEF 2.06)</t>
  </si>
  <si>
    <t>Clothes Washers, Front-Loading, Electric, ENERGY STAR v8 Most Efficient 2017 (CEE Tier 1, IMEF 2.93)</t>
  </si>
  <si>
    <t>Clothes Washers, Standard-size Top-Loading, Electric, ENERGY STAR Most Efficient 2017 (CEE Tier 1, IMEF 2.76)</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</si>
  <si>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</si>
  <si>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</si>
  <si>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</si>
  <si>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</si>
  <si>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</si>
  <si>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</si>
  <si>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Baseline Savings</t>
  </si>
  <si>
    <t>TVs</t>
  </si>
  <si>
    <t>COM_201304_P19T1</t>
  </si>
  <si>
    <t>Commercial High-CRI Fluorescent Lamp Replacements</t>
  </si>
  <si>
    <t>2019 WA Standard</t>
  </si>
  <si>
    <t>Non-Residential, Washington Commercial High-CRI Fluorescent Lamp Replacements (2019)</t>
  </si>
  <si>
    <t>Washington State Standard, Effective 2019 for Commercial High-CRI Lamps</t>
  </si>
  <si>
    <t>COM_201304_P20T1</t>
  </si>
  <si>
    <t>2021 OR Standard</t>
  </si>
  <si>
    <t>Non-Residential, Oregon Commercial High-CRI Fluorescent Lamp Replacements (2021)</t>
  </si>
  <si>
    <t>Oregon State Standard, Effective 2021 for Commercial High-CRI Lamps</t>
  </si>
  <si>
    <t>COM_201304_P21T1</t>
  </si>
  <si>
    <t>Industrial High-CRI Fluorescent Lamp Replacements</t>
  </si>
  <si>
    <t>Non-Residential, Washington Industrial High-CRI Fluorescent Lamp Replacements (2019)</t>
  </si>
  <si>
    <t>Washington State Standard, Effective 2019 for Industrial High-CRI Lamps</t>
  </si>
  <si>
    <t>COM_201304_P22T1</t>
  </si>
  <si>
    <t>Non-Residential, Oregon Industrial High-CRI Fluorescent Lamp Replacements (2021)</t>
  </si>
  <si>
    <t>Oregon State Standard, Effective 2021 for Industrial High-CRI Lamps</t>
  </si>
  <si>
    <t>COM_202106_P1T1</t>
  </si>
  <si>
    <t>Secondary windows attached on existing primary windows in commercial buildings</t>
  </si>
  <si>
    <t>Initiative Index hold for Window Attachments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</si>
  <si>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</si>
  <si>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</si>
  <si>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</si>
  <si>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</si>
  <si>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</si>
  <si>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</si>
  <si>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</si>
  <si>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Clothes Washers, Front-Loading, Electric, ENERGY STAR v8 Most Efficient 2018 (CEE Tier 2, IMEF TBD)</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</si>
  <si>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</si>
  <si>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</si>
  <si>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</si>
  <si>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</si>
  <si>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</si>
  <si>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</si>
  <si>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</si>
  <si>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</si>
  <si>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</si>
  <si>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</si>
  <si>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</si>
  <si>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</si>
  <si>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</si>
  <si>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</si>
  <si>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</si>
  <si>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</si>
  <si>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</si>
  <si>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</si>
  <si>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</si>
  <si>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</si>
  <si>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</si>
  <si>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</si>
  <si>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</si>
  <si>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</si>
  <si>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</si>
  <si>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</si>
  <si>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</si>
  <si>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</si>
  <si>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</si>
  <si>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</si>
  <si>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</si>
  <si>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</si>
  <si>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</si>
  <si>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</si>
  <si>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</si>
  <si>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</si>
  <si>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</si>
  <si>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</si>
  <si>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</si>
  <si>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</si>
  <si>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</si>
  <si>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</si>
  <si>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</si>
  <si>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</si>
  <si>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</si>
  <si>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</si>
  <si>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</si>
  <si>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</si>
  <si>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</si>
  <si>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</si>
  <si>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</si>
  <si>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</si>
  <si>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</si>
  <si>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</si>
  <si>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</si>
  <si>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</si>
  <si>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</si>
  <si>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</si>
  <si>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</si>
  <si>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</si>
  <si>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</si>
  <si>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</si>
  <si>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</si>
  <si>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</si>
  <si>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</si>
  <si>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</si>
  <si>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</si>
  <si>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</si>
  <si>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</si>
  <si>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</si>
  <si>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</si>
  <si>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</si>
  <si>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</si>
  <si>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</si>
  <si>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</si>
  <si>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</si>
  <si>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</si>
  <si>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</si>
  <si>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</si>
  <si>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</si>
  <si>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</si>
  <si>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</si>
  <si>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</si>
  <si>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</si>
  <si>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</si>
  <si>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</si>
  <si>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</si>
  <si>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</si>
  <si>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Clothes Washers, Top-Loading, Less Efficient than the Power Plan Baseline.</t>
  </si>
  <si>
    <t>Less efficient than the 2018 Standard.</t>
  </si>
  <si>
    <t>Clothes Washers, Below Federal Standard, IMEF 0.88-1.02</t>
  </si>
  <si>
    <t>IMEF 0.88-1.02</t>
  </si>
  <si>
    <t>RES_199702_P1T10</t>
  </si>
  <si>
    <t>Clothes Washers, Front-Loading, Less Efficient than the Power Plan Baseline.</t>
  </si>
  <si>
    <t>RES_199702_P1T11</t>
  </si>
  <si>
    <t>Clothes Washers, Front-Loading, More Efficient than the Power Plan Baseline but below the NEEA Baseline (excluded from Retail Products Portfolio).</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</si>
  <si>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</si>
  <si>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</si>
  <si>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</si>
  <si>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</si>
  <si>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</si>
  <si>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</si>
  <si>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</si>
  <si>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</si>
  <si>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</si>
  <si>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</si>
  <si>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</si>
  <si>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</si>
  <si>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</si>
  <si>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</si>
  <si>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</si>
  <si>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Clothes Washers, Top-Loading, More Efficient than the Power Plan Baseline but below the NEEA Baseline (excluded from Retail Products Portfolio).</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</si>
  <si>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</si>
  <si>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</si>
  <si>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</si>
  <si>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</si>
  <si>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</si>
  <si>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</si>
  <si>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</si>
  <si>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</si>
  <si>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</si>
  <si>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</si>
  <si>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</si>
  <si>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</si>
  <si>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</si>
  <si>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</si>
  <si>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</si>
  <si>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</si>
  <si>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</si>
  <si>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</si>
  <si>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</si>
  <si>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</si>
  <si>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</si>
  <si>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</si>
  <si>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</si>
  <si>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</si>
  <si>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</si>
  <si>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</si>
  <si>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</si>
  <si>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</si>
  <si>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</si>
  <si>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</si>
  <si>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</si>
  <si>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</si>
  <si>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</si>
  <si>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</si>
  <si>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</si>
  <si>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</si>
  <si>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</si>
  <si>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</si>
  <si>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</si>
  <si>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</si>
  <si>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</si>
  <si>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</si>
  <si>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PNNL. 2020. Commercial building energy savings analysis of the ASHRAE Standard 90.1-2019. Retrieved June 30, 2021 from US DOE's Building Energy Codes Program website.</t>
  </si>
  <si>
    <t>PNNL. 2020. Energy and Energy Cost Savings Analysis of the 2018 IECC for Commercial Buildings. Retrieved February 16, 2021 from US DOE's Building Energy Codes Program website.</t>
  </si>
  <si>
    <t xml:space="preserve">Forecast. Savings rate analysis will be conducted in 2023. </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</si>
  <si>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</si>
  <si>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</si>
  <si>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</si>
  <si>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</si>
  <si>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</si>
  <si>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</si>
  <si>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</si>
  <si>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</si>
  <si>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</si>
  <si>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</si>
  <si>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</si>
  <si>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2021 EUI</t>
  </si>
  <si>
    <r>
      <t xml:space="preserve">The savings rates values change each year based on the distribution of new construction building types completed.
</t>
    </r>
    <r>
      <rPr>
        <b/>
        <sz val="10"/>
        <color theme="1"/>
        <rFont val="Calibri"/>
        <family val="2"/>
        <scheme val="minor"/>
      </rPr>
      <t>Idaho and Montana:</t>
    </r>
    <r>
      <rPr>
        <sz val="10"/>
        <color theme="1"/>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rFont val="Calibri"/>
        <family val="2"/>
        <scheme val="minor"/>
      </rPr>
      <t>Oregon:</t>
    </r>
    <r>
      <rPr>
        <sz val="10"/>
        <color theme="1"/>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rFont val="Calibri"/>
        <family val="2"/>
        <scheme val="minor"/>
      </rPr>
      <t>Washington:</t>
    </r>
    <r>
      <rPr>
        <sz val="10"/>
        <color theme="1"/>
        <rFont val="Calibri"/>
        <family val="2"/>
        <scheme val="minor"/>
      </rPr>
      <t xml:space="preserve">
NEEA estimated savings rate for 2021 WSEC.  NEEA's third party analysis of the baseline EUI (2018 WSEC) is expected to be available in December 2021.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ot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</si>
  <si>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NEEA's adjusted EUI projection (2006 base)</t>
  </si>
  <si>
    <t>% EUI reduction relative to 2018 EUI</t>
  </si>
  <si>
    <t>EUI Reduction</t>
  </si>
  <si>
    <t>NEEA made adjustments to the projection because 2018 EUI is noticeably greater than the targets.</t>
  </si>
  <si>
    <t>Assume 70% of the reduction is electric savings and apply 25% discount for code compliance</t>
  </si>
  <si>
    <t>-Single-family: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</si>
  <si>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</si>
  <si>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 xml:space="preserve">UES analysis in currently under review by TRC. </t>
  </si>
  <si>
    <t>Savings expected in 2023 with ENERGY STAR specification update.</t>
  </si>
  <si>
    <t>NEEA Reported Savings</t>
  </si>
  <si>
    <t>Targets for program measures only</t>
  </si>
  <si>
    <t>Targets for codes and standards only</t>
  </si>
  <si>
    <t xml:space="preserve">2022-2023 Targets </t>
  </si>
  <si>
    <t>-Either the 2021 Power Plan or the RTF, whichever is the most up to date. For this Report, the savings rates from the Regional Technical Forum (RTF) were approved after 2020 and prior to June 1, 2021. 
-If neither a Power Plan or RTF UES are available, NEEA will work with the Power Council to create a UES based on the original Power Plan and document the assumptions within the report.</t>
  </si>
  <si>
    <t>15</t>
  </si>
  <si>
    <t>45</t>
  </si>
  <si>
    <t>42</t>
  </si>
  <si>
    <t>5</t>
  </si>
  <si>
    <t>4</t>
  </si>
  <si>
    <t>20</t>
  </si>
  <si>
    <t>8</t>
  </si>
  <si>
    <t>9</t>
  </si>
  <si>
    <t>©2021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</si>
  <si>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UES is under review by TRC.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</si>
</sst>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quot;#,##0_);[Red]\(&quot;$&quot;#,##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 %;\-#,##0.00\ %;#,##0.00\ %"/>
    <numFmt numFmtId="176" formatCode="00000"/>
    <numFmt numFmtId="177" formatCode="_(* #,##0.0000_);_(* \(#,##0.0000\);_(* &quot;-&quot;??_);_(@_)"/>
    <numFmt numFmtId="178" formatCode="_(* #,##0.00_);_(* \(#,##0.00\);_(* &quot;-&quot;_);_(@_)"/>
    <numFmt numFmtId="179" formatCode="[$-409]h:mm:ss\ AM/PM"/>
    <numFmt numFmtId="180" formatCode="_(&quot;$&quot;* #,##0_);_(&quot;$&quot;* \(#,##0\);_(&quot;$&quot;* &quot;-&quot;??_);_(@_)"/>
  </numFmts>
  <fonts count="25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u/>
      <sz val="10"/>
      <color rgb="FF0000FF"/>
      <name val="Calibri"/>
      <family val="2"/>
      <scheme val="minor"/>
    </font>
    <font>
      <u/>
      <sz val="8"/>
      <color theme="10"/>
      <name val="Arial"/>
      <family val="2"/>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amily val="3"/>
    </font>
    <font>
      <sz val="10"/>
      <color theme="1"/>
      <name val="Trade Gothic LT Std"/>
      <family val="3"/>
    </font>
    <font>
      <b/>
      <sz val="10"/>
      <color theme="0"/>
      <name val="Trade Gothic LT Std"/>
      <family val="3"/>
    </font>
    <font>
      <b/>
      <sz val="10"/>
      <color theme="1"/>
      <name val="Trade Gothic LT Std"/>
      <family val="3"/>
    </font>
    <font>
      <sz val="10"/>
      <color rgb="FFFF0000"/>
      <name val="Trade Gothic LT Std"/>
      <family val="3"/>
    </font>
    <font>
      <sz val="11"/>
      <color rgb="FF0083CA"/>
      <name val="Calibri"/>
      <family val="2"/>
      <scheme val="min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b/>
      <sz val="10"/>
      <color theme="8"/>
      <name val="Trade Gothic LT Std"/>
      <family val="3"/>
    </font>
    <font>
      <sz val="10"/>
      <color theme="0"/>
      <name val="Trade Gothic LT Std"/>
      <family val="3"/>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0083CA"/>
      <name val="Trade Gothic LT Std"/>
      <family val="3"/>
    </font>
    <font>
      <sz val="8"/>
      <color theme="1"/>
      <name val="Trade Gothic LT Std"/>
      <family val="3"/>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0" tint="-0.249977111117893"/>
      <name val="Calibri"/>
      <family val="2"/>
      <scheme val="minor"/>
    </font>
    <font>
      <sz val="10"/>
      <color rgb="FF000000"/>
      <name val="Calibri"/>
      <family val="2"/>
      <scheme val="minor"/>
    </font>
    <font>
      <sz val="10"/>
      <color theme="3"/>
      <name val="Calibri Light"/>
      <family val="2"/>
      <scheme val="major"/>
    </font>
    <font>
      <sz val="10"/>
      <color theme="1"/>
      <name val="Calibri Light"/>
      <family val="2"/>
      <scheme val="maj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amily val="3"/>
    </font>
    <font>
      <u/>
      <sz val="10"/>
      <color theme="1" tint="0.499984740745262"/>
      <name val="Calibri"/>
      <family val="2"/>
      <scheme val="minor"/>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1"/>
      <color rgb="FF44546A"/>
      <name val="Calibri"/>
      <family val="2"/>
    </font>
    <font>
      <sz val="12"/>
      <color rgb="FF000000"/>
      <name val="Calibri Light"/>
      <family val="2"/>
    </font>
    <font>
      <b/>
      <sz val="11"/>
      <color rgb="FF000000"/>
      <name val="Calibri"/>
      <family val="2"/>
    </font>
    <font>
      <sz val="11"/>
      <color rgb="FF000000"/>
      <name val="Calibri"/>
      <family val="2"/>
    </font>
    <font>
      <i/>
      <sz val="11"/>
      <color theme="2" tint="-0.249977111117893"/>
      <name val="Calibri"/>
      <family val="2"/>
    </font>
    <font>
      <u/>
      <sz val="10"/>
      <color theme="3"/>
      <name val="Calibri Light"/>
      <family val="2"/>
      <scheme val="major"/>
    </font>
    <font>
      <sz val="8"/>
      <name val="Calibri"/>
      <family val="2"/>
      <scheme val="minor"/>
    </font>
    <font>
      <i/>
      <sz val="10"/>
      <color theme="6"/>
      <name val="Calibri"/>
      <family val="2"/>
      <scheme val="minor"/>
    </font>
    <font>
      <b/>
      <sz val="10"/>
      <color theme="0" tint="-0.249977111117893"/>
      <name val="Calibri"/>
      <family val="2"/>
      <scheme val="minor"/>
    </font>
    <font>
      <sz val="10"/>
      <color theme="4"/>
      <name val="Calibri Light"/>
      <family val="2"/>
      <scheme val="major"/>
    </font>
    <font>
      <i/>
      <sz val="11"/>
      <color rgb="FF000000"/>
      <name val="Calibri"/>
      <family val="2"/>
    </font>
    <font>
      <i/>
      <sz val="11"/>
      <color theme="0"/>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i/>
      <sz val="11"/>
      <color rgb="FF44546A"/>
      <name val="Calibri"/>
      <family val="2"/>
    </font>
    <font>
      <sz val="12"/>
      <color theme="8"/>
      <name val="Calibri Light"/>
      <family val="2"/>
      <scheme val="major"/>
    </font>
    <font>
      <i/>
      <sz val="10"/>
      <color rgb="FF000000"/>
      <name val="Calibri"/>
      <family val="2"/>
    </font>
    <font>
      <i/>
      <sz val="10"/>
      <color theme="2" tint="-0.249977111117893"/>
      <name val="Calibri"/>
      <family val="2"/>
    </font>
    <font>
      <sz val="10"/>
      <color rgb="FF000000"/>
      <name val="Calibri"/>
      <family val="2"/>
    </font>
    <font>
      <sz val="18"/>
      <color rgb="FF0083CA"/>
      <name val="Calibri"/>
      <family val="2"/>
      <scheme val="minor"/>
    </font>
    <font>
      <u/>
      <sz val="10"/>
      <color rgb="FF0083CA"/>
      <name val="Calibri"/>
      <family val="2"/>
      <scheme val="minor"/>
    </font>
    <font>
      <i/>
      <sz val="10"/>
      <color rgb="FFFF0000"/>
      <name val="Calibri"/>
      <family val="2"/>
      <scheme val="minor"/>
    </font>
    <font>
      <vertAlign val="subscript"/>
      <sz val="10"/>
      <name val="Calibri"/>
      <family val="2"/>
      <scheme val="minor"/>
    </font>
    <font>
      <i/>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1"/>
      <color theme="5"/>
      <name val="Calibri"/>
      <family val="2"/>
    </font>
    <font>
      <sz val="10"/>
      <color theme="6"/>
      <name val="Calibri"/>
      <family val="2"/>
      <scheme val="minor"/>
    </font>
    <font>
      <sz val="9"/>
      <color theme="0" tint="-0.249977111117893"/>
      <name val="Calibri"/>
      <family val="2"/>
      <scheme val="minor"/>
    </font>
    <font>
      <i/>
      <sz val="9"/>
      <color theme="0" tint="-0.249977111117893"/>
      <name val="Calibri"/>
      <family val="2"/>
      <scheme val="minor"/>
    </font>
    <font>
      <b/>
      <sz val="16"/>
      <color theme="5"/>
      <name val="Calibri"/>
      <family val="2"/>
      <scheme val="minor"/>
    </font>
    <font>
      <i/>
      <sz val="11"/>
      <color theme="1"/>
      <name val="Calibri"/>
      <family val="2"/>
      <scheme val="minor"/>
    </font>
    <font>
      <b/>
      <sz val="12"/>
      <color theme="1"/>
      <name val="Calibri"/>
      <family val="2"/>
      <scheme val="minor"/>
    </font>
    <font>
      <b/>
      <sz val="11"/>
      <color theme="6" tint="-0.499984740745262"/>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9"/>
      <name val="Calibri"/>
      <family val="2"/>
      <scheme val="minor"/>
    </font>
    <font>
      <b/>
      <sz val="9"/>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i/>
      <sz val="10"/>
      <color rgb="FF006100"/>
      <name val="Calibri"/>
      <family val="2"/>
      <scheme val="minor"/>
    </font>
    <font>
      <sz val="11"/>
      <color rgb="FFFF0000"/>
      <name val="Calibri"/>
      <family val="2"/>
      <scheme val="minor"/>
    </font>
    <font>
      <b/>
      <sz val="10"/>
      <color rgb="FFFFFFFF"/>
      <name val="Calibri"/>
      <family val="2"/>
      <scheme val="minor"/>
    </font>
    <font>
      <sz val="10"/>
      <color theme="0" tint="-0.34998626667073579"/>
      <name val="Calibri"/>
      <family val="2"/>
      <scheme val="minor"/>
    </font>
    <font>
      <b/>
      <sz val="10"/>
      <color theme="0" tint="-0.34998626667073579"/>
      <name val="Calibri"/>
      <family val="2"/>
      <scheme val="minor"/>
    </font>
    <font>
      <sz val="12"/>
      <color theme="3"/>
      <name val="Calibri"/>
      <family val="2"/>
      <scheme val="minor"/>
    </font>
    <font>
      <sz val="11"/>
      <color theme="1"/>
      <name val="Trade Gothic LT Std Light"/>
      <family val="3"/>
    </font>
    <font>
      <sz val="11"/>
      <color theme="3"/>
      <name val="Trade Gothic LT Std Light"/>
      <family val="3"/>
    </font>
    <font>
      <sz val="11"/>
      <name val="Trade"/>
    </font>
    <font>
      <sz val="14"/>
      <color theme="9" tint="-0.249977111117893"/>
      <name val="Calibri"/>
      <family val="2"/>
      <scheme val="minor"/>
    </font>
    <font>
      <sz val="26"/>
      <color rgb="FF0083CA"/>
      <name val="Trade Gothic LT Std Light"/>
      <family val="3"/>
    </font>
    <font>
      <sz val="26"/>
      <color theme="1"/>
      <name val="Calibri"/>
      <family val="2"/>
      <scheme val="minor"/>
    </font>
    <font>
      <sz val="26"/>
      <color rgb="FF00B0F0"/>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b/>
      <sz val="14"/>
      <color theme="9" tint="-0.249977111117893"/>
      <name val="Calibri"/>
      <family val="2"/>
      <scheme val="minor"/>
    </font>
    <font>
      <i/>
      <u/>
      <sz val="10"/>
      <color theme="1"/>
      <name val="Calibri"/>
      <family val="2"/>
      <scheme val="minor"/>
    </font>
    <font>
      <b/>
      <sz val="11"/>
      <color theme="9" tint="-0.249977111117893"/>
      <name val="Calibri"/>
      <family val="2"/>
      <scheme val="minor"/>
    </font>
    <font>
      <b/>
      <sz val="12"/>
      <name val="Calibri Light"/>
      <family val="2"/>
      <scheme val="major"/>
    </font>
    <font>
      <sz val="11"/>
      <color theme="1" tint="0.499984740745262"/>
      <name val="Calibri Light"/>
      <family val="2"/>
      <scheme val="major"/>
    </font>
  </fonts>
  <fills count="133">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
      <patternFill patternType="solid">
        <fgColor rgb="FFF2F2F2"/>
        <bgColor indexed="64"/>
      </patternFill>
    </fill>
    <fill>
      <patternFill patternType="solid">
        <fgColor rgb="FF5B9BD5"/>
        <bgColor indexed="64"/>
      </patternFill>
    </fill>
    <fill>
      <patternFill patternType="solid">
        <fgColor rgb="FFD9E1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rgb="FFFFCC99"/>
        <bgColor rgb="FF000000"/>
      </patternFill>
    </fill>
    <fill>
      <patternFill patternType="solid">
        <fgColor theme="5" tint="0.59999389629810485"/>
        <bgColor indexed="64"/>
      </patternFill>
    </fill>
    <fill>
      <patternFill patternType="solid">
        <fgColor theme="1" tint="0.14999847407452621"/>
        <bgColor indexed="64"/>
      </patternFill>
    </fill>
    <fill>
      <patternFill patternType="solid">
        <fgColor indexed="41"/>
        <bgColor indexed="64"/>
      </patternFill>
    </fill>
    <fill>
      <patternFill patternType="solid">
        <fgColor theme="1" tint="0.499984740745262"/>
        <bgColor indexed="64"/>
      </patternFill>
    </fill>
    <fill>
      <patternFill patternType="solid">
        <fgColor rgb="FF4F81BD"/>
        <bgColor indexed="64"/>
      </patternFill>
    </fill>
    <fill>
      <patternFill patternType="solid">
        <fgColor theme="9" tint="0.39997558519241921"/>
        <bgColor indexed="64"/>
      </patternFill>
    </fill>
    <fill>
      <patternFill patternType="solid">
        <fgColor theme="8"/>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s>
  <borders count="574">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right/>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right style="thin">
        <color indexed="64"/>
      </right>
      <top style="medium">
        <color indexed="64"/>
      </top>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thin">
        <color auto="1"/>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style="thin">
        <color indexed="64"/>
      </left>
      <right style="thin">
        <color theme="0" tint="-0.14996795556505021"/>
      </right>
      <top/>
      <bottom/>
      <diagonal/>
    </border>
    <border>
      <left/>
      <right/>
      <top style="thin">
        <color theme="0"/>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right/>
      <top style="thin">
        <color theme="0" tint="-0.14996795556505021"/>
      </top>
      <bottom/>
      <diagonal/>
    </border>
    <border>
      <left/>
      <right style="thin">
        <color theme="0" tint="-4.9989318521683403E-2"/>
      </right>
      <top style="hair">
        <color theme="0" tint="-4.9989318521683403E-2"/>
      </top>
      <bottom style="hair">
        <color theme="0" tint="-4.9989318521683403E-2"/>
      </bottom>
      <diagonal/>
    </border>
    <border>
      <left/>
      <right style="thin">
        <color theme="0" tint="-4.9989318521683403E-2"/>
      </right>
      <top style="hair">
        <color theme="0" tint="-4.9989318521683403E-2"/>
      </top>
      <bottom style="thin">
        <color theme="0" tint="-0.34998626667073579"/>
      </bottom>
      <diagonal/>
    </border>
    <border>
      <left/>
      <right style="thin">
        <color theme="0" tint="-4.9989318521683403E-2"/>
      </right>
      <top style="hair">
        <color theme="0" tint="-4.9989318521683403E-2"/>
      </top>
      <bottom/>
      <diagonal/>
    </border>
    <border>
      <left/>
      <right style="thin">
        <color theme="0" tint="-4.9989318521683403E-2"/>
      </right>
      <top/>
      <bottom style="hair">
        <color theme="0" tint="-4.9989318521683403E-2"/>
      </bottom>
      <diagonal/>
    </border>
    <border>
      <left/>
      <right style="thin">
        <color theme="0" tint="-4.9989318521683403E-2"/>
      </right>
      <top style="thin">
        <color theme="0" tint="-0.34998626667073579"/>
      </top>
      <bottom style="hair">
        <color theme="0" tint="-4.9989318521683403E-2"/>
      </bottom>
      <diagonal/>
    </border>
    <border>
      <left/>
      <right style="thin">
        <color theme="0" tint="-4.9989318521683403E-2"/>
      </right>
      <top style="hair">
        <color theme="0" tint="-4.9989318521683403E-2"/>
      </top>
      <bottom style="thin">
        <color indexed="64"/>
      </bottom>
      <diagonal/>
    </border>
    <border>
      <left/>
      <right style="thin">
        <color theme="0" tint="-0.499984740745262"/>
      </right>
      <top style="thin">
        <color indexed="64"/>
      </top>
      <bottom style="hair">
        <color theme="0" tint="-0.14996795556505021"/>
      </bottom>
      <diagonal/>
    </border>
    <border>
      <left/>
      <right style="thin">
        <color theme="0" tint="-0.499984740745262"/>
      </right>
      <top style="hair">
        <color theme="0" tint="-0.14996795556505021"/>
      </top>
      <bottom style="hair">
        <color theme="0" tint="-0.14996795556505021"/>
      </bottom>
      <diagonal/>
    </border>
    <border>
      <left/>
      <right style="thin">
        <color theme="0" tint="-0.499984740745262"/>
      </right>
      <top/>
      <bottom/>
      <diagonal/>
    </border>
    <border>
      <left/>
      <right style="thin">
        <color theme="0" tint="-0.499984740745262"/>
      </right>
      <top style="hair">
        <color theme="0" tint="-0.14996795556505021"/>
      </top>
      <bottom/>
      <diagonal/>
    </border>
    <border>
      <left/>
      <right style="thin">
        <color theme="0" tint="-0.499984740745262"/>
      </right>
      <top/>
      <bottom style="hair">
        <color theme="0" tint="-0.14996795556505021"/>
      </bottom>
      <diagonal/>
    </border>
    <border>
      <left/>
      <right style="thin">
        <color theme="0" tint="-0.499984740745262"/>
      </right>
      <top style="hair">
        <color theme="0" tint="-0.14996795556505021"/>
      </top>
      <bottom style="thin">
        <color indexed="64"/>
      </bottom>
      <diagonal/>
    </border>
    <border>
      <left/>
      <right style="thin">
        <color theme="0" tint="-0.499984740745262"/>
      </right>
      <top/>
      <bottom style="thin">
        <color theme="0" tint="-0.14996795556505021"/>
      </bottom>
      <diagonal/>
    </border>
    <border>
      <left style="thin">
        <color indexed="64"/>
      </left>
      <right/>
      <top style="hair">
        <color theme="0" tint="-0.14996795556505021"/>
      </top>
      <bottom style="thin">
        <color theme="0" tint="-0.14993743705557422"/>
      </bottom>
      <diagonal/>
    </border>
    <border>
      <left style="thin">
        <color indexed="64"/>
      </left>
      <right/>
      <top style="thin">
        <color theme="0" tint="-0.14993743705557422"/>
      </top>
      <bottom style="hair">
        <color theme="0" tint="-0.14996795556505021"/>
      </bottom>
      <diagonal/>
    </border>
    <border>
      <left style="thin">
        <color indexed="64"/>
      </left>
      <right/>
      <top style="hair">
        <color theme="0" tint="-0.14996795556505021"/>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theme="0" tint="-4.9989318521683403E-2"/>
      </right>
      <top style="thin">
        <color indexed="64"/>
      </top>
      <bottom/>
      <diagonal/>
    </border>
    <border>
      <left style="thin">
        <color theme="0" tint="-0.499984740745262"/>
      </left>
      <right/>
      <top/>
      <bottom/>
      <diagonal/>
    </border>
    <border>
      <left/>
      <right style="thin">
        <color theme="0" tint="-4.9989318521683403E-2"/>
      </right>
      <top/>
      <bottom/>
      <diagonal/>
    </border>
    <border>
      <left style="thin">
        <color theme="0" tint="-4.9989318521683403E-2"/>
      </left>
      <right/>
      <top/>
      <bottom/>
      <diagonal/>
    </border>
    <border>
      <left style="thin">
        <color theme="0" tint="-4.9989318521683403E-2"/>
      </left>
      <right/>
      <top/>
      <bottom style="hair">
        <color theme="0" tint="-4.9989318521683403E-2"/>
      </bottom>
      <diagonal/>
    </border>
    <border>
      <left style="thin">
        <color theme="0" tint="-4.9989318521683403E-2"/>
      </left>
      <right/>
      <top style="hair">
        <color theme="0" tint="-4.9989318521683403E-2"/>
      </top>
      <bottom/>
      <diagonal/>
    </border>
    <border>
      <left/>
      <right style="thin">
        <color theme="0" tint="-4.9989318521683403E-2"/>
      </right>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top style="thin">
        <color theme="0" tint="-0.34998626667073579"/>
      </top>
      <bottom style="hair">
        <color theme="0" tint="-4.9989318521683403E-2"/>
      </bottom>
      <diagonal/>
    </border>
    <border>
      <left style="thin">
        <color theme="0" tint="-4.9989318521683403E-2"/>
      </left>
      <right/>
      <top style="hair">
        <color theme="0" tint="-4.9989318521683403E-2"/>
      </top>
      <bottom style="hair">
        <color theme="0" tint="-4.9989318521683403E-2"/>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4.9989318521683403E-2"/>
      </right>
      <top style="thin">
        <color indexed="64"/>
      </top>
      <bottom style="thin">
        <color indexed="64"/>
      </bottom>
      <diagonal/>
    </border>
    <border>
      <left style="thin">
        <color theme="0" tint="-4.9989318521683403E-2"/>
      </left>
      <right/>
      <top style="hair">
        <color theme="0" tint="-4.9989318521683403E-2"/>
      </top>
      <bottom style="thin">
        <color theme="0" tint="-0.34998626667073579"/>
      </bottom>
      <diagonal/>
    </border>
    <border>
      <left style="thin">
        <color indexed="64"/>
      </left>
      <right/>
      <top style="thin">
        <color indexed="64"/>
      </top>
      <bottom style="hair">
        <color theme="0" tint="-4.9989318521683403E-2"/>
      </bottom>
      <diagonal/>
    </border>
    <border>
      <left/>
      <right/>
      <top style="thin">
        <color indexed="64"/>
      </top>
      <bottom style="hair">
        <color theme="0" tint="-4.9989318521683403E-2"/>
      </bottom>
      <diagonal/>
    </border>
    <border>
      <left/>
      <right style="thin">
        <color indexed="64"/>
      </right>
      <top style="thin">
        <color indexed="64"/>
      </top>
      <bottom style="hair">
        <color theme="0" tint="-4.9989318521683403E-2"/>
      </bottom>
      <diagonal/>
    </border>
    <border>
      <left style="thin">
        <color indexed="64"/>
      </left>
      <right/>
      <top style="hair">
        <color theme="0" tint="-4.9989318521683403E-2"/>
      </top>
      <bottom style="thin">
        <color indexed="64"/>
      </bottom>
      <diagonal/>
    </border>
    <border>
      <left/>
      <right/>
      <top style="hair">
        <color theme="0" tint="-4.9989318521683403E-2"/>
      </top>
      <bottom style="thin">
        <color indexed="64"/>
      </bottom>
      <diagonal/>
    </border>
    <border>
      <left/>
      <right style="thin">
        <color indexed="64"/>
      </right>
      <top style="hair">
        <color theme="0" tint="-4.9989318521683403E-2"/>
      </top>
      <bottom style="thin">
        <color indexed="64"/>
      </bottom>
      <diagonal/>
    </border>
    <border>
      <left style="medium">
        <color indexed="64"/>
      </left>
      <right style="medium">
        <color indexed="64"/>
      </right>
      <top style="thin">
        <color theme="1" tint="0.499984740745262"/>
      </top>
      <bottom style="hair">
        <color theme="1" tint="0.499984740745262"/>
      </bottom>
      <diagonal/>
    </border>
    <border>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hair">
        <color theme="0" tint="-4.9989318521683403E-2"/>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theme="1"/>
      </left>
      <right style="thin">
        <color theme="0" tint="-0.14996795556505021"/>
      </right>
      <top style="double">
        <color indexed="64"/>
      </top>
      <bottom style="hair">
        <color theme="0" tint="-0.499984740745262"/>
      </bottom>
      <diagonal/>
    </border>
    <border>
      <left style="medium">
        <color theme="1"/>
      </left>
      <right style="thin">
        <color theme="0" tint="-0.14996795556505021"/>
      </right>
      <top style="hair">
        <color theme="0" tint="-0.499984740745262"/>
      </top>
      <bottom style="hair">
        <color theme="0" tint="-0.499984740745262"/>
      </bottom>
      <diagonal/>
    </border>
    <border>
      <left style="medium">
        <color theme="1"/>
      </left>
      <right style="thin">
        <color theme="0" tint="-0.14996795556505021"/>
      </right>
      <top style="hair">
        <color theme="0" tint="-0.499984740745262"/>
      </top>
      <bottom/>
      <diagonal/>
    </border>
    <border>
      <left style="medium">
        <color theme="1"/>
      </left>
      <right style="thin">
        <color theme="0" tint="-0.14996795556505021"/>
      </right>
      <top/>
      <bottom style="hair">
        <color theme="0" tint="-0.499984740745262"/>
      </bottom>
      <diagonal/>
    </border>
    <border>
      <left style="medium">
        <color theme="1"/>
      </left>
      <right style="thin">
        <color theme="0" tint="-0.14996795556505021"/>
      </right>
      <top style="hair">
        <color theme="0" tint="-0.499984740745262"/>
      </top>
      <bottom style="thin">
        <color theme="1"/>
      </bottom>
      <diagonal/>
    </border>
    <border>
      <left style="thin">
        <color theme="0" tint="-0.14996795556505021"/>
      </left>
      <right style="thin">
        <color indexed="64"/>
      </right>
      <top style="hair">
        <color theme="0" tint="-0.499984740745262"/>
      </top>
      <bottom style="thin">
        <color theme="1"/>
      </bottom>
      <diagonal/>
    </border>
    <border>
      <left style="medium">
        <color indexed="64"/>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top style="thin">
        <color theme="1"/>
      </top>
      <bottom style="hair">
        <color theme="0" tint="-0.24994659260841701"/>
      </bottom>
      <diagonal/>
    </border>
    <border>
      <left style="medium">
        <color indexed="64"/>
      </left>
      <right style="thin">
        <color theme="0" tint="-0.14996795556505021"/>
      </right>
      <top style="hair">
        <color theme="0" tint="-0.24994659260841701"/>
      </top>
      <bottom style="hair">
        <color theme="0" tint="-0.2499465926084170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theme="0" tint="-4.9989318521683403E-2"/>
      </bottom>
      <diagonal/>
    </border>
    <border>
      <left style="thin">
        <color theme="0" tint="-0.14996795556505021"/>
      </left>
      <right/>
      <top style="thin">
        <color indexed="64"/>
      </top>
      <bottom style="hair">
        <color theme="0" tint="-0.14996795556505021"/>
      </bottom>
      <diagonal/>
    </border>
    <border>
      <left/>
      <right style="thin">
        <color auto="1"/>
      </right>
      <top style="thin">
        <color auto="1"/>
      </top>
      <bottom/>
      <diagonal/>
    </border>
    <border>
      <left/>
      <right/>
      <top style="thin">
        <color indexed="64"/>
      </top>
      <bottom/>
      <diagonal/>
    </border>
    <border>
      <left style="thin">
        <color indexed="64"/>
      </left>
      <right style="thin">
        <color theme="0" tint="-0.14996795556505021"/>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4.9989318521683403E-2"/>
      </right>
      <top style="thin">
        <color theme="0" tint="-0.24994659260841701"/>
      </top>
      <bottom style="thin">
        <color indexed="64"/>
      </bottom>
      <diagonal/>
    </border>
    <border>
      <left style="thin">
        <color theme="0" tint="-4.9989318521683403E-2"/>
      </left>
      <right style="thin">
        <color indexed="64"/>
      </right>
      <top style="thin">
        <color theme="0" tint="-0.24994659260841701"/>
      </top>
      <bottom style="thin">
        <color indexed="64"/>
      </bottom>
      <diagonal/>
    </border>
    <border>
      <left style="thin">
        <color theme="0" tint="-0.14996795556505021"/>
      </left>
      <right/>
      <top style="hair">
        <color theme="0" tint="-0.14996795556505021"/>
      </top>
      <bottom/>
      <diagonal/>
    </border>
    <border>
      <left style="thin">
        <color indexed="64"/>
      </left>
      <right style="thin">
        <color theme="0" tint="-0.14996795556505021"/>
      </right>
      <top style="thin">
        <color theme="0" tint="-0.24994659260841701"/>
      </top>
      <bottom/>
      <diagonal/>
    </border>
    <border>
      <left/>
      <right/>
      <top style="thin">
        <color theme="0" tint="-0.24994659260841701"/>
      </top>
      <bottom style="hair">
        <color theme="0" tint="-0.14996795556505021"/>
      </bottom>
      <diagonal/>
    </border>
    <border>
      <left/>
      <right style="thin">
        <color theme="0" tint="-4.9989318521683403E-2"/>
      </right>
      <top style="thin">
        <color theme="0" tint="-0.24994659260841701"/>
      </top>
      <bottom style="hair">
        <color theme="0" tint="-4.9989318521683403E-2"/>
      </bottom>
      <diagonal/>
    </border>
    <border>
      <left style="thin">
        <color theme="0" tint="-4.9989318521683403E-2"/>
      </left>
      <right style="thin">
        <color indexed="64"/>
      </right>
      <top style="thin">
        <color theme="0" tint="-0.24994659260841701"/>
      </top>
      <bottom style="hair">
        <color theme="0" tint="-4.9989318521683403E-2"/>
      </bottom>
      <diagonal/>
    </border>
    <border>
      <left style="thin">
        <color indexed="64"/>
      </left>
      <right style="thin">
        <color theme="0" tint="-0.14996795556505021"/>
      </right>
      <top/>
      <bottom style="thin">
        <color theme="0" tint="-0.24994659260841701"/>
      </bottom>
      <diagonal/>
    </border>
    <border>
      <left/>
      <right/>
      <top style="hair">
        <color theme="0" tint="-0.14996795556505021"/>
      </top>
      <bottom style="thin">
        <color theme="0" tint="-0.24994659260841701"/>
      </bottom>
      <diagonal/>
    </border>
    <border>
      <left/>
      <right style="thin">
        <color theme="0" tint="-4.9989318521683403E-2"/>
      </right>
      <top/>
      <bottom style="thin">
        <color theme="0" tint="-0.24994659260841701"/>
      </bottom>
      <diagonal/>
    </border>
    <border>
      <left style="thin">
        <color theme="0" tint="-4.9989318521683403E-2"/>
      </left>
      <right style="thin">
        <color indexed="64"/>
      </right>
      <top/>
      <bottom style="thin">
        <color theme="0" tint="-0.24994659260841701"/>
      </bottom>
      <diagonal/>
    </border>
    <border>
      <left style="thin">
        <color indexed="64"/>
      </left>
      <right style="thin">
        <color theme="0" tint="-4.9989318521683403E-2"/>
      </right>
      <top style="hair">
        <color theme="0" tint="-0.499984740745262"/>
      </top>
      <bottom style="hair">
        <color theme="0" tint="-0.4999847407452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style="thin">
        <color theme="0" tint="-0.24994659260841701"/>
      </left>
      <right style="thin">
        <color indexed="64"/>
      </right>
      <top style="double">
        <color indexed="64"/>
      </top>
      <bottom style="hair">
        <color theme="0" tint="-0.499984740745262"/>
      </bottom>
      <diagonal/>
    </border>
    <border>
      <left style="thin">
        <color theme="0" tint="-0.24994659260841701"/>
      </left>
      <right style="thin">
        <color indexed="64"/>
      </right>
      <top style="hair">
        <color theme="0" tint="-0.499984740745262"/>
      </top>
      <bottom style="hair">
        <color theme="0" tint="-0.499984740745262"/>
      </bottom>
      <diagonal/>
    </border>
    <border>
      <left/>
      <right/>
      <top style="thin">
        <color indexed="64"/>
      </top>
      <bottom style="double">
        <color indexed="64"/>
      </bottom>
      <diagonal/>
    </border>
    <border>
      <left style="thin">
        <color theme="0" tint="-0.14996795556505021"/>
      </left>
      <right style="thin">
        <color indexed="64"/>
      </right>
      <top style="hair">
        <color theme="0" tint="-0.499984740745262"/>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thin">
        <color indexed="64"/>
      </top>
      <bottom style="hair">
        <color theme="0" tint="-0.14996795556505021"/>
      </bottom>
      <diagonal/>
    </border>
    <border>
      <left style="thin">
        <color indexed="64"/>
      </left>
      <right style="thin">
        <color theme="0" tint="-0.14996795556505021"/>
      </right>
      <top style="hair">
        <color theme="0" tint="-0.14996795556505021"/>
      </top>
      <bottom style="hair">
        <color theme="0" tint="-0.14996795556505021"/>
      </bottom>
      <diagonal/>
    </border>
    <border>
      <left style="thin">
        <color indexed="64"/>
      </left>
      <right style="thin">
        <color theme="0" tint="-0.14996795556505021"/>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style="thin">
        <color theme="2" tint="-9.9948118533890809E-2"/>
      </left>
      <right style="thin">
        <color auto="1"/>
      </right>
      <top style="thin">
        <color indexed="64"/>
      </top>
      <bottom style="thin">
        <color auto="1"/>
      </bottom>
      <diagonal/>
    </border>
    <border>
      <left style="thin">
        <color theme="2" tint="-9.9948118533890809E-2"/>
      </left>
      <right style="thin">
        <color auto="1"/>
      </right>
      <top style="thin">
        <color indexed="64"/>
      </top>
      <bottom style="hair">
        <color theme="0" tint="-0.14996795556505021"/>
      </bottom>
      <diagonal/>
    </border>
    <border>
      <left style="thin">
        <color theme="2" tint="-9.9948118533890809E-2"/>
      </left>
      <right style="thin">
        <color auto="1"/>
      </right>
      <top style="hair">
        <color theme="0" tint="-0.14996795556505021"/>
      </top>
      <bottom style="hair">
        <color theme="0" tint="-0.14996795556505021"/>
      </bottom>
      <diagonal/>
    </border>
    <border>
      <left style="thin">
        <color theme="2" tint="-9.9948118533890809E-2"/>
      </left>
      <right style="thin">
        <color auto="1"/>
      </right>
      <top style="hair">
        <color theme="0" tint="-0.14996795556505021"/>
      </top>
      <bottom style="thin">
        <color auto="1"/>
      </bottom>
      <diagonal/>
    </border>
    <border>
      <left style="thin">
        <color theme="0" tint="-0.14996795556505021"/>
      </left>
      <right style="thin">
        <color theme="0" tint="-0.14996795556505021"/>
      </right>
      <top style="double">
        <color indexed="64"/>
      </top>
      <bottom/>
      <diagonal/>
    </border>
    <border>
      <left style="thin">
        <color theme="0" tint="-0.14996795556505021"/>
      </left>
      <right/>
      <top style="medium">
        <color indexed="64"/>
      </top>
      <bottom/>
      <diagonal/>
    </border>
    <border>
      <left style="thin">
        <color theme="0" tint="-0.14996795556505021"/>
      </left>
      <right style="thin">
        <color indexed="64"/>
      </right>
      <top style="thin">
        <color indexed="64"/>
      </top>
      <bottom style="hair">
        <color theme="0" tint="-0.14996795556505021"/>
      </bottom>
      <diagonal/>
    </border>
    <border>
      <left style="thin">
        <color theme="0" tint="-4.9989318521683403E-2"/>
      </left>
      <right style="thin">
        <color theme="0" tint="-0.24994659260841701"/>
      </right>
      <top style="thin">
        <color indexed="64"/>
      </top>
      <bottom style="thin">
        <color indexed="64"/>
      </bottom>
      <diagonal/>
    </border>
    <border>
      <left/>
      <right style="thin">
        <color theme="0" tint="-0.24994659260841701"/>
      </right>
      <top style="thin">
        <color indexed="64"/>
      </top>
      <bottom style="hair">
        <color theme="0" tint="-4.9989318521683403E-2"/>
      </bottom>
      <diagonal/>
    </border>
    <border>
      <left style="thin">
        <color theme="0" tint="-4.9989318521683403E-2"/>
      </left>
      <right style="thin">
        <color theme="0" tint="-0.24994659260841701"/>
      </right>
      <top style="hair">
        <color theme="0" tint="-4.9989318521683403E-2"/>
      </top>
      <bottom/>
      <diagonal/>
    </border>
    <border>
      <left style="thin">
        <color theme="0" tint="-4.9989318521683403E-2"/>
      </left>
      <right style="thin">
        <color theme="0" tint="-0.24994659260841701"/>
      </right>
      <top/>
      <bottom/>
      <diagonal/>
    </border>
    <border>
      <left style="thin">
        <color theme="0" tint="-4.9989318521683403E-2"/>
      </left>
      <right style="thin">
        <color theme="0" tint="-0.24994659260841701"/>
      </right>
      <top/>
      <bottom style="thin">
        <color indexed="64"/>
      </bottom>
      <diagonal/>
    </border>
    <border>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hair">
        <color theme="0" tint="-4.9989318521683403E-2"/>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hair">
        <color theme="0" tint="-4.9989318521683403E-2"/>
      </bottom>
      <diagonal/>
    </border>
    <border>
      <left style="thin">
        <color indexed="64"/>
      </left>
      <right/>
      <top style="hair">
        <color theme="0" tint="-0.499984740745262"/>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theme="0" tint="-0.24994659260841701"/>
      </left>
      <right style="thin">
        <color indexed="64"/>
      </right>
      <top style="hair">
        <color theme="0" tint="-0.499984740745262"/>
      </top>
      <bottom style="thin">
        <color indexed="64"/>
      </bottom>
      <diagonal/>
    </border>
    <border>
      <left style="thin">
        <color indexed="64"/>
      </left>
      <right style="thin">
        <color theme="0" tint="-4.9989318521683403E-2"/>
      </right>
      <top style="hair">
        <color theme="0" tint="-0.499984740745262"/>
      </top>
      <bottom/>
      <diagonal/>
    </border>
    <border>
      <left/>
      <right style="thin">
        <color theme="0" tint="-0.14996795556505021"/>
      </right>
      <top/>
      <bottom/>
      <diagonal/>
    </border>
    <border>
      <left style="thin">
        <color theme="0" tint="-0.14996795556505021"/>
      </left>
      <right/>
      <top style="hair">
        <color theme="0" tint="-0.499984740745262"/>
      </top>
      <bottom/>
      <diagonal/>
    </border>
    <border>
      <left style="thin">
        <color indexed="64"/>
      </left>
      <right style="thin">
        <color theme="0" tint="-4.9989318521683403E-2"/>
      </right>
      <top style="thin">
        <color indexed="64"/>
      </top>
      <bottom style="hair">
        <color theme="0" tint="-0.499984740745262"/>
      </bottom>
      <diagonal/>
    </border>
    <border>
      <left style="medium">
        <color indexed="64"/>
      </left>
      <right style="thin">
        <color indexed="64"/>
      </right>
      <top style="medium">
        <color indexed="64"/>
      </top>
      <bottom/>
      <diagonal/>
    </border>
    <border>
      <left/>
      <right/>
      <top style="thin">
        <color theme="0" tint="-0.24994659260841701"/>
      </top>
      <bottom style="hair">
        <color theme="0" tint="-4.9989318521683403E-2"/>
      </bottom>
      <diagonal/>
    </border>
    <border>
      <left/>
      <right/>
      <top style="hair">
        <color theme="0" tint="-4.9989318521683403E-2"/>
      </top>
      <bottom style="thin">
        <color theme="0" tint="-0.24994659260841701"/>
      </bottom>
      <diagonal/>
    </border>
    <border>
      <left style="thin">
        <color theme="0" tint="-0.24994659260841701"/>
      </left>
      <right style="thin">
        <color auto="1"/>
      </right>
      <top/>
      <bottom style="thin">
        <color indexed="64"/>
      </bottom>
      <diagonal/>
    </border>
    <border>
      <left style="thin">
        <color indexed="64"/>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indexed="64"/>
      </top>
      <bottom style="hair">
        <color theme="0" tint="-4.9989318521683403E-2"/>
      </bottom>
      <diagonal/>
    </border>
    <border>
      <left style="thin">
        <color theme="0" tint="-0.24994659260841701"/>
      </left>
      <right style="thin">
        <color auto="1"/>
      </right>
      <top style="thin">
        <color indexed="64"/>
      </top>
      <bottom style="hair">
        <color theme="0" tint="-4.9989318521683403E-2"/>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auto="1"/>
      </right>
      <top style="hair">
        <color theme="0" tint="-4.9989318521683403E-2"/>
      </top>
      <bottom style="hair">
        <color theme="0" tint="-4.9989318521683403E-2"/>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auto="1"/>
      </right>
      <top style="hair">
        <color theme="0" tint="-4.9989318521683403E-2"/>
      </top>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auto="1"/>
      </right>
      <top style="thin">
        <color theme="0" tint="-0.24994659260841701"/>
      </top>
      <bottom style="hair">
        <color theme="0" tint="-4.9989318521683403E-2"/>
      </bottom>
      <diagonal/>
    </border>
    <border>
      <left style="thin">
        <color indexed="64"/>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auto="1"/>
      </right>
      <top style="hair">
        <color theme="0" tint="-4.9989318521683403E-2"/>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hair">
        <color theme="0" tint="-0.24994659260841701"/>
      </bottom>
      <diagonal/>
    </border>
    <border>
      <left/>
      <right style="thin">
        <color indexed="64"/>
      </right>
      <top style="thin">
        <color theme="0" tint="-0.24994659260841701"/>
      </top>
      <bottom style="hair">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thin">
        <color theme="0" tint="-0.24994659260841701"/>
      </top>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right style="thin">
        <color indexed="64"/>
      </right>
      <top style="thin">
        <color theme="0" tint="-0.24994659260841701"/>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theme="0" tint="-0.14996795556505021"/>
      </right>
      <top style="hair">
        <color theme="0" tint="-0.499984740745262"/>
      </top>
      <bottom style="medium">
        <color indexed="64"/>
      </bottom>
      <diagonal/>
    </border>
    <border>
      <left style="medium">
        <color indexed="64"/>
      </left>
      <right style="thin">
        <color theme="0" tint="-0.1499679555650502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medium">
        <color theme="1"/>
      </left>
      <right style="thin">
        <color theme="0" tint="-0.14996795556505021"/>
      </right>
      <top style="thin">
        <color indexed="64"/>
      </top>
      <bottom style="hair">
        <color theme="0" tint="-0.499984740745262"/>
      </bottom>
      <diagonal/>
    </border>
    <border>
      <left style="medium">
        <color theme="1"/>
      </left>
      <right style="thin">
        <color theme="0" tint="-0.14996795556505021"/>
      </right>
      <top style="hair">
        <color theme="0" tint="-0.499984740745262"/>
      </top>
      <bottom style="thin">
        <color indexed="64"/>
      </bottom>
      <diagonal/>
    </border>
    <border>
      <left style="medium">
        <color indexed="64"/>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right/>
      <top style="hair">
        <color theme="0" tint="-0.1499679555650502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thin">
        <color theme="0" tint="-0.24994659260841701"/>
      </left>
      <right style="thin">
        <color indexed="64"/>
      </right>
      <top style="thin">
        <color auto="1"/>
      </top>
      <bottom style="hair">
        <color theme="0" tint="-0.14996795556505021"/>
      </bottom>
      <diagonal/>
    </border>
    <border>
      <left style="thin">
        <color theme="0" tint="-0.24994659260841701"/>
      </left>
      <right style="thin">
        <color indexed="64"/>
      </right>
      <top style="hair">
        <color theme="0" tint="-0.14996795556505021"/>
      </top>
      <bottom style="hair">
        <color theme="0" tint="-0.14996795556505021"/>
      </bottom>
      <diagonal/>
    </border>
    <border>
      <left style="thin">
        <color theme="0" tint="-0.24994659260841701"/>
      </left>
      <right style="thin">
        <color indexed="64"/>
      </right>
      <top style="hair">
        <color theme="0" tint="-0.14996795556505021"/>
      </top>
      <bottom style="thin">
        <color indexed="64"/>
      </bottom>
      <diagonal/>
    </border>
    <border>
      <left style="thin">
        <color indexed="64"/>
      </left>
      <right style="thin">
        <color theme="0" tint="-0.24994659260841701"/>
      </right>
      <top style="thin">
        <color indexed="64"/>
      </top>
      <bottom style="hair">
        <color theme="0" tint="-0.14996795556505021"/>
      </bottom>
      <diagonal/>
    </border>
    <border>
      <left style="thin">
        <color theme="0" tint="-0.24994659260841701"/>
      </left>
      <right style="thin">
        <color theme="0" tint="-0.24994659260841701"/>
      </right>
      <top style="thin">
        <color indexed="64"/>
      </top>
      <bottom style="hair">
        <color theme="0" tint="-0.14996795556505021"/>
      </bottom>
      <diagonal/>
    </border>
    <border>
      <left style="thin">
        <color indexed="64"/>
      </left>
      <right style="thin">
        <color theme="0" tint="-0.24994659260841701"/>
      </right>
      <top style="hair">
        <color theme="0" tint="-0.14996795556505021"/>
      </top>
      <bottom style="hair">
        <color theme="0" tint="-0.14996795556505021"/>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indexed="64"/>
      </left>
      <right style="thin">
        <color theme="0" tint="-0.24994659260841701"/>
      </right>
      <top style="hair">
        <color theme="0" tint="-0.14996795556505021"/>
      </top>
      <bottom style="thin">
        <color indexed="64"/>
      </bottom>
      <diagonal/>
    </border>
    <border>
      <left style="thin">
        <color theme="0" tint="-0.24994659260841701"/>
      </left>
      <right style="thin">
        <color theme="0" tint="-0.24994659260841701"/>
      </right>
      <top style="hair">
        <color theme="0" tint="-0.14996795556505021"/>
      </top>
      <bottom style="thin">
        <color indexed="64"/>
      </bottom>
      <diagonal/>
    </border>
  </borders>
  <cellStyleXfs count="923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23" fillId="0" borderId="0"/>
    <xf numFmtId="0" fontId="19" fillId="0" borderId="0"/>
    <xf numFmtId="0" fontId="19" fillId="0" borderId="0">
      <alignment readingOrder="1"/>
    </xf>
    <xf numFmtId="0" fontId="19" fillId="0" borderId="0">
      <alignment readingOrder="1"/>
    </xf>
    <xf numFmtId="9" fontId="19"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7" borderId="0" applyNumberFormat="0" applyAlignment="0"/>
    <xf numFmtId="172" fontId="30" fillId="0" borderId="0"/>
    <xf numFmtId="0" fontId="31" fillId="0" borderId="0">
      <alignment horizontal="center" wrapText="1"/>
    </xf>
    <xf numFmtId="0" fontId="1" fillId="0" borderId="0"/>
    <xf numFmtId="0" fontId="1" fillId="0" borderId="0"/>
    <xf numFmtId="0" fontId="17" fillId="0" borderId="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3" fillId="4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9" fillId="55" borderId="0" applyNumberFormat="0" applyBorder="0" applyAlignment="0" applyProtection="0"/>
    <xf numFmtId="0" fontId="33" fillId="56" borderId="0" applyNumberFormat="0" applyBorder="0" applyAlignment="0" applyProtection="0"/>
    <xf numFmtId="0" fontId="24" fillId="57" borderId="0" applyNumberFormat="0" applyBorder="0" applyAlignment="0" applyProtection="0"/>
    <xf numFmtId="0" fontId="24" fillId="58" borderId="0" applyNumberFormat="0" applyBorder="0" applyAlignment="0" applyProtection="0"/>
    <xf numFmtId="0" fontId="29" fillId="58" borderId="0" applyNumberFormat="0" applyBorder="0" applyAlignment="0" applyProtection="0"/>
    <xf numFmtId="0" fontId="33" fillId="59"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9" fillId="61" borderId="0" applyNumberFormat="0" applyBorder="0" applyAlignment="0" applyProtection="0"/>
    <xf numFmtId="0" fontId="33"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9" fillId="64" borderId="0" applyNumberFormat="0" applyBorder="0" applyAlignment="0" applyProtection="0"/>
    <xf numFmtId="0" fontId="33" fillId="50" borderId="0" applyNumberFormat="0" applyBorder="0" applyAlignment="0" applyProtection="0"/>
    <xf numFmtId="0" fontId="24" fillId="65" borderId="0" applyNumberFormat="0" applyBorder="0" applyAlignment="0" applyProtection="0"/>
    <xf numFmtId="0" fontId="24" fillId="54" borderId="0" applyNumberFormat="0" applyBorder="0" applyAlignment="0" applyProtection="0"/>
    <xf numFmtId="0" fontId="29" fillId="66" borderId="0" applyNumberFormat="0" applyBorder="0" applyAlignment="0" applyProtection="0"/>
    <xf numFmtId="0" fontId="33" fillId="51"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9" fillId="69" borderId="0" applyNumberFormat="0" applyBorder="0" applyAlignment="0" applyProtection="0"/>
    <xf numFmtId="0" fontId="33" fillId="70" borderId="0" applyNumberFormat="0" applyBorder="0" applyAlignment="0" applyProtection="0"/>
    <xf numFmtId="0" fontId="34" fillId="40" borderId="0" applyNumberFormat="0" applyBorder="0" applyAlignment="0" applyProtection="0"/>
    <xf numFmtId="0" fontId="35" fillId="71" borderId="44" applyNumberFormat="0" applyAlignment="0" applyProtection="0"/>
    <xf numFmtId="0" fontId="36" fillId="72" borderId="45" applyNumberFormat="0" applyAlignment="0" applyProtection="0"/>
    <xf numFmtId="41" fontId="3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39" fillId="0" borderId="0" applyNumberFormat="0" applyFill="0" applyBorder="0" applyAlignment="0" applyProtection="0"/>
    <xf numFmtId="0" fontId="40" fillId="41" borderId="0" applyNumberFormat="0" applyBorder="0" applyAlignment="0" applyProtection="0"/>
    <xf numFmtId="0" fontId="41" fillId="0" borderId="46" applyNumberFormat="0" applyFill="0" applyAlignment="0" applyProtection="0"/>
    <xf numFmtId="0" fontId="28" fillId="76" borderId="47">
      <alignment horizontal="left"/>
    </xf>
    <xf numFmtId="0" fontId="42" fillId="0" borderId="48" applyNumberFormat="0" applyFill="0" applyAlignment="0" applyProtection="0"/>
    <xf numFmtId="0" fontId="43" fillId="0" borderId="49"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32" fillId="0" borderId="0"/>
    <xf numFmtId="0" fontId="19" fillId="0" borderId="0"/>
    <xf numFmtId="0" fontId="32" fillId="0" borderId="0"/>
    <xf numFmtId="0" fontId="32" fillId="0" borderId="0"/>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32" fillId="0" borderId="0"/>
    <xf numFmtId="0" fontId="32"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9" fillId="0" borderId="0">
      <alignment readingOrder="1"/>
    </xf>
    <xf numFmtId="0" fontId="1" fillId="0" borderId="0"/>
    <xf numFmtId="0" fontId="1" fillId="0" borderId="0"/>
    <xf numFmtId="0" fontId="32" fillId="0" borderId="0"/>
    <xf numFmtId="0" fontId="19" fillId="0" borderId="0">
      <alignment readingOrder="1"/>
    </xf>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xf numFmtId="0" fontId="19" fillId="0" borderId="0"/>
    <xf numFmtId="0" fontId="32" fillId="0" borderId="0"/>
    <xf numFmtId="0" fontId="1" fillId="0" borderId="0"/>
    <xf numFmtId="0" fontId="32" fillId="0" borderId="0"/>
    <xf numFmtId="0" fontId="1" fillId="0" borderId="0"/>
    <xf numFmtId="0" fontId="19" fillId="0" borderId="0" applyNumberFormat="0" applyFill="0" applyBorder="0" applyAlignment="0" applyProtection="0"/>
    <xf numFmtId="0" fontId="1" fillId="0" borderId="0"/>
    <xf numFmtId="0" fontId="1" fillId="0" borderId="0"/>
    <xf numFmtId="0" fontId="37" fillId="0" borderId="0"/>
    <xf numFmtId="0" fontId="1" fillId="0" borderId="0"/>
    <xf numFmtId="0" fontId="1" fillId="0" borderId="0"/>
    <xf numFmtId="0" fontId="19" fillId="0" borderId="0">
      <alignment readingOrder="1"/>
    </xf>
    <xf numFmtId="0" fontId="1" fillId="0" borderId="0"/>
    <xf numFmtId="0" fontId="1" fillId="0" borderId="0"/>
    <xf numFmtId="0" fontId="32" fillId="0" borderId="0"/>
    <xf numFmtId="0" fontId="32" fillId="0" borderId="0"/>
    <xf numFmtId="0" fontId="52" fillId="0" borderId="0"/>
    <xf numFmtId="0" fontId="32" fillId="0" borderId="0"/>
    <xf numFmtId="0" fontId="32" fillId="0" borderId="0"/>
    <xf numFmtId="0" fontId="32" fillId="0" borderId="0"/>
    <xf numFmtId="0" fontId="32" fillId="0" borderId="0"/>
    <xf numFmtId="0" fontId="19" fillId="0" borderId="0">
      <alignment readingOrder="1"/>
    </xf>
    <xf numFmtId="0" fontId="19" fillId="0" borderId="0">
      <alignment readingOrder="1"/>
    </xf>
    <xf numFmtId="0" fontId="32" fillId="78" borderId="51" applyNumberFormat="0" applyFont="0" applyAlignment="0" applyProtection="0"/>
    <xf numFmtId="0" fontId="32" fillId="78" borderId="51" applyNumberFormat="0" applyFont="0" applyAlignment="0" applyProtection="0"/>
    <xf numFmtId="0" fontId="53" fillId="71" borderId="52" applyNumberFormat="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0" borderId="0" applyNumberFormat="0" applyFill="0" applyBorder="0" applyAlignment="0" applyProtection="0"/>
    <xf numFmtId="0" fontId="55" fillId="0" borderId="0"/>
    <xf numFmtId="0" fontId="56" fillId="0" borderId="0"/>
    <xf numFmtId="0" fontId="54" fillId="0" borderId="0" applyNumberFormat="0" applyFill="0" applyBorder="0" applyAlignment="0" applyProtection="0"/>
    <xf numFmtId="0" fontId="57" fillId="0" borderId="53" applyNumberFormat="0" applyFill="0" applyAlignment="0" applyProtection="0"/>
    <xf numFmtId="0" fontId="58" fillId="0" borderId="0" applyNumberFormat="0" applyFill="0" applyBorder="0" applyAlignment="0" applyProtection="0"/>
    <xf numFmtId="0" fontId="19" fillId="0" borderId="0"/>
    <xf numFmtId="0" fontId="19" fillId="0" borderId="0"/>
    <xf numFmtId="0" fontId="17" fillId="0" borderId="0"/>
    <xf numFmtId="0" fontId="17" fillId="0" borderId="0"/>
    <xf numFmtId="0" fontId="47" fillId="0" borderId="0" applyNumberFormat="0" applyFill="0" applyBorder="0" applyAlignment="0" applyProtection="0">
      <alignment readingOrder="1"/>
    </xf>
    <xf numFmtId="0" fontId="32" fillId="80" borderId="0" applyNumberFormat="0" applyBorder="0" applyAlignment="0" applyProtection="0"/>
    <xf numFmtId="0" fontId="59" fillId="81" borderId="0" applyNumberFormat="0" applyBorder="0" applyAlignment="0" applyProtection="0"/>
    <xf numFmtId="0" fontId="59" fillId="44" borderId="0" applyNumberFormat="0" applyBorder="0" applyAlignment="0" applyProtection="0"/>
    <xf numFmtId="0" fontId="32" fillId="40" borderId="0" applyNumberFormat="0" applyBorder="0" applyAlignment="0" applyProtection="0"/>
    <xf numFmtId="0" fontId="59" fillId="78" borderId="0" applyNumberFormat="0" applyBorder="0" applyAlignment="0" applyProtection="0"/>
    <xf numFmtId="0" fontId="32" fillId="80" borderId="0" applyNumberFormat="0" applyBorder="0" applyAlignment="0" applyProtection="0"/>
    <xf numFmtId="0" fontId="59" fillId="81"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32" fillId="40" borderId="0" applyNumberFormat="0" applyBorder="0" applyAlignment="0" applyProtection="0"/>
    <xf numFmtId="0" fontId="59" fillId="46" borderId="0" applyNumberFormat="0" applyBorder="0" applyAlignment="0" applyProtection="0"/>
    <xf numFmtId="0" fontId="32" fillId="40" borderId="0" applyNumberFormat="0" applyBorder="0" applyAlignment="0" applyProtection="0"/>
    <xf numFmtId="0" fontId="59" fillId="77"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59" fillId="45" borderId="0" applyNumberFormat="0" applyBorder="0" applyAlignment="0" applyProtection="0"/>
    <xf numFmtId="0" fontId="32" fillId="44" borderId="0" applyNumberFormat="0" applyBorder="0" applyAlignment="0" applyProtection="0"/>
    <xf numFmtId="0" fontId="59"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40" borderId="0" applyNumberFormat="0" applyBorder="0" applyAlignment="0" applyProtection="0"/>
    <xf numFmtId="0" fontId="33" fillId="77"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5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62" borderId="0" applyNumberFormat="0" applyBorder="0" applyAlignment="0" applyProtection="0"/>
    <xf numFmtId="0" fontId="33" fillId="82" borderId="0" applyNumberFormat="0" applyBorder="0" applyAlignment="0" applyProtection="0"/>
    <xf numFmtId="0" fontId="33" fillId="82" borderId="0" applyNumberFormat="0" applyBorder="0" applyAlignment="0" applyProtection="0"/>
    <xf numFmtId="0" fontId="33" fillId="51" borderId="0" applyNumberFormat="0" applyBorder="0" applyAlignment="0" applyProtection="0"/>
    <xf numFmtId="0" fontId="33" fillId="70" borderId="0" applyNumberFormat="0" applyBorder="0" applyAlignment="0" applyProtection="0"/>
    <xf numFmtId="0" fontId="34" fillId="42" borderId="0" applyNumberFormat="0" applyBorder="0" applyAlignment="0" applyProtection="0"/>
    <xf numFmtId="0" fontId="34" fillId="40" borderId="0" applyNumberFormat="0" applyBorder="0" applyAlignment="0" applyProtection="0"/>
    <xf numFmtId="0" fontId="35" fillId="80" borderId="44" applyNumberFormat="0" applyAlignment="0" applyProtection="0"/>
    <xf numFmtId="0" fontId="35" fillId="80" borderId="44" applyNumberFormat="0" applyAlignment="0" applyProtection="0"/>
    <xf numFmtId="0" fontId="36" fillId="72" borderId="4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39" fillId="0" borderId="0" applyNumberFormat="0" applyFill="0" applyBorder="0" applyAlignment="0" applyProtection="0"/>
    <xf numFmtId="0" fontId="40" fillId="41" borderId="0" applyNumberFormat="0" applyBorder="0" applyAlignment="0" applyProtection="0"/>
    <xf numFmtId="0" fontId="60" fillId="0" borderId="63" applyNumberFormat="0" applyFill="0" applyAlignment="0" applyProtection="0"/>
    <xf numFmtId="0" fontId="60" fillId="0" borderId="63"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1" fillId="0" borderId="0"/>
    <xf numFmtId="0" fontId="19" fillId="0" borderId="0"/>
    <xf numFmtId="0" fontId="19" fillId="0" borderId="0"/>
    <xf numFmtId="0" fontId="19" fillId="0" borderId="0">
      <alignment readingOrder="1"/>
    </xf>
    <xf numFmtId="0" fontId="62" fillId="0" borderId="0"/>
    <xf numFmtId="0" fontId="63" fillId="0" borderId="0"/>
    <xf numFmtId="0" fontId="63" fillId="0" borderId="0"/>
    <xf numFmtId="0" fontId="63" fillId="0" borderId="0"/>
    <xf numFmtId="0" fontId="19" fillId="0" borderId="0"/>
    <xf numFmtId="0" fontId="19" fillId="0" borderId="0"/>
    <xf numFmtId="0" fontId="19" fillId="0" borderId="0"/>
    <xf numFmtId="0" fontId="63" fillId="0" borderId="0"/>
    <xf numFmtId="0" fontId="63" fillId="0" borderId="0"/>
    <xf numFmtId="0" fontId="63" fillId="0" borderId="0"/>
    <xf numFmtId="0" fontId="1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 fillId="0" borderId="0"/>
    <xf numFmtId="0" fontId="1" fillId="0" borderId="0"/>
    <xf numFmtId="0" fontId="1" fillId="0" borderId="0"/>
    <xf numFmtId="0" fontId="19" fillId="0" borderId="0"/>
    <xf numFmtId="0" fontId="1" fillId="0" borderId="0"/>
    <xf numFmtId="0" fontId="19" fillId="0" borderId="0">
      <alignment readingOrder="1"/>
    </xf>
    <xf numFmtId="0" fontId="19" fillId="78" borderId="51" applyNumberFormat="0" applyFont="0" applyAlignment="0" applyProtection="0"/>
    <xf numFmtId="0" fontId="53" fillId="80" borderId="52" applyNumberFormat="0" applyAlignment="0" applyProtection="0"/>
    <xf numFmtId="0" fontId="53" fillId="80" borderId="52"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4" fontId="19"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57" fillId="0" borderId="65" applyNumberFormat="0" applyFill="0" applyAlignment="0" applyProtection="0"/>
    <xf numFmtId="0" fontId="53" fillId="0" borderId="65" applyNumberFormat="0" applyFill="0" applyAlignment="0" applyProtection="0"/>
    <xf numFmtId="0" fontId="58" fillId="0" borderId="0" applyNumberFormat="0" applyFill="0" applyBorder="0" applyAlignment="0" applyProtection="0"/>
    <xf numFmtId="0" fontId="65"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83" borderId="2" applyNumberFormat="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28" fillId="76" borderId="47">
      <alignment horizontal="left"/>
    </xf>
    <xf numFmtId="0" fontId="66" fillId="0" borderId="1" applyNumberFormat="0" applyFill="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32" fillId="0" borderId="0"/>
    <xf numFmtId="0" fontId="19" fillId="0" borderId="0"/>
    <xf numFmtId="0" fontId="32" fillId="0" borderId="0"/>
    <xf numFmtId="0" fontId="32" fillId="0" borderId="0"/>
    <xf numFmtId="0" fontId="19" fillId="0" borderId="0"/>
    <xf numFmtId="0" fontId="1" fillId="0" borderId="0"/>
    <xf numFmtId="0" fontId="1" fillId="0" borderId="0"/>
    <xf numFmtId="0" fontId="19" fillId="0" borderId="0"/>
    <xf numFmtId="0" fontId="19" fillId="0" borderId="0">
      <alignment readingOrder="1"/>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67"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 fillId="0" borderId="0"/>
    <xf numFmtId="0" fontId="19" fillId="0" borderId="0">
      <alignment readingOrder="1"/>
    </xf>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alignment readingOrder="1"/>
    </xf>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52"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52" fillId="0" borderId="0"/>
    <xf numFmtId="0" fontId="19" fillId="0" borderId="0">
      <alignment readingOrder="1"/>
    </xf>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52" fillId="0" borderId="0" applyFont="0" applyFill="0" applyBorder="0" applyAlignment="0" applyProtection="0"/>
    <xf numFmtId="43" fontId="19" fillId="0" borderId="0" applyFont="0" applyFill="0" applyBorder="0" applyAlignment="0" applyProtection="0"/>
    <xf numFmtId="0" fontId="47" fillId="0" borderId="0" applyNumberFormat="0" applyFill="0" applyBorder="0" applyAlignment="0" applyProtection="0">
      <alignment readingOrder="1"/>
    </xf>
    <xf numFmtId="43" fontId="19" fillId="0" borderId="0" applyFont="0" applyFill="0" applyBorder="0" applyAlignment="0" applyProtection="0"/>
    <xf numFmtId="0" fontId="19" fillId="0" borderId="0"/>
    <xf numFmtId="43" fontId="19" fillId="0" borderId="0" applyFont="0" applyFill="0" applyBorder="0" applyAlignment="0" applyProtection="0"/>
    <xf numFmtId="164" fontId="5" fillId="87" borderId="72"/>
    <xf numFmtId="0" fontId="53" fillId="71" borderId="69" applyNumberFormat="0" applyAlignment="0" applyProtection="0"/>
    <xf numFmtId="0" fontId="57" fillId="0" borderId="70" applyNumberFormat="0" applyFill="0" applyAlignment="0" applyProtection="0"/>
    <xf numFmtId="43" fontId="19" fillId="0" borderId="0" applyFont="0" applyFill="0" applyBorder="0" applyAlignment="0" applyProtection="0"/>
    <xf numFmtId="0" fontId="53" fillId="80" borderId="69" applyNumberFormat="0" applyAlignment="0" applyProtection="0"/>
    <xf numFmtId="0" fontId="53" fillId="80" borderId="69" applyNumberFormat="0" applyAlignment="0" applyProtection="0"/>
    <xf numFmtId="0" fontId="57" fillId="0" borderId="71" applyNumberFormat="0" applyFill="0" applyAlignment="0" applyProtection="0"/>
    <xf numFmtId="0" fontId="53" fillId="0" borderId="71" applyNumberFormat="0" applyFill="0" applyAlignment="0" applyProtection="0"/>
    <xf numFmtId="43" fontId="1" fillId="3" borderId="3"/>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0" fontId="19"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 fillId="0" borderId="1" applyNumberFormat="0" applyFill="0" applyAlignment="0" applyProtection="0"/>
    <xf numFmtId="0" fontId="88" fillId="0" borderId="0" applyNumberFormat="0" applyFill="0" applyBorder="0" applyProtection="0">
      <alignment horizontal="left"/>
    </xf>
    <xf numFmtId="0" fontId="32" fillId="0" borderId="0"/>
    <xf numFmtId="0" fontId="19" fillId="0" borderId="0">
      <alignment readingOrder="1"/>
    </xf>
    <xf numFmtId="0" fontId="17" fillId="0" borderId="0"/>
    <xf numFmtId="0" fontId="19" fillId="0" borderId="0">
      <alignment readingOrder="1"/>
    </xf>
    <xf numFmtId="0" fontId="32" fillId="0" borderId="0"/>
    <xf numFmtId="0" fontId="32"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5" fillId="71"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35" fillId="80" borderId="148" applyNumberFormat="0" applyAlignment="0" applyProtection="0"/>
    <xf numFmtId="0" fontId="35" fillId="80"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8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4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8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7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7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2" fillId="0" borderId="1" applyNumberFormat="0" applyFill="0" applyAlignment="0" applyProtection="0"/>
    <xf numFmtId="0" fontId="28" fillId="76" borderId="47">
      <alignment horizontal="left"/>
    </xf>
    <xf numFmtId="0" fontId="44" fillId="0" borderId="0" applyNumberFormat="0" applyFill="0" applyBorder="0" applyAlignment="0" applyProtection="0">
      <alignment readingOrder="1"/>
    </xf>
    <xf numFmtId="0" fontId="22" fillId="0" borderId="0" applyNumberFormat="0" applyFill="0" applyBorder="0" applyAlignment="0" applyProtection="0"/>
    <xf numFmtId="0" fontId="8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9" fillId="0" borderId="0"/>
    <xf numFmtId="0" fontId="19" fillId="0" borderId="0">
      <alignment readingOrder="1"/>
    </xf>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9" fillId="78" borderId="51"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17" fillId="0" borderId="0"/>
    <xf numFmtId="0" fontId="47" fillId="0" borderId="0" applyNumberFormat="0" applyFill="0" applyBorder="0" applyAlignment="0" applyProtection="0">
      <alignment readingOrder="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90" fillId="0" borderId="154" applyNumberFormat="0" applyFill="0" applyAlignment="0" applyProtection="0"/>
    <xf numFmtId="0" fontId="95" fillId="29" borderId="0"/>
    <xf numFmtId="0" fontId="97" fillId="92" borderId="0"/>
    <xf numFmtId="0" fontId="22" fillId="0" borderId="0" applyNumberFormat="0" applyFill="0" applyBorder="0" applyAlignment="0" applyProtection="0"/>
    <xf numFmtId="44" fontId="19" fillId="0" borderId="0" applyFont="0" applyFill="0" applyBorder="0" applyAlignment="0" applyProtection="0"/>
    <xf numFmtId="0" fontId="28" fillId="76" borderId="256">
      <alignment horizontal="left"/>
    </xf>
    <xf numFmtId="0" fontId="57" fillId="0" borderId="259" applyNumberFormat="0" applyFill="0" applyAlignment="0" applyProtection="0"/>
    <xf numFmtId="0" fontId="32" fillId="78" borderId="258" applyNumberFormat="0" applyFont="0" applyAlignment="0" applyProtection="0"/>
    <xf numFmtId="0" fontId="35" fillId="71" borderId="250" applyNumberFormat="0" applyAlignment="0" applyProtection="0"/>
    <xf numFmtId="0" fontId="49" fillId="44" borderId="250" applyNumberFormat="0" applyAlignment="0" applyProtection="0"/>
    <xf numFmtId="0" fontId="32" fillId="78" borderId="251" applyNumberFormat="0" applyFont="0" applyAlignment="0" applyProtection="0"/>
    <xf numFmtId="0" fontId="53" fillId="71" borderId="252" applyNumberFormat="0" applyAlignment="0" applyProtection="0"/>
    <xf numFmtId="0" fontId="57" fillId="0" borderId="253" applyNumberFormat="0" applyFill="0" applyAlignment="0" applyProtection="0"/>
    <xf numFmtId="43" fontId="19" fillId="0" borderId="0" applyFont="0" applyFill="0" applyBorder="0" applyAlignment="0" applyProtection="0"/>
    <xf numFmtId="0" fontId="141" fillId="0" borderId="0" applyNumberFormat="0" applyFill="0" applyBorder="0" applyAlignment="0" applyProtection="0"/>
    <xf numFmtId="0" fontId="142" fillId="0" borderId="0" applyAlignment="0"/>
    <xf numFmtId="0" fontId="139" fillId="0" borderId="0" applyNumberFormat="0" applyFill="0" applyBorder="0" applyAlignment="0" applyProtection="0"/>
    <xf numFmtId="9" fontId="142" fillId="0" borderId="0" applyFont="0" applyFill="0" applyBorder="0" applyAlignment="0" applyProtection="0"/>
    <xf numFmtId="0" fontId="1" fillId="0" borderId="0"/>
    <xf numFmtId="44" fontId="142" fillId="0" borderId="0" applyFont="0" applyFill="0" applyBorder="0" applyAlignment="0" applyProtection="0"/>
    <xf numFmtId="0" fontId="44" fillId="0" borderId="0" applyNumberFormat="0" applyFill="0" applyBorder="0" applyAlignment="0" applyProtection="0">
      <alignment vertical="top"/>
      <protection locked="0"/>
    </xf>
    <xf numFmtId="9" fontId="3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8" fillId="0" borderId="0" applyNumberFormat="0" applyFill="0" applyBorder="0" applyAlignment="0" applyProtection="0">
      <alignment vertical="top"/>
      <protection locked="0"/>
    </xf>
    <xf numFmtId="43" fontId="1" fillId="0" borderId="0" applyFont="0" applyFill="0" applyBorder="0" applyAlignment="0" applyProtection="0"/>
    <xf numFmtId="0" fontId="140" fillId="101" borderId="173" applyNumberFormat="0" applyProtection="0">
      <alignment horizontal="center"/>
    </xf>
    <xf numFmtId="0" fontId="68" fillId="0" borderId="0"/>
    <xf numFmtId="0" fontId="68" fillId="0" borderId="0"/>
    <xf numFmtId="0" fontId="68" fillId="0" borderId="0"/>
    <xf numFmtId="0" fontId="19" fillId="0" borderId="0"/>
    <xf numFmtId="9" fontId="1" fillId="0" borderId="0" applyFont="0" applyFill="0" applyBorder="0" applyAlignment="0" applyProtection="0"/>
    <xf numFmtId="9" fontId="3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44" fillId="0" borderId="0"/>
    <xf numFmtId="0" fontId="143" fillId="0" borderId="0"/>
    <xf numFmtId="0" fontId="143" fillId="0" borderId="0"/>
    <xf numFmtId="0" fontId="32" fillId="78" borderId="258" applyNumberFormat="0" applyFont="0" applyAlignment="0" applyProtection="0"/>
    <xf numFmtId="0" fontId="35" fillId="80" borderId="250" applyNumberFormat="0" applyAlignment="0" applyProtection="0"/>
    <xf numFmtId="0" fontId="35" fillId="80" borderId="250" applyNumberFormat="0" applyAlignment="0" applyProtection="0"/>
    <xf numFmtId="0" fontId="49" fillId="44" borderId="250" applyNumberFormat="0" applyAlignment="0" applyProtection="0"/>
    <xf numFmtId="0" fontId="19" fillId="78" borderId="258" applyNumberFormat="0" applyFont="0" applyAlignment="0" applyProtection="0"/>
    <xf numFmtId="0" fontId="53" fillId="80" borderId="252" applyNumberFormat="0" applyAlignment="0" applyProtection="0"/>
    <xf numFmtId="0" fontId="53" fillId="80" borderId="252" applyNumberFormat="0" applyAlignment="0" applyProtection="0"/>
    <xf numFmtId="0" fontId="57" fillId="0" borderId="295" applyNumberFormat="0" applyFill="0" applyAlignment="0" applyProtection="0"/>
    <xf numFmtId="0" fontId="53" fillId="0" borderId="295" applyNumberFormat="0" applyFill="0" applyAlignment="0" applyProtection="0"/>
    <xf numFmtId="43" fontId="19" fillId="0" borderId="0" applyFont="0" applyFill="0" applyBorder="0" applyAlignment="0" applyProtection="0"/>
    <xf numFmtId="0" fontId="28" fillId="76" borderId="256">
      <alignment horizontal="left"/>
    </xf>
    <xf numFmtId="0" fontId="69" fillId="77" borderId="258" applyNumberFormat="0" applyFont="0" applyAlignment="0" applyProtection="0"/>
    <xf numFmtId="0" fontId="69" fillId="77" borderId="258" applyNumberFormat="0" applyFont="0" applyAlignment="0" applyProtection="0"/>
    <xf numFmtId="0" fontId="69" fillId="77" borderId="258" applyNumberFormat="0" applyFont="0" applyAlignment="0" applyProtection="0"/>
    <xf numFmtId="0" fontId="168" fillId="104" borderId="0" applyNumberFormat="0" applyBorder="0" applyAlignment="0" applyProtection="0"/>
    <xf numFmtId="44" fontId="1" fillId="0" borderId="0" applyFont="0" applyFill="0" applyBorder="0" applyAlignment="0" applyProtection="0"/>
    <xf numFmtId="9" fontId="30" fillId="0" borderId="0" applyFont="0" applyFill="0" applyBorder="0" applyAlignment="0" applyProtection="0"/>
    <xf numFmtId="0" fontId="68" fillId="89" borderId="0"/>
    <xf numFmtId="0" fontId="1" fillId="43" borderId="0" applyNumberFormat="0" applyBorder="0" applyAlignment="0" applyProtection="0"/>
    <xf numFmtId="0" fontId="17" fillId="115" borderId="68">
      <alignment vertical="center"/>
      <protection locked="0" hidden="1"/>
    </xf>
    <xf numFmtId="173" fontId="17" fillId="116" borderId="68">
      <alignment vertical="center"/>
    </xf>
    <xf numFmtId="0" fontId="204" fillId="71" borderId="441" applyNumberFormat="0" applyAlignment="0" applyProtection="0"/>
    <xf numFmtId="0" fontId="204" fillId="71" borderId="441" applyNumberFormat="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7" fillId="117" borderId="68">
      <alignment vertical="center"/>
      <protection locked="0"/>
    </xf>
    <xf numFmtId="170" fontId="17" fillId="0" borderId="68">
      <alignment vertical="center"/>
      <protection locked="0"/>
    </xf>
    <xf numFmtId="0" fontId="68" fillId="0" borderId="68">
      <alignment vertical="center"/>
      <protection locked="0"/>
    </xf>
    <xf numFmtId="0" fontId="24" fillId="113" borderId="68">
      <alignment vertical="center"/>
      <protection locked="0"/>
    </xf>
    <xf numFmtId="179" fontId="30" fillId="0" borderId="0"/>
    <xf numFmtId="2" fontId="30" fillId="0" borderId="0">
      <alignment horizontal="center"/>
    </xf>
    <xf numFmtId="0" fontId="209" fillId="118" borderId="68"/>
    <xf numFmtId="0" fontId="190" fillId="118" borderId="68">
      <alignment horizontal="center" wrapText="1"/>
      <protection hidden="1"/>
    </xf>
    <xf numFmtId="0" fontId="205" fillId="114" borderId="68"/>
    <xf numFmtId="0" fontId="207" fillId="0" borderId="48" applyNumberFormat="0" applyFill="0" applyAlignment="0" applyProtection="0"/>
    <xf numFmtId="0" fontId="207" fillId="0" borderId="48" applyNumberFormat="0" applyFill="0" applyAlignment="0" applyProtection="0"/>
    <xf numFmtId="0" fontId="89"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7" fillId="119" borderId="441" applyNumberFormat="0" applyAlignment="0" applyProtection="0"/>
    <xf numFmtId="1" fontId="30" fillId="0" borderId="0">
      <alignment horizontal="center"/>
    </xf>
    <xf numFmtId="0" fontId="19" fillId="0" borderId="0"/>
    <xf numFmtId="0" fontId="30" fillId="0" borderId="0"/>
    <xf numFmtId="0" fontId="68" fillId="89" borderId="0"/>
    <xf numFmtId="0" fontId="30" fillId="0" borderId="0"/>
    <xf numFmtId="0" fontId="206" fillId="89" borderId="0"/>
    <xf numFmtId="0" fontId="19" fillId="0" borderId="0"/>
    <xf numFmtId="0" fontId="1" fillId="0" borderId="0"/>
    <xf numFmtId="0" fontId="68" fillId="89" borderId="0"/>
    <xf numFmtId="0" fontId="32" fillId="3" borderId="3" applyNumberFormat="0" applyFont="0" applyAlignment="0" applyProtection="0"/>
    <xf numFmtId="0" fontId="32" fillId="3" borderId="3" applyNumberFormat="0" applyFont="0" applyAlignment="0" applyProtection="0"/>
    <xf numFmtId="9" fontId="30" fillId="0" borderId="0" applyFont="0" applyFill="0" applyBorder="0" applyAlignment="0" applyProtection="0"/>
    <xf numFmtId="9" fontId="32" fillId="0" borderId="0" applyFont="0" applyFill="0" applyBorder="0" applyAlignment="0" applyProtection="0"/>
    <xf numFmtId="0" fontId="210" fillId="0" borderId="205"/>
    <xf numFmtId="0" fontId="52" fillId="0" borderId="0"/>
    <xf numFmtId="0" fontId="52" fillId="0" borderId="0"/>
    <xf numFmtId="0" fontId="17" fillId="0" borderId="0"/>
    <xf numFmtId="0" fontId="19" fillId="0" borderId="0">
      <alignment readingOrder="1"/>
    </xf>
    <xf numFmtId="0" fontId="19" fillId="0" borderId="0">
      <alignment readingOrder="1"/>
    </xf>
  </cellStyleXfs>
  <cellXfs count="2884">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2" fillId="26" borderId="0" xfId="0" applyFont="1" applyFill="1" applyBorder="1" applyAlignment="1">
      <alignment wrapText="1"/>
    </xf>
    <xf numFmtId="0" fontId="12" fillId="26" borderId="0" xfId="0" applyNumberFormat="1" applyFont="1" applyFill="1" applyBorder="1" applyAlignment="1">
      <alignment wrapText="1"/>
    </xf>
    <xf numFmtId="0" fontId="12" fillId="26" borderId="0" xfId="0" applyFont="1" applyFill="1" applyBorder="1"/>
    <xf numFmtId="0" fontId="12" fillId="27" borderId="0" xfId="0" applyNumberFormat="1" applyFont="1" applyFill="1" applyBorder="1"/>
    <xf numFmtId="0" fontId="12" fillId="26" borderId="0" xfId="0" applyNumberFormat="1" applyFont="1" applyFill="1" applyBorder="1"/>
    <xf numFmtId="0" fontId="14" fillId="21" borderId="7" xfId="0" applyFont="1" applyFill="1" applyBorder="1" applyAlignment="1">
      <alignment wrapText="1"/>
    </xf>
    <xf numFmtId="0" fontId="14" fillId="19" borderId="7" xfId="0" applyFont="1" applyFill="1" applyBorder="1" applyAlignment="1">
      <alignment wrapText="1"/>
    </xf>
    <xf numFmtId="0" fontId="14" fillId="32"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6" fillId="17" borderId="14" xfId="0" applyNumberFormat="1" applyFont="1" applyFill="1" applyBorder="1"/>
    <xf numFmtId="166" fontId="6" fillId="17" borderId="15" xfId="0" applyNumberFormat="1" applyFont="1" applyFill="1" applyBorder="1"/>
    <xf numFmtId="166" fontId="6" fillId="17" borderId="16" xfId="0" applyNumberFormat="1" applyFont="1" applyFill="1" applyBorder="1"/>
    <xf numFmtId="0" fontId="14" fillId="32" borderId="20" xfId="0" applyFont="1" applyFill="1" applyBorder="1" applyAlignment="1">
      <alignment wrapText="1"/>
    </xf>
    <xf numFmtId="0" fontId="14" fillId="32" borderId="21" xfId="0" applyFont="1" applyFill="1" applyBorder="1" applyAlignment="1">
      <alignment wrapText="1"/>
    </xf>
    <xf numFmtId="164" fontId="0" fillId="17" borderId="22" xfId="0" applyNumberFormat="1" applyFont="1" applyFill="1" applyBorder="1"/>
    <xf numFmtId="167" fontId="7" fillId="17" borderId="23" xfId="0" applyNumberFormat="1" applyFont="1" applyFill="1" applyBorder="1"/>
    <xf numFmtId="164" fontId="0" fillId="17" borderId="24" xfId="0" applyNumberFormat="1" applyFont="1" applyFill="1" applyBorder="1"/>
    <xf numFmtId="167" fontId="7" fillId="17" borderId="25" xfId="0" applyNumberFormat="1" applyFont="1" applyFill="1" applyBorder="1"/>
    <xf numFmtId="164" fontId="0" fillId="17" borderId="26" xfId="0" applyNumberFormat="1" applyFont="1" applyFill="1" applyBorder="1"/>
    <xf numFmtId="164" fontId="0" fillId="17" borderId="27" xfId="0" applyNumberFormat="1" applyFont="1" applyFill="1" applyBorder="1"/>
    <xf numFmtId="164" fontId="3" fillId="17" borderId="27" xfId="4" applyNumberFormat="1" applyFill="1" applyBorder="1"/>
    <xf numFmtId="167" fontId="7" fillId="17" borderId="28" xfId="0" applyNumberFormat="1" applyFont="1" applyFill="1" applyBorder="1"/>
    <xf numFmtId="0" fontId="14" fillId="23" borderId="20" xfId="0" applyFont="1" applyFill="1" applyBorder="1" applyAlignment="1">
      <alignment wrapText="1"/>
    </xf>
    <xf numFmtId="0" fontId="14" fillId="23" borderId="21" xfId="0" applyFont="1" applyFill="1" applyBorder="1" applyAlignment="1">
      <alignment wrapText="1"/>
    </xf>
    <xf numFmtId="43" fontId="3" fillId="17" borderId="22" xfId="4" applyNumberFormat="1" applyFill="1" applyBorder="1"/>
    <xf numFmtId="0" fontId="8" fillId="17" borderId="23" xfId="0" applyFont="1" applyFill="1" applyBorder="1" applyAlignment="1">
      <alignment wrapText="1"/>
    </xf>
    <xf numFmtId="43" fontId="3" fillId="17" borderId="24" xfId="4" applyNumberFormat="1" applyFill="1" applyBorder="1"/>
    <xf numFmtId="0" fontId="8" fillId="17" borderId="25" xfId="0" applyFont="1" applyFill="1" applyBorder="1" applyAlignment="1">
      <alignment wrapText="1"/>
    </xf>
    <xf numFmtId="43" fontId="3" fillId="17" borderId="26" xfId="4" applyNumberFormat="1" applyFill="1" applyBorder="1"/>
    <xf numFmtId="0" fontId="8" fillId="17" borderId="28" xfId="0" applyFont="1" applyFill="1" applyBorder="1" applyAlignment="1">
      <alignment wrapText="1"/>
    </xf>
    <xf numFmtId="0" fontId="14" fillId="19" borderId="20" xfId="0" applyFont="1" applyFill="1" applyBorder="1" applyAlignment="1">
      <alignment wrapText="1"/>
    </xf>
    <xf numFmtId="165" fontId="14" fillId="19" borderId="21" xfId="1" applyNumberFormat="1" applyFont="1" applyFill="1" applyBorder="1" applyAlignment="1">
      <alignment wrapText="1"/>
    </xf>
    <xf numFmtId="165" fontId="0" fillId="17" borderId="22" xfId="0" applyNumberFormat="1" applyFont="1" applyFill="1" applyBorder="1"/>
    <xf numFmtId="43" fontId="0" fillId="17" borderId="23" xfId="1" applyFont="1" applyFill="1" applyBorder="1"/>
    <xf numFmtId="165" fontId="0" fillId="17" borderId="24" xfId="0" applyNumberFormat="1" applyFont="1" applyFill="1" applyBorder="1"/>
    <xf numFmtId="43" fontId="0" fillId="17" borderId="25" xfId="1" applyFont="1" applyFill="1" applyBorder="1"/>
    <xf numFmtId="165" fontId="0" fillId="17" borderId="26" xfId="0" applyNumberFormat="1" applyFont="1" applyFill="1" applyBorder="1"/>
    <xf numFmtId="43" fontId="0" fillId="17" borderId="27" xfId="0" applyNumberFormat="1" applyFont="1" applyFill="1" applyBorder="1"/>
    <xf numFmtId="43" fontId="0" fillId="17" borderId="28"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29" xfId="0" applyFill="1" applyBorder="1" applyAlignment="1">
      <alignment wrapText="1"/>
    </xf>
    <xf numFmtId="0" fontId="12" fillId="26" borderId="30" xfId="0" applyFont="1" applyFill="1" applyBorder="1" applyAlignment="1">
      <alignment wrapText="1"/>
    </xf>
    <xf numFmtId="0" fontId="12" fillId="26" borderId="31" xfId="0" applyFont="1" applyFill="1" applyBorder="1" applyAlignment="1">
      <alignment wrapText="1"/>
    </xf>
    <xf numFmtId="0" fontId="12" fillId="26" borderId="30" xfId="0" applyFont="1" applyFill="1" applyBorder="1"/>
    <xf numFmtId="0" fontId="12" fillId="27" borderId="31" xfId="0" applyNumberFormat="1" applyFont="1" applyFill="1" applyBorder="1"/>
    <xf numFmtId="49" fontId="11" fillId="26" borderId="30" xfId="0" applyNumberFormat="1" applyFont="1" applyFill="1" applyBorder="1" applyProtection="1">
      <protection locked="0"/>
    </xf>
    <xf numFmtId="0" fontId="11" fillId="26" borderId="30" xfId="0" applyFont="1" applyFill="1" applyBorder="1"/>
    <xf numFmtId="0" fontId="12" fillId="26" borderId="32" xfId="0" applyFont="1" applyFill="1" applyBorder="1"/>
    <xf numFmtId="0" fontId="12" fillId="27" borderId="33" xfId="0" applyNumberFormat="1" applyFont="1" applyFill="1" applyBorder="1"/>
    <xf numFmtId="0" fontId="12" fillId="27" borderId="34"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5" borderId="35" xfId="2" applyNumberFormat="1" applyFont="1" applyFill="1" applyBorder="1"/>
    <xf numFmtId="0" fontId="8" fillId="17" borderId="36" xfId="0" applyFont="1" applyFill="1" applyBorder="1" applyAlignment="1">
      <alignment wrapText="1"/>
    </xf>
    <xf numFmtId="0" fontId="4" fillId="16" borderId="0" xfId="0" applyFont="1" applyFill="1"/>
    <xf numFmtId="0" fontId="26" fillId="16" borderId="0" xfId="0" applyFont="1" applyFill="1" applyAlignment="1">
      <alignment wrapText="1"/>
    </xf>
    <xf numFmtId="165" fontId="0" fillId="16" borderId="0" xfId="1" applyNumberFormat="1" applyFont="1" applyFill="1" applyAlignment="1">
      <alignment wrapText="1"/>
    </xf>
    <xf numFmtId="175" fontId="0" fillId="0" borderId="0" xfId="0" applyNumberFormat="1"/>
    <xf numFmtId="0" fontId="71" fillId="0" borderId="0" xfId="0" applyFont="1"/>
    <xf numFmtId="166" fontId="6" fillId="16" borderId="0" xfId="0" applyNumberFormat="1" applyFont="1" applyFill="1" applyBorder="1"/>
    <xf numFmtId="0" fontId="0" fillId="16" borderId="0" xfId="0" applyFill="1" applyAlignment="1"/>
    <xf numFmtId="0" fontId="72" fillId="16" borderId="0" xfId="0" applyFont="1" applyFill="1"/>
    <xf numFmtId="49" fontId="71" fillId="0" borderId="0" xfId="1" applyNumberFormat="1" applyFont="1"/>
    <xf numFmtId="0" fontId="73" fillId="0" borderId="0" xfId="0" applyFont="1"/>
    <xf numFmtId="0" fontId="25" fillId="0" borderId="0" xfId="0" applyFont="1"/>
    <xf numFmtId="0" fontId="79" fillId="26" borderId="30" xfId="0" applyFont="1" applyFill="1" applyBorder="1" applyAlignment="1">
      <alignment wrapText="1"/>
    </xf>
    <xf numFmtId="0" fontId="79" fillId="26" borderId="0" xfId="0" applyFont="1" applyFill="1" applyBorder="1" applyAlignment="1">
      <alignment wrapText="1"/>
    </xf>
    <xf numFmtId="0" fontId="79" fillId="26" borderId="0" xfId="0" applyNumberFormat="1" applyFont="1" applyFill="1" applyBorder="1" applyAlignment="1">
      <alignment wrapText="1"/>
    </xf>
    <xf numFmtId="0" fontId="79" fillId="26" borderId="31" xfId="0" applyFont="1" applyFill="1" applyBorder="1" applyAlignment="1">
      <alignment wrapText="1"/>
    </xf>
    <xf numFmtId="0" fontId="8" fillId="17" borderId="36" xfId="0" applyFont="1" applyFill="1" applyBorder="1" applyAlignment="1"/>
    <xf numFmtId="9" fontId="73" fillId="0" borderId="0" xfId="2" applyFont="1"/>
    <xf numFmtId="43" fontId="7" fillId="0" borderId="84" xfId="1" applyFont="1" applyFill="1" applyBorder="1"/>
    <xf numFmtId="43" fontId="7" fillId="0" borderId="85" xfId="1" applyFont="1" applyFill="1" applyBorder="1"/>
    <xf numFmtId="43" fontId="82" fillId="0" borderId="86" xfId="1" applyFont="1" applyFill="1" applyBorder="1"/>
    <xf numFmtId="43" fontId="7" fillId="0" borderId="88" xfId="1" applyFont="1" applyFill="1" applyBorder="1"/>
    <xf numFmtId="0" fontId="78" fillId="0" borderId="87" xfId="0" applyFont="1" applyFill="1" applyBorder="1"/>
    <xf numFmtId="0" fontId="78" fillId="0" borderId="89" xfId="0" applyFont="1" applyFill="1" applyBorder="1"/>
    <xf numFmtId="0" fontId="78" fillId="0" borderId="90" xfId="0" applyFont="1" applyFill="1" applyBorder="1"/>
    <xf numFmtId="43" fontId="82" fillId="0" borderId="91" xfId="1" applyFont="1" applyFill="1" applyBorder="1"/>
    <xf numFmtId="43" fontId="7" fillId="0" borderId="92" xfId="1" applyFont="1" applyFill="1" applyBorder="1"/>
    <xf numFmtId="43" fontId="7" fillId="0" borderId="93" xfId="1" applyFont="1" applyFill="1" applyBorder="1"/>
    <xf numFmtId="43" fontId="82" fillId="0" borderId="95" xfId="1" applyFont="1" applyFill="1" applyBorder="1"/>
    <xf numFmtId="43" fontId="7" fillId="0" borderId="96" xfId="1" applyFont="1" applyFill="1" applyBorder="1"/>
    <xf numFmtId="43" fontId="7" fillId="0" borderId="97" xfId="1" applyFont="1" applyFill="1" applyBorder="1"/>
    <xf numFmtId="43" fontId="82" fillId="0" borderId="98" xfId="1" applyFont="1" applyFill="1" applyBorder="1"/>
    <xf numFmtId="43" fontId="7" fillId="0" borderId="99" xfId="1" applyFont="1" applyFill="1" applyBorder="1"/>
    <xf numFmtId="43" fontId="7" fillId="0" borderId="100" xfId="1" applyFont="1" applyFill="1" applyBorder="1"/>
    <xf numFmtId="43" fontId="82" fillId="0" borderId="101" xfId="1" applyFont="1" applyFill="1" applyBorder="1"/>
    <xf numFmtId="43" fontId="7" fillId="0" borderId="102" xfId="1" applyFont="1" applyFill="1" applyBorder="1"/>
    <xf numFmtId="43" fontId="7" fillId="0" borderId="103" xfId="1" applyFont="1" applyFill="1" applyBorder="1"/>
    <xf numFmtId="0" fontId="78" fillId="0" borderId="94" xfId="0" applyFont="1" applyFill="1" applyBorder="1" applyAlignment="1">
      <alignment wrapText="1"/>
    </xf>
    <xf numFmtId="0" fontId="78" fillId="0" borderId="104" xfId="0" applyFont="1" applyFill="1" applyBorder="1"/>
    <xf numFmtId="43" fontId="82" fillId="0" borderId="85" xfId="1" applyFont="1" applyFill="1" applyBorder="1"/>
    <xf numFmtId="43" fontId="82" fillId="0" borderId="96" xfId="1" applyFont="1" applyFill="1" applyBorder="1"/>
    <xf numFmtId="43" fontId="82" fillId="0" borderId="99" xfId="1" applyFont="1" applyFill="1" applyBorder="1"/>
    <xf numFmtId="43" fontId="82" fillId="0" borderId="102" xfId="1" applyFont="1" applyFill="1" applyBorder="1"/>
    <xf numFmtId="43" fontId="7" fillId="0" borderId="105" xfId="1" applyFont="1" applyFill="1" applyBorder="1"/>
    <xf numFmtId="43" fontId="82" fillId="0" borderId="106" xfId="1" applyFont="1" applyFill="1" applyBorder="1"/>
    <xf numFmtId="43" fontId="7" fillId="0" borderId="107" xfId="1" applyFont="1" applyFill="1" applyBorder="1"/>
    <xf numFmtId="43" fontId="82" fillId="0" borderId="108" xfId="1" applyFont="1" applyFill="1" applyBorder="1"/>
    <xf numFmtId="43" fontId="7" fillId="0" borderId="109" xfId="1" applyFont="1" applyFill="1" applyBorder="1"/>
    <xf numFmtId="43" fontId="82" fillId="0" borderId="110" xfId="1" applyFont="1" applyFill="1" applyBorder="1"/>
    <xf numFmtId="43" fontId="7" fillId="0" borderId="111" xfId="1" applyFont="1" applyFill="1" applyBorder="1"/>
    <xf numFmtId="43" fontId="82" fillId="0" borderId="112" xfId="1" applyFont="1" applyFill="1" applyBorder="1"/>
    <xf numFmtId="0" fontId="78" fillId="0" borderId="94" xfId="0" applyFont="1" applyFill="1" applyBorder="1"/>
    <xf numFmtId="43" fontId="7" fillId="0" borderId="117" xfId="1" applyFont="1" applyFill="1" applyBorder="1"/>
    <xf numFmtId="43" fontId="82" fillId="0" borderId="92" xfId="1" applyFont="1" applyFill="1" applyBorder="1"/>
    <xf numFmtId="43" fontId="82" fillId="0" borderId="118" xfId="1" applyFont="1" applyFill="1" applyBorder="1"/>
    <xf numFmtId="166" fontId="6" fillId="17" borderId="126" xfId="0" applyNumberFormat="1" applyFont="1" applyFill="1" applyBorder="1"/>
    <xf numFmtId="0" fontId="8" fillId="17" borderId="124" xfId="0" applyFont="1" applyFill="1" applyBorder="1" applyAlignment="1">
      <alignment wrapText="1"/>
    </xf>
    <xf numFmtId="0" fontId="83" fillId="16" borderId="0" xfId="0" applyFont="1" applyFill="1"/>
    <xf numFmtId="0" fontId="84" fillId="16" borderId="0" xfId="0" applyFont="1" applyFill="1"/>
    <xf numFmtId="0" fontId="11" fillId="16" borderId="0" xfId="0" applyFont="1" applyFill="1"/>
    <xf numFmtId="0" fontId="13" fillId="16" borderId="0" xfId="0" applyFont="1" applyFill="1" applyAlignment="1">
      <alignment horizontal="center"/>
    </xf>
    <xf numFmtId="0" fontId="86" fillId="79" borderId="0" xfId="0" applyFont="1" applyFill="1" applyAlignment="1">
      <alignment horizontal="center"/>
    </xf>
    <xf numFmtId="0" fontId="0" fillId="16" borderId="127" xfId="0" applyFill="1" applyBorder="1"/>
    <xf numFmtId="10" fontId="0" fillId="16" borderId="128" xfId="0" applyNumberFormat="1" applyFont="1" applyFill="1" applyBorder="1"/>
    <xf numFmtId="43" fontId="0" fillId="0" borderId="129" xfId="0" applyNumberFormat="1" applyBorder="1"/>
    <xf numFmtId="0" fontId="0" fillId="16" borderId="143" xfId="0" applyFill="1" applyBorder="1"/>
    <xf numFmtId="9" fontId="0" fillId="0" borderId="0" xfId="0" applyNumberFormat="1"/>
    <xf numFmtId="9" fontId="0" fillId="16" borderId="0" xfId="0" applyNumberFormat="1" applyFill="1"/>
    <xf numFmtId="0" fontId="0" fillId="16" borderId="0" xfId="0" applyFont="1" applyFill="1"/>
    <xf numFmtId="0" fontId="19" fillId="0" borderId="0" xfId="0" applyFont="1" applyFill="1" applyBorder="1" applyAlignment="1"/>
    <xf numFmtId="0" fontId="19" fillId="79" borderId="0" xfId="0" applyFont="1" applyFill="1" applyBorder="1" applyAlignment="1"/>
    <xf numFmtId="0" fontId="0" fillId="79" borderId="0" xfId="0" applyFill="1" applyAlignment="1"/>
    <xf numFmtId="0" fontId="0" fillId="23" borderId="0" xfId="0" applyFill="1" applyAlignment="1"/>
    <xf numFmtId="9" fontId="4" fillId="25" borderId="0" xfId="2" applyFont="1" applyFill="1" applyAlignment="1"/>
    <xf numFmtId="9" fontId="70" fillId="16" borderId="0" xfId="2" applyFont="1" applyFill="1" applyAlignment="1"/>
    <xf numFmtId="0" fontId="0" fillId="16" borderId="0" xfId="0" applyFill="1" applyBorder="1" applyAlignment="1">
      <alignment horizontal="center"/>
    </xf>
    <xf numFmtId="0" fontId="24" fillId="36" borderId="0" xfId="0" applyFont="1" applyFill="1" applyBorder="1" applyAlignment="1">
      <alignment horizontal="center" wrapText="1"/>
    </xf>
    <xf numFmtId="0" fontId="76" fillId="16" borderId="0" xfId="0" applyFont="1" applyFill="1"/>
    <xf numFmtId="0" fontId="91" fillId="16" borderId="0" xfId="0" applyFont="1" applyFill="1"/>
    <xf numFmtId="167" fontId="90" fillId="0" borderId="154" xfId="9105" applyNumberFormat="1"/>
    <xf numFmtId="0" fontId="0" fillId="16" borderId="5" xfId="0" applyFill="1" applyBorder="1"/>
    <xf numFmtId="0" fontId="0" fillId="16" borderId="6" xfId="0" applyFill="1" applyBorder="1"/>
    <xf numFmtId="0" fontId="4" fillId="16" borderId="132" xfId="0" applyFont="1" applyFill="1" applyBorder="1" applyAlignment="1">
      <alignment wrapText="1"/>
    </xf>
    <xf numFmtId="9" fontId="90" fillId="0" borderId="158" xfId="9105" applyNumberFormat="1" applyBorder="1"/>
    <xf numFmtId="9" fontId="0" fillId="16" borderId="133" xfId="0" applyNumberFormat="1" applyFill="1" applyBorder="1"/>
    <xf numFmtId="0" fontId="4" fillId="0" borderId="132" xfId="151" applyFont="1" applyBorder="1" applyAlignment="1">
      <alignment wrapText="1"/>
    </xf>
    <xf numFmtId="0" fontId="0" fillId="16" borderId="145" xfId="0" applyFill="1" applyBorder="1"/>
    <xf numFmtId="0" fontId="8" fillId="23" borderId="4" xfId="0" applyFont="1" applyFill="1" applyBorder="1" applyAlignment="1">
      <alignment horizontal="left" wrapText="1"/>
    </xf>
    <xf numFmtId="0" fontId="8" fillId="23" borderId="146" xfId="0" applyFont="1" applyFill="1" applyBorder="1" applyAlignment="1">
      <alignment horizontal="left" wrapText="1"/>
    </xf>
    <xf numFmtId="1" fontId="0" fillId="16" borderId="0" xfId="0" applyNumberFormat="1" applyFill="1" applyAlignment="1"/>
    <xf numFmtId="0" fontId="73" fillId="16" borderId="168" xfId="9106" applyFont="1" applyFill="1" applyBorder="1" applyAlignment="1">
      <alignment wrapText="1"/>
    </xf>
    <xf numFmtId="41" fontId="96" fillId="16" borderId="169" xfId="0" applyNumberFormat="1" applyFont="1" applyFill="1" applyBorder="1" applyAlignment="1">
      <alignment horizontal="left"/>
    </xf>
    <xf numFmtId="41" fontId="96" fillId="16" borderId="170" xfId="0" applyNumberFormat="1" applyFont="1" applyFill="1" applyBorder="1" applyAlignment="1">
      <alignment horizontal="left"/>
    </xf>
    <xf numFmtId="41" fontId="96" fillId="92" borderId="171" xfId="0" applyNumberFormat="1" applyFont="1" applyFill="1" applyBorder="1" applyAlignment="1">
      <alignment horizontal="left"/>
    </xf>
    <xf numFmtId="0" fontId="8" fillId="23" borderId="162" xfId="0" applyFont="1" applyFill="1" applyBorder="1" applyAlignment="1">
      <alignment horizontal="center"/>
    </xf>
    <xf numFmtId="0" fontId="8" fillId="23" borderId="163" xfId="0" applyFont="1" applyFill="1" applyBorder="1" applyAlignment="1">
      <alignment horizontal="center"/>
    </xf>
    <xf numFmtId="0" fontId="8" fillId="23" borderId="0" xfId="0" applyFont="1" applyFill="1" applyBorder="1" applyAlignment="1">
      <alignment horizontal="left" vertical="center" wrapText="1"/>
    </xf>
    <xf numFmtId="0" fontId="8" fillId="23" borderId="161" xfId="0" applyFont="1" applyFill="1" applyBorder="1" applyAlignment="1">
      <alignment horizontal="left"/>
    </xf>
    <xf numFmtId="0" fontId="22" fillId="16" borderId="0" xfId="9108" applyFill="1"/>
    <xf numFmtId="43" fontId="0" fillId="0" borderId="0" xfId="0" applyNumberFormat="1"/>
    <xf numFmtId="43" fontId="84" fillId="0" borderId="0" xfId="0" applyNumberFormat="1" applyFont="1"/>
    <xf numFmtId="0" fontId="84" fillId="0" borderId="0" xfId="0" applyFont="1"/>
    <xf numFmtId="166" fontId="6" fillId="17" borderId="172" xfId="0" applyNumberFormat="1" applyFont="1" applyFill="1" applyBorder="1"/>
    <xf numFmtId="164" fontId="6" fillId="16" borderId="0" xfId="0" applyNumberFormat="1" applyFont="1" applyFill="1" applyAlignment="1">
      <alignment horizontal="center" vertical="center" wrapText="1"/>
    </xf>
    <xf numFmtId="0" fontId="0" fillId="0" borderId="0" xfId="0" applyFill="1"/>
    <xf numFmtId="0" fontId="8" fillId="23" borderId="132" xfId="0" applyFont="1" applyFill="1" applyBorder="1" applyAlignment="1">
      <alignment horizontal="left" vertical="center"/>
    </xf>
    <xf numFmtId="0" fontId="15" fillId="85" borderId="0" xfId="0" applyFont="1" applyFill="1"/>
    <xf numFmtId="0" fontId="16" fillId="0" borderId="0" xfId="0" applyFont="1"/>
    <xf numFmtId="0" fontId="80" fillId="19" borderId="173" xfId="0" applyFont="1" applyFill="1" applyBorder="1"/>
    <xf numFmtId="0" fontId="74" fillId="0" borderId="0" xfId="0" applyFont="1"/>
    <xf numFmtId="177" fontId="0" fillId="16" borderId="0" xfId="0" applyNumberFormat="1" applyFill="1"/>
    <xf numFmtId="0" fontId="103" fillId="17" borderId="36" xfId="0" applyFont="1" applyFill="1" applyBorder="1" applyAlignment="1">
      <alignment wrapText="1"/>
    </xf>
    <xf numFmtId="166" fontId="6" fillId="17" borderId="191" xfId="0" applyNumberFormat="1" applyFont="1" applyFill="1" applyBorder="1"/>
    <xf numFmtId="0" fontId="104" fillId="85" borderId="0" xfId="135" applyFont="1" applyFill="1" applyAlignment="1">
      <alignment horizontal="center" vertical="center" wrapText="1"/>
    </xf>
    <xf numFmtId="0" fontId="6" fillId="0" borderId="0" xfId="135" applyFont="1" applyAlignment="1">
      <alignment horizontal="center" vertical="center"/>
    </xf>
    <xf numFmtId="164" fontId="6" fillId="0" borderId="0" xfId="135" applyNumberFormat="1" applyFont="1" applyAlignment="1">
      <alignment vertical="center"/>
    </xf>
    <xf numFmtId="0" fontId="6" fillId="0" borderId="0" xfId="135" applyNumberFormat="1" applyFont="1" applyAlignment="1">
      <alignment vertical="center"/>
    </xf>
    <xf numFmtId="9" fontId="75" fillId="0" borderId="0" xfId="7" applyFont="1" applyAlignment="1">
      <alignment vertical="center"/>
    </xf>
    <xf numFmtId="0" fontId="0" fillId="16" borderId="68" xfId="0" applyFill="1" applyBorder="1"/>
    <xf numFmtId="164" fontId="0" fillId="16" borderId="0" xfId="0" applyNumberFormat="1" applyFill="1" applyBorder="1" applyAlignment="1">
      <alignment horizontal="center"/>
    </xf>
    <xf numFmtId="9" fontId="105" fillId="0" borderId="169" xfId="0" applyNumberFormat="1" applyFont="1" applyFill="1" applyBorder="1" applyAlignment="1">
      <alignment horizontal="left"/>
    </xf>
    <xf numFmtId="0" fontId="104" fillId="85" borderId="132" xfId="135" applyFont="1" applyFill="1" applyBorder="1" applyAlignment="1">
      <alignment horizontal="center" vertical="center" wrapText="1"/>
    </xf>
    <xf numFmtId="0" fontId="104" fillId="85" borderId="133" xfId="135" applyFont="1" applyFill="1" applyBorder="1" applyAlignment="1">
      <alignment horizontal="center" vertical="center" wrapText="1"/>
    </xf>
    <xf numFmtId="164" fontId="6" fillId="0" borderId="132" xfId="135" applyNumberFormat="1" applyFont="1" applyBorder="1" applyAlignment="1">
      <alignment vertical="center"/>
    </xf>
    <xf numFmtId="164" fontId="6" fillId="0" borderId="133" xfId="135" applyNumberFormat="1" applyFont="1" applyBorder="1" applyAlignment="1">
      <alignment vertical="center"/>
    </xf>
    <xf numFmtId="0" fontId="6" fillId="0" borderId="132" xfId="135" applyFont="1" applyFill="1" applyBorder="1" applyAlignment="1">
      <alignment vertical="center"/>
    </xf>
    <xf numFmtId="164" fontId="104" fillId="95" borderId="194" xfId="8198" applyNumberFormat="1" applyFont="1" applyFill="1" applyBorder="1" applyAlignment="1">
      <alignment vertical="center"/>
    </xf>
    <xf numFmtId="0" fontId="6" fillId="0" borderId="143" xfId="135" applyFont="1" applyFill="1" applyBorder="1" applyAlignment="1">
      <alignment vertical="center"/>
    </xf>
    <xf numFmtId="164" fontId="104" fillId="95" borderId="195" xfId="8198" applyNumberFormat="1" applyFont="1" applyFill="1" applyBorder="1" applyAlignment="1">
      <alignment vertical="center"/>
    </xf>
    <xf numFmtId="0" fontId="0" fillId="0" borderId="0" xfId="0" applyAlignment="1"/>
    <xf numFmtId="43" fontId="106" fillId="0" borderId="92" xfId="1" applyFont="1" applyFill="1" applyBorder="1"/>
    <xf numFmtId="43" fontId="106" fillId="0" borderId="85" xfId="1" applyFont="1" applyFill="1" applyBorder="1"/>
    <xf numFmtId="43" fontId="106" fillId="0" borderId="99" xfId="1" applyFont="1" applyFill="1" applyBorder="1"/>
    <xf numFmtId="43" fontId="98" fillId="0" borderId="91" xfId="1" applyFont="1" applyFill="1" applyBorder="1"/>
    <xf numFmtId="43" fontId="98" fillId="0" borderId="86" xfId="1" applyFont="1" applyFill="1" applyBorder="1"/>
    <xf numFmtId="43" fontId="98" fillId="0" borderId="95" xfId="1" applyFont="1" applyFill="1" applyBorder="1"/>
    <xf numFmtId="43" fontId="98" fillId="0" borderId="98" xfId="1" applyFont="1" applyFill="1" applyBorder="1"/>
    <xf numFmtId="43" fontId="98" fillId="0" borderId="101" xfId="1" applyFont="1" applyFill="1" applyBorder="1"/>
    <xf numFmtId="43" fontId="106" fillId="0" borderId="0" xfId="1" applyFont="1" applyFill="1" applyBorder="1"/>
    <xf numFmtId="2" fontId="0" fillId="0" borderId="129" xfId="0" applyNumberFormat="1" applyFont="1" applyBorder="1" applyAlignment="1">
      <alignment horizontal="center"/>
    </xf>
    <xf numFmtId="2" fontId="0" fillId="0" borderId="186" xfId="0" applyNumberFormat="1" applyFont="1" applyBorder="1" applyAlignment="1">
      <alignment horizontal="center"/>
    </xf>
    <xf numFmtId="43" fontId="0" fillId="0" borderId="196" xfId="0" applyNumberFormat="1" applyBorder="1"/>
    <xf numFmtId="2" fontId="0" fillId="0" borderId="196" xfId="0" applyNumberFormat="1" applyFont="1" applyBorder="1" applyAlignment="1">
      <alignment horizontal="center"/>
    </xf>
    <xf numFmtId="2" fontId="0" fillId="0" borderId="197" xfId="0" applyNumberFormat="1" applyFont="1" applyBorder="1" applyAlignment="1">
      <alignment horizontal="center"/>
    </xf>
    <xf numFmtId="0" fontId="0" fillId="0" borderId="55" xfId="0" applyBorder="1"/>
    <xf numFmtId="164" fontId="107" fillId="17" borderId="8" xfId="4" applyNumberFormat="1" applyFont="1" applyFill="1" applyBorder="1"/>
    <xf numFmtId="164" fontId="107" fillId="17" borderId="9" xfId="4" applyNumberFormat="1" applyFont="1" applyFill="1" applyBorder="1"/>
    <xf numFmtId="164" fontId="107" fillId="17" borderId="188" xfId="4" applyNumberFormat="1" applyFont="1" applyFill="1" applyBorder="1"/>
    <xf numFmtId="164" fontId="107" fillId="17" borderId="190" xfId="4" applyNumberFormat="1" applyFont="1" applyFill="1" applyBorder="1"/>
    <xf numFmtId="0" fontId="0" fillId="0" borderId="73" xfId="0" applyBorder="1"/>
    <xf numFmtId="0" fontId="76" fillId="17" borderId="198" xfId="0" applyFont="1" applyFill="1" applyBorder="1"/>
    <xf numFmtId="43" fontId="106" fillId="17" borderId="47" xfId="0" applyNumberFormat="1" applyFont="1" applyFill="1" applyBorder="1"/>
    <xf numFmtId="43" fontId="98" fillId="17" borderId="199" xfId="0" applyNumberFormat="1" applyFont="1" applyFill="1" applyBorder="1"/>
    <xf numFmtId="43" fontId="76" fillId="17" borderId="47" xfId="0" applyNumberFormat="1" applyFont="1" applyFill="1" applyBorder="1"/>
    <xf numFmtId="43" fontId="82" fillId="17" borderId="199" xfId="0" applyNumberFormat="1" applyFont="1" applyFill="1" applyBorder="1"/>
    <xf numFmtId="43" fontId="82" fillId="17" borderId="47" xfId="0" applyNumberFormat="1" applyFont="1" applyFill="1" applyBorder="1"/>
    <xf numFmtId="43" fontId="76" fillId="17" borderId="73" xfId="0" applyNumberFormat="1" applyFont="1" applyFill="1" applyBorder="1"/>
    <xf numFmtId="43" fontId="82" fillId="17" borderId="74" xfId="0" applyNumberFormat="1" applyFont="1" applyFill="1" applyBorder="1"/>
    <xf numFmtId="0" fontId="110" fillId="0" borderId="0" xfId="0" applyFont="1"/>
    <xf numFmtId="164" fontId="110" fillId="0" borderId="0" xfId="1" applyNumberFormat="1" applyFont="1"/>
    <xf numFmtId="0" fontId="112" fillId="0" borderId="0" xfId="0" applyFont="1"/>
    <xf numFmtId="0" fontId="110" fillId="0" borderId="0" xfId="0" applyFont="1" applyFill="1"/>
    <xf numFmtId="0" fontId="8" fillId="17" borderId="192" xfId="0" applyFont="1" applyFill="1" applyBorder="1" applyAlignment="1">
      <alignment wrapText="1"/>
    </xf>
    <xf numFmtId="0" fontId="115" fillId="16" borderId="0" xfId="0" applyFont="1" applyFill="1"/>
    <xf numFmtId="0" fontId="1" fillId="16" borderId="0" xfId="0" applyFont="1" applyFill="1"/>
    <xf numFmtId="164" fontId="1" fillId="16" borderId="0" xfId="0" applyNumberFormat="1" applyFont="1" applyFill="1"/>
    <xf numFmtId="0" fontId="1" fillId="0" borderId="0" xfId="0" applyFont="1"/>
    <xf numFmtId="0" fontId="101" fillId="16" borderId="0" xfId="0" applyFont="1" applyFill="1"/>
    <xf numFmtId="0" fontId="103" fillId="17" borderId="36" xfId="0" applyFont="1" applyFill="1" applyBorder="1" applyAlignment="1"/>
    <xf numFmtId="0" fontId="121" fillId="0" borderId="0" xfId="0" applyFont="1"/>
    <xf numFmtId="10" fontId="6" fillId="16" borderId="0" xfId="2" applyNumberFormat="1" applyFont="1" applyFill="1" applyAlignment="1">
      <alignment horizontal="center" vertical="center"/>
    </xf>
    <xf numFmtId="164" fontId="6" fillId="16" borderId="0" xfId="0" applyNumberFormat="1" applyFont="1" applyFill="1" applyAlignment="1">
      <alignment horizontal="center" vertical="center"/>
    </xf>
    <xf numFmtId="0" fontId="84" fillId="0" borderId="0" xfId="0" applyFont="1" applyFill="1" applyBorder="1" applyAlignment="1">
      <alignment wrapText="1"/>
    </xf>
    <xf numFmtId="0" fontId="4" fillId="97" borderId="68" xfId="0" applyFont="1" applyFill="1" applyBorder="1" applyAlignment="1">
      <alignment wrapText="1"/>
    </xf>
    <xf numFmtId="164" fontId="0" fillId="17" borderId="68" xfId="0" applyNumberFormat="1" applyFill="1" applyBorder="1" applyAlignment="1">
      <alignment horizontal="center"/>
    </xf>
    <xf numFmtId="164" fontId="0" fillId="25" borderId="68" xfId="0" applyNumberFormat="1" applyFill="1" applyBorder="1" applyAlignment="1">
      <alignment horizontal="center"/>
    </xf>
    <xf numFmtId="164" fontId="0" fillId="23" borderId="68" xfId="0" applyNumberFormat="1" applyFill="1" applyBorder="1" applyAlignment="1">
      <alignment horizontal="center"/>
    </xf>
    <xf numFmtId="0" fontId="4" fillId="16" borderId="68" xfId="0" applyFont="1" applyFill="1" applyBorder="1"/>
    <xf numFmtId="0" fontId="93" fillId="16" borderId="208" xfId="0" applyFont="1" applyFill="1" applyBorder="1" applyAlignment="1">
      <alignment horizontal="center" wrapText="1"/>
    </xf>
    <xf numFmtId="0" fontId="93" fillId="16" borderId="209" xfId="0" applyFont="1" applyFill="1" applyBorder="1" applyAlignment="1">
      <alignment horizontal="center" wrapText="1"/>
    </xf>
    <xf numFmtId="0" fontId="93" fillId="16" borderId="210" xfId="0" applyFont="1" applyFill="1" applyBorder="1" applyAlignment="1">
      <alignment horizontal="center" wrapText="1"/>
    </xf>
    <xf numFmtId="0" fontId="93" fillId="16" borderId="211" xfId="0" applyFont="1" applyFill="1" applyBorder="1" applyAlignment="1">
      <alignment horizontal="center" wrapText="1"/>
    </xf>
    <xf numFmtId="0" fontId="93" fillId="16" borderId="212" xfId="0" applyFont="1" applyFill="1" applyBorder="1" applyAlignment="1">
      <alignment horizontal="center" wrapText="1"/>
    </xf>
    <xf numFmtId="9" fontId="100" fillId="0" borderId="210" xfId="2" applyFont="1" applyFill="1" applyBorder="1" applyAlignment="1">
      <alignment horizontal="center" wrapText="1"/>
    </xf>
    <xf numFmtId="0" fontId="93" fillId="92" borderId="213" xfId="0" applyFont="1" applyFill="1" applyBorder="1" applyAlignment="1">
      <alignment horizontal="center" wrapText="1"/>
    </xf>
    <xf numFmtId="0" fontId="93" fillId="92" borderId="214" xfId="0" applyFont="1" applyFill="1" applyBorder="1" applyAlignment="1">
      <alignment horizontal="center" wrapText="1"/>
    </xf>
    <xf numFmtId="0" fontId="16" fillId="16" borderId="215" xfId="9106" applyFont="1" applyFill="1" applyBorder="1"/>
    <xf numFmtId="41" fontId="96" fillId="92" borderId="216" xfId="0" applyNumberFormat="1" applyFont="1" applyFill="1" applyBorder="1" applyAlignment="1">
      <alignment horizontal="left"/>
    </xf>
    <xf numFmtId="0" fontId="16" fillId="16" borderId="217" xfId="9107" applyFont="1" applyFill="1" applyBorder="1"/>
    <xf numFmtId="0" fontId="73" fillId="16" borderId="218" xfId="9107" applyFont="1" applyFill="1" applyBorder="1" applyAlignment="1">
      <alignment wrapText="1"/>
    </xf>
    <xf numFmtId="41" fontId="96" fillId="16" borderId="219" xfId="0" applyNumberFormat="1" applyFont="1" applyFill="1" applyBorder="1" applyAlignment="1">
      <alignment horizontal="left"/>
    </xf>
    <xf numFmtId="41" fontId="105" fillId="0" borderId="219" xfId="0" applyNumberFormat="1" applyFont="1" applyFill="1" applyBorder="1" applyAlignment="1">
      <alignment horizontal="left"/>
    </xf>
    <xf numFmtId="41" fontId="96" fillId="92" borderId="220" xfId="0" applyNumberFormat="1" applyFont="1" applyFill="1" applyBorder="1" applyAlignment="1">
      <alignment horizontal="left"/>
    </xf>
    <xf numFmtId="41" fontId="96" fillId="92" borderId="221" xfId="0" applyNumberFormat="1" applyFont="1" applyFill="1" applyBorder="1" applyAlignment="1">
      <alignment horizontal="left"/>
    </xf>
    <xf numFmtId="1" fontId="0" fillId="16" borderId="0" xfId="0" applyNumberFormat="1" applyFont="1" applyFill="1"/>
    <xf numFmtId="0" fontId="116" fillId="0" borderId="68" xfId="0" applyFont="1" applyFill="1" applyBorder="1" applyAlignment="1">
      <alignment horizontal="center" wrapText="1"/>
    </xf>
    <xf numFmtId="0" fontId="117" fillId="0" borderId="68" xfId="140" applyFont="1" applyFill="1" applyBorder="1">
      <alignment readingOrder="1"/>
    </xf>
    <xf numFmtId="3" fontId="117" fillId="0" borderId="68" xfId="140" applyNumberFormat="1" applyFont="1" applyFill="1" applyBorder="1" applyAlignment="1">
      <alignment wrapText="1"/>
    </xf>
    <xf numFmtId="0" fontId="117" fillId="16" borderId="0" xfId="0" applyFont="1" applyFill="1"/>
    <xf numFmtId="167" fontId="90" fillId="0" borderId="68" xfId="9105" applyNumberFormat="1" applyFont="1" applyBorder="1"/>
    <xf numFmtId="0" fontId="6" fillId="0" borderId="0" xfId="0" applyFont="1"/>
    <xf numFmtId="0" fontId="101" fillId="0" borderId="0" xfId="0" applyFont="1"/>
    <xf numFmtId="0" fontId="123" fillId="26" borderId="0" xfId="0" applyFont="1" applyFill="1" applyBorder="1"/>
    <xf numFmtId="0" fontId="123" fillId="26" borderId="0" xfId="0" applyNumberFormat="1" applyFont="1" applyFill="1" applyBorder="1"/>
    <xf numFmtId="0" fontId="6" fillId="16" borderId="0" xfId="0" applyFont="1" applyFill="1"/>
    <xf numFmtId="164" fontId="6" fillId="16" borderId="0" xfId="0" applyNumberFormat="1" applyFont="1" applyFill="1"/>
    <xf numFmtId="165" fontId="6" fillId="16" borderId="0" xfId="1" applyNumberFormat="1" applyFont="1" applyFill="1"/>
    <xf numFmtId="0" fontId="75" fillId="16" borderId="0" xfId="0" applyFont="1" applyFill="1" applyAlignment="1">
      <alignment wrapText="1"/>
    </xf>
    <xf numFmtId="0" fontId="75" fillId="16" borderId="0" xfId="0" applyFont="1" applyFill="1"/>
    <xf numFmtId="0" fontId="75" fillId="16" borderId="73" xfId="0" applyFont="1" applyFill="1" applyBorder="1" applyAlignment="1">
      <alignment wrapText="1"/>
    </xf>
    <xf numFmtId="164" fontId="75" fillId="16" borderId="74" xfId="0" applyNumberFormat="1" applyFont="1" applyFill="1" applyBorder="1" applyAlignment="1">
      <alignment wrapText="1"/>
    </xf>
    <xf numFmtId="164" fontId="75" fillId="16" borderId="73" xfId="0" applyNumberFormat="1" applyFont="1" applyFill="1" applyBorder="1" applyAlignment="1">
      <alignment wrapText="1"/>
    </xf>
    <xf numFmtId="0" fontId="75" fillId="16" borderId="74" xfId="0" applyFont="1" applyFill="1" applyBorder="1" applyAlignment="1">
      <alignment wrapText="1"/>
    </xf>
    <xf numFmtId="1" fontId="6" fillId="16" borderId="81" xfId="0" applyNumberFormat="1" applyFont="1" applyFill="1" applyBorder="1"/>
    <xf numFmtId="1" fontId="6" fillId="16" borderId="149" xfId="0" applyNumberFormat="1" applyFont="1" applyFill="1" applyBorder="1"/>
    <xf numFmtId="1" fontId="6" fillId="16" borderId="75" xfId="0" applyNumberFormat="1" applyFont="1" applyFill="1" applyBorder="1"/>
    <xf numFmtId="164" fontId="6" fillId="16" borderId="81" xfId="1" applyNumberFormat="1" applyFont="1" applyFill="1" applyBorder="1"/>
    <xf numFmtId="164" fontId="6" fillId="16" borderId="75" xfId="1" applyNumberFormat="1" applyFont="1" applyFill="1" applyBorder="1"/>
    <xf numFmtId="1" fontId="6" fillId="16" borderId="30" xfId="0" applyNumberFormat="1" applyFont="1" applyFill="1" applyBorder="1"/>
    <xf numFmtId="1" fontId="6" fillId="16" borderId="0" xfId="0" applyNumberFormat="1" applyFont="1" applyFill="1" applyBorder="1"/>
    <xf numFmtId="1" fontId="6" fillId="16" borderId="31" xfId="0" applyNumberFormat="1" applyFont="1" applyFill="1" applyBorder="1"/>
    <xf numFmtId="164" fontId="6" fillId="16" borderId="30" xfId="1" applyNumberFormat="1" applyFont="1" applyFill="1" applyBorder="1"/>
    <xf numFmtId="164" fontId="6" fillId="16" borderId="31" xfId="1" applyNumberFormat="1" applyFont="1" applyFill="1" applyBorder="1"/>
    <xf numFmtId="0" fontId="6" fillId="16" borderId="30" xfId="0" applyFont="1" applyFill="1" applyBorder="1"/>
    <xf numFmtId="0" fontId="6" fillId="16" borderId="0" xfId="0" applyFont="1" applyFill="1" applyBorder="1"/>
    <xf numFmtId="164" fontId="6" fillId="16" borderId="0" xfId="0" applyNumberFormat="1" applyFont="1" applyFill="1" applyBorder="1"/>
    <xf numFmtId="164" fontId="6" fillId="16" borderId="31" xfId="0" applyNumberFormat="1" applyFont="1" applyFill="1" applyBorder="1"/>
    <xf numFmtId="0" fontId="6" fillId="16" borderId="31" xfId="0" applyFont="1" applyFill="1" applyBorder="1"/>
    <xf numFmtId="0" fontId="126" fillId="16" borderId="30" xfId="0" applyFont="1" applyFill="1" applyBorder="1"/>
    <xf numFmtId="0" fontId="126" fillId="16" borderId="31" xfId="0" applyFont="1" applyFill="1" applyBorder="1" applyAlignment="1">
      <alignment wrapText="1"/>
    </xf>
    <xf numFmtId="165" fontId="6" fillId="16" borderId="30" xfId="1" applyNumberFormat="1" applyFont="1" applyFill="1" applyBorder="1"/>
    <xf numFmtId="0" fontId="75" fillId="16" borderId="0" xfId="0" applyFont="1" applyFill="1" applyAlignment="1">
      <alignment horizontal="right" vertical="center"/>
    </xf>
    <xf numFmtId="0" fontId="6" fillId="16" borderId="0" xfId="0" applyFont="1" applyFill="1" applyAlignment="1">
      <alignment vertical="center"/>
    </xf>
    <xf numFmtId="0" fontId="126" fillId="16" borderId="0" xfId="0" applyFont="1" applyFill="1"/>
    <xf numFmtId="0" fontId="127" fillId="16" borderId="0" xfId="0" applyFont="1" applyFill="1"/>
    <xf numFmtId="0" fontId="6" fillId="0" borderId="132" xfId="0" applyFont="1" applyBorder="1"/>
    <xf numFmtId="0" fontId="6" fillId="0" borderId="133" xfId="0" applyFont="1" applyBorder="1"/>
    <xf numFmtId="9" fontId="127" fillId="16" borderId="0" xfId="2" applyFont="1" applyFill="1"/>
    <xf numFmtId="0" fontId="6" fillId="16" borderId="144" xfId="0" applyFont="1" applyFill="1" applyBorder="1"/>
    <xf numFmtId="164" fontId="6" fillId="16" borderId="144" xfId="0" applyNumberFormat="1" applyFont="1" applyFill="1" applyBorder="1"/>
    <xf numFmtId="0" fontId="123" fillId="26" borderId="30" xfId="0" applyFont="1" applyFill="1" applyBorder="1"/>
    <xf numFmtId="0" fontId="123" fillId="27" borderId="0" xfId="0" applyNumberFormat="1" applyFont="1" applyFill="1" applyBorder="1"/>
    <xf numFmtId="0" fontId="123" fillId="27" borderId="31" xfId="0" applyNumberFormat="1" applyFont="1" applyFill="1" applyBorder="1"/>
    <xf numFmtId="0" fontId="6" fillId="17" borderId="11" xfId="0" applyFont="1" applyFill="1" applyBorder="1" applyAlignment="1">
      <alignment wrapText="1"/>
    </xf>
    <xf numFmtId="0" fontId="6" fillId="17" borderId="9" xfId="0" applyFont="1" applyFill="1" applyBorder="1" applyAlignment="1">
      <alignment wrapText="1"/>
    </xf>
    <xf numFmtId="164" fontId="6" fillId="17" borderId="176" xfId="0" applyNumberFormat="1" applyFont="1" applyFill="1" applyBorder="1"/>
    <xf numFmtId="164" fontId="6" fillId="17" borderId="10" xfId="0" applyNumberFormat="1" applyFont="1" applyFill="1" applyBorder="1"/>
    <xf numFmtId="10" fontId="128" fillId="17" borderId="25" xfId="0" applyNumberFormat="1" applyFont="1" applyFill="1" applyBorder="1"/>
    <xf numFmtId="165" fontId="6" fillId="17" borderId="24" xfId="0" applyNumberFormat="1" applyFont="1" applyFill="1" applyBorder="1"/>
    <xf numFmtId="43" fontId="6" fillId="17" borderId="9" xfId="0" applyNumberFormat="1" applyFont="1" applyFill="1" applyBorder="1"/>
    <xf numFmtId="43" fontId="6" fillId="17" borderId="25" xfId="1" applyFont="1" applyFill="1" applyBorder="1"/>
    <xf numFmtId="164" fontId="99" fillId="0" borderId="0" xfId="0" applyNumberFormat="1" applyFont="1" applyFill="1" applyBorder="1" applyAlignment="1">
      <alignment wrapText="1"/>
    </xf>
    <xf numFmtId="164" fontId="6" fillId="17" borderId="24" xfId="0" applyNumberFormat="1" applyFont="1" applyFill="1" applyBorder="1"/>
    <xf numFmtId="164" fontId="6" fillId="17" borderId="9" xfId="0" applyNumberFormat="1" applyFont="1" applyFill="1" applyBorder="1"/>
    <xf numFmtId="0" fontId="99" fillId="0" borderId="0" xfId="0" applyFont="1" applyFill="1" applyBorder="1" applyAlignment="1">
      <alignment wrapText="1"/>
    </xf>
    <xf numFmtId="0" fontId="99" fillId="0" borderId="0" xfId="0" applyFont="1" applyFill="1" applyBorder="1"/>
    <xf numFmtId="0" fontId="129" fillId="26" borderId="0" xfId="0" applyFont="1" applyFill="1" applyBorder="1"/>
    <xf numFmtId="0" fontId="129" fillId="27" borderId="0" xfId="0" applyNumberFormat="1" applyFont="1" applyFill="1" applyBorder="1"/>
    <xf numFmtId="0" fontId="129" fillId="27" borderId="31" xfId="0" applyNumberFormat="1" applyFont="1" applyFill="1" applyBorder="1"/>
    <xf numFmtId="0" fontId="129" fillId="16" borderId="0" xfId="0" applyFont="1" applyFill="1"/>
    <xf numFmtId="164" fontId="4" fillId="18" borderId="0" xfId="1" applyNumberFormat="1" applyFont="1" applyFill="1"/>
    <xf numFmtId="164" fontId="4" fillId="18" borderId="33" xfId="1" applyNumberFormat="1" applyFont="1" applyFill="1" applyBorder="1"/>
    <xf numFmtId="9" fontId="6" fillId="18" borderId="81" xfId="2" applyFont="1" applyFill="1" applyBorder="1"/>
    <xf numFmtId="9" fontId="6" fillId="18" borderId="75" xfId="2" applyFont="1" applyFill="1" applyBorder="1"/>
    <xf numFmtId="9" fontId="6" fillId="18" borderId="30" xfId="2" applyFont="1" applyFill="1" applyBorder="1"/>
    <xf numFmtId="9" fontId="6" fillId="18" borderId="31" xfId="2" applyFont="1" applyFill="1" applyBorder="1"/>
    <xf numFmtId="43" fontId="130" fillId="16" borderId="0" xfId="0" applyNumberFormat="1" applyFont="1" applyFill="1"/>
    <xf numFmtId="165" fontId="82" fillId="0" borderId="86" xfId="1" applyNumberFormat="1" applyFont="1" applyFill="1" applyBorder="1"/>
    <xf numFmtId="43" fontId="7" fillId="0" borderId="85" xfId="1" applyNumberFormat="1" applyFont="1" applyFill="1" applyBorder="1"/>
    <xf numFmtId="43" fontId="82" fillId="0" borderId="86" xfId="1" applyNumberFormat="1" applyFont="1" applyFill="1" applyBorder="1"/>
    <xf numFmtId="43" fontId="101" fillId="0" borderId="86" xfId="1" applyNumberFormat="1" applyFont="1" applyFill="1" applyBorder="1"/>
    <xf numFmtId="0" fontId="115" fillId="16" borderId="0" xfId="0" applyFont="1" applyFill="1" applyBorder="1" applyAlignment="1"/>
    <xf numFmtId="43" fontId="98" fillId="0" borderId="98" xfId="1" applyNumberFormat="1" applyFont="1" applyFill="1" applyBorder="1"/>
    <xf numFmtId="0" fontId="6" fillId="16" borderId="79" xfId="0" applyFont="1" applyFill="1" applyBorder="1" applyAlignment="1">
      <alignment horizontal="center" vertical="center"/>
    </xf>
    <xf numFmtId="164" fontId="6" fillId="16" borderId="80" xfId="1" applyNumberFormat="1" applyFont="1" applyFill="1" applyBorder="1" applyAlignment="1">
      <alignment horizontal="center" vertical="center"/>
    </xf>
    <xf numFmtId="164" fontId="6" fillId="16" borderId="76" xfId="0" applyNumberFormat="1" applyFont="1" applyFill="1" applyBorder="1" applyAlignment="1">
      <alignment horizontal="center" vertical="center" wrapText="1"/>
    </xf>
    <xf numFmtId="10" fontId="6" fillId="16" borderId="78" xfId="2" applyNumberFormat="1" applyFont="1" applyFill="1" applyBorder="1" applyAlignment="1">
      <alignment horizontal="center" vertical="center"/>
    </xf>
    <xf numFmtId="0" fontId="6" fillId="17" borderId="8" xfId="0" applyFont="1" applyFill="1" applyBorder="1" applyAlignment="1">
      <alignment wrapText="1"/>
    </xf>
    <xf numFmtId="0" fontId="6" fillId="17" borderId="24" xfId="0" applyFont="1" applyFill="1" applyBorder="1" applyAlignment="1">
      <alignment wrapText="1"/>
    </xf>
    <xf numFmtId="0" fontId="6" fillId="17" borderId="27" xfId="0" applyFont="1" applyFill="1" applyBorder="1" applyAlignment="1">
      <alignment wrapText="1"/>
    </xf>
    <xf numFmtId="0" fontId="6" fillId="17" borderId="190" xfId="0" applyFont="1" applyFill="1" applyBorder="1" applyAlignment="1">
      <alignment wrapText="1"/>
    </xf>
    <xf numFmtId="43" fontId="6" fillId="17" borderId="190" xfId="0" applyNumberFormat="1" applyFont="1" applyFill="1" applyBorder="1"/>
    <xf numFmtId="43" fontId="6" fillId="17" borderId="192" xfId="1" applyFont="1" applyFill="1" applyBorder="1"/>
    <xf numFmtId="43" fontId="6" fillId="17" borderId="24" xfId="0" applyNumberFormat="1" applyFont="1" applyFill="1" applyBorder="1"/>
    <xf numFmtId="0" fontId="6" fillId="16" borderId="32" xfId="0" applyFont="1" applyFill="1" applyBorder="1"/>
    <xf numFmtId="0" fontId="6" fillId="16" borderId="33" xfId="0" applyFont="1" applyFill="1" applyBorder="1"/>
    <xf numFmtId="164" fontId="6" fillId="16" borderId="33" xfId="0" applyNumberFormat="1" applyFont="1" applyFill="1" applyBorder="1"/>
    <xf numFmtId="43" fontId="6" fillId="17" borderId="25" xfId="1" applyNumberFormat="1" applyFont="1" applyFill="1" applyBorder="1"/>
    <xf numFmtId="43" fontId="6" fillId="17" borderId="22" xfId="1" applyFont="1" applyFill="1" applyBorder="1"/>
    <xf numFmtId="43" fontId="6" fillId="17" borderId="24" xfId="1" applyFont="1" applyFill="1" applyBorder="1"/>
    <xf numFmtId="164" fontId="107" fillId="17" borderId="123" xfId="4" applyNumberFormat="1" applyFont="1" applyFill="1" applyBorder="1"/>
    <xf numFmtId="0" fontId="6" fillId="17" borderId="122" xfId="0" applyFont="1" applyFill="1" applyBorder="1" applyAlignment="1">
      <alignment wrapText="1"/>
    </xf>
    <xf numFmtId="0" fontId="6" fillId="17" borderId="123" xfId="0" applyFont="1" applyFill="1" applyBorder="1" applyAlignment="1">
      <alignment wrapText="1"/>
    </xf>
    <xf numFmtId="43" fontId="6" fillId="17" borderId="124" xfId="1" applyFont="1" applyFill="1" applyBorder="1"/>
    <xf numFmtId="9" fontId="73" fillId="18" borderId="0" xfId="2" applyFont="1" applyFill="1"/>
    <xf numFmtId="43" fontId="106" fillId="0" borderId="226" xfId="1" applyFont="1" applyFill="1" applyBorder="1"/>
    <xf numFmtId="0" fontId="122" fillId="96" borderId="0" xfId="0" applyFont="1" applyFill="1"/>
    <xf numFmtId="0" fontId="110" fillId="16" borderId="0" xfId="0" applyFont="1" applyFill="1"/>
    <xf numFmtId="0" fontId="111" fillId="96" borderId="0" xfId="0" applyFont="1" applyFill="1"/>
    <xf numFmtId="0" fontId="0" fillId="0" borderId="0" xfId="0" applyAlignment="1">
      <alignment wrapText="1"/>
    </xf>
    <xf numFmtId="164" fontId="134" fillId="0" borderId="0" xfId="1" applyNumberFormat="1" applyFont="1"/>
    <xf numFmtId="164" fontId="110" fillId="0" borderId="0" xfId="0" applyNumberFormat="1" applyFont="1"/>
    <xf numFmtId="0" fontId="25" fillId="0" borderId="0" xfId="0" applyFont="1" applyAlignment="1">
      <alignment horizontal="left" vertical="top" wrapText="1"/>
    </xf>
    <xf numFmtId="0" fontId="78" fillId="0" borderId="0" xfId="0" applyFont="1" applyBorder="1" applyAlignment="1">
      <alignment horizontal="center" wrapText="1"/>
    </xf>
    <xf numFmtId="0" fontId="102" fillId="0" borderId="0" xfId="0" applyFont="1" applyBorder="1" applyAlignment="1">
      <alignment horizontal="center" wrapText="1"/>
    </xf>
    <xf numFmtId="43" fontId="82" fillId="17" borderId="0" xfId="0" applyNumberFormat="1" applyFont="1" applyFill="1" applyBorder="1"/>
    <xf numFmtId="43" fontId="135" fillId="0" borderId="0" xfId="1" applyFont="1" applyFill="1" applyBorder="1"/>
    <xf numFmtId="43" fontId="110" fillId="0" borderId="0" xfId="0" applyNumberFormat="1" applyFont="1"/>
    <xf numFmtId="43" fontId="18" fillId="18" borderId="73" xfId="0" applyNumberFormat="1" applyFont="1" applyFill="1" applyBorder="1"/>
    <xf numFmtId="43" fontId="82" fillId="0" borderId="229" xfId="1" applyFont="1" applyFill="1" applyBorder="1"/>
    <xf numFmtId="43" fontId="82" fillId="0" borderId="230" xfId="1" applyFont="1" applyFill="1" applyBorder="1"/>
    <xf numFmtId="0" fontId="0" fillId="0" borderId="183" xfId="0" applyBorder="1"/>
    <xf numFmtId="43" fontId="101" fillId="0" borderId="230" xfId="1" applyFont="1" applyFill="1" applyBorder="1"/>
    <xf numFmtId="43" fontId="82" fillId="0" borderId="231" xfId="1" applyFont="1" applyFill="1" applyBorder="1"/>
    <xf numFmtId="43" fontId="82" fillId="0" borderId="232" xfId="1" applyFont="1" applyFill="1" applyBorder="1"/>
    <xf numFmtId="43" fontId="82" fillId="0" borderId="233" xfId="1" applyFont="1" applyFill="1" applyBorder="1"/>
    <xf numFmtId="43" fontId="82" fillId="17" borderId="234" xfId="0" applyNumberFormat="1" applyFont="1" applyFill="1" applyBorder="1"/>
    <xf numFmtId="43" fontId="134" fillId="0" borderId="0" xfId="1" applyNumberFormat="1" applyFont="1"/>
    <xf numFmtId="177" fontId="82" fillId="19" borderId="230" xfId="1" applyNumberFormat="1" applyFont="1" applyFill="1" applyBorder="1"/>
    <xf numFmtId="0" fontId="102" fillId="0" borderId="228" xfId="0" applyFont="1" applyBorder="1" applyAlignment="1">
      <alignment horizontal="center" wrapText="1"/>
    </xf>
    <xf numFmtId="0" fontId="74" fillId="0" borderId="242" xfId="0" applyFont="1" applyBorder="1" applyAlignment="1">
      <alignment horizontal="center" wrapText="1"/>
    </xf>
    <xf numFmtId="0" fontId="74" fillId="0" borderId="33" xfId="0" applyFont="1" applyBorder="1" applyAlignment="1">
      <alignment horizontal="center" wrapText="1"/>
    </xf>
    <xf numFmtId="0" fontId="102" fillId="0" borderId="33" xfId="0" applyFont="1" applyBorder="1" applyAlignment="1">
      <alignment horizontal="center" wrapText="1"/>
    </xf>
    <xf numFmtId="0" fontId="74" fillId="0" borderId="32" xfId="0" applyFont="1" applyBorder="1" applyAlignment="1">
      <alignment horizontal="center" wrapText="1"/>
    </xf>
    <xf numFmtId="0" fontId="102" fillId="0" borderId="34" xfId="0" applyFont="1" applyBorder="1" applyAlignment="1">
      <alignment horizontal="center" wrapText="1"/>
    </xf>
    <xf numFmtId="0" fontId="22" fillId="0" borderId="243" xfId="9108" applyFill="1" applyBorder="1" applyAlignment="1">
      <alignment vertical="center"/>
    </xf>
    <xf numFmtId="0" fontId="22" fillId="0" borderId="244" xfId="9108" applyFill="1" applyBorder="1" applyAlignment="1">
      <alignment vertical="center"/>
    </xf>
    <xf numFmtId="0" fontId="22" fillId="0" borderId="245" xfId="9108" applyFill="1" applyBorder="1" applyAlignment="1">
      <alignment vertical="center"/>
    </xf>
    <xf numFmtId="0" fontId="74" fillId="0" borderId="244" xfId="0" applyFont="1" applyFill="1" applyBorder="1" applyAlignment="1">
      <alignment vertical="center"/>
    </xf>
    <xf numFmtId="0" fontId="22" fillId="0" borderId="246" xfId="9108" applyFill="1" applyBorder="1" applyAlignment="1">
      <alignment vertical="center"/>
    </xf>
    <xf numFmtId="0" fontId="22" fillId="0" borderId="247" xfId="9108" applyFill="1" applyBorder="1" applyAlignment="1">
      <alignment vertical="center"/>
    </xf>
    <xf numFmtId="0" fontId="22" fillId="0" borderId="248" xfId="9108" applyFill="1" applyBorder="1" applyAlignment="1">
      <alignment vertical="center"/>
    </xf>
    <xf numFmtId="0" fontId="22" fillId="0" borderId="249" xfId="9108" applyFill="1" applyBorder="1" applyAlignment="1">
      <alignment vertical="center"/>
    </xf>
    <xf numFmtId="0" fontId="76" fillId="17" borderId="47" xfId="0" applyFont="1" applyFill="1" applyBorder="1"/>
    <xf numFmtId="165" fontId="7" fillId="0" borderId="85" xfId="1" applyNumberFormat="1" applyFont="1" applyFill="1" applyBorder="1"/>
    <xf numFmtId="43" fontId="18" fillId="0" borderId="117" xfId="1" applyFont="1" applyFill="1" applyBorder="1"/>
    <xf numFmtId="43" fontId="18" fillId="0" borderId="105" xfId="1" applyFont="1" applyFill="1" applyBorder="1"/>
    <xf numFmtId="43" fontId="101" fillId="0" borderId="106" xfId="1" applyFont="1" applyFill="1" applyBorder="1"/>
    <xf numFmtId="43" fontId="18" fillId="0" borderId="107" xfId="1" applyFont="1" applyFill="1" applyBorder="1"/>
    <xf numFmtId="43" fontId="18" fillId="0" borderId="109" xfId="1" applyFont="1" applyFill="1" applyBorder="1"/>
    <xf numFmtId="43" fontId="18" fillId="0" borderId="111" xfId="1" applyFont="1" applyFill="1" applyBorder="1"/>
    <xf numFmtId="166" fontId="6" fillId="17" borderId="261" xfId="0" applyNumberFormat="1" applyFont="1" applyFill="1" applyBorder="1"/>
    <xf numFmtId="0" fontId="123" fillId="26" borderId="5" xfId="0" applyFont="1" applyFill="1" applyBorder="1"/>
    <xf numFmtId="0" fontId="123" fillId="27" borderId="131" xfId="0" applyNumberFormat="1" applyFont="1" applyFill="1" applyBorder="1"/>
    <xf numFmtId="0" fontId="123" fillId="27" borderId="267" xfId="0" applyNumberFormat="1" applyFont="1" applyFill="1" applyBorder="1"/>
    <xf numFmtId="0" fontId="6" fillId="17" borderId="260" xfId="0" applyFont="1" applyFill="1" applyBorder="1" applyAlignment="1">
      <alignment wrapText="1"/>
    </xf>
    <xf numFmtId="0" fontId="6" fillId="16" borderId="131" xfId="0" applyFont="1" applyFill="1" applyBorder="1"/>
    <xf numFmtId="0" fontId="123" fillId="26" borderId="132" xfId="0" applyFont="1" applyFill="1" applyBorder="1"/>
    <xf numFmtId="0" fontId="6" fillId="0" borderId="0" xfId="0" applyFont="1" applyBorder="1"/>
    <xf numFmtId="0" fontId="129" fillId="26" borderId="132" xfId="0" applyFont="1" applyFill="1" applyBorder="1"/>
    <xf numFmtId="0" fontId="129" fillId="16" borderId="0" xfId="0" applyFont="1" applyFill="1" applyBorder="1"/>
    <xf numFmtId="0" fontId="123" fillId="26" borderId="143" xfId="0" applyFont="1" applyFill="1" applyBorder="1"/>
    <xf numFmtId="0" fontId="123" fillId="27" borderId="144" xfId="0" applyNumberFormat="1" applyFont="1" applyFill="1" applyBorder="1"/>
    <xf numFmtId="0" fontId="123" fillId="27" borderId="153" xfId="0" applyNumberFormat="1" applyFont="1" applyFill="1" applyBorder="1"/>
    <xf numFmtId="0" fontId="12" fillId="26" borderId="132" xfId="0" applyFont="1" applyFill="1" applyBorder="1"/>
    <xf numFmtId="0" fontId="25" fillId="16" borderId="0" xfId="0" applyFont="1" applyFill="1"/>
    <xf numFmtId="0" fontId="6" fillId="17" borderId="262" xfId="0" applyFont="1" applyFill="1" applyBorder="1" applyAlignment="1">
      <alignment wrapText="1"/>
    </xf>
    <xf numFmtId="43" fontId="6" fillId="17" borderId="263" xfId="1" applyFont="1" applyFill="1" applyBorder="1"/>
    <xf numFmtId="0" fontId="0" fillId="0" borderId="0" xfId="0"/>
    <xf numFmtId="0" fontId="0" fillId="16" borderId="0" xfId="0" applyFill="1" applyBorder="1"/>
    <xf numFmtId="0" fontId="0" fillId="16" borderId="0" xfId="0" applyFill="1"/>
    <xf numFmtId="0" fontId="6" fillId="17" borderId="268" xfId="0" applyFont="1" applyFill="1" applyBorder="1" applyAlignment="1">
      <alignment wrapText="1"/>
    </xf>
    <xf numFmtId="0" fontId="6" fillId="17" borderId="269" xfId="0" applyFont="1" applyFill="1" applyBorder="1" applyAlignment="1">
      <alignment wrapText="1"/>
    </xf>
    <xf numFmtId="166" fontId="6" fillId="17" borderId="270" xfId="0" applyNumberFormat="1" applyFont="1" applyFill="1" applyBorder="1"/>
    <xf numFmtId="164" fontId="107" fillId="17" borderId="269" xfId="4" applyNumberFormat="1" applyFont="1" applyFill="1" applyBorder="1"/>
    <xf numFmtId="0" fontId="8" fillId="17" borderId="175" xfId="0" applyFont="1" applyFill="1" applyBorder="1" applyAlignment="1"/>
    <xf numFmtId="43" fontId="6" fillId="17" borderId="266" xfId="1" applyFont="1" applyFill="1" applyBorder="1"/>
    <xf numFmtId="0" fontId="12" fillId="26" borderId="0" xfId="0" applyFont="1" applyFill="1" applyBorder="1" applyAlignment="1"/>
    <xf numFmtId="0" fontId="12" fillId="27" borderId="0" xfId="0" applyNumberFormat="1" applyFont="1" applyFill="1" applyBorder="1" applyAlignment="1"/>
    <xf numFmtId="0" fontId="12" fillId="27" borderId="31" xfId="0" applyNumberFormat="1" applyFont="1" applyFill="1" applyBorder="1" applyAlignment="1"/>
    <xf numFmtId="0" fontId="6" fillId="17" borderId="11" xfId="0" applyFont="1" applyFill="1" applyBorder="1" applyAlignment="1"/>
    <xf numFmtId="0" fontId="6" fillId="17" borderId="9" xfId="0" applyFont="1" applyFill="1" applyBorder="1" applyAlignment="1"/>
    <xf numFmtId="166" fontId="6" fillId="17" borderId="15" xfId="0" applyNumberFormat="1" applyFont="1" applyFill="1" applyBorder="1" applyAlignment="1"/>
    <xf numFmtId="164" fontId="6" fillId="17" borderId="9" xfId="0" applyNumberFormat="1" applyFont="1" applyFill="1" applyBorder="1" applyAlignment="1"/>
    <xf numFmtId="164" fontId="107" fillId="17" borderId="9" xfId="4" applyNumberFormat="1" applyFont="1" applyFill="1" applyBorder="1" applyAlignment="1"/>
    <xf numFmtId="10" fontId="128" fillId="17" borderId="25" xfId="0" applyNumberFormat="1" applyFont="1" applyFill="1" applyBorder="1" applyAlignment="1"/>
    <xf numFmtId="164" fontId="145" fillId="0" borderId="0" xfId="0" applyNumberFormat="1" applyFont="1" applyFill="1" applyBorder="1"/>
    <xf numFmtId="0" fontId="5" fillId="16" borderId="0" xfId="0" applyFont="1" applyFill="1"/>
    <xf numFmtId="164" fontId="6" fillId="0" borderId="0" xfId="1" applyNumberFormat="1" applyFont="1" applyAlignment="1">
      <alignment horizontal="right"/>
    </xf>
    <xf numFmtId="164" fontId="6" fillId="18" borderId="0" xfId="1" applyNumberFormat="1" applyFont="1" applyFill="1" applyAlignment="1">
      <alignment horizontal="right"/>
    </xf>
    <xf numFmtId="0" fontId="75" fillId="16" borderId="81" xfId="0" applyFont="1" applyFill="1" applyBorder="1" applyAlignment="1">
      <alignment wrapText="1"/>
    </xf>
    <xf numFmtId="0" fontId="75" fillId="16" borderId="149" xfId="0" applyFont="1" applyFill="1" applyBorder="1" applyAlignment="1">
      <alignment wrapText="1"/>
    </xf>
    <xf numFmtId="164" fontId="75" fillId="16" borderId="149" xfId="0" applyNumberFormat="1" applyFont="1" applyFill="1" applyBorder="1" applyAlignment="1">
      <alignment wrapText="1"/>
    </xf>
    <xf numFmtId="164" fontId="75" fillId="16" borderId="75" xfId="0" applyNumberFormat="1" applyFont="1" applyFill="1" applyBorder="1" applyAlignment="1">
      <alignment wrapText="1"/>
    </xf>
    <xf numFmtId="164" fontId="6" fillId="16" borderId="34" xfId="0" applyNumberFormat="1" applyFont="1" applyFill="1" applyBorder="1"/>
    <xf numFmtId="164" fontId="6" fillId="0" borderId="132" xfId="9156" applyNumberFormat="1" applyFont="1" applyBorder="1" applyAlignment="1">
      <alignment vertical="center"/>
    </xf>
    <xf numFmtId="164" fontId="6" fillId="0" borderId="133" xfId="9156" applyNumberFormat="1" applyFont="1" applyBorder="1" applyAlignment="1">
      <alignment vertical="center"/>
    </xf>
    <xf numFmtId="164" fontId="6" fillId="0" borderId="143" xfId="9156" applyNumberFormat="1" applyFont="1" applyBorder="1" applyAlignment="1">
      <alignment vertical="center"/>
    </xf>
    <xf numFmtId="164" fontId="6" fillId="0" borderId="145" xfId="9156" applyNumberFormat="1" applyFont="1" applyBorder="1" applyAlignment="1">
      <alignment vertical="center"/>
    </xf>
    <xf numFmtId="43" fontId="130" fillId="0" borderId="0" xfId="0" applyNumberFormat="1" applyFont="1"/>
    <xf numFmtId="43" fontId="6" fillId="0" borderId="275" xfId="1" applyFont="1" applyBorder="1" applyAlignment="1">
      <alignment horizontal="left"/>
    </xf>
    <xf numFmtId="0" fontId="114" fillId="0" borderId="0" xfId="0" applyFont="1"/>
    <xf numFmtId="43" fontId="6" fillId="17" borderId="276" xfId="1" applyFont="1" applyFill="1" applyBorder="1" applyAlignment="1">
      <alignment horizontal="left"/>
    </xf>
    <xf numFmtId="0" fontId="8" fillId="0" borderId="277" xfId="0" applyFont="1" applyBorder="1" applyAlignment="1">
      <alignment horizontal="left" vertical="center" wrapText="1"/>
    </xf>
    <xf numFmtId="0" fontId="108" fillId="97" borderId="278" xfId="0" applyFont="1" applyFill="1" applyBorder="1" applyAlignment="1">
      <alignment horizontal="center" vertical="center" wrapText="1"/>
    </xf>
    <xf numFmtId="43" fontId="6" fillId="17" borderId="276" xfId="0" applyNumberFormat="1" applyFont="1" applyFill="1" applyBorder="1" applyAlignment="1">
      <alignment horizontal="left"/>
    </xf>
    <xf numFmtId="43" fontId="6" fillId="0" borderId="275" xfId="0" applyNumberFormat="1" applyFont="1" applyBorder="1" applyAlignment="1">
      <alignment horizontal="left"/>
    </xf>
    <xf numFmtId="43" fontId="6" fillId="0" borderId="279" xfId="0" applyNumberFormat="1" applyFont="1" applyBorder="1" applyAlignment="1">
      <alignment horizontal="left"/>
    </xf>
    <xf numFmtId="43" fontId="6" fillId="0" borderId="279" xfId="1" applyFont="1" applyBorder="1" applyAlignment="1">
      <alignment horizontal="left"/>
    </xf>
    <xf numFmtId="0" fontId="147" fillId="0" borderId="0" xfId="0" applyFont="1"/>
    <xf numFmtId="0" fontId="108" fillId="97" borderId="286" xfId="0" applyFont="1" applyFill="1" applyBorder="1" applyAlignment="1">
      <alignment horizontal="center" vertical="center" wrapText="1"/>
    </xf>
    <xf numFmtId="0" fontId="108" fillId="97" borderId="287" xfId="0" applyFont="1" applyFill="1" applyBorder="1" applyAlignment="1">
      <alignment horizontal="center" vertical="center" wrapText="1"/>
    </xf>
    <xf numFmtId="43" fontId="6" fillId="17" borderId="288" xfId="1" applyFont="1" applyFill="1" applyBorder="1" applyAlignment="1">
      <alignment horizontal="left"/>
    </xf>
    <xf numFmtId="43" fontId="6" fillId="17" borderId="289" xfId="1" applyFont="1" applyFill="1" applyBorder="1" applyAlignment="1">
      <alignment horizontal="left"/>
    </xf>
    <xf numFmtId="43" fontId="6" fillId="0" borderId="290" xfId="1" applyFont="1" applyBorder="1" applyAlignment="1">
      <alignment horizontal="left"/>
    </xf>
    <xf numFmtId="43" fontId="6" fillId="0" borderId="291" xfId="1" applyFont="1" applyBorder="1" applyAlignment="1">
      <alignment horizontal="left"/>
    </xf>
    <xf numFmtId="43" fontId="6" fillId="0" borderId="292" xfId="1" applyFont="1" applyBorder="1" applyAlignment="1">
      <alignment horizontal="left"/>
    </xf>
    <xf numFmtId="43" fontId="6" fillId="0" borderId="293" xfId="1" applyFont="1" applyBorder="1" applyAlignment="1">
      <alignment horizontal="left"/>
    </xf>
    <xf numFmtId="43" fontId="6" fillId="0" borderId="294" xfId="1" applyFont="1" applyBorder="1" applyAlignment="1">
      <alignment horizontal="left"/>
    </xf>
    <xf numFmtId="43" fontId="6" fillId="17" borderId="280" xfId="0" applyNumberFormat="1" applyFont="1" applyFill="1" applyBorder="1" applyAlignment="1">
      <alignment horizontal="left"/>
    </xf>
    <xf numFmtId="43" fontId="6" fillId="0" borderId="281" xfId="0" applyNumberFormat="1" applyFont="1" applyBorder="1" applyAlignment="1">
      <alignment horizontal="left"/>
    </xf>
    <xf numFmtId="43" fontId="6" fillId="0" borderId="282" xfId="0" applyNumberFormat="1" applyFont="1" applyBorder="1" applyAlignment="1">
      <alignment horizontal="left"/>
    </xf>
    <xf numFmtId="0" fontId="136" fillId="0" borderId="0" xfId="0" applyFont="1"/>
    <xf numFmtId="0" fontId="0" fillId="16" borderId="0" xfId="0" applyFill="1" applyAlignment="1">
      <alignment horizontal="center"/>
    </xf>
    <xf numFmtId="0" fontId="6" fillId="0" borderId="0" xfId="0" applyFont="1" applyAlignment="1"/>
    <xf numFmtId="0" fontId="75" fillId="0" borderId="0" xfId="0" applyFont="1"/>
    <xf numFmtId="0" fontId="136" fillId="16" borderId="0" xfId="0" applyFont="1" applyFill="1"/>
    <xf numFmtId="0" fontId="123" fillId="26" borderId="30" xfId="0" applyFont="1" applyFill="1" applyBorder="1" applyAlignment="1">
      <alignment wrapText="1"/>
    </xf>
    <xf numFmtId="0" fontId="123" fillId="26" borderId="0" xfId="0" applyFont="1" applyFill="1" applyBorder="1" applyAlignment="1">
      <alignment wrapText="1"/>
    </xf>
    <xf numFmtId="0" fontId="123" fillId="26" borderId="0" xfId="0" applyNumberFormat="1" applyFont="1" applyFill="1" applyBorder="1" applyAlignment="1">
      <alignment wrapText="1"/>
    </xf>
    <xf numFmtId="0" fontId="123" fillId="26" borderId="31" xfId="0" applyFont="1" applyFill="1" applyBorder="1" applyAlignment="1">
      <alignment wrapText="1"/>
    </xf>
    <xf numFmtId="0" fontId="6" fillId="16" borderId="0" xfId="0" applyFont="1" applyFill="1" applyAlignment="1">
      <alignment wrapText="1"/>
    </xf>
    <xf numFmtId="43" fontId="6" fillId="16" borderId="0" xfId="0" applyNumberFormat="1" applyFont="1" applyFill="1"/>
    <xf numFmtId="164" fontId="6" fillId="17" borderId="177" xfId="0" applyNumberFormat="1" applyFont="1" applyFill="1" applyBorder="1"/>
    <xf numFmtId="164" fontId="6" fillId="17" borderId="11" xfId="0" applyNumberFormat="1" applyFont="1" applyFill="1" applyBorder="1"/>
    <xf numFmtId="0" fontId="147" fillId="16" borderId="0" xfId="0" applyFont="1" applyFill="1" applyBorder="1" applyAlignment="1"/>
    <xf numFmtId="0" fontId="6" fillId="16" borderId="0" xfId="0" applyFont="1" applyFill="1" applyBorder="1" applyAlignment="1">
      <alignment wrapText="1"/>
    </xf>
    <xf numFmtId="0" fontId="138" fillId="16" borderId="1" xfId="3" applyFont="1" applyFill="1"/>
    <xf numFmtId="9" fontId="6" fillId="16" borderId="0" xfId="0" applyNumberFormat="1" applyFont="1" applyFill="1"/>
    <xf numFmtId="2" fontId="6" fillId="35" borderId="35" xfId="2" applyNumberFormat="1" applyFont="1" applyFill="1" applyBorder="1"/>
    <xf numFmtId="0" fontId="6" fillId="16" borderId="143" xfId="0" applyFont="1" applyFill="1" applyBorder="1"/>
    <xf numFmtId="0" fontId="75" fillId="16" borderId="0" xfId="0" applyFont="1" applyFill="1" applyBorder="1"/>
    <xf numFmtId="1" fontId="6" fillId="16" borderId="0" xfId="0" applyNumberFormat="1" applyFont="1" applyFill="1"/>
    <xf numFmtId="0" fontId="131" fillId="16" borderId="0" xfId="0" applyFont="1" applyFill="1"/>
    <xf numFmtId="0" fontId="147" fillId="16" borderId="0" xfId="0" applyFont="1" applyFill="1"/>
    <xf numFmtId="0" fontId="128" fillId="22" borderId="7" xfId="0" applyFont="1" applyFill="1" applyBorder="1" applyAlignment="1">
      <alignment horizontal="center" wrapText="1"/>
    </xf>
    <xf numFmtId="0" fontId="128" fillId="22" borderId="20" xfId="0" applyFont="1" applyFill="1" applyBorder="1" applyAlignment="1">
      <alignment horizontal="center" wrapText="1"/>
    </xf>
    <xf numFmtId="0" fontId="128" fillId="22" borderId="21" xfId="0" applyFont="1" applyFill="1" applyBorder="1" applyAlignment="1">
      <alignment horizontal="center" wrapText="1"/>
    </xf>
    <xf numFmtId="165" fontId="128" fillId="22" borderId="21" xfId="1" applyNumberFormat="1" applyFont="1" applyFill="1" applyBorder="1" applyAlignment="1">
      <alignment horizontal="center" wrapText="1"/>
    </xf>
    <xf numFmtId="0" fontId="75" fillId="16" borderId="132" xfId="0" applyFont="1" applyFill="1" applyBorder="1" applyAlignment="1">
      <alignment wrapText="1"/>
    </xf>
    <xf numFmtId="164" fontId="6" fillId="16" borderId="0" xfId="0" applyNumberFormat="1" applyFont="1" applyFill="1" applyBorder="1" applyAlignment="1">
      <alignment horizontal="center"/>
    </xf>
    <xf numFmtId="0" fontId="75" fillId="97" borderId="68" xfId="0" applyFont="1" applyFill="1" applyBorder="1" applyAlignment="1">
      <alignment wrapText="1"/>
    </xf>
    <xf numFmtId="0" fontId="6" fillId="16" borderId="68" xfId="0" applyFont="1" applyFill="1" applyBorder="1"/>
    <xf numFmtId="0" fontId="75" fillId="16" borderId="68" xfId="0" applyFont="1" applyFill="1" applyBorder="1"/>
    <xf numFmtId="164" fontId="6" fillId="17" borderId="68" xfId="0" applyNumberFormat="1" applyFont="1" applyFill="1" applyBorder="1" applyAlignment="1">
      <alignment horizontal="center"/>
    </xf>
    <xf numFmtId="164" fontId="6" fillId="25" borderId="68" xfId="0" applyNumberFormat="1" applyFont="1" applyFill="1" applyBorder="1" applyAlignment="1">
      <alignment horizontal="center"/>
    </xf>
    <xf numFmtId="164" fontId="6" fillId="23" borderId="68" xfId="0" applyNumberFormat="1" applyFont="1" applyFill="1" applyBorder="1" applyAlignment="1">
      <alignment horizontal="center"/>
    </xf>
    <xf numFmtId="0" fontId="130" fillId="0" borderId="0" xfId="0" applyFont="1" applyFill="1" applyBorder="1" applyAlignment="1">
      <alignment wrapText="1"/>
    </xf>
    <xf numFmtId="0" fontId="146" fillId="16" borderId="0" xfId="9108" applyFont="1" applyFill="1"/>
    <xf numFmtId="0" fontId="6" fillId="16" borderId="0" xfId="0" applyFont="1" applyFill="1" applyAlignment="1">
      <alignment horizontal="center"/>
    </xf>
    <xf numFmtId="0" fontId="6" fillId="16" borderId="0" xfId="0" applyFont="1" applyFill="1" applyBorder="1" applyAlignment="1">
      <alignment horizontal="center"/>
    </xf>
    <xf numFmtId="9" fontId="6" fillId="0" borderId="0" xfId="0" applyNumberFormat="1" applyFont="1"/>
    <xf numFmtId="1" fontId="6" fillId="16" borderId="0" xfId="0" applyNumberFormat="1" applyFont="1" applyFill="1" applyAlignment="1"/>
    <xf numFmtId="0" fontId="6" fillId="79" borderId="0" xfId="0" applyFont="1" applyFill="1" applyAlignment="1"/>
    <xf numFmtId="0" fontId="6" fillId="23" borderId="0" xfId="0" applyFont="1" applyFill="1" applyAlignment="1"/>
    <xf numFmtId="9" fontId="75" fillId="25" borderId="0" xfId="2" applyFont="1" applyFill="1" applyAlignment="1"/>
    <xf numFmtId="0" fontId="6" fillId="16" borderId="0" xfId="0" applyFont="1" applyFill="1" applyAlignment="1"/>
    <xf numFmtId="9" fontId="117" fillId="16" borderId="0" xfId="2" applyFont="1" applyFill="1" applyAlignment="1"/>
    <xf numFmtId="0" fontId="138" fillId="16" borderId="0" xfId="0" applyFont="1" applyFill="1"/>
    <xf numFmtId="167" fontId="148" fillId="0" borderId="154" xfId="9105" applyNumberFormat="1" applyFont="1"/>
    <xf numFmtId="0" fontId="6" fillId="0" borderId="155" xfId="0" applyFont="1" applyBorder="1" applyAlignment="1">
      <alignment wrapText="1"/>
    </xf>
    <xf numFmtId="167" fontId="148" fillId="0" borderId="156" xfId="9105" applyNumberFormat="1" applyFont="1" applyBorder="1"/>
    <xf numFmtId="0" fontId="6" fillId="0" borderId="157" xfId="0" applyFont="1" applyBorder="1" applyAlignment="1">
      <alignment wrapText="1"/>
    </xf>
    <xf numFmtId="167" fontId="148" fillId="0" borderId="158" xfId="9105" applyNumberFormat="1" applyFont="1" applyBorder="1"/>
    <xf numFmtId="0" fontId="6" fillId="0" borderId="159" xfId="0" applyFont="1" applyBorder="1" applyAlignment="1">
      <alignment wrapText="1"/>
    </xf>
    <xf numFmtId="167" fontId="148" fillId="0" borderId="160" xfId="9105" applyNumberFormat="1" applyFont="1" applyBorder="1"/>
    <xf numFmtId="0" fontId="6" fillId="16" borderId="5" xfId="0" applyFont="1" applyFill="1" applyBorder="1"/>
    <xf numFmtId="0" fontId="6" fillId="16" borderId="6" xfId="0" applyFont="1" applyFill="1" applyBorder="1"/>
    <xf numFmtId="9" fontId="148" fillId="0" borderId="158" xfId="9105" applyNumberFormat="1" applyFont="1" applyBorder="1"/>
    <xf numFmtId="9" fontId="6" fillId="16" borderId="133" xfId="0" applyNumberFormat="1" applyFont="1" applyFill="1" applyBorder="1"/>
    <xf numFmtId="0" fontId="75" fillId="0" borderId="132" xfId="151" applyFont="1" applyBorder="1" applyAlignment="1">
      <alignment wrapText="1"/>
    </xf>
    <xf numFmtId="0" fontId="6" fillId="16" borderId="145" xfId="0" applyFont="1" applyFill="1" applyBorder="1"/>
    <xf numFmtId="0" fontId="150" fillId="16" borderId="0" xfId="0" applyFont="1" applyFill="1"/>
    <xf numFmtId="0" fontId="6" fillId="0" borderId="164" xfId="0" applyFont="1" applyBorder="1" applyAlignment="1">
      <alignment wrapText="1"/>
    </xf>
    <xf numFmtId="10" fontId="151" fillId="91" borderId="38" xfId="0" applyNumberFormat="1" applyFont="1" applyFill="1" applyBorder="1"/>
    <xf numFmtId="9" fontId="151" fillId="91" borderId="38" xfId="2" applyFont="1" applyFill="1" applyBorder="1"/>
    <xf numFmtId="0" fontId="6" fillId="0" borderId="165" xfId="0" applyFont="1" applyBorder="1" applyAlignment="1">
      <alignment wrapText="1"/>
    </xf>
    <xf numFmtId="0" fontId="75" fillId="0" borderId="157" xfId="0" applyFont="1" applyBorder="1" applyAlignment="1">
      <alignment wrapText="1"/>
    </xf>
    <xf numFmtId="0" fontId="75" fillId="0" borderId="165" xfId="0" applyFont="1" applyBorder="1" applyAlignment="1">
      <alignment wrapText="1"/>
    </xf>
    <xf numFmtId="0" fontId="75" fillId="0" borderId="166" xfId="0" applyFont="1" applyBorder="1" applyAlignment="1">
      <alignment wrapText="1"/>
    </xf>
    <xf numFmtId="0" fontId="75" fillId="0" borderId="167" xfId="0" applyFont="1" applyBorder="1" applyAlignment="1">
      <alignment wrapText="1"/>
    </xf>
    <xf numFmtId="167" fontId="152" fillId="16" borderId="0" xfId="0" applyNumberFormat="1" applyFont="1" applyFill="1"/>
    <xf numFmtId="165" fontId="6" fillId="16" borderId="0" xfId="1" applyNumberFormat="1" applyFont="1" applyFill="1" applyAlignment="1">
      <alignment wrapText="1"/>
    </xf>
    <xf numFmtId="0" fontId="6" fillId="16" borderId="215" xfId="9106" applyFont="1" applyFill="1" applyBorder="1"/>
    <xf numFmtId="0" fontId="8" fillId="16" borderId="168" xfId="9106" applyFont="1" applyFill="1" applyBorder="1" applyAlignment="1">
      <alignment wrapText="1"/>
    </xf>
    <xf numFmtId="41" fontId="8" fillId="16" borderId="169" xfId="0" applyNumberFormat="1" applyFont="1" applyFill="1" applyBorder="1" applyAlignment="1">
      <alignment horizontal="left"/>
    </xf>
    <xf numFmtId="9" fontId="117" fillId="0" borderId="169" xfId="0" applyNumberFormat="1" applyFont="1" applyFill="1" applyBorder="1" applyAlignment="1">
      <alignment horizontal="left"/>
    </xf>
    <xf numFmtId="164" fontId="75" fillId="18" borderId="33" xfId="1" applyNumberFormat="1" applyFont="1" applyFill="1" applyBorder="1"/>
    <xf numFmtId="41" fontId="8" fillId="92" borderId="171" xfId="0" applyNumberFormat="1" applyFont="1" applyFill="1" applyBorder="1" applyAlignment="1">
      <alignment horizontal="left"/>
    </xf>
    <xf numFmtId="41" fontId="8" fillId="92" borderId="216" xfId="0" applyNumberFormat="1" applyFont="1" applyFill="1" applyBorder="1" applyAlignment="1">
      <alignment horizontal="left"/>
    </xf>
    <xf numFmtId="41" fontId="8" fillId="16" borderId="170" xfId="0" applyNumberFormat="1" applyFont="1" applyFill="1" applyBorder="1" applyAlignment="1">
      <alignment horizontal="left"/>
    </xf>
    <xf numFmtId="0" fontId="8" fillId="16" borderId="218" xfId="9107" applyFont="1" applyFill="1" applyBorder="1" applyAlignment="1">
      <alignment wrapText="1"/>
    </xf>
    <xf numFmtId="41" fontId="8" fillId="16" borderId="219" xfId="0" applyNumberFormat="1" applyFont="1" applyFill="1" applyBorder="1" applyAlignment="1">
      <alignment horizontal="left"/>
    </xf>
    <xf numFmtId="41" fontId="117" fillId="0" borderId="219" xfId="0" applyNumberFormat="1" applyFont="1" applyFill="1" applyBorder="1" applyAlignment="1">
      <alignment horizontal="left"/>
    </xf>
    <xf numFmtId="41" fontId="8" fillId="92" borderId="220" xfId="0" applyNumberFormat="1" applyFont="1" applyFill="1" applyBorder="1" applyAlignment="1">
      <alignment horizontal="left"/>
    </xf>
    <xf numFmtId="41" fontId="8" fillId="92" borderId="221" xfId="0" applyNumberFormat="1" applyFont="1" applyFill="1" applyBorder="1" applyAlignment="1">
      <alignment horizontal="left"/>
    </xf>
    <xf numFmtId="0" fontId="6" fillId="16" borderId="217" xfId="9107" applyFont="1" applyFill="1" applyBorder="1"/>
    <xf numFmtId="0" fontId="6" fillId="16" borderId="0" xfId="0" applyFont="1" applyFill="1" applyAlignment="1">
      <alignment horizontal="left" wrapText="1"/>
    </xf>
    <xf numFmtId="167" fontId="148" fillId="0" borderId="68" xfId="9105" applyNumberFormat="1" applyFont="1" applyBorder="1"/>
    <xf numFmtId="164" fontId="75" fillId="18" borderId="0" xfId="1" applyNumberFormat="1" applyFont="1" applyFill="1"/>
    <xf numFmtId="0" fontId="117" fillId="0" borderId="0" xfId="0" applyFont="1" applyFill="1" applyBorder="1" applyAlignment="1"/>
    <xf numFmtId="0" fontId="116" fillId="36" borderId="0" xfId="0" applyFont="1" applyFill="1" applyBorder="1" applyAlignment="1">
      <alignment horizontal="center" wrapText="1"/>
    </xf>
    <xf numFmtId="0" fontId="117" fillId="79" borderId="0" xfId="0" applyFont="1" applyFill="1" applyBorder="1" applyAlignment="1"/>
    <xf numFmtId="0" fontId="6" fillId="0" borderId="5" xfId="0" applyFont="1" applyBorder="1"/>
    <xf numFmtId="0" fontId="6" fillId="0" borderId="131" xfId="0" applyFont="1" applyBorder="1"/>
    <xf numFmtId="0" fontId="6" fillId="0" borderId="143" xfId="0" applyFont="1" applyBorder="1"/>
    <xf numFmtId="0" fontId="6" fillId="0" borderId="144" xfId="0" applyFont="1" applyBorder="1"/>
    <xf numFmtId="0" fontId="6" fillId="16" borderId="133" xfId="0" applyFont="1" applyFill="1" applyBorder="1"/>
    <xf numFmtId="0" fontId="153" fillId="16" borderId="208" xfId="0" applyFont="1" applyFill="1" applyBorder="1" applyAlignment="1">
      <alignment horizontal="center" wrapText="1"/>
    </xf>
    <xf numFmtId="0" fontId="153" fillId="16" borderId="209" xfId="0" applyFont="1" applyFill="1" applyBorder="1" applyAlignment="1">
      <alignment horizontal="center" wrapText="1"/>
    </xf>
    <xf numFmtId="0" fontId="153" fillId="16" borderId="210" xfId="0" applyFont="1" applyFill="1" applyBorder="1" applyAlignment="1">
      <alignment horizontal="center" wrapText="1"/>
    </xf>
    <xf numFmtId="0" fontId="153" fillId="16" borderId="211" xfId="0" applyFont="1" applyFill="1" applyBorder="1" applyAlignment="1">
      <alignment horizontal="center" wrapText="1"/>
    </xf>
    <xf numFmtId="0" fontId="153" fillId="16" borderId="212" xfId="0" applyFont="1" applyFill="1" applyBorder="1" applyAlignment="1">
      <alignment horizontal="center" wrapText="1"/>
    </xf>
    <xf numFmtId="9" fontId="104" fillId="0" borderId="210" xfId="2" applyFont="1" applyFill="1" applyBorder="1" applyAlignment="1">
      <alignment horizontal="center" wrapText="1"/>
    </xf>
    <xf numFmtId="0" fontId="153" fillId="92" borderId="213" xfId="0" applyFont="1" applyFill="1" applyBorder="1" applyAlignment="1">
      <alignment horizontal="center" wrapText="1"/>
    </xf>
    <xf numFmtId="0" fontId="153" fillId="92" borderId="214" xfId="0" applyFont="1" applyFill="1" applyBorder="1" applyAlignment="1">
      <alignment horizontal="center" wrapText="1"/>
    </xf>
    <xf numFmtId="0" fontId="128" fillId="17" borderId="7" xfId="0" applyFont="1" applyFill="1" applyBorder="1" applyAlignment="1">
      <alignment wrapText="1"/>
    </xf>
    <xf numFmtId="0" fontId="128" fillId="17" borderId="20" xfId="0" applyFont="1" applyFill="1" applyBorder="1" applyAlignment="1">
      <alignment wrapText="1"/>
    </xf>
    <xf numFmtId="0" fontId="128" fillId="17" borderId="21" xfId="0" applyFont="1" applyFill="1" applyBorder="1" applyAlignment="1">
      <alignment wrapText="1"/>
    </xf>
    <xf numFmtId="165" fontId="128" fillId="17" borderId="21" xfId="1" applyNumberFormat="1" applyFont="1" applyFill="1" applyBorder="1" applyAlignment="1">
      <alignment wrapText="1"/>
    </xf>
    <xf numFmtId="0" fontId="6" fillId="0" borderId="0" xfId="0" applyFont="1" applyFill="1"/>
    <xf numFmtId="0" fontId="2" fillId="16" borderId="297" xfId="3" applyFill="1" applyBorder="1"/>
    <xf numFmtId="0" fontId="0" fillId="16" borderId="0" xfId="0" applyFill="1" applyBorder="1" applyAlignment="1">
      <alignment horizontal="left" indent="1"/>
    </xf>
    <xf numFmtId="169" fontId="116" fillId="37" borderId="74" xfId="10" applyNumberFormat="1" applyFont="1" applyFill="1" applyBorder="1" applyAlignment="1">
      <alignment horizontal="center" wrapText="1" readingOrder="1"/>
    </xf>
    <xf numFmtId="0" fontId="0" fillId="0" borderId="0" xfId="0" applyAlignment="1">
      <alignment readingOrder="1"/>
    </xf>
    <xf numFmtId="169" fontId="0" fillId="16" borderId="0" xfId="0" applyNumberFormat="1" applyFill="1"/>
    <xf numFmtId="0" fontId="117" fillId="0" borderId="68" xfId="10" applyFont="1" applyBorder="1">
      <alignment readingOrder="1"/>
    </xf>
    <xf numFmtId="169" fontId="117" fillId="0" borderId="68" xfId="10" applyNumberFormat="1" applyFont="1" applyBorder="1">
      <alignment readingOrder="1"/>
    </xf>
    <xf numFmtId="9" fontId="1" fillId="16" borderId="68" xfId="2" applyFont="1" applyFill="1" applyBorder="1"/>
    <xf numFmtId="0" fontId="8" fillId="16" borderId="0" xfId="11" applyFont="1" applyFill="1" applyAlignment="1"/>
    <xf numFmtId="0" fontId="117" fillId="16" borderId="38" xfId="11" applyFont="1" applyFill="1" applyBorder="1" applyAlignment="1"/>
    <xf numFmtId="0" fontId="117" fillId="16" borderId="39" xfId="11" applyFont="1" applyFill="1" applyBorder="1" applyAlignment="1"/>
    <xf numFmtId="0" fontId="1" fillId="16" borderId="39" xfId="0" applyFont="1" applyFill="1" applyBorder="1"/>
    <xf numFmtId="0" fontId="1" fillId="16" borderId="40" xfId="0" applyFont="1" applyFill="1" applyBorder="1"/>
    <xf numFmtId="0" fontId="117" fillId="16" borderId="79" xfId="11" applyFont="1" applyFill="1" applyBorder="1" applyAlignment="1"/>
    <xf numFmtId="9" fontId="117" fillId="16" borderId="68" xfId="12" applyFont="1" applyFill="1" applyBorder="1"/>
    <xf numFmtId="164" fontId="1" fillId="16" borderId="68" xfId="1" applyNumberFormat="1" applyFont="1" applyFill="1" applyBorder="1"/>
    <xf numFmtId="164" fontId="1" fillId="16" borderId="80" xfId="1" applyNumberFormat="1" applyFont="1" applyFill="1" applyBorder="1"/>
    <xf numFmtId="0" fontId="117" fillId="16" borderId="257" xfId="11" applyFont="1" applyFill="1" applyBorder="1" applyAlignment="1"/>
    <xf numFmtId="9" fontId="117" fillId="16" borderId="77" xfId="11" applyNumberFormat="1" applyFont="1" applyFill="1" applyBorder="1" applyAlignment="1"/>
    <xf numFmtId="164" fontId="1" fillId="16" borderId="77" xfId="1" applyNumberFormat="1" applyFont="1" applyFill="1" applyBorder="1"/>
    <xf numFmtId="164" fontId="1" fillId="16" borderId="78" xfId="1" applyNumberFormat="1" applyFont="1" applyFill="1" applyBorder="1"/>
    <xf numFmtId="0" fontId="1" fillId="0" borderId="68" xfId="0" applyFont="1" applyBorder="1"/>
    <xf numFmtId="9" fontId="1" fillId="0" borderId="68" xfId="0" applyNumberFormat="1" applyFont="1" applyBorder="1"/>
    <xf numFmtId="9" fontId="1" fillId="0" borderId="0" xfId="0" applyNumberFormat="1" applyFont="1"/>
    <xf numFmtId="9" fontId="1" fillId="0" borderId="68" xfId="12" applyFont="1" applyBorder="1"/>
    <xf numFmtId="9" fontId="1" fillId="0" borderId="0" xfId="12" applyFont="1"/>
    <xf numFmtId="167" fontId="0" fillId="16" borderId="0" xfId="0" applyNumberFormat="1" applyFill="1"/>
    <xf numFmtId="0" fontId="93" fillId="16" borderId="298" xfId="0" applyFont="1" applyFill="1" applyBorder="1" applyAlignment="1">
      <alignment horizontal="center" wrapText="1"/>
    </xf>
    <xf numFmtId="178" fontId="96" fillId="16" borderId="169" xfId="0" applyNumberFormat="1" applyFont="1" applyFill="1" applyBorder="1" applyAlignment="1">
      <alignment horizontal="left"/>
    </xf>
    <xf numFmtId="0" fontId="75" fillId="16" borderId="256" xfId="0" applyFont="1" applyFill="1" applyBorder="1" applyAlignment="1">
      <alignment wrapText="1"/>
    </xf>
    <xf numFmtId="164" fontId="75" fillId="16" borderId="256" xfId="0" applyNumberFormat="1" applyFont="1" applyFill="1" applyBorder="1" applyAlignment="1">
      <alignment wrapText="1"/>
    </xf>
    <xf numFmtId="0" fontId="154" fillId="16" borderId="0" xfId="0" applyFont="1" applyFill="1"/>
    <xf numFmtId="0" fontId="86" fillId="0" borderId="68" xfId="0" applyFont="1" applyBorder="1"/>
    <xf numFmtId="0" fontId="86" fillId="16" borderId="68" xfId="0" applyFont="1" applyFill="1" applyBorder="1"/>
    <xf numFmtId="0" fontId="16" fillId="0" borderId="68" xfId="0" applyFont="1" applyBorder="1" applyAlignment="1">
      <alignment wrapText="1"/>
    </xf>
    <xf numFmtId="0" fontId="77" fillId="0" borderId="68" xfId="0" applyFont="1" applyBorder="1" applyAlignment="1">
      <alignment wrapText="1"/>
    </xf>
    <xf numFmtId="167" fontId="90" fillId="0" borderId="68" xfId="9105" applyNumberFormat="1" applyBorder="1"/>
    <xf numFmtId="0" fontId="8" fillId="23" borderId="68" xfId="0" applyFont="1" applyFill="1" applyBorder="1" applyAlignment="1">
      <alignment horizontal="left" wrapText="1"/>
    </xf>
    <xf numFmtId="9" fontId="151" fillId="91" borderId="68" xfId="0" applyNumberFormat="1" applyFont="1" applyFill="1" applyBorder="1"/>
    <xf numFmtId="0" fontId="99" fillId="97" borderId="0" xfId="0" applyFont="1" applyFill="1" applyAlignment="1">
      <alignment vertical="center" wrapText="1"/>
    </xf>
    <xf numFmtId="164" fontId="6" fillId="0" borderId="0" xfId="1" applyNumberFormat="1" applyFont="1"/>
    <xf numFmtId="0" fontId="130" fillId="16" borderId="0" xfId="0" applyFont="1" applyFill="1"/>
    <xf numFmtId="9" fontId="0" fillId="16" borderId="0" xfId="12" applyFont="1" applyFill="1" applyBorder="1"/>
    <xf numFmtId="43" fontId="6" fillId="16" borderId="0" xfId="1" applyFont="1" applyFill="1"/>
    <xf numFmtId="164" fontId="136" fillId="16" borderId="0" xfId="0" applyNumberFormat="1" applyFont="1" applyFill="1"/>
    <xf numFmtId="43" fontId="6" fillId="17" borderId="9" xfId="1" applyFont="1" applyFill="1" applyBorder="1"/>
    <xf numFmtId="0" fontId="145" fillId="16" borderId="0" xfId="0" applyFont="1" applyFill="1" applyBorder="1"/>
    <xf numFmtId="0" fontId="149" fillId="16" borderId="0" xfId="0" applyFont="1" applyFill="1"/>
    <xf numFmtId="0" fontId="119" fillId="16" borderId="0" xfId="0" applyFont="1" applyFill="1"/>
    <xf numFmtId="1" fontId="6" fillId="19" borderId="68" xfId="0" applyNumberFormat="1" applyFont="1" applyFill="1" applyBorder="1" applyAlignment="1">
      <alignment horizontal="center" vertical="center"/>
    </xf>
    <xf numFmtId="10" fontId="6" fillId="19" borderId="68" xfId="0" applyNumberFormat="1" applyFont="1" applyFill="1" applyBorder="1" applyAlignment="1">
      <alignment horizontal="center" vertical="center"/>
    </xf>
    <xf numFmtId="1" fontId="6" fillId="19" borderId="79" xfId="0" applyNumberFormat="1" applyFont="1" applyFill="1" applyBorder="1" applyAlignment="1">
      <alignment horizontal="center" vertical="center"/>
    </xf>
    <xf numFmtId="0" fontId="6" fillId="29" borderId="68" xfId="0" applyFont="1" applyFill="1" applyBorder="1" applyAlignment="1">
      <alignment horizontal="left" vertical="center"/>
    </xf>
    <xf numFmtId="10" fontId="6" fillId="29" borderId="68" xfId="0" applyNumberFormat="1" applyFont="1" applyFill="1" applyBorder="1" applyAlignment="1">
      <alignment horizontal="center" vertical="center"/>
    </xf>
    <xf numFmtId="1" fontId="6" fillId="29" borderId="79" xfId="0" applyNumberFormat="1" applyFont="1" applyFill="1" applyBorder="1" applyAlignment="1">
      <alignment horizontal="center" vertical="center"/>
    </xf>
    <xf numFmtId="0" fontId="6" fillId="31" borderId="68" xfId="0" applyFont="1" applyFill="1" applyBorder="1" applyAlignment="1">
      <alignment horizontal="left" vertical="center"/>
    </xf>
    <xf numFmtId="10" fontId="6" fillId="31" borderId="68" xfId="0" applyNumberFormat="1" applyFont="1" applyFill="1" applyBorder="1" applyAlignment="1">
      <alignment horizontal="center" vertical="center"/>
    </xf>
    <xf numFmtId="1" fontId="6" fillId="31" borderId="79" xfId="0" applyNumberFormat="1" applyFont="1" applyFill="1" applyBorder="1" applyAlignment="1">
      <alignment horizontal="center" vertical="center"/>
    </xf>
    <xf numFmtId="1" fontId="6" fillId="23" borderId="68" xfId="0" applyNumberFormat="1" applyFont="1" applyFill="1" applyBorder="1" applyAlignment="1">
      <alignment horizontal="center" vertical="center"/>
    </xf>
    <xf numFmtId="10" fontId="6" fillId="23" borderId="68" xfId="0" applyNumberFormat="1" applyFont="1" applyFill="1" applyBorder="1" applyAlignment="1">
      <alignment horizontal="center" vertical="center"/>
    </xf>
    <xf numFmtId="1" fontId="6" fillId="23" borderId="79" xfId="0" applyNumberFormat="1" applyFont="1" applyFill="1" applyBorder="1" applyAlignment="1">
      <alignment horizontal="center" vertical="center"/>
    </xf>
    <xf numFmtId="0" fontId="104" fillId="97" borderId="147" xfId="0" applyFont="1" applyFill="1" applyBorder="1" applyAlignment="1">
      <alignment horizontal="center" wrapText="1"/>
    </xf>
    <xf numFmtId="2" fontId="104" fillId="97" borderId="147" xfId="0" applyNumberFormat="1" applyFont="1" applyFill="1" applyBorder="1" applyAlignment="1">
      <alignment horizontal="center" wrapText="1"/>
    </xf>
    <xf numFmtId="0" fontId="104" fillId="97" borderId="146" xfId="0" applyFont="1" applyFill="1" applyBorder="1" applyAlignment="1">
      <alignment horizontal="center" wrapText="1"/>
    </xf>
    <xf numFmtId="0" fontId="104" fillId="97" borderId="5" xfId="0" applyFont="1" applyFill="1" applyBorder="1" applyAlignment="1">
      <alignment horizontal="center" wrapText="1"/>
    </xf>
    <xf numFmtId="0" fontId="104" fillId="97" borderId="131" xfId="0" applyFont="1" applyFill="1" applyBorder="1" applyAlignment="1">
      <alignment horizontal="center" wrapText="1"/>
    </xf>
    <xf numFmtId="9" fontId="104" fillId="97" borderId="6" xfId="0" applyNumberFormat="1" applyFont="1" applyFill="1" applyBorder="1" applyAlignment="1">
      <alignment horizontal="center" wrapText="1"/>
    </xf>
    <xf numFmtId="0" fontId="6" fillId="19" borderId="68" xfId="0" applyFont="1" applyFill="1" applyBorder="1" applyAlignment="1">
      <alignment horizontal="left" vertical="center"/>
    </xf>
    <xf numFmtId="1" fontId="6" fillId="19" borderId="68" xfId="1" applyNumberFormat="1" applyFont="1" applyFill="1" applyBorder="1" applyAlignment="1">
      <alignment horizontal="center" vertical="center"/>
    </xf>
    <xf numFmtId="1" fontId="6" fillId="19" borderId="73" xfId="1" applyNumberFormat="1" applyFont="1" applyFill="1" applyBorder="1" applyAlignment="1">
      <alignment horizontal="center" vertical="center"/>
    </xf>
    <xf numFmtId="9" fontId="6" fillId="19" borderId="73" xfId="2" applyFont="1" applyFill="1" applyBorder="1" applyAlignment="1">
      <alignment horizontal="center" vertical="center"/>
    </xf>
    <xf numFmtId="9" fontId="136" fillId="19" borderId="80" xfId="2" applyFont="1" applyFill="1" applyBorder="1" applyAlignment="1">
      <alignment horizontal="center" vertical="center"/>
    </xf>
    <xf numFmtId="1" fontId="6" fillId="29" borderId="68" xfId="1" applyNumberFormat="1" applyFont="1" applyFill="1" applyBorder="1" applyAlignment="1">
      <alignment horizontal="center" vertical="center"/>
    </xf>
    <xf numFmtId="1" fontId="6" fillId="29" borderId="73" xfId="1" applyNumberFormat="1" applyFont="1" applyFill="1" applyBorder="1" applyAlignment="1">
      <alignment horizontal="center" vertical="center"/>
    </xf>
    <xf numFmtId="9" fontId="6" fillId="29" borderId="73" xfId="2" applyFont="1" applyFill="1" applyBorder="1" applyAlignment="1">
      <alignment horizontal="center" vertical="center"/>
    </xf>
    <xf numFmtId="9" fontId="6" fillId="29" borderId="80" xfId="2" applyFont="1" applyFill="1" applyBorder="1" applyAlignment="1">
      <alignment horizontal="center" vertical="center"/>
    </xf>
    <xf numFmtId="0" fontId="6" fillId="23" borderId="68" xfId="0" applyFont="1" applyFill="1" applyBorder="1" applyAlignment="1">
      <alignment horizontal="left" vertical="center"/>
    </xf>
    <xf numFmtId="1" fontId="6" fillId="23" borderId="68" xfId="1" applyNumberFormat="1" applyFont="1" applyFill="1" applyBorder="1" applyAlignment="1">
      <alignment horizontal="center" vertical="center"/>
    </xf>
    <xf numFmtId="1" fontId="6" fillId="23" borderId="73" xfId="1" applyNumberFormat="1" applyFont="1" applyFill="1" applyBorder="1" applyAlignment="1">
      <alignment horizontal="center" vertical="center"/>
    </xf>
    <xf numFmtId="9" fontId="6" fillId="23" borderId="73" xfId="2" applyFont="1" applyFill="1" applyBorder="1" applyAlignment="1">
      <alignment horizontal="center" vertical="center"/>
    </xf>
    <xf numFmtId="9" fontId="136" fillId="23" borderId="80" xfId="2" applyFont="1" applyFill="1" applyBorder="1" applyAlignment="1">
      <alignment horizontal="center" vertical="center"/>
    </xf>
    <xf numFmtId="1" fontId="6" fillId="31" borderId="68" xfId="1" applyNumberFormat="1" applyFont="1" applyFill="1" applyBorder="1" applyAlignment="1">
      <alignment horizontal="center" vertical="center"/>
    </xf>
    <xf numFmtId="1" fontId="6" fillId="31" borderId="73" xfId="1" applyNumberFormat="1" applyFont="1" applyFill="1" applyBorder="1" applyAlignment="1">
      <alignment horizontal="center" vertical="center"/>
    </xf>
    <xf numFmtId="9" fontId="6" fillId="31" borderId="73" xfId="2" applyFont="1" applyFill="1" applyBorder="1" applyAlignment="1">
      <alignment horizontal="center" vertical="center"/>
    </xf>
    <xf numFmtId="9" fontId="6" fillId="31" borderId="80" xfId="2" applyFont="1" applyFill="1" applyBorder="1" applyAlignment="1">
      <alignment horizontal="center" vertical="center"/>
    </xf>
    <xf numFmtId="0" fontId="6" fillId="31" borderId="77" xfId="0" applyFont="1" applyFill="1" applyBorder="1" applyAlignment="1">
      <alignment horizontal="left" vertical="center"/>
    </xf>
    <xf numFmtId="1" fontId="6" fillId="31" borderId="77" xfId="1" applyNumberFormat="1" applyFont="1" applyFill="1" applyBorder="1" applyAlignment="1">
      <alignment horizontal="center" vertical="center"/>
    </xf>
    <xf numFmtId="1" fontId="6" fillId="31" borderId="201" xfId="1" applyNumberFormat="1" applyFont="1" applyFill="1" applyBorder="1" applyAlignment="1">
      <alignment horizontal="center" vertical="center"/>
    </xf>
    <xf numFmtId="9" fontId="6" fillId="31" borderId="201" xfId="2" applyFont="1" applyFill="1" applyBorder="1" applyAlignment="1">
      <alignment horizontal="center" vertical="center"/>
    </xf>
    <xf numFmtId="1" fontId="6" fillId="31" borderId="257" xfId="0" applyNumberFormat="1" applyFont="1" applyFill="1" applyBorder="1" applyAlignment="1">
      <alignment horizontal="center" vertical="center"/>
    </xf>
    <xf numFmtId="10" fontId="6" fillId="31" borderId="77" xfId="0" applyNumberFormat="1" applyFont="1" applyFill="1" applyBorder="1" applyAlignment="1">
      <alignment horizontal="center" vertical="center"/>
    </xf>
    <xf numFmtId="9" fontId="6" fillId="31" borderId="78" xfId="2" applyFont="1" applyFill="1" applyBorder="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vertical="center"/>
    </xf>
    <xf numFmtId="9" fontId="6" fillId="16" borderId="0" xfId="2" applyFont="1" applyFill="1"/>
    <xf numFmtId="0" fontId="75" fillId="16" borderId="75" xfId="0" applyFont="1" applyFill="1" applyBorder="1" applyAlignment="1">
      <alignment wrapText="1"/>
    </xf>
    <xf numFmtId="9" fontId="6" fillId="18" borderId="32" xfId="2" applyFont="1" applyFill="1" applyBorder="1"/>
    <xf numFmtId="9" fontId="6" fillId="18" borderId="34" xfId="2" applyFont="1" applyFill="1" applyBorder="1"/>
    <xf numFmtId="9" fontId="6" fillId="16" borderId="0" xfId="2" applyFont="1" applyFill="1" applyBorder="1"/>
    <xf numFmtId="0" fontId="6" fillId="16" borderId="0" xfId="0" applyFont="1" applyFill="1" applyAlignment="1">
      <alignment horizontal="left" wrapText="1"/>
    </xf>
    <xf numFmtId="0" fontId="108" fillId="97" borderId="0" xfId="0" applyFont="1" applyFill="1" applyAlignment="1">
      <alignment vertical="center" wrapText="1"/>
    </xf>
    <xf numFmtId="0" fontId="123" fillId="17" borderId="30" xfId="0" applyFont="1" applyFill="1" applyBorder="1" applyAlignment="1">
      <alignment wrapText="1"/>
    </xf>
    <xf numFmtId="0" fontId="123" fillId="17" borderId="0" xfId="0" applyFont="1" applyFill="1" applyBorder="1" applyAlignment="1">
      <alignment wrapText="1"/>
    </xf>
    <xf numFmtId="0" fontId="123" fillId="17" borderId="0" xfId="0" applyNumberFormat="1" applyFont="1" applyFill="1" applyBorder="1" applyAlignment="1">
      <alignment wrapText="1"/>
    </xf>
    <xf numFmtId="0" fontId="123" fillId="17" borderId="31" xfId="0" applyFont="1" applyFill="1" applyBorder="1" applyAlignment="1">
      <alignment wrapText="1"/>
    </xf>
    <xf numFmtId="0" fontId="157" fillId="17" borderId="7" xfId="0" applyFont="1" applyFill="1" applyBorder="1" applyAlignment="1">
      <alignment wrapText="1"/>
    </xf>
    <xf numFmtId="0" fontId="157" fillId="17" borderId="20" xfId="0" applyFont="1" applyFill="1" applyBorder="1" applyAlignment="1">
      <alignment wrapText="1"/>
    </xf>
    <xf numFmtId="0" fontId="157" fillId="17" borderId="21" xfId="0" applyFont="1" applyFill="1" applyBorder="1" applyAlignment="1">
      <alignment wrapText="1"/>
    </xf>
    <xf numFmtId="165" fontId="157" fillId="17" borderId="21" xfId="1" applyNumberFormat="1" applyFont="1" applyFill="1" applyBorder="1" applyAlignment="1">
      <alignment wrapText="1"/>
    </xf>
    <xf numFmtId="0" fontId="6" fillId="16" borderId="0" xfId="0" applyFont="1" applyFill="1" applyAlignment="1">
      <alignment vertical="center" wrapText="1"/>
    </xf>
    <xf numFmtId="0" fontId="6" fillId="16" borderId="30" xfId="209" applyFont="1" applyFill="1" applyBorder="1"/>
    <xf numFmtId="0" fontId="6" fillId="16" borderId="0" xfId="209" applyFont="1" applyFill="1" applyBorder="1"/>
    <xf numFmtId="0" fontId="6" fillId="16" borderId="32" xfId="209" applyFont="1" applyFill="1" applyBorder="1"/>
    <xf numFmtId="0" fontId="6" fillId="16" borderId="33" xfId="209" applyFont="1" applyFill="1" applyBorder="1"/>
    <xf numFmtId="0" fontId="6" fillId="16" borderId="149" xfId="209" applyFont="1" applyFill="1" applyBorder="1" applyAlignment="1">
      <alignment wrapText="1"/>
    </xf>
    <xf numFmtId="0" fontId="6" fillId="90" borderId="149" xfId="209" applyFont="1" applyFill="1" applyBorder="1" applyAlignment="1">
      <alignment wrapText="1"/>
    </xf>
    <xf numFmtId="0" fontId="6" fillId="90" borderId="75" xfId="209" applyFont="1" applyFill="1" applyBorder="1"/>
    <xf numFmtId="9" fontId="6" fillId="16" borderId="68" xfId="2" applyFont="1" applyFill="1" applyBorder="1"/>
    <xf numFmtId="0" fontId="6" fillId="16" borderId="0" xfId="209" applyFont="1" applyFill="1"/>
    <xf numFmtId="43" fontId="6" fillId="16" borderId="68" xfId="1" applyFont="1" applyFill="1" applyBorder="1"/>
    <xf numFmtId="9" fontId="131" fillId="16" borderId="0" xfId="209" applyNumberFormat="1" applyFont="1" applyFill="1" applyAlignment="1">
      <alignment horizontal="right"/>
    </xf>
    <xf numFmtId="0" fontId="117" fillId="0" borderId="0" xfId="8" applyFont="1" applyAlignment="1">
      <alignment horizontal="center"/>
    </xf>
    <xf numFmtId="0" fontId="116" fillId="16" borderId="0" xfId="209" applyFont="1" applyFill="1" applyBorder="1"/>
    <xf numFmtId="176" fontId="117" fillId="0" borderId="68" xfId="9104" applyNumberFormat="1" applyFont="1" applyFill="1" applyBorder="1" applyAlignment="1"/>
    <xf numFmtId="0" fontId="116" fillId="16" borderId="33" xfId="209" applyFont="1" applyFill="1" applyBorder="1"/>
    <xf numFmtId="0" fontId="116" fillId="16" borderId="81" xfId="209" applyFont="1" applyFill="1" applyBorder="1"/>
    <xf numFmtId="0" fontId="116" fillId="16" borderId="30" xfId="209" applyFont="1" applyFill="1" applyBorder="1"/>
    <xf numFmtId="0" fontId="116" fillId="90" borderId="0" xfId="209" applyFont="1" applyFill="1" applyBorder="1"/>
    <xf numFmtId="0" fontId="116" fillId="90" borderId="31" xfId="209" applyFont="1" applyFill="1" applyBorder="1"/>
    <xf numFmtId="0" fontId="116" fillId="16" borderId="0" xfId="209" applyFont="1" applyFill="1"/>
    <xf numFmtId="43" fontId="116" fillId="90" borderId="68" xfId="209" applyNumberFormat="1" applyFont="1" applyFill="1" applyBorder="1"/>
    <xf numFmtId="9" fontId="116" fillId="16" borderId="68" xfId="209" applyNumberFormat="1" applyFont="1" applyFill="1" applyBorder="1"/>
    <xf numFmtId="0" fontId="154" fillId="0" borderId="0" xfId="0" applyFont="1"/>
    <xf numFmtId="165" fontId="157" fillId="19" borderId="21" xfId="1" applyNumberFormat="1" applyFont="1" applyFill="1" applyBorder="1" applyAlignment="1">
      <alignment wrapText="1"/>
    </xf>
    <xf numFmtId="0" fontId="6" fillId="19" borderId="0" xfId="0" applyFont="1" applyFill="1"/>
    <xf numFmtId="43" fontId="6" fillId="17" borderId="9" xfId="1" applyNumberFormat="1" applyFont="1" applyFill="1" applyBorder="1"/>
    <xf numFmtId="0" fontId="6" fillId="17" borderId="308" xfId="0" applyFont="1" applyFill="1" applyBorder="1" applyAlignment="1">
      <alignment wrapText="1"/>
    </xf>
    <xf numFmtId="43" fontId="6" fillId="17" borderId="189" xfId="1" applyNumberFormat="1" applyFont="1" applyFill="1" applyBorder="1"/>
    <xf numFmtId="0" fontId="128" fillId="17" borderId="32" xfId="0" applyFont="1" applyFill="1" applyBorder="1" applyAlignment="1">
      <alignment wrapText="1"/>
    </xf>
    <xf numFmtId="0" fontId="128" fillId="17" borderId="33" xfId="0" applyFont="1" applyFill="1" applyBorder="1" applyAlignment="1">
      <alignment wrapText="1"/>
    </xf>
    <xf numFmtId="0" fontId="128" fillId="17" borderId="34" xfId="0" applyFont="1" applyFill="1" applyBorder="1" applyAlignment="1">
      <alignment wrapText="1"/>
    </xf>
    <xf numFmtId="165" fontId="128" fillId="17" borderId="34" xfId="1" applyNumberFormat="1" applyFont="1" applyFill="1" applyBorder="1" applyAlignment="1">
      <alignment wrapText="1"/>
    </xf>
    <xf numFmtId="0" fontId="99" fillId="16" borderId="0" xfId="0" applyFont="1" applyFill="1"/>
    <xf numFmtId="0" fontId="6" fillId="0" borderId="30" xfId="0" applyFont="1" applyBorder="1"/>
    <xf numFmtId="0" fontId="6" fillId="0" borderId="0" xfId="0" applyFont="1" applyFill="1" applyBorder="1" applyAlignment="1">
      <alignment wrapText="1"/>
    </xf>
    <xf numFmtId="0" fontId="6" fillId="0" borderId="0" xfId="0" applyFont="1" applyFill="1" applyBorder="1"/>
    <xf numFmtId="0" fontId="158" fillId="79" borderId="7" xfId="0" applyFont="1" applyFill="1" applyBorder="1" applyAlignment="1">
      <alignment wrapText="1"/>
    </xf>
    <xf numFmtId="0" fontId="158" fillId="79" borderId="20" xfId="0" applyFont="1" applyFill="1" applyBorder="1" applyAlignment="1">
      <alignment wrapText="1"/>
    </xf>
    <xf numFmtId="0" fontId="158" fillId="79" borderId="21" xfId="0" applyFont="1" applyFill="1" applyBorder="1" applyAlignment="1">
      <alignment wrapText="1"/>
    </xf>
    <xf numFmtId="165" fontId="158" fillId="79" borderId="21" xfId="1" applyNumberFormat="1" applyFont="1" applyFill="1" applyBorder="1" applyAlignment="1">
      <alignment wrapText="1"/>
    </xf>
    <xf numFmtId="0" fontId="123" fillId="26" borderId="30" xfId="0" applyFont="1" applyFill="1" applyBorder="1" applyAlignment="1"/>
    <xf numFmtId="0" fontId="123" fillId="27" borderId="0" xfId="0" applyNumberFormat="1" applyFont="1" applyFill="1" applyBorder="1" applyAlignment="1"/>
    <xf numFmtId="0" fontId="123" fillId="27" borderId="31" xfId="0" applyNumberFormat="1" applyFont="1" applyFill="1" applyBorder="1" applyAlignment="1"/>
    <xf numFmtId="164" fontId="6" fillId="17" borderId="24" xfId="0" applyNumberFormat="1" applyFont="1" applyFill="1" applyBorder="1" applyAlignment="1"/>
    <xf numFmtId="164" fontId="107" fillId="17" borderId="123" xfId="4" applyNumberFormat="1" applyFont="1" applyFill="1" applyBorder="1" applyAlignment="1"/>
    <xf numFmtId="0" fontId="123" fillId="26" borderId="132" xfId="0" applyFont="1" applyFill="1" applyBorder="1" applyAlignment="1"/>
    <xf numFmtId="0" fontId="145" fillId="16" borderId="0" xfId="0" applyFont="1" applyFill="1" applyAlignment="1">
      <alignment horizontal="right" wrapText="1"/>
    </xf>
    <xf numFmtId="0" fontId="8" fillId="0" borderId="0" xfId="0" applyFont="1" applyFill="1" applyAlignment="1">
      <alignment vertical="center" wrapText="1"/>
    </xf>
    <xf numFmtId="0" fontId="138" fillId="16" borderId="0" xfId="3" applyFont="1" applyFill="1" applyBorder="1"/>
    <xf numFmtId="0" fontId="75" fillId="79" borderId="68" xfId="0" applyFont="1" applyFill="1" applyBorder="1" applyAlignment="1">
      <alignment horizontal="center"/>
    </xf>
    <xf numFmtId="0" fontId="6" fillId="0" borderId="68" xfId="0" applyFont="1" applyBorder="1" applyAlignment="1">
      <alignment horizontal="center"/>
    </xf>
    <xf numFmtId="0" fontId="131" fillId="0" borderId="0" xfId="0" applyFont="1"/>
    <xf numFmtId="0" fontId="108" fillId="97" borderId="222" xfId="0" applyFont="1" applyFill="1" applyBorder="1" applyAlignment="1">
      <alignment vertical="center" wrapText="1"/>
    </xf>
    <xf numFmtId="165" fontId="6" fillId="16" borderId="0" xfId="0" applyNumberFormat="1" applyFont="1" applyFill="1"/>
    <xf numFmtId="43" fontId="160" fillId="16" borderId="0" xfId="0" applyNumberFormat="1" applyFont="1" applyFill="1"/>
    <xf numFmtId="164" fontId="119" fillId="16" borderId="0" xfId="0" applyNumberFormat="1" applyFont="1" applyFill="1"/>
    <xf numFmtId="0" fontId="15" fillId="97" borderId="0" xfId="0" applyFont="1" applyFill="1" applyAlignment="1">
      <alignment vertical="center" wrapText="1"/>
    </xf>
    <xf numFmtId="0" fontId="80" fillId="17" borderId="7" xfId="0" applyFont="1" applyFill="1" applyBorder="1" applyAlignment="1">
      <alignment wrapText="1"/>
    </xf>
    <xf numFmtId="0" fontId="80" fillId="17" borderId="20" xfId="0" applyFont="1" applyFill="1" applyBorder="1" applyAlignment="1">
      <alignment wrapText="1"/>
    </xf>
    <xf numFmtId="0" fontId="80" fillId="17" borderId="21" xfId="0" applyFont="1" applyFill="1" applyBorder="1" applyAlignment="1">
      <alignment wrapText="1"/>
    </xf>
    <xf numFmtId="165" fontId="80" fillId="17" borderId="21" xfId="1" applyNumberFormat="1" applyFont="1" applyFill="1" applyBorder="1" applyAlignment="1">
      <alignment wrapText="1"/>
    </xf>
    <xf numFmtId="0" fontId="108" fillId="97" borderId="311" xfId="0" applyFont="1" applyFill="1" applyBorder="1" applyAlignment="1">
      <alignment vertical="center" wrapText="1"/>
    </xf>
    <xf numFmtId="0" fontId="157" fillId="17" borderId="7" xfId="0" applyFont="1" applyFill="1" applyBorder="1" applyAlignment="1">
      <alignment horizontal="center" wrapText="1"/>
    </xf>
    <xf numFmtId="0" fontId="157" fillId="17" borderId="20" xfId="0" applyFont="1" applyFill="1" applyBorder="1" applyAlignment="1">
      <alignment horizontal="center" wrapText="1"/>
    </xf>
    <xf numFmtId="0" fontId="157" fillId="17" borderId="21" xfId="0" applyFont="1" applyFill="1" applyBorder="1" applyAlignment="1">
      <alignment horizontal="center" wrapText="1"/>
    </xf>
    <xf numFmtId="167" fontId="6" fillId="0" borderId="0" xfId="2" applyNumberFormat="1" applyFont="1"/>
    <xf numFmtId="43" fontId="6" fillId="102" borderId="0" xfId="0" applyNumberFormat="1" applyFont="1" applyFill="1"/>
    <xf numFmtId="0" fontId="8" fillId="0" borderId="0" xfId="0" applyFont="1"/>
    <xf numFmtId="0" fontId="162" fillId="0" borderId="0" xfId="0" applyFont="1"/>
    <xf numFmtId="43" fontId="163" fillId="0" borderId="323" xfId="1" applyFont="1" applyFill="1" applyBorder="1"/>
    <xf numFmtId="43" fontId="163" fillId="0" borderId="324" xfId="1" applyFont="1" applyFill="1" applyBorder="1"/>
    <xf numFmtId="43" fontId="163" fillId="0" borderId="325" xfId="1" applyFont="1" applyFill="1" applyBorder="1"/>
    <xf numFmtId="43" fontId="163" fillId="0" borderId="327" xfId="1" applyFont="1" applyFill="1" applyBorder="1"/>
    <xf numFmtId="43" fontId="163" fillId="0" borderId="334" xfId="1" applyFont="1" applyFill="1" applyBorder="1"/>
    <xf numFmtId="43" fontId="163" fillId="0" borderId="336" xfId="1" applyFont="1" applyFill="1" applyBorder="1"/>
    <xf numFmtId="43" fontId="163" fillId="17" borderId="74" xfId="0" applyNumberFormat="1" applyFont="1" applyFill="1" applyBorder="1"/>
    <xf numFmtId="43" fontId="163" fillId="17" borderId="338" xfId="0" applyNumberFormat="1" applyFont="1" applyFill="1" applyBorder="1"/>
    <xf numFmtId="43" fontId="163" fillId="17" borderId="339" xfId="0" applyNumberFormat="1" applyFont="1" applyFill="1" applyBorder="1"/>
    <xf numFmtId="49" fontId="8" fillId="0" borderId="0" xfId="1" applyNumberFormat="1" applyFont="1"/>
    <xf numFmtId="0" fontId="8" fillId="0" borderId="30" xfId="0" applyFont="1" applyBorder="1"/>
    <xf numFmtId="0" fontId="165" fillId="0" borderId="318" xfId="0" applyFont="1" applyBorder="1" applyAlignment="1">
      <alignment horizontal="center" wrapText="1"/>
    </xf>
    <xf numFmtId="9" fontId="8" fillId="0" borderId="0" xfId="2" applyFont="1"/>
    <xf numFmtId="0" fontId="128" fillId="102" borderId="301" xfId="0" applyFont="1" applyFill="1" applyBorder="1"/>
    <xf numFmtId="43" fontId="128" fillId="0" borderId="323" xfId="1" applyFont="1" applyFill="1" applyBorder="1"/>
    <xf numFmtId="9" fontId="8" fillId="18" borderId="0" xfId="2" applyFont="1" applyFill="1"/>
    <xf numFmtId="0" fontId="128" fillId="19" borderId="301" xfId="0" applyFont="1" applyFill="1" applyBorder="1"/>
    <xf numFmtId="43" fontId="128" fillId="0" borderId="325" xfId="1" applyFont="1" applyFill="1" applyBorder="1"/>
    <xf numFmtId="43" fontId="128" fillId="0" borderId="326" xfId="1" applyFont="1" applyFill="1" applyBorder="1"/>
    <xf numFmtId="0" fontId="128" fillId="102" borderId="302" xfId="0" applyFont="1" applyFill="1" applyBorder="1"/>
    <xf numFmtId="0" fontId="128" fillId="0" borderId="73" xfId="0" applyFont="1" applyBorder="1"/>
    <xf numFmtId="0" fontId="138" fillId="17" borderId="198" xfId="0" applyFont="1" applyFill="1" applyBorder="1"/>
    <xf numFmtId="0" fontId="138" fillId="17" borderId="47" xfId="0" applyFont="1" applyFill="1" applyBorder="1"/>
    <xf numFmtId="43" fontId="128" fillId="17" borderId="199" xfId="0" applyNumberFormat="1" applyFont="1" applyFill="1" applyBorder="1"/>
    <xf numFmtId="43" fontId="138" fillId="17" borderId="256" xfId="0" applyNumberFormat="1" applyFont="1" applyFill="1" applyBorder="1"/>
    <xf numFmtId="43" fontId="138" fillId="17" borderId="337" xfId="0" applyNumberFormat="1" applyFont="1" applyFill="1" applyBorder="1"/>
    <xf numFmtId="43" fontId="138" fillId="17" borderId="338" xfId="0" applyNumberFormat="1" applyFont="1" applyFill="1" applyBorder="1"/>
    <xf numFmtId="43" fontId="6" fillId="0" borderId="0" xfId="0" applyNumberFormat="1" applyFont="1"/>
    <xf numFmtId="43" fontId="138" fillId="102" borderId="73" xfId="0" applyNumberFormat="1" applyFont="1" applyFill="1" applyBorder="1"/>
    <xf numFmtId="43" fontId="8" fillId="0" borderId="0" xfId="1" applyFont="1"/>
    <xf numFmtId="0" fontId="25" fillId="0" borderId="255" xfId="0" applyFont="1" applyBorder="1" applyAlignment="1">
      <alignment vertical="center" wrapText="1"/>
    </xf>
    <xf numFmtId="43" fontId="4" fillId="21" borderId="73" xfId="0" applyNumberFormat="1" applyFont="1" applyFill="1" applyBorder="1"/>
    <xf numFmtId="2" fontId="4" fillId="21" borderId="68" xfId="0" applyNumberFormat="1" applyFont="1" applyFill="1" applyBorder="1" applyAlignment="1">
      <alignment horizontal="center"/>
    </xf>
    <xf numFmtId="43" fontId="4" fillId="102" borderId="73" xfId="1" applyFont="1" applyFill="1" applyBorder="1" applyAlignment="1">
      <alignment horizontal="center" wrapText="1"/>
    </xf>
    <xf numFmtId="0" fontId="87" fillId="97" borderId="30" xfId="0" applyFont="1" applyFill="1" applyBorder="1" applyAlignment="1">
      <alignment horizontal="center"/>
    </xf>
    <xf numFmtId="0" fontId="87" fillId="97" borderId="130" xfId="0" applyFont="1" applyFill="1" applyBorder="1" applyAlignment="1">
      <alignment horizontal="center"/>
    </xf>
    <xf numFmtId="0" fontId="119" fillId="0" borderId="0" xfId="0" applyFont="1"/>
    <xf numFmtId="43" fontId="131" fillId="0" borderId="290" xfId="1" applyFont="1" applyBorder="1" applyAlignment="1">
      <alignment horizontal="left"/>
    </xf>
    <xf numFmtId="43" fontId="131" fillId="0" borderId="275" xfId="1" applyFont="1" applyBorder="1" applyAlignment="1">
      <alignment horizontal="left"/>
    </xf>
    <xf numFmtId="43" fontId="131" fillId="0" borderId="281" xfId="0" applyNumberFormat="1" applyFont="1" applyBorder="1" applyAlignment="1">
      <alignment horizontal="left" indent="1"/>
    </xf>
    <xf numFmtId="43" fontId="131" fillId="0" borderId="291" xfId="1" applyFont="1" applyFill="1" applyBorder="1" applyAlignment="1">
      <alignment horizontal="left"/>
    </xf>
    <xf numFmtId="43" fontId="131" fillId="0" borderId="290" xfId="1" applyFont="1" applyFill="1" applyBorder="1" applyAlignment="1">
      <alignment horizontal="left"/>
    </xf>
    <xf numFmtId="43" fontId="131" fillId="0" borderId="275" xfId="1" applyFont="1" applyFill="1" applyBorder="1" applyAlignment="1">
      <alignment horizontal="left"/>
    </xf>
    <xf numFmtId="43" fontId="6" fillId="0" borderId="341" xfId="0" applyNumberFormat="1" applyFont="1" applyBorder="1" applyAlignment="1">
      <alignment horizontal="left"/>
    </xf>
    <xf numFmtId="43" fontId="161" fillId="0" borderId="291" xfId="1" applyFont="1" applyFill="1" applyBorder="1" applyAlignment="1">
      <alignment horizontal="left"/>
    </xf>
    <xf numFmtId="43" fontId="161" fillId="0" borderId="290" xfId="1" applyFont="1" applyFill="1" applyBorder="1" applyAlignment="1">
      <alignment horizontal="left"/>
    </xf>
    <xf numFmtId="43" fontId="161" fillId="0" borderId="275" xfId="1" applyFont="1" applyFill="1" applyBorder="1" applyAlignment="1">
      <alignment horizontal="left"/>
    </xf>
    <xf numFmtId="43" fontId="8" fillId="17" borderId="0" xfId="0" applyNumberFormat="1" applyFont="1" applyFill="1" applyBorder="1"/>
    <xf numFmtId="43" fontId="8" fillId="102" borderId="0" xfId="0" applyNumberFormat="1" applyFont="1" applyFill="1" applyBorder="1"/>
    <xf numFmtId="43" fontId="101" fillId="0" borderId="290" xfId="1" applyFont="1" applyBorder="1" applyAlignment="1">
      <alignment horizontal="left"/>
    </xf>
    <xf numFmtId="43" fontId="101" fillId="0" borderId="275" xfId="1" applyFont="1" applyBorder="1" applyAlignment="1">
      <alignment horizontal="left"/>
    </xf>
    <xf numFmtId="43" fontId="101" fillId="0" borderId="291" xfId="1" applyFont="1" applyFill="1" applyBorder="1" applyAlignment="1">
      <alignment horizontal="left"/>
    </xf>
    <xf numFmtId="43" fontId="8" fillId="0" borderId="292" xfId="1" applyFont="1" applyBorder="1" applyAlignment="1">
      <alignment horizontal="left"/>
    </xf>
    <xf numFmtId="43" fontId="8" fillId="0" borderId="293" xfId="1" applyFont="1" applyBorder="1" applyAlignment="1">
      <alignment horizontal="left"/>
    </xf>
    <xf numFmtId="43" fontId="8" fillId="0" borderId="294" xfId="1" applyFont="1" applyBorder="1" applyAlignment="1">
      <alignment horizontal="left"/>
    </xf>
    <xf numFmtId="43" fontId="6" fillId="0" borderId="281" xfId="0" applyNumberFormat="1" applyFont="1" applyBorder="1" applyAlignment="1">
      <alignment horizontal="left" indent="1"/>
    </xf>
    <xf numFmtId="43" fontId="161" fillId="0" borderId="281" xfId="0" applyNumberFormat="1" applyFont="1" applyBorder="1" applyAlignment="1">
      <alignment horizontal="left" indent="2"/>
    </xf>
    <xf numFmtId="43" fontId="161" fillId="0" borderId="281" xfId="0" applyNumberFormat="1" applyFont="1" applyBorder="1" applyAlignment="1">
      <alignment horizontal="left" wrapText="1" indent="2"/>
    </xf>
    <xf numFmtId="43" fontId="6" fillId="16" borderId="280" xfId="0" applyNumberFormat="1" applyFont="1" applyFill="1" applyBorder="1" applyAlignment="1">
      <alignment horizontal="left" indent="1"/>
    </xf>
    <xf numFmtId="43" fontId="6" fillId="16" borderId="0" xfId="0" applyNumberFormat="1" applyFont="1" applyFill="1" applyBorder="1"/>
    <xf numFmtId="43" fontId="6" fillId="16" borderId="340" xfId="0" applyNumberFormat="1" applyFont="1" applyFill="1" applyBorder="1"/>
    <xf numFmtId="43" fontId="75" fillId="17" borderId="280" xfId="0" applyNumberFormat="1" applyFont="1" applyFill="1" applyBorder="1" applyAlignment="1">
      <alignment horizontal="left"/>
    </xf>
    <xf numFmtId="43" fontId="75" fillId="17" borderId="0" xfId="0" applyNumberFormat="1" applyFont="1" applyFill="1" applyBorder="1"/>
    <xf numFmtId="43" fontId="75" fillId="102" borderId="340" xfId="0" applyNumberFormat="1" applyFont="1" applyFill="1" applyBorder="1"/>
    <xf numFmtId="0" fontId="101" fillId="0" borderId="0" xfId="0" applyFont="1" applyAlignment="1">
      <alignment horizontal="left" wrapText="1"/>
    </xf>
    <xf numFmtId="0" fontId="169" fillId="16" borderId="0" xfId="0" applyFont="1" applyFill="1" applyAlignment="1">
      <alignment vertical="center"/>
    </xf>
    <xf numFmtId="43" fontId="138" fillId="17" borderId="280" xfId="0" applyNumberFormat="1" applyFont="1" applyFill="1" applyBorder="1" applyAlignment="1">
      <alignment horizontal="left"/>
    </xf>
    <xf numFmtId="43" fontId="138" fillId="0" borderId="281" xfId="0" applyNumberFormat="1" applyFont="1" applyBorder="1" applyAlignment="1">
      <alignment horizontal="left"/>
    </xf>
    <xf numFmtId="43" fontId="138" fillId="0" borderId="282" xfId="0" applyNumberFormat="1" applyFont="1" applyBorder="1" applyAlignment="1">
      <alignment horizontal="left"/>
    </xf>
    <xf numFmtId="43" fontId="128" fillId="17" borderId="288" xfId="1" applyFont="1" applyFill="1" applyBorder="1" applyAlignment="1">
      <alignment horizontal="left"/>
    </xf>
    <xf numFmtId="43" fontId="128" fillId="17" borderId="276" xfId="1" applyFont="1" applyFill="1" applyBorder="1" applyAlignment="1">
      <alignment horizontal="left"/>
    </xf>
    <xf numFmtId="43" fontId="128" fillId="102" borderId="289" xfId="1" applyFont="1" applyFill="1" applyBorder="1" applyAlignment="1">
      <alignment horizontal="left"/>
    </xf>
    <xf numFmtId="43" fontId="128" fillId="0" borderId="290" xfId="1" applyFont="1" applyBorder="1" applyAlignment="1">
      <alignment horizontal="left"/>
    </xf>
    <xf numFmtId="43" fontId="128" fillId="0" borderId="275" xfId="1" applyFont="1" applyBorder="1" applyAlignment="1">
      <alignment horizontal="left"/>
    </xf>
    <xf numFmtId="43" fontId="128" fillId="0" borderId="291" xfId="1" applyFont="1" applyBorder="1" applyAlignment="1">
      <alignment horizontal="left"/>
    </xf>
    <xf numFmtId="43" fontId="128" fillId="0" borderId="292" xfId="1" applyFont="1" applyBorder="1" applyAlignment="1">
      <alignment horizontal="left"/>
    </xf>
    <xf numFmtId="43" fontId="128" fillId="0" borderId="293" xfId="1" applyFont="1" applyBorder="1" applyAlignment="1">
      <alignment horizontal="left"/>
    </xf>
    <xf numFmtId="43" fontId="128" fillId="0" borderId="294" xfId="1" applyFont="1" applyBorder="1" applyAlignment="1">
      <alignment horizontal="left"/>
    </xf>
    <xf numFmtId="43" fontId="6" fillId="0" borderId="0" xfId="1" applyFont="1" applyBorder="1" applyAlignment="1">
      <alignment horizontal="left"/>
    </xf>
    <xf numFmtId="43" fontId="8" fillId="0" borderId="0" xfId="1" applyFont="1" applyBorder="1" applyAlignment="1">
      <alignment horizontal="left"/>
    </xf>
    <xf numFmtId="43" fontId="82" fillId="0" borderId="0" xfId="0" applyNumberFormat="1" applyFont="1" applyBorder="1" applyAlignment="1">
      <alignment horizontal="left"/>
    </xf>
    <xf numFmtId="0" fontId="128" fillId="17" borderId="20" xfId="0" applyFont="1" applyFill="1" applyBorder="1" applyAlignment="1">
      <alignment horizontal="center" wrapText="1"/>
    </xf>
    <xf numFmtId="43" fontId="6" fillId="17" borderId="122" xfId="1" applyNumberFormat="1" applyFont="1" applyFill="1" applyBorder="1"/>
    <xf numFmtId="43" fontId="6" fillId="17" borderId="123" xfId="1" applyNumberFormat="1" applyFont="1" applyFill="1" applyBorder="1"/>
    <xf numFmtId="43" fontId="6" fillId="17" borderId="124" xfId="1" applyNumberFormat="1" applyFont="1" applyFill="1" applyBorder="1"/>
    <xf numFmtId="0" fontId="19" fillId="0" borderId="0" xfId="479"/>
    <xf numFmtId="0" fontId="171" fillId="0" borderId="0" xfId="479" applyFont="1" applyAlignment="1">
      <alignment wrapText="1"/>
    </xf>
    <xf numFmtId="0" fontId="23" fillId="0" borderId="0" xfId="479" applyFont="1"/>
    <xf numFmtId="0" fontId="6" fillId="16" borderId="178" xfId="0" applyFont="1" applyFill="1" applyBorder="1"/>
    <xf numFmtId="14" fontId="6" fillId="16" borderId="178" xfId="0" applyNumberFormat="1" applyFont="1" applyFill="1" applyBorder="1"/>
    <xf numFmtId="0" fontId="22" fillId="17" borderId="33" xfId="9108" applyFill="1" applyBorder="1" applyAlignment="1">
      <alignment wrapText="1"/>
    </xf>
    <xf numFmtId="0" fontId="5" fillId="96" borderId="178" xfId="0" applyFont="1" applyFill="1" applyBorder="1" applyAlignment="1">
      <alignment horizontal="center" wrapText="1"/>
    </xf>
    <xf numFmtId="164" fontId="5" fillId="96" borderId="178" xfId="0" applyNumberFormat="1" applyFont="1" applyFill="1" applyBorder="1" applyAlignment="1">
      <alignment horizontal="center" wrapText="1"/>
    </xf>
    <xf numFmtId="164" fontId="6" fillId="16" borderId="178" xfId="0" applyNumberFormat="1" applyFont="1" applyFill="1" applyBorder="1"/>
    <xf numFmtId="0" fontId="22" fillId="17" borderId="7" xfId="9108" applyFill="1" applyBorder="1" applyAlignment="1">
      <alignment wrapText="1"/>
    </xf>
    <xf numFmtId="0" fontId="99" fillId="34" borderId="73" xfId="0" applyFont="1" applyFill="1" applyBorder="1" applyAlignment="1">
      <alignment horizontal="center"/>
    </xf>
    <xf numFmtId="0" fontId="99" fillId="34" borderId="74" xfId="0" applyFont="1" applyFill="1" applyBorder="1" applyAlignment="1">
      <alignment horizontal="center"/>
    </xf>
    <xf numFmtId="43" fontId="128" fillId="16" borderId="322" xfId="1" applyFont="1" applyFill="1" applyBorder="1"/>
    <xf numFmtId="43" fontId="163" fillId="16" borderId="323" xfId="1" applyFont="1" applyFill="1" applyBorder="1"/>
    <xf numFmtId="43" fontId="128" fillId="16" borderId="323" xfId="1" applyFont="1" applyFill="1" applyBorder="1"/>
    <xf numFmtId="43" fontId="163" fillId="16" borderId="324" xfId="1" applyFont="1" applyFill="1" applyBorder="1"/>
    <xf numFmtId="43" fontId="128" fillId="16" borderId="326" xfId="1" applyFont="1" applyFill="1" applyBorder="1"/>
    <xf numFmtId="43" fontId="163" fillId="16" borderId="327" xfId="1" applyFont="1" applyFill="1" applyBorder="1"/>
    <xf numFmtId="43" fontId="128" fillId="16" borderId="331" xfId="1" applyFont="1" applyFill="1" applyBorder="1"/>
    <xf numFmtId="43" fontId="163" fillId="16" borderId="333" xfId="1" applyFont="1" applyFill="1" applyBorder="1"/>
    <xf numFmtId="43" fontId="128" fillId="16" borderId="333" xfId="1" applyFont="1" applyFill="1" applyBorder="1"/>
    <xf numFmtId="43" fontId="163" fillId="16" borderId="334" xfId="1" applyFont="1" applyFill="1" applyBorder="1"/>
    <xf numFmtId="43" fontId="75" fillId="102" borderId="0" xfId="0" applyNumberFormat="1" applyFont="1" applyFill="1" applyBorder="1"/>
    <xf numFmtId="43" fontId="75" fillId="0" borderId="0" xfId="0" applyNumberFormat="1" applyFont="1"/>
    <xf numFmtId="43" fontId="138" fillId="102" borderId="289" xfId="1" applyFont="1" applyFill="1" applyBorder="1" applyAlignment="1">
      <alignment horizontal="left"/>
    </xf>
    <xf numFmtId="166" fontId="6" fillId="17" borderId="25" xfId="0" applyNumberFormat="1" applyFont="1" applyFill="1" applyBorder="1"/>
    <xf numFmtId="0" fontId="8" fillId="17" borderId="124" xfId="0" applyFont="1" applyFill="1" applyBorder="1" applyAlignment="1"/>
    <xf numFmtId="0" fontId="172" fillId="0" borderId="0" xfId="0" applyFont="1"/>
    <xf numFmtId="0" fontId="6" fillId="0" borderId="361" xfId="0" applyFont="1" applyFill="1" applyBorder="1" applyAlignment="1"/>
    <xf numFmtId="164" fontId="146" fillId="0" borderId="360" xfId="9108" applyNumberFormat="1" applyFont="1" applyFill="1" applyBorder="1" applyAlignment="1"/>
    <xf numFmtId="164" fontId="146" fillId="0" borderId="354" xfId="9108" applyNumberFormat="1" applyFont="1" applyFill="1" applyBorder="1" applyAlignment="1"/>
    <xf numFmtId="164" fontId="117" fillId="0" borderId="360" xfId="1" applyNumberFormat="1" applyFont="1" applyFill="1" applyBorder="1" applyAlignment="1"/>
    <xf numFmtId="164" fontId="117" fillId="0" borderId="354" xfId="1" applyNumberFormat="1" applyFont="1" applyFill="1" applyBorder="1" applyAlignment="1"/>
    <xf numFmtId="0" fontId="117" fillId="0" borderId="354" xfId="0" applyFont="1" applyFill="1" applyBorder="1" applyAlignment="1"/>
    <xf numFmtId="0" fontId="117" fillId="0" borderId="361" xfId="0" applyFont="1" applyFill="1" applyBorder="1" applyAlignment="1"/>
    <xf numFmtId="43" fontId="117" fillId="0" borderId="360" xfId="1" applyNumberFormat="1" applyFont="1" applyFill="1" applyBorder="1" applyAlignment="1"/>
    <xf numFmtId="43" fontId="117" fillId="0" borderId="354" xfId="1" applyNumberFormat="1" applyFont="1" applyFill="1" applyBorder="1" applyAlignment="1"/>
    <xf numFmtId="168" fontId="117" fillId="0" borderId="360" xfId="1" applyNumberFormat="1" applyFont="1" applyFill="1" applyBorder="1" applyAlignment="1"/>
    <xf numFmtId="168" fontId="117" fillId="0" borderId="354" xfId="1" applyNumberFormat="1" applyFont="1" applyFill="1" applyBorder="1" applyAlignment="1"/>
    <xf numFmtId="0" fontId="6" fillId="25" borderId="0" xfId="0" applyFont="1" applyFill="1"/>
    <xf numFmtId="0" fontId="0" fillId="0" borderId="0" xfId="0" applyFont="1"/>
    <xf numFmtId="0" fontId="75" fillId="25" borderId="0" xfId="0" applyFont="1" applyFill="1"/>
    <xf numFmtId="0" fontId="117" fillId="0" borderId="360" xfId="0" applyFont="1" applyFill="1" applyBorder="1" applyAlignment="1"/>
    <xf numFmtId="9" fontId="117" fillId="0" borderId="360" xfId="2" applyFont="1" applyFill="1" applyBorder="1" applyAlignment="1"/>
    <xf numFmtId="0" fontId="117" fillId="0" borderId="355" xfId="0" applyFont="1" applyFill="1" applyBorder="1" applyAlignment="1"/>
    <xf numFmtId="0" fontId="6" fillId="0" borderId="360" xfId="0" applyFont="1" applyFill="1" applyBorder="1" applyAlignment="1"/>
    <xf numFmtId="9" fontId="6" fillId="0" borderId="360" xfId="2" applyFont="1" applyFill="1" applyBorder="1" applyAlignment="1"/>
    <xf numFmtId="0" fontId="6" fillId="0" borderId="354" xfId="0" applyFont="1" applyFill="1" applyBorder="1" applyAlignment="1"/>
    <xf numFmtId="0" fontId="6" fillId="0" borderId="355" xfId="0" applyFont="1" applyFill="1" applyBorder="1" applyAlignment="1"/>
    <xf numFmtId="9" fontId="117" fillId="0" borderId="360" xfId="0" applyNumberFormat="1" applyFont="1" applyFill="1" applyBorder="1" applyAlignment="1"/>
    <xf numFmtId="0" fontId="117" fillId="0" borderId="355" xfId="0" quotePrefix="1" applyFont="1" applyFill="1" applyBorder="1" applyAlignment="1"/>
    <xf numFmtId="0" fontId="6" fillId="25" borderId="81" xfId="0" applyFont="1" applyFill="1" applyBorder="1"/>
    <xf numFmtId="0" fontId="6" fillId="25" borderId="149" xfId="0" applyFont="1" applyFill="1" applyBorder="1"/>
    <xf numFmtId="0" fontId="6" fillId="25" borderId="30" xfId="0" applyFont="1" applyFill="1" applyBorder="1"/>
    <xf numFmtId="0" fontId="6" fillId="25" borderId="0" xfId="0" applyFont="1" applyFill="1" applyBorder="1"/>
    <xf numFmtId="0" fontId="6" fillId="25" borderId="32" xfId="0" applyFont="1" applyFill="1" applyBorder="1"/>
    <xf numFmtId="0" fontId="6" fillId="25" borderId="33" xfId="0" applyFont="1" applyFill="1" applyBorder="1"/>
    <xf numFmtId="0" fontId="0" fillId="25" borderId="0" xfId="0" applyFont="1" applyFill="1"/>
    <xf numFmtId="0" fontId="5" fillId="97" borderId="68" xfId="0" applyFont="1" applyFill="1" applyBorder="1" applyAlignment="1">
      <alignment horizontal="center"/>
    </xf>
    <xf numFmtId="0" fontId="154" fillId="0" borderId="0" xfId="0" applyFont="1" applyAlignment="1">
      <alignment horizontal="left" vertical="center" indent="2"/>
    </xf>
    <xf numFmtId="17" fontId="147" fillId="0" borderId="0" xfId="0" applyNumberFormat="1" applyFont="1" applyAlignment="1">
      <alignment horizontal="left" vertical="center" indent="1"/>
    </xf>
    <xf numFmtId="0" fontId="164" fillId="0" borderId="94" xfId="0" applyFont="1" applyFill="1" applyBorder="1" applyAlignment="1">
      <alignment vertical="center"/>
    </xf>
    <xf numFmtId="0" fontId="164" fillId="0" borderId="89" xfId="0" applyFont="1" applyFill="1" applyBorder="1" applyAlignment="1">
      <alignment vertical="center"/>
    </xf>
    <xf numFmtId="0" fontId="164" fillId="0" borderId="90" xfId="0" applyFont="1" applyFill="1" applyBorder="1" applyAlignment="1">
      <alignment vertical="center"/>
    </xf>
    <xf numFmtId="0" fontId="164" fillId="0" borderId="87" xfId="0" applyFont="1" applyFill="1" applyBorder="1" applyAlignment="1">
      <alignment vertical="center"/>
    </xf>
    <xf numFmtId="0" fontId="164" fillId="0" borderId="94" xfId="0" applyFont="1" applyFill="1" applyBorder="1" applyAlignment="1">
      <alignment vertical="center" wrapText="1"/>
    </xf>
    <xf numFmtId="0" fontId="164" fillId="0" borderId="104" xfId="0" applyFont="1" applyFill="1" applyBorder="1" applyAlignment="1">
      <alignment vertical="center"/>
    </xf>
    <xf numFmtId="0" fontId="101" fillId="0" borderId="0" xfId="0" applyFont="1" applyBorder="1" applyAlignment="1">
      <alignment wrapText="1"/>
    </xf>
    <xf numFmtId="0" fontId="110" fillId="16" borderId="0" xfId="0" applyFont="1" applyFill="1" applyBorder="1"/>
    <xf numFmtId="0" fontId="101" fillId="0" borderId="0" xfId="0" applyFont="1" applyBorder="1" applyAlignment="1">
      <alignment horizontal="left" vertical="top" wrapText="1" indent="1"/>
    </xf>
    <xf numFmtId="43" fontId="138" fillId="0" borderId="276" xfId="0" applyNumberFormat="1" applyFont="1" applyFill="1" applyBorder="1" applyAlignment="1">
      <alignment horizontal="left" vertical="center"/>
    </xf>
    <xf numFmtId="43" fontId="128" fillId="0" borderId="276" xfId="1" applyFont="1" applyFill="1" applyBorder="1" applyAlignment="1">
      <alignment horizontal="left" vertical="center"/>
    </xf>
    <xf numFmtId="43" fontId="138" fillId="0" borderId="275" xfId="0" applyNumberFormat="1" applyFont="1" applyBorder="1" applyAlignment="1">
      <alignment horizontal="left" vertical="center"/>
    </xf>
    <xf numFmtId="43" fontId="128" fillId="0" borderId="275" xfId="1" applyFont="1" applyBorder="1" applyAlignment="1">
      <alignment horizontal="left" vertical="center"/>
    </xf>
    <xf numFmtId="43" fontId="138" fillId="0" borderId="279" xfId="0" applyNumberFormat="1" applyFont="1" applyBorder="1" applyAlignment="1">
      <alignment horizontal="left" vertical="center"/>
    </xf>
    <xf numFmtId="43" fontId="128" fillId="0" borderId="279" xfId="1" applyFont="1" applyBorder="1" applyAlignment="1">
      <alignment horizontal="left" vertical="center"/>
    </xf>
    <xf numFmtId="0" fontId="6" fillId="16" borderId="0" xfId="0" applyFont="1" applyFill="1" applyAlignment="1">
      <alignment horizontal="left" vertical="center" wrapText="1"/>
    </xf>
    <xf numFmtId="0" fontId="6" fillId="17" borderId="351" xfId="0" applyFont="1" applyFill="1" applyBorder="1" applyAlignment="1">
      <alignment vertical="center" wrapText="1"/>
    </xf>
    <xf numFmtId="0" fontId="6" fillId="17" borderId="357" xfId="0" applyFont="1" applyFill="1" applyBorder="1" applyAlignment="1">
      <alignment vertical="center" wrapText="1"/>
    </xf>
    <xf numFmtId="0" fontId="6" fillId="17" borderId="354" xfId="0" applyFont="1" applyFill="1" applyBorder="1" applyAlignment="1">
      <alignment vertical="center" wrapText="1"/>
    </xf>
    <xf numFmtId="0" fontId="6" fillId="16" borderId="349" xfId="0" applyFont="1" applyFill="1" applyBorder="1" applyAlignment="1">
      <alignment horizontal="left" vertical="center" wrapText="1"/>
    </xf>
    <xf numFmtId="14" fontId="8" fillId="0" borderId="0" xfId="0" applyNumberFormat="1" applyFont="1" applyAlignment="1">
      <alignment horizontal="left"/>
    </xf>
    <xf numFmtId="0" fontId="176" fillId="16" borderId="0" xfId="0" applyFont="1" applyFill="1"/>
    <xf numFmtId="43" fontId="128" fillId="0" borderId="323" xfId="1" applyFont="1" applyFill="1" applyBorder="1" applyAlignment="1">
      <alignment horizontal="right"/>
    </xf>
    <xf numFmtId="43" fontId="128" fillId="16" borderId="322" xfId="1" applyFont="1" applyFill="1" applyBorder="1" applyAlignment="1">
      <alignment horizontal="right"/>
    </xf>
    <xf numFmtId="43" fontId="128" fillId="16" borderId="326" xfId="1" applyFont="1" applyFill="1" applyBorder="1" applyAlignment="1">
      <alignment horizontal="right"/>
    </xf>
    <xf numFmtId="43" fontId="128" fillId="17" borderId="32" xfId="1" applyFont="1" applyFill="1" applyBorder="1" applyAlignment="1">
      <alignment wrapText="1"/>
    </xf>
    <xf numFmtId="43" fontId="128" fillId="17" borderId="33" xfId="1" applyFont="1" applyFill="1" applyBorder="1" applyAlignment="1">
      <alignment wrapText="1"/>
    </xf>
    <xf numFmtId="0" fontId="167" fillId="0" borderId="0" xfId="0" applyFont="1" applyAlignment="1">
      <alignment horizontal="left" vertical="center"/>
    </xf>
    <xf numFmtId="0" fontId="157" fillId="0" borderId="149" xfId="0" applyFont="1" applyBorder="1" applyAlignment="1">
      <alignment horizontal="left"/>
    </xf>
    <xf numFmtId="0" fontId="138" fillId="17" borderId="256" xfId="0" applyFont="1" applyFill="1" applyBorder="1"/>
    <xf numFmtId="0" fontId="157" fillId="0" borderId="33" xfId="0" applyFont="1" applyBorder="1" applyAlignment="1">
      <alignment horizontal="center"/>
    </xf>
    <xf numFmtId="43" fontId="6" fillId="0" borderId="0" xfId="1" applyFont="1"/>
    <xf numFmtId="43" fontId="6" fillId="0" borderId="33" xfId="1" applyFont="1" applyBorder="1"/>
    <xf numFmtId="43" fontId="138" fillId="0" borderId="363" xfId="1" applyFont="1" applyFill="1" applyBorder="1"/>
    <xf numFmtId="43" fontId="138" fillId="0" borderId="364" xfId="1" applyFont="1" applyFill="1" applyBorder="1"/>
    <xf numFmtId="43" fontId="138" fillId="0" borderId="363" xfId="1" applyFont="1" applyFill="1" applyBorder="1" applyAlignment="1">
      <alignment horizontal="right"/>
    </xf>
    <xf numFmtId="43" fontId="138" fillId="0" borderId="368" xfId="1" applyFont="1" applyFill="1" applyBorder="1"/>
    <xf numFmtId="0" fontId="157" fillId="0" borderId="369" xfId="0" applyFont="1" applyFill="1" applyBorder="1" applyAlignment="1">
      <alignment horizontal="center" vertical="center"/>
    </xf>
    <xf numFmtId="0" fontId="157" fillId="0" borderId="370" xfId="0" applyFont="1" applyFill="1" applyBorder="1" applyAlignment="1">
      <alignment horizontal="center" vertical="center"/>
    </xf>
    <xf numFmtId="0" fontId="157" fillId="0" borderId="371" xfId="0" applyFont="1" applyFill="1" applyBorder="1" applyAlignment="1">
      <alignment horizontal="center" vertical="center"/>
    </xf>
    <xf numFmtId="0" fontId="157" fillId="0" borderId="373" xfId="0" applyFont="1" applyFill="1" applyBorder="1" applyAlignment="1">
      <alignment horizontal="center" vertical="center" wrapText="1"/>
    </xf>
    <xf numFmtId="0" fontId="157" fillId="0" borderId="374" xfId="0" applyFont="1" applyFill="1" applyBorder="1" applyAlignment="1">
      <alignment horizontal="center" vertical="center"/>
    </xf>
    <xf numFmtId="0" fontId="157" fillId="0" borderId="375" xfId="0" applyFont="1" applyFill="1" applyBorder="1" applyAlignment="1">
      <alignment horizontal="center" vertical="center"/>
    </xf>
    <xf numFmtId="2" fontId="157" fillId="0" borderId="370" xfId="0" applyNumberFormat="1" applyFont="1" applyFill="1" applyBorder="1" applyAlignment="1">
      <alignment horizontal="center" vertical="center"/>
    </xf>
    <xf numFmtId="0" fontId="157" fillId="0" borderId="372" xfId="0" applyFont="1" applyFill="1" applyBorder="1" applyAlignment="1">
      <alignment horizontal="center" vertical="center" wrapText="1"/>
    </xf>
    <xf numFmtId="0" fontId="182" fillId="0" borderId="305" xfId="0" applyFont="1" applyFill="1" applyBorder="1" applyAlignment="1">
      <alignment vertical="center"/>
    </xf>
    <xf numFmtId="0" fontId="182" fillId="0" borderId="306" xfId="0" applyFont="1" applyFill="1" applyBorder="1" applyAlignment="1">
      <alignment vertical="center"/>
    </xf>
    <xf numFmtId="0" fontId="166" fillId="0" borderId="105" xfId="9108" applyFont="1" applyFill="1" applyBorder="1" applyAlignment="1">
      <alignment vertical="center"/>
    </xf>
    <xf numFmtId="0" fontId="128" fillId="0" borderId="107" xfId="9108" applyFont="1" applyFill="1" applyBorder="1" applyAlignment="1">
      <alignment vertical="center"/>
    </xf>
    <xf numFmtId="0" fontId="128" fillId="0" borderId="30" xfId="9108" applyFont="1" applyFill="1" applyBorder="1" applyAlignment="1">
      <alignment vertical="center"/>
    </xf>
    <xf numFmtId="0" fontId="166" fillId="0" borderId="196" xfId="9108" applyFont="1" applyFill="1" applyBorder="1" applyAlignment="1">
      <alignment vertical="center"/>
    </xf>
    <xf numFmtId="0" fontId="182" fillId="0" borderId="376" xfId="0" applyFont="1" applyFill="1" applyBorder="1" applyAlignment="1">
      <alignment vertical="center"/>
    </xf>
    <xf numFmtId="0" fontId="182" fillId="0" borderId="377" xfId="0" applyFont="1" applyFill="1" applyBorder="1" applyAlignment="1">
      <alignment vertical="center"/>
    </xf>
    <xf numFmtId="0" fontId="182" fillId="0" borderId="306" xfId="0" applyFont="1" applyFill="1" applyBorder="1" applyAlignment="1">
      <alignment vertical="center" wrapText="1"/>
    </xf>
    <xf numFmtId="0" fontId="182" fillId="0" borderId="378" xfId="0" applyFont="1" applyFill="1" applyBorder="1" applyAlignment="1">
      <alignment vertical="center"/>
    </xf>
    <xf numFmtId="0" fontId="182" fillId="0" borderId="196" xfId="0" applyFont="1" applyFill="1" applyBorder="1" applyAlignment="1">
      <alignment vertical="center" wrapText="1"/>
    </xf>
    <xf numFmtId="0" fontId="182" fillId="0" borderId="129" xfId="0" applyFont="1" applyFill="1" applyBorder="1" applyAlignment="1">
      <alignment vertical="center"/>
    </xf>
    <xf numFmtId="0" fontId="5" fillId="97" borderId="0" xfId="0" applyFont="1" applyFill="1" applyAlignment="1">
      <alignment vertical="center" wrapText="1"/>
    </xf>
    <xf numFmtId="177" fontId="6" fillId="16" borderId="0" xfId="1" applyNumberFormat="1" applyFont="1" applyFill="1"/>
    <xf numFmtId="177" fontId="138" fillId="16" borderId="1" xfId="3" applyNumberFormat="1" applyFont="1" applyFill="1"/>
    <xf numFmtId="177" fontId="138" fillId="16" borderId="0" xfId="3" applyNumberFormat="1" applyFont="1" applyFill="1" applyBorder="1"/>
    <xf numFmtId="0" fontId="6" fillId="17" borderId="15" xfId="0" applyNumberFormat="1" applyFont="1" applyFill="1" applyBorder="1"/>
    <xf numFmtId="0" fontId="117" fillId="16" borderId="0" xfId="0" applyFont="1" applyFill="1" applyAlignment="1">
      <alignment vertical="center" wrapText="1"/>
    </xf>
    <xf numFmtId="0" fontId="0" fillId="0" borderId="0" xfId="0" applyFont="1" applyBorder="1"/>
    <xf numFmtId="0" fontId="75" fillId="0" borderId="0" xfId="0" applyFont="1" applyBorder="1"/>
    <xf numFmtId="165" fontId="128" fillId="0" borderId="323" xfId="1" applyNumberFormat="1" applyFont="1" applyFill="1" applyBorder="1"/>
    <xf numFmtId="0" fontId="157" fillId="0" borderId="373" xfId="0" applyFont="1" applyFill="1" applyBorder="1" applyAlignment="1">
      <alignment horizontal="center" vertical="center"/>
    </xf>
    <xf numFmtId="0" fontId="6" fillId="17" borderId="351" xfId="0" applyFont="1" applyFill="1" applyBorder="1"/>
    <xf numFmtId="43" fontId="184" fillId="0" borderId="323" xfId="1" applyFont="1" applyFill="1" applyBorder="1"/>
    <xf numFmtId="43" fontId="184" fillId="0" borderId="333" xfId="1" applyFont="1" applyFill="1" applyBorder="1"/>
    <xf numFmtId="43" fontId="184" fillId="0" borderId="335" xfId="1" applyFont="1" applyFill="1" applyBorder="1"/>
    <xf numFmtId="43" fontId="184" fillId="17" borderId="199" xfId="0" applyNumberFormat="1" applyFont="1" applyFill="1" applyBorder="1"/>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84" fillId="17" borderId="256" xfId="0" applyNumberFormat="1" applyFont="1" applyFill="1" applyBorder="1"/>
    <xf numFmtId="49" fontId="8" fillId="0" borderId="0" xfId="1" applyNumberFormat="1" applyFont="1" applyAlignment="1">
      <alignment vertical="center"/>
    </xf>
    <xf numFmtId="0" fontId="8" fillId="0" borderId="0" xfId="0" applyFont="1" applyAlignment="1">
      <alignment vertical="center"/>
    </xf>
    <xf numFmtId="9" fontId="8" fillId="0" borderId="0" xfId="2" applyFont="1" applyAlignment="1">
      <alignment vertical="center"/>
    </xf>
    <xf numFmtId="43" fontId="138" fillId="0" borderId="363" xfId="1" applyFont="1" applyFill="1" applyBorder="1" applyAlignment="1">
      <alignment vertical="center"/>
    </xf>
    <xf numFmtId="43" fontId="184" fillId="0" borderId="323" xfId="1" applyFont="1" applyFill="1" applyBorder="1" applyAlignment="1">
      <alignment vertical="center"/>
    </xf>
    <xf numFmtId="43" fontId="163" fillId="0" borderId="324" xfId="1" applyFont="1" applyFill="1" applyBorder="1" applyAlignment="1">
      <alignment vertical="center"/>
    </xf>
    <xf numFmtId="43" fontId="128" fillId="16" borderId="322" xfId="1" applyFont="1" applyFill="1" applyBorder="1" applyAlignment="1">
      <alignment vertical="center"/>
    </xf>
    <xf numFmtId="43" fontId="163" fillId="16" borderId="323" xfId="1" applyFont="1" applyFill="1" applyBorder="1" applyAlignment="1">
      <alignment vertical="center"/>
    </xf>
    <xf numFmtId="43" fontId="128" fillId="16" borderId="323" xfId="1" applyFont="1" applyFill="1" applyBorder="1" applyAlignment="1">
      <alignment vertical="center"/>
    </xf>
    <xf numFmtId="43" fontId="163" fillId="16" borderId="324" xfId="1" applyFont="1" applyFill="1" applyBorder="1" applyAlignment="1">
      <alignment vertical="center"/>
    </xf>
    <xf numFmtId="0" fontId="128" fillId="19" borderId="301" xfId="0" applyFont="1" applyFill="1" applyBorder="1" applyAlignment="1">
      <alignment vertical="center"/>
    </xf>
    <xf numFmtId="43" fontId="8" fillId="0" borderId="0" xfId="1" applyFont="1" applyAlignment="1">
      <alignment vertical="center"/>
    </xf>
    <xf numFmtId="43" fontId="6" fillId="0" borderId="0" xfId="0" applyNumberFormat="1" applyFont="1" applyAlignment="1">
      <alignment vertical="center"/>
    </xf>
    <xf numFmtId="164" fontId="6" fillId="0" borderId="0" xfId="1" applyNumberFormat="1" applyFont="1" applyAlignment="1">
      <alignment vertical="center"/>
    </xf>
    <xf numFmtId="43" fontId="6" fillId="0" borderId="0" xfId="1" applyFont="1" applyAlignment="1">
      <alignment vertical="center"/>
    </xf>
    <xf numFmtId="43" fontId="138" fillId="0" borderId="366" xfId="1" applyFont="1" applyFill="1" applyBorder="1" applyAlignment="1">
      <alignment vertical="center"/>
    </xf>
    <xf numFmtId="43" fontId="184" fillId="0" borderId="320" xfId="1" applyFont="1" applyFill="1" applyBorder="1" applyAlignment="1">
      <alignment vertical="center"/>
    </xf>
    <xf numFmtId="43" fontId="163" fillId="0" borderId="321" xfId="1" applyFont="1" applyFill="1" applyBorder="1" applyAlignment="1">
      <alignment vertical="center"/>
    </xf>
    <xf numFmtId="43" fontId="128" fillId="16" borderId="319" xfId="1" applyFont="1" applyFill="1" applyBorder="1" applyAlignment="1">
      <alignment vertical="center"/>
    </xf>
    <xf numFmtId="43" fontId="163" fillId="16" borderId="320" xfId="1" applyFont="1" applyFill="1" applyBorder="1" applyAlignment="1">
      <alignment vertical="center"/>
    </xf>
    <xf numFmtId="43" fontId="128" fillId="16" borderId="320" xfId="1" applyFont="1" applyFill="1" applyBorder="1" applyAlignment="1">
      <alignment vertical="center"/>
    </xf>
    <xf numFmtId="43" fontId="163" fillId="16" borderId="321" xfId="1" applyFont="1" applyFill="1" applyBorder="1" applyAlignment="1">
      <alignment vertical="center"/>
    </xf>
    <xf numFmtId="0" fontId="128" fillId="102" borderId="301" xfId="0" applyFont="1" applyFill="1" applyBorder="1" applyAlignment="1">
      <alignment vertical="center"/>
    </xf>
    <xf numFmtId="9" fontId="8" fillId="18" borderId="0" xfId="2" applyFont="1" applyFill="1" applyAlignment="1">
      <alignment vertical="center"/>
    </xf>
    <xf numFmtId="43" fontId="163" fillId="0" borderId="323" xfId="1" applyFont="1" applyFill="1" applyBorder="1" applyAlignment="1">
      <alignment vertical="center"/>
    </xf>
    <xf numFmtId="43" fontId="128" fillId="0" borderId="323" xfId="1" applyNumberFormat="1" applyFont="1" applyFill="1" applyBorder="1" applyAlignment="1">
      <alignment vertical="center"/>
    </xf>
    <xf numFmtId="0" fontId="138" fillId="0" borderId="363" xfId="1" applyNumberFormat="1" applyFont="1" applyFill="1" applyBorder="1" applyAlignment="1">
      <alignment horizontal="right" vertical="center"/>
    </xf>
    <xf numFmtId="43" fontId="128" fillId="0" borderId="323" xfId="1" applyFont="1" applyFill="1" applyBorder="1" applyAlignment="1">
      <alignment horizontal="right" vertical="center"/>
    </xf>
    <xf numFmtId="43" fontId="128" fillId="0" borderId="322" xfId="1" applyFont="1" applyFill="1" applyBorder="1" applyAlignment="1">
      <alignment horizontal="right" vertical="center"/>
    </xf>
    <xf numFmtId="43" fontId="138" fillId="0" borderId="365" xfId="1" applyFont="1" applyFill="1" applyBorder="1" applyAlignment="1">
      <alignment vertical="center"/>
    </xf>
    <xf numFmtId="43" fontId="184" fillId="0" borderId="325" xfId="1" applyFont="1" applyFill="1" applyBorder="1" applyAlignment="1">
      <alignment vertical="center"/>
    </xf>
    <xf numFmtId="43" fontId="163" fillId="0" borderId="327" xfId="1" applyFont="1" applyFill="1" applyBorder="1" applyAlignment="1">
      <alignment vertical="center"/>
    </xf>
    <xf numFmtId="43" fontId="128" fillId="16" borderId="326" xfId="1" applyFont="1" applyFill="1" applyBorder="1" applyAlignment="1">
      <alignment vertical="center"/>
    </xf>
    <xf numFmtId="43" fontId="163" fillId="16" borderId="325" xfId="1" applyFont="1" applyFill="1" applyBorder="1" applyAlignment="1">
      <alignment vertical="center"/>
    </xf>
    <xf numFmtId="43" fontId="128" fillId="16" borderId="325" xfId="1" applyFont="1" applyFill="1" applyBorder="1" applyAlignment="1">
      <alignment vertical="center"/>
    </xf>
    <xf numFmtId="43" fontId="163" fillId="16" borderId="327" xfId="1" applyFont="1" applyFill="1" applyBorder="1" applyAlignment="1">
      <alignment vertical="center"/>
    </xf>
    <xf numFmtId="43" fontId="6" fillId="0" borderId="33" xfId="1" applyFont="1" applyBorder="1" applyAlignment="1">
      <alignment vertical="center"/>
    </xf>
    <xf numFmtId="43" fontId="138" fillId="0" borderId="367" xfId="1" applyFont="1" applyFill="1" applyBorder="1" applyAlignment="1">
      <alignment vertical="center"/>
    </xf>
    <xf numFmtId="43" fontId="184" fillId="0" borderId="329" xfId="1" applyNumberFormat="1" applyFont="1" applyFill="1" applyBorder="1" applyAlignment="1">
      <alignment vertical="center"/>
    </xf>
    <xf numFmtId="43" fontId="128" fillId="0" borderId="329" xfId="1" applyFont="1" applyFill="1" applyBorder="1" applyAlignment="1">
      <alignment vertical="center"/>
    </xf>
    <xf numFmtId="43" fontId="163" fillId="0" borderId="330" xfId="1" applyFont="1" applyFill="1" applyBorder="1" applyAlignment="1">
      <alignment vertical="center"/>
    </xf>
    <xf numFmtId="43" fontId="128" fillId="16" borderId="328" xfId="1" applyFont="1" applyFill="1" applyBorder="1" applyAlignment="1">
      <alignment vertical="center"/>
    </xf>
    <xf numFmtId="43" fontId="163" fillId="16" borderId="329" xfId="1" applyFont="1" applyFill="1" applyBorder="1" applyAlignment="1">
      <alignment vertical="center"/>
    </xf>
    <xf numFmtId="43" fontId="128" fillId="16" borderId="329" xfId="1" applyFont="1" applyFill="1" applyBorder="1" applyAlignment="1">
      <alignment vertical="center"/>
    </xf>
    <xf numFmtId="43" fontId="163" fillId="16" borderId="330" xfId="1" applyFont="1" applyFill="1" applyBorder="1" applyAlignment="1">
      <alignment vertical="center"/>
    </xf>
    <xf numFmtId="43" fontId="128" fillId="17" borderId="256" xfId="0" applyNumberFormat="1" applyFont="1" applyFill="1" applyBorder="1"/>
    <xf numFmtId="43" fontId="185" fillId="94" borderId="246" xfId="1" applyFont="1" applyFill="1" applyBorder="1" applyAlignment="1">
      <alignment vertical="center"/>
    </xf>
    <xf numFmtId="43" fontId="82" fillId="94" borderId="96" xfId="1" applyFont="1" applyFill="1" applyBorder="1" applyAlignment="1">
      <alignment vertical="center"/>
    </xf>
    <xf numFmtId="43" fontId="185" fillId="94" borderId="382" xfId="1" applyFont="1" applyFill="1" applyBorder="1" applyAlignment="1">
      <alignment vertical="center"/>
    </xf>
    <xf numFmtId="43" fontId="82" fillId="94" borderId="0" xfId="1" applyFont="1" applyFill="1" applyBorder="1" applyAlignment="1">
      <alignment vertical="center"/>
    </xf>
    <xf numFmtId="43" fontId="185" fillId="94" borderId="243" xfId="1" applyFont="1" applyFill="1" applyBorder="1" applyAlignment="1">
      <alignment vertical="center"/>
    </xf>
    <xf numFmtId="43" fontId="82" fillId="94" borderId="92" xfId="1" applyFont="1" applyFill="1" applyBorder="1" applyAlignment="1">
      <alignment vertical="center"/>
    </xf>
    <xf numFmtId="164" fontId="6" fillId="16" borderId="0" xfId="1" applyNumberFormat="1" applyFont="1" applyFill="1"/>
    <xf numFmtId="164" fontId="6" fillId="16" borderId="0" xfId="0" applyNumberFormat="1" applyFont="1" applyFill="1" applyAlignment="1">
      <alignment horizontal="center"/>
    </xf>
    <xf numFmtId="43" fontId="6" fillId="17" borderId="263" xfId="1" applyNumberFormat="1" applyFont="1" applyFill="1" applyBorder="1"/>
    <xf numFmtId="43" fontId="82" fillId="94" borderId="149" xfId="1" applyFont="1" applyFill="1" applyBorder="1" applyAlignment="1">
      <alignment vertical="center"/>
    </xf>
    <xf numFmtId="43" fontId="82" fillId="94" borderId="226" xfId="1" applyFont="1" applyFill="1" applyBorder="1" applyAlignment="1">
      <alignment vertical="center"/>
    </xf>
    <xf numFmtId="0" fontId="6" fillId="79" borderId="0" xfId="0" applyFont="1" applyFill="1"/>
    <xf numFmtId="43" fontId="6" fillId="79" borderId="0" xfId="0" applyNumberFormat="1" applyFont="1" applyFill="1"/>
    <xf numFmtId="43" fontId="82" fillId="94" borderId="246" xfId="1" applyFont="1" applyFill="1" applyBorder="1" applyAlignment="1">
      <alignment vertical="center"/>
    </xf>
    <xf numFmtId="43" fontId="82" fillId="94" borderId="382" xfId="1" applyFont="1" applyFill="1" applyBorder="1" applyAlignment="1">
      <alignment vertical="center"/>
    </xf>
    <xf numFmtId="43" fontId="184" fillId="0" borderId="329" xfId="1" applyFont="1" applyFill="1" applyBorder="1" applyAlignment="1">
      <alignment vertical="center"/>
    </xf>
    <xf numFmtId="0" fontId="155" fillId="16" borderId="0" xfId="0" applyFont="1" applyFill="1" applyBorder="1"/>
    <xf numFmtId="0" fontId="185" fillId="16" borderId="0" xfId="0" applyFont="1" applyFill="1" applyBorder="1"/>
    <xf numFmtId="168" fontId="6" fillId="16" borderId="0" xfId="1" applyNumberFormat="1" applyFont="1" applyFill="1"/>
    <xf numFmtId="0" fontId="186" fillId="0" borderId="387" xfId="0" applyFont="1" applyBorder="1" applyAlignment="1">
      <alignment horizontal="center" wrapText="1"/>
    </xf>
    <xf numFmtId="0" fontId="186" fillId="0" borderId="338" xfId="0" applyFont="1" applyBorder="1" applyAlignment="1">
      <alignment horizontal="center" wrapText="1"/>
    </xf>
    <xf numFmtId="0" fontId="186" fillId="0" borderId="339" xfId="0" applyFont="1" applyBorder="1" applyAlignment="1">
      <alignment horizontal="center" wrapText="1"/>
    </xf>
    <xf numFmtId="0" fontId="186" fillId="0" borderId="388" xfId="0" applyFont="1" applyBorder="1" applyAlignment="1">
      <alignment horizontal="center" wrapText="1"/>
    </xf>
    <xf numFmtId="43" fontId="184" fillId="0" borderId="385" xfId="1" applyFont="1" applyFill="1" applyBorder="1" applyAlignment="1">
      <alignment vertical="center" wrapText="1"/>
    </xf>
    <xf numFmtId="43" fontId="184" fillId="0" borderId="385" xfId="1" applyFont="1" applyFill="1" applyBorder="1" applyAlignment="1">
      <alignment vertical="center"/>
    </xf>
    <xf numFmtId="43" fontId="184" fillId="0" borderId="386" xfId="1" applyFont="1" applyFill="1" applyBorder="1" applyAlignment="1">
      <alignment vertical="center"/>
    </xf>
    <xf numFmtId="43" fontId="184" fillId="0" borderId="389" xfId="1" applyNumberFormat="1" applyFont="1" applyFill="1" applyBorder="1" applyAlignment="1">
      <alignment vertical="center"/>
    </xf>
    <xf numFmtId="43" fontId="184" fillId="0" borderId="390" xfId="1" applyFont="1" applyFill="1" applyBorder="1" applyAlignment="1">
      <alignment vertical="center" wrapText="1"/>
    </xf>
    <xf numFmtId="43" fontId="184" fillId="16" borderId="390" xfId="1" applyFont="1" applyFill="1" applyBorder="1" applyAlignment="1">
      <alignment vertical="center" wrapText="1"/>
    </xf>
    <xf numFmtId="43" fontId="184" fillId="0" borderId="390" xfId="1" applyFont="1" applyFill="1" applyBorder="1"/>
    <xf numFmtId="43" fontId="184" fillId="0" borderId="386" xfId="1" applyFont="1" applyFill="1" applyBorder="1" applyAlignment="1">
      <alignment vertical="center" wrapText="1"/>
    </xf>
    <xf numFmtId="43" fontId="184" fillId="0" borderId="389" xfId="1" applyFont="1" applyFill="1" applyBorder="1" applyAlignment="1">
      <alignment vertical="center" wrapText="1"/>
    </xf>
    <xf numFmtId="43" fontId="128" fillId="0" borderId="366" xfId="1" applyFont="1" applyFill="1" applyBorder="1" applyAlignment="1">
      <alignment vertical="center"/>
    </xf>
    <xf numFmtId="43" fontId="128" fillId="0" borderId="363" xfId="1" applyFont="1" applyFill="1" applyBorder="1" applyAlignment="1">
      <alignment vertical="center"/>
    </xf>
    <xf numFmtId="43" fontId="128" fillId="0" borderId="363" xfId="1" applyFont="1" applyFill="1" applyBorder="1" applyAlignment="1">
      <alignment horizontal="right" vertical="center"/>
    </xf>
    <xf numFmtId="43" fontId="128" fillId="0" borderId="365" xfId="1" applyFont="1" applyFill="1" applyBorder="1" applyAlignment="1">
      <alignment vertical="center"/>
    </xf>
    <xf numFmtId="43" fontId="128" fillId="0" borderId="367" xfId="1" applyFont="1" applyFill="1" applyBorder="1" applyAlignment="1">
      <alignment vertical="center"/>
    </xf>
    <xf numFmtId="43" fontId="128" fillId="0" borderId="363" xfId="1" applyFont="1" applyFill="1" applyBorder="1"/>
    <xf numFmtId="43" fontId="128" fillId="0" borderId="363" xfId="1" applyFont="1" applyFill="1" applyBorder="1" applyAlignment="1">
      <alignment horizontal="right"/>
    </xf>
    <xf numFmtId="43" fontId="128" fillId="0" borderId="364" xfId="1" applyFont="1" applyFill="1" applyBorder="1"/>
    <xf numFmtId="43" fontId="128" fillId="0" borderId="368" xfId="1" applyFont="1" applyFill="1" applyBorder="1"/>
    <xf numFmtId="43" fontId="82" fillId="94" borderId="81" xfId="1" applyFont="1" applyFill="1" applyBorder="1" applyAlignment="1">
      <alignment vertical="center"/>
    </xf>
    <xf numFmtId="43" fontId="82" fillId="94" borderId="75" xfId="1" applyFont="1" applyFill="1" applyBorder="1" applyAlignment="1">
      <alignment vertical="center"/>
    </xf>
    <xf numFmtId="43" fontId="82" fillId="94" borderId="30" xfId="1" applyFont="1" applyFill="1" applyBorder="1" applyAlignment="1">
      <alignment vertical="center"/>
    </xf>
    <xf numFmtId="43" fontId="82" fillId="94" borderId="31" xfId="1" applyFont="1" applyFill="1" applyBorder="1" applyAlignment="1">
      <alignment vertical="center"/>
    </xf>
    <xf numFmtId="43" fontId="82" fillId="94" borderId="117" xfId="1" applyFont="1" applyFill="1" applyBorder="1" applyAlignment="1">
      <alignment vertical="center"/>
    </xf>
    <xf numFmtId="43" fontId="82" fillId="94" borderId="118" xfId="1" applyFont="1" applyFill="1" applyBorder="1" applyAlignment="1">
      <alignment vertical="center"/>
    </xf>
    <xf numFmtId="43" fontId="128" fillId="0" borderId="322" xfId="1" applyFont="1" applyFill="1" applyBorder="1" applyAlignment="1">
      <alignment vertical="center"/>
    </xf>
    <xf numFmtId="49" fontId="184" fillId="0" borderId="321" xfId="1" applyNumberFormat="1" applyFont="1" applyFill="1" applyBorder="1" applyAlignment="1">
      <alignment vertical="center" wrapText="1"/>
    </xf>
    <xf numFmtId="43" fontId="82" fillId="94" borderId="107" xfId="1" applyFont="1" applyFill="1" applyBorder="1" applyAlignment="1">
      <alignment vertical="center"/>
    </xf>
    <xf numFmtId="43" fontId="82" fillId="94" borderId="108" xfId="1" applyFont="1" applyFill="1" applyBorder="1" applyAlignment="1">
      <alignment vertical="center"/>
    </xf>
    <xf numFmtId="43" fontId="128" fillId="0" borderId="322" xfId="1" applyNumberFormat="1" applyFont="1" applyFill="1" applyBorder="1" applyAlignment="1">
      <alignment vertical="center"/>
    </xf>
    <xf numFmtId="43" fontId="82" fillId="94" borderId="391" xfId="1" applyFont="1" applyFill="1" applyBorder="1" applyAlignment="1">
      <alignment vertical="center"/>
    </xf>
    <xf numFmtId="43" fontId="82" fillId="94" borderId="392" xfId="1" applyFont="1" applyFill="1" applyBorder="1" applyAlignment="1">
      <alignment vertical="center"/>
    </xf>
    <xf numFmtId="43" fontId="128" fillId="0" borderId="322" xfId="1" applyNumberFormat="1" applyFont="1" applyFill="1" applyBorder="1"/>
    <xf numFmtId="43" fontId="128" fillId="0" borderId="324" xfId="1" applyFont="1" applyFill="1" applyBorder="1"/>
    <xf numFmtId="43" fontId="128" fillId="0" borderId="322" xfId="1" applyFont="1" applyFill="1" applyBorder="1" applyAlignment="1">
      <alignment horizontal="right"/>
    </xf>
    <xf numFmtId="165" fontId="128" fillId="0" borderId="324" xfId="1" applyNumberFormat="1" applyFont="1" applyFill="1" applyBorder="1"/>
    <xf numFmtId="43" fontId="128" fillId="0" borderId="328" xfId="1" applyFont="1" applyFill="1" applyBorder="1" applyAlignment="1">
      <alignment vertical="center"/>
    </xf>
    <xf numFmtId="43" fontId="128" fillId="0" borderId="330" xfId="1" applyFont="1" applyFill="1" applyBorder="1" applyAlignment="1">
      <alignment vertical="center"/>
    </xf>
    <xf numFmtId="43" fontId="128" fillId="0" borderId="322" xfId="1" applyFont="1" applyFill="1" applyBorder="1"/>
    <xf numFmtId="43" fontId="138" fillId="17" borderId="73" xfId="0" applyNumberFormat="1" applyFont="1" applyFill="1" applyBorder="1"/>
    <xf numFmtId="43" fontId="128" fillId="17" borderId="74" xfId="0" applyNumberFormat="1" applyFont="1" applyFill="1" applyBorder="1"/>
    <xf numFmtId="0" fontId="8" fillId="17" borderId="36" xfId="0" applyFont="1" applyFill="1" applyBorder="1" applyAlignment="1">
      <alignment vertical="top"/>
    </xf>
    <xf numFmtId="0" fontId="8" fillId="111" borderId="0" xfId="0" applyFont="1" applyFill="1" applyAlignment="1">
      <alignment vertical="center"/>
    </xf>
    <xf numFmtId="0" fontId="164" fillId="111" borderId="104" xfId="0" applyFont="1" applyFill="1" applyBorder="1" applyAlignment="1">
      <alignment horizontal="left" vertical="center"/>
    </xf>
    <xf numFmtId="0" fontId="157" fillId="111" borderId="371" xfId="0" applyFont="1" applyFill="1" applyBorder="1" applyAlignment="1">
      <alignment horizontal="center" vertical="center"/>
    </xf>
    <xf numFmtId="43" fontId="138" fillId="111" borderId="365" xfId="1" applyFont="1" applyFill="1" applyBorder="1" applyAlignment="1">
      <alignment vertical="center"/>
    </xf>
    <xf numFmtId="43" fontId="184" fillId="111" borderId="312" xfId="1" applyFont="1" applyFill="1" applyBorder="1" applyAlignment="1">
      <alignment horizontal="center" vertical="center"/>
    </xf>
    <xf numFmtId="43" fontId="184" fillId="111" borderId="384" xfId="1" applyFont="1" applyFill="1" applyBorder="1" applyAlignment="1">
      <alignment horizontal="left" vertical="center" wrapText="1"/>
    </xf>
    <xf numFmtId="43" fontId="82" fillId="111" borderId="30" xfId="1" applyFont="1" applyFill="1" applyBorder="1" applyAlignment="1">
      <alignment vertical="center"/>
    </xf>
    <xf numFmtId="43" fontId="82" fillId="111" borderId="0" xfId="1" applyFont="1" applyFill="1" applyBorder="1" applyAlignment="1">
      <alignment vertical="center"/>
    </xf>
    <xf numFmtId="43" fontId="82" fillId="111" borderId="31" xfId="1" applyFont="1" applyFill="1" applyBorder="1" applyAlignment="1">
      <alignment vertical="center"/>
    </xf>
    <xf numFmtId="43" fontId="128" fillId="111" borderId="365" xfId="1" applyFont="1" applyFill="1" applyBorder="1" applyAlignment="1">
      <alignment vertical="center"/>
    </xf>
    <xf numFmtId="43" fontId="163" fillId="111" borderId="327" xfId="1" applyFont="1" applyFill="1" applyBorder="1" applyAlignment="1">
      <alignment vertical="center"/>
    </xf>
    <xf numFmtId="43" fontId="128" fillId="111" borderId="326" xfId="1" applyFont="1" applyFill="1" applyBorder="1" applyAlignment="1">
      <alignment vertical="center"/>
    </xf>
    <xf numFmtId="43" fontId="128" fillId="111" borderId="325" xfId="1" applyFont="1" applyFill="1" applyBorder="1" applyAlignment="1">
      <alignment vertical="center"/>
    </xf>
    <xf numFmtId="43" fontId="163" fillId="111" borderId="325" xfId="1" applyFont="1" applyFill="1" applyBorder="1" applyAlignment="1">
      <alignment vertical="center"/>
    </xf>
    <xf numFmtId="0" fontId="128" fillId="111" borderId="301" xfId="0" applyFont="1" applyFill="1" applyBorder="1" applyAlignment="1">
      <alignment vertical="center"/>
    </xf>
    <xf numFmtId="0" fontId="6" fillId="111" borderId="0" xfId="0" applyFont="1" applyFill="1" applyAlignment="1">
      <alignment vertical="center"/>
    </xf>
    <xf numFmtId="43" fontId="8" fillId="111" borderId="0" xfId="1" applyFont="1" applyFill="1" applyAlignment="1">
      <alignment vertical="center"/>
    </xf>
    <xf numFmtId="43" fontId="6" fillId="111" borderId="0" xfId="0" applyNumberFormat="1" applyFont="1" applyFill="1" applyAlignment="1">
      <alignment vertical="center"/>
    </xf>
    <xf numFmtId="164" fontId="6" fillId="111" borderId="0" xfId="1" applyNumberFormat="1" applyFont="1" applyFill="1" applyAlignment="1">
      <alignment vertical="center"/>
    </xf>
    <xf numFmtId="43" fontId="6" fillId="111" borderId="0" xfId="1" applyFont="1" applyFill="1" applyAlignment="1">
      <alignment vertical="center"/>
    </xf>
    <xf numFmtId="49" fontId="8" fillId="111" borderId="0" xfId="1" applyNumberFormat="1" applyFont="1" applyFill="1"/>
    <xf numFmtId="0" fontId="8" fillId="111" borderId="0" xfId="0" applyFont="1" applyFill="1"/>
    <xf numFmtId="9" fontId="8" fillId="111" borderId="0" xfId="2" applyFont="1" applyFill="1"/>
    <xf numFmtId="0" fontId="22" fillId="111" borderId="30" xfId="9108" applyFill="1" applyBorder="1" applyAlignment="1">
      <alignment vertical="center"/>
    </xf>
    <xf numFmtId="0" fontId="186" fillId="0" borderId="337" xfId="0" applyFont="1" applyBorder="1" applyAlignment="1">
      <alignment horizontal="center"/>
    </xf>
    <xf numFmtId="0" fontId="186" fillId="0" borderId="338" xfId="0" applyFont="1" applyBorder="1" applyAlignment="1"/>
    <xf numFmtId="0" fontId="186" fillId="0" borderId="337" xfId="0" applyFont="1" applyBorder="1" applyAlignment="1">
      <alignment horizontal="center" wrapText="1"/>
    </xf>
    <xf numFmtId="43" fontId="152" fillId="0" borderId="320" xfId="1" applyFont="1" applyFill="1" applyBorder="1" applyAlignment="1">
      <alignment vertical="center"/>
    </xf>
    <xf numFmtId="43" fontId="152" fillId="94" borderId="92" xfId="1" applyFont="1" applyFill="1" applyBorder="1" applyAlignment="1">
      <alignment vertical="center"/>
    </xf>
    <xf numFmtId="43" fontId="152" fillId="0" borderId="323" xfId="1" applyFont="1" applyFill="1" applyBorder="1" applyAlignment="1">
      <alignment vertical="center"/>
    </xf>
    <xf numFmtId="43" fontId="152" fillId="111" borderId="312" xfId="1" applyFont="1" applyFill="1" applyBorder="1" applyAlignment="1">
      <alignment horizontal="center" vertical="center"/>
    </xf>
    <xf numFmtId="43" fontId="152" fillId="0" borderId="312" xfId="1" applyFont="1" applyFill="1" applyBorder="1" applyAlignment="1">
      <alignment vertical="center"/>
    </xf>
    <xf numFmtId="43" fontId="152" fillId="0" borderId="329" xfId="1" applyFont="1" applyFill="1" applyBorder="1" applyAlignment="1">
      <alignment vertical="center"/>
    </xf>
    <xf numFmtId="43" fontId="152" fillId="0" borderId="320" xfId="1" applyFont="1" applyFill="1" applyBorder="1"/>
    <xf numFmtId="43" fontId="152" fillId="0" borderId="312" xfId="1" applyFont="1" applyFill="1" applyBorder="1"/>
    <xf numFmtId="43" fontId="152" fillId="0" borderId="332" xfId="1" applyFont="1" applyFill="1" applyBorder="1"/>
    <xf numFmtId="43" fontId="152" fillId="0" borderId="317" xfId="1" applyFont="1" applyFill="1" applyBorder="1"/>
    <xf numFmtId="43" fontId="152" fillId="17" borderId="256" xfId="0" applyNumberFormat="1" applyFont="1" applyFill="1" applyBorder="1"/>
    <xf numFmtId="0" fontId="157" fillId="0" borderId="387" xfId="0" applyFont="1" applyBorder="1" applyAlignment="1">
      <alignment horizontal="center" wrapText="1"/>
    </xf>
    <xf numFmtId="43" fontId="128" fillId="16" borderId="366" xfId="1" applyFont="1" applyFill="1" applyBorder="1" applyAlignment="1">
      <alignment vertical="center"/>
    </xf>
    <xf numFmtId="43" fontId="128" fillId="16" borderId="363" xfId="1" applyFont="1" applyFill="1" applyBorder="1" applyAlignment="1">
      <alignment vertical="center"/>
    </xf>
    <xf numFmtId="43" fontId="128" fillId="16" borderId="365" xfId="1" applyFont="1" applyFill="1" applyBorder="1" applyAlignment="1">
      <alignment vertical="center"/>
    </xf>
    <xf numFmtId="43" fontId="128" fillId="16" borderId="367" xfId="1" applyFont="1" applyFill="1" applyBorder="1" applyAlignment="1">
      <alignment vertical="center"/>
    </xf>
    <xf numFmtId="43" fontId="128" fillId="16" borderId="363" xfId="1" applyFont="1" applyFill="1" applyBorder="1"/>
    <xf numFmtId="43" fontId="128" fillId="16" borderId="364" xfId="1" applyFont="1" applyFill="1" applyBorder="1"/>
    <xf numFmtId="43" fontId="128" fillId="0" borderId="365" xfId="1" applyFont="1" applyFill="1" applyBorder="1"/>
    <xf numFmtId="43" fontId="138" fillId="17" borderId="393" xfId="0" applyNumberFormat="1" applyFont="1" applyFill="1" applyBorder="1"/>
    <xf numFmtId="43" fontId="128" fillId="16" borderId="313" xfId="1" applyFont="1" applyFill="1" applyBorder="1" applyAlignment="1">
      <alignment vertical="center"/>
    </xf>
    <xf numFmtId="43" fontId="163" fillId="111" borderId="313" xfId="1" applyFont="1" applyFill="1" applyBorder="1" applyAlignment="1">
      <alignment horizontal="center" vertical="center"/>
    </xf>
    <xf numFmtId="43" fontId="128" fillId="16" borderId="313" xfId="1" applyFont="1" applyFill="1" applyBorder="1"/>
    <xf numFmtId="0" fontId="186" fillId="0" borderId="339" xfId="0" applyFont="1" applyBorder="1" applyAlignment="1">
      <alignment horizontal="center"/>
    </xf>
    <xf numFmtId="0" fontId="186" fillId="0" borderId="388" xfId="0" applyFont="1" applyBorder="1" applyAlignment="1">
      <alignment horizontal="center"/>
    </xf>
    <xf numFmtId="43" fontId="163" fillId="16" borderId="385" xfId="1" applyFont="1" applyFill="1" applyBorder="1" applyAlignment="1">
      <alignment vertical="center"/>
    </xf>
    <xf numFmtId="43" fontId="163" fillId="16" borderId="390" xfId="1" applyFont="1" applyFill="1" applyBorder="1" applyAlignment="1">
      <alignment vertical="center"/>
    </xf>
    <xf numFmtId="0" fontId="128" fillId="16" borderId="384" xfId="0" applyFont="1" applyFill="1" applyBorder="1" applyAlignment="1">
      <alignment vertical="center"/>
    </xf>
    <xf numFmtId="43" fontId="163" fillId="111" borderId="384" xfId="1" applyFont="1" applyFill="1" applyBorder="1" applyAlignment="1">
      <alignment horizontal="center" vertical="center"/>
    </xf>
    <xf numFmtId="43" fontId="163" fillId="16" borderId="386" xfId="1" applyFont="1" applyFill="1" applyBorder="1" applyAlignment="1">
      <alignment vertical="center"/>
    </xf>
    <xf numFmtId="43" fontId="163" fillId="16" borderId="389" xfId="1" applyFont="1" applyFill="1" applyBorder="1" applyAlignment="1">
      <alignment vertical="center"/>
    </xf>
    <xf numFmtId="43" fontId="163" fillId="16" borderId="390" xfId="1" applyFont="1" applyFill="1" applyBorder="1"/>
    <xf numFmtId="43" fontId="163" fillId="16" borderId="386" xfId="1" applyFont="1" applyFill="1" applyBorder="1"/>
    <xf numFmtId="43" fontId="163" fillId="16" borderId="394" xfId="1" applyFont="1" applyFill="1" applyBorder="1"/>
    <xf numFmtId="43" fontId="163" fillId="0" borderId="386" xfId="1" applyFont="1" applyFill="1" applyBorder="1"/>
    <xf numFmtId="43" fontId="163" fillId="17" borderId="388" xfId="0" applyNumberFormat="1" applyFont="1" applyFill="1" applyBorder="1"/>
    <xf numFmtId="0" fontId="180" fillId="110" borderId="396" xfId="0" applyFont="1" applyFill="1" applyBorder="1" applyAlignment="1">
      <alignment horizontal="center" vertical="center"/>
    </xf>
    <xf numFmtId="0" fontId="187" fillId="110" borderId="105" xfId="0" applyFont="1" applyFill="1" applyBorder="1" applyAlignment="1">
      <alignment horizontal="left" vertical="center" indent="1"/>
    </xf>
    <xf numFmtId="0" fontId="187" fillId="110" borderId="85" xfId="0" applyFont="1" applyFill="1" applyBorder="1" applyAlignment="1">
      <alignment horizontal="left" vertical="center" indent="1"/>
    </xf>
    <xf numFmtId="0" fontId="187" fillId="110" borderId="398" xfId="0" applyFont="1" applyFill="1" applyBorder="1" applyAlignment="1">
      <alignment horizontal="left" vertical="center" indent="1"/>
    </xf>
    <xf numFmtId="0" fontId="187" fillId="110" borderId="399" xfId="0" applyFont="1" applyFill="1" applyBorder="1" applyAlignment="1">
      <alignment vertical="center"/>
    </xf>
    <xf numFmtId="0" fontId="187" fillId="110" borderId="399" xfId="0" applyFont="1" applyFill="1" applyBorder="1" applyAlignment="1">
      <alignment horizontal="center" vertical="center"/>
    </xf>
    <xf numFmtId="0" fontId="178" fillId="107" borderId="73" xfId="0" applyFont="1" applyFill="1" applyBorder="1" applyAlignment="1">
      <alignment vertical="center"/>
    </xf>
    <xf numFmtId="0" fontId="178" fillId="107" borderId="256" xfId="0" applyFont="1" applyFill="1" applyBorder="1" applyAlignment="1">
      <alignment vertical="center"/>
    </xf>
    <xf numFmtId="43" fontId="180" fillId="0" borderId="395" xfId="0" applyNumberFormat="1" applyFont="1" applyBorder="1" applyAlignment="1">
      <alignment horizontal="center" vertical="center"/>
    </xf>
    <xf numFmtId="43" fontId="187" fillId="0" borderId="105" xfId="0" applyNumberFormat="1" applyFont="1" applyBorder="1" applyAlignment="1">
      <alignment horizontal="center" vertical="center"/>
    </xf>
    <xf numFmtId="43" fontId="187" fillId="0" borderId="398" xfId="0" applyNumberFormat="1" applyFont="1" applyBorder="1" applyAlignment="1">
      <alignment horizontal="center" vertical="center"/>
    </xf>
    <xf numFmtId="43" fontId="180" fillId="0" borderId="395" xfId="1" applyFont="1" applyBorder="1" applyAlignment="1">
      <alignment horizontal="center" vertical="center"/>
    </xf>
    <xf numFmtId="43" fontId="187" fillId="0" borderId="105" xfId="1" applyFont="1" applyBorder="1" applyAlignment="1">
      <alignment horizontal="center" vertical="center"/>
    </xf>
    <xf numFmtId="43" fontId="187" fillId="0" borderId="398" xfId="1" applyFont="1" applyBorder="1" applyAlignment="1">
      <alignment horizontal="center" vertical="center"/>
    </xf>
    <xf numFmtId="43" fontId="6" fillId="25" borderId="0" xfId="0" applyNumberFormat="1" applyFont="1" applyFill="1"/>
    <xf numFmtId="0" fontId="187" fillId="110" borderId="117" xfId="0" applyFont="1" applyFill="1" applyBorder="1" applyAlignment="1">
      <alignment horizontal="left" vertical="center" indent="1"/>
    </xf>
    <xf numFmtId="0" fontId="187" fillId="110" borderId="92" xfId="0" applyFont="1" applyFill="1" applyBorder="1" applyAlignment="1">
      <alignment horizontal="left" vertical="center" indent="1"/>
    </xf>
    <xf numFmtId="43" fontId="187" fillId="0" borderId="117" xfId="0" applyNumberFormat="1" applyFont="1" applyBorder="1" applyAlignment="1">
      <alignment horizontal="center" vertical="center"/>
    </xf>
    <xf numFmtId="43" fontId="187" fillId="0" borderId="117" xfId="1" applyFont="1" applyBorder="1" applyAlignment="1">
      <alignment horizontal="center" vertical="center"/>
    </xf>
    <xf numFmtId="0" fontId="179" fillId="109" borderId="396" xfId="0" applyFont="1" applyFill="1" applyBorder="1" applyAlignment="1">
      <alignment horizontal="center" vertical="center"/>
    </xf>
    <xf numFmtId="43" fontId="179" fillId="109" borderId="395" xfId="0" applyNumberFormat="1" applyFont="1" applyFill="1" applyBorder="1" applyAlignment="1">
      <alignment horizontal="center" vertical="center"/>
    </xf>
    <xf numFmtId="43" fontId="187" fillId="16" borderId="398" xfId="1" applyFont="1" applyFill="1" applyBorder="1" applyAlignment="1">
      <alignment horizontal="center" vertical="center"/>
    </xf>
    <xf numFmtId="177" fontId="163" fillId="16" borderId="324" xfId="1" applyNumberFormat="1" applyFont="1" applyFill="1" applyBorder="1" applyAlignment="1">
      <alignment vertical="center"/>
    </xf>
    <xf numFmtId="177" fontId="163" fillId="16" borderId="323" xfId="1" applyNumberFormat="1" applyFont="1" applyFill="1" applyBorder="1" applyAlignment="1">
      <alignment vertical="center"/>
    </xf>
    <xf numFmtId="177" fontId="163" fillId="16" borderId="390" xfId="1" applyNumberFormat="1" applyFont="1" applyFill="1" applyBorder="1" applyAlignment="1">
      <alignment vertical="center"/>
    </xf>
    <xf numFmtId="165" fontId="130" fillId="0" borderId="0" xfId="1" applyNumberFormat="1" applyFont="1"/>
    <xf numFmtId="43" fontId="163" fillId="16" borderId="321" xfId="1" applyNumberFormat="1" applyFont="1" applyFill="1" applyBorder="1" applyAlignment="1">
      <alignment vertical="center"/>
    </xf>
    <xf numFmtId="43" fontId="163" fillId="16" borderId="324" xfId="1" applyNumberFormat="1" applyFont="1" applyFill="1" applyBorder="1" applyAlignment="1">
      <alignment vertical="center"/>
    </xf>
    <xf numFmtId="43" fontId="163" fillId="0" borderId="324" xfId="1" applyNumberFormat="1" applyFont="1" applyFill="1" applyBorder="1" applyAlignment="1">
      <alignment vertical="center"/>
    </xf>
    <xf numFmtId="43" fontId="163" fillId="111" borderId="327" xfId="1" applyNumberFormat="1" applyFont="1" applyFill="1" applyBorder="1" applyAlignment="1">
      <alignment vertical="center"/>
    </xf>
    <xf numFmtId="43" fontId="163" fillId="16" borderId="327" xfId="1" applyNumberFormat="1" applyFont="1" applyFill="1" applyBorder="1" applyAlignment="1">
      <alignment vertical="center"/>
    </xf>
    <xf numFmtId="43" fontId="163" fillId="16" borderId="330" xfId="1" applyNumberFormat="1" applyFont="1" applyFill="1" applyBorder="1" applyAlignment="1">
      <alignment vertical="center"/>
    </xf>
    <xf numFmtId="43" fontId="163" fillId="16" borderId="324" xfId="1" applyNumberFormat="1" applyFont="1" applyFill="1" applyBorder="1"/>
    <xf numFmtId="43" fontId="163" fillId="0" borderId="324" xfId="1" applyNumberFormat="1" applyFont="1" applyFill="1" applyBorder="1"/>
    <xf numFmtId="43" fontId="163" fillId="16" borderId="334" xfId="1" applyNumberFormat="1" applyFont="1" applyFill="1" applyBorder="1"/>
    <xf numFmtId="43" fontId="163" fillId="0" borderId="327" xfId="1" applyNumberFormat="1" applyFont="1" applyFill="1" applyBorder="1"/>
    <xf numFmtId="177" fontId="163" fillId="16" borderId="324" xfId="1" applyNumberFormat="1" applyFont="1" applyFill="1" applyBorder="1"/>
    <xf numFmtId="177" fontId="163" fillId="16" borderId="323" xfId="1" applyNumberFormat="1" applyFont="1" applyFill="1" applyBorder="1"/>
    <xf numFmtId="2" fontId="163" fillId="16" borderId="324" xfId="1" applyNumberFormat="1" applyFont="1" applyFill="1" applyBorder="1" applyAlignment="1">
      <alignment vertical="center"/>
    </xf>
    <xf numFmtId="0" fontId="189" fillId="16" borderId="0" xfId="0" applyFont="1" applyFill="1"/>
    <xf numFmtId="0" fontId="190" fillId="88" borderId="255" xfId="8159" applyFont="1" applyFill="1" applyBorder="1" applyAlignment="1">
      <alignment horizontal="center" wrapText="1"/>
    </xf>
    <xf numFmtId="0" fontId="191" fillId="89" borderId="38" xfId="9" applyFont="1" applyFill="1" applyBorder="1" applyAlignment="1">
      <alignment horizontal="center"/>
    </xf>
    <xf numFmtId="0" fontId="191" fillId="89" borderId="39" xfId="9" applyFont="1" applyFill="1" applyBorder="1" applyAlignment="1">
      <alignment horizontal="center"/>
    </xf>
    <xf numFmtId="1" fontId="191" fillId="89" borderId="39" xfId="9" applyNumberFormat="1" applyFont="1" applyFill="1" applyBorder="1" applyAlignment="1">
      <alignment horizontal="center"/>
    </xf>
    <xf numFmtId="0" fontId="191" fillId="89" borderId="79" xfId="9" applyFont="1" applyFill="1" applyBorder="1" applyAlignment="1">
      <alignment horizontal="center"/>
    </xf>
    <xf numFmtId="0" fontId="191" fillId="89" borderId="68" xfId="9" applyFont="1" applyFill="1" applyBorder="1" applyAlignment="1">
      <alignment horizontal="center"/>
    </xf>
    <xf numFmtId="0" fontId="192" fillId="89" borderId="79" xfId="9" applyFont="1" applyFill="1" applyBorder="1" applyAlignment="1">
      <alignment horizontal="center"/>
    </xf>
    <xf numFmtId="0" fontId="192" fillId="89" borderId="68" xfId="9" applyFont="1" applyFill="1" applyBorder="1" applyAlignment="1">
      <alignment horizontal="center"/>
    </xf>
    <xf numFmtId="0" fontId="191" fillId="89" borderId="257" xfId="9" applyFont="1" applyFill="1" applyBorder="1" applyAlignment="1">
      <alignment horizontal="center"/>
    </xf>
    <xf numFmtId="0" fontId="191" fillId="89" borderId="77" xfId="9" applyFont="1" applyFill="1" applyBorder="1" applyAlignment="1">
      <alignment horizontal="center"/>
    </xf>
    <xf numFmtId="0" fontId="0" fillId="21" borderId="5" xfId="0" applyFill="1" applyBorder="1"/>
    <xf numFmtId="0" fontId="0" fillId="21" borderId="131" xfId="0" applyFill="1" applyBorder="1"/>
    <xf numFmtId="0" fontId="0" fillId="21" borderId="6" xfId="0" applyFill="1" applyBorder="1"/>
    <xf numFmtId="0" fontId="193" fillId="16" borderId="132" xfId="0" applyFont="1" applyFill="1" applyBorder="1" applyAlignment="1">
      <alignment wrapText="1"/>
    </xf>
    <xf numFmtId="0" fontId="193" fillId="16" borderId="0" xfId="0" applyFont="1" applyFill="1" applyAlignment="1">
      <alignment wrapText="1"/>
    </xf>
    <xf numFmtId="0" fontId="193" fillId="16" borderId="133" xfId="0" applyFont="1" applyFill="1" applyBorder="1" applyAlignment="1">
      <alignment wrapText="1"/>
    </xf>
    <xf numFmtId="0" fontId="193" fillId="16" borderId="224" xfId="0" applyFont="1" applyFill="1" applyBorder="1" applyAlignment="1">
      <alignment wrapText="1"/>
    </xf>
    <xf numFmtId="0" fontId="190" fillId="88" borderId="68" xfId="8159" applyFont="1" applyFill="1" applyBorder="1" applyAlignment="1">
      <alignment horizontal="center" wrapText="1"/>
    </xf>
    <xf numFmtId="0" fontId="190" fillId="88" borderId="68" xfId="8159" applyFont="1" applyFill="1" applyBorder="1" applyAlignment="1">
      <alignment horizontal="center"/>
    </xf>
    <xf numFmtId="0" fontId="0" fillId="16" borderId="134" xfId="0" applyFill="1" applyBorder="1"/>
    <xf numFmtId="0" fontId="0" fillId="16" borderId="135" xfId="0" applyFill="1" applyBorder="1"/>
    <xf numFmtId="167" fontId="0" fillId="16" borderId="136" xfId="0" applyNumberFormat="1" applyFill="1" applyBorder="1"/>
    <xf numFmtId="9" fontId="0" fillId="16" borderId="0" xfId="12" applyFont="1" applyFill="1"/>
    <xf numFmtId="1" fontId="0" fillId="16" borderId="68" xfId="0" applyNumberFormat="1" applyFill="1" applyBorder="1"/>
    <xf numFmtId="0" fontId="0" fillId="16" borderId="137" xfId="0" applyFill="1" applyBorder="1"/>
    <xf numFmtId="0" fontId="0" fillId="16" borderId="138" xfId="0" applyFill="1" applyBorder="1"/>
    <xf numFmtId="167" fontId="0" fillId="16" borderId="139" xfId="0" applyNumberFormat="1" applyFill="1" applyBorder="1"/>
    <xf numFmtId="0" fontId="0" fillId="16" borderId="140" xfId="0" applyFill="1" applyBorder="1"/>
    <xf numFmtId="0" fontId="0" fillId="16" borderId="141" xfId="0" applyFill="1" applyBorder="1"/>
    <xf numFmtId="167" fontId="0" fillId="16" borderId="142" xfId="0" applyNumberFormat="1" applyFill="1" applyBorder="1"/>
    <xf numFmtId="0" fontId="0" fillId="16" borderId="144" xfId="0" applyFill="1" applyBorder="1"/>
    <xf numFmtId="9" fontId="0" fillId="16" borderId="145" xfId="0" applyNumberFormat="1" applyFill="1" applyBorder="1"/>
    <xf numFmtId="0" fontId="27" fillId="112" borderId="0" xfId="0" applyFont="1" applyFill="1"/>
    <xf numFmtId="9" fontId="27" fillId="16" borderId="0" xfId="0" applyNumberFormat="1" applyFont="1" applyFill="1"/>
    <xf numFmtId="0" fontId="191" fillId="89" borderId="0" xfId="9" applyFont="1" applyFill="1" applyAlignment="1">
      <alignment horizontal="center"/>
    </xf>
    <xf numFmtId="169" fontId="191" fillId="89" borderId="0" xfId="9" applyNumberFormat="1" applyFont="1" applyFill="1" applyAlignment="1">
      <alignment horizontal="center"/>
    </xf>
    <xf numFmtId="0" fontId="75" fillId="21" borderId="4" xfId="0" applyFont="1" applyFill="1" applyBorder="1" applyAlignment="1">
      <alignment horizontal="center" wrapText="1"/>
    </xf>
    <xf numFmtId="0" fontId="75" fillId="21" borderId="146" xfId="0" applyFont="1" applyFill="1" applyBorder="1" applyAlignment="1">
      <alignment horizontal="center" wrapText="1"/>
    </xf>
    <xf numFmtId="0" fontId="75" fillId="21" borderId="4" xfId="0" applyFont="1" applyFill="1" applyBorder="1" applyAlignment="1">
      <alignment horizontal="center" vertical="center" wrapText="1"/>
    </xf>
    <xf numFmtId="0" fontId="75" fillId="21" borderId="147" xfId="0" applyFont="1" applyFill="1" applyBorder="1" applyAlignment="1">
      <alignment horizontal="center" vertical="center" wrapText="1"/>
    </xf>
    <xf numFmtId="0" fontId="75" fillId="21" borderId="146" xfId="0" applyFont="1" applyFill="1" applyBorder="1" applyAlignment="1">
      <alignment horizontal="center" vertical="center" wrapText="1"/>
    </xf>
    <xf numFmtId="0" fontId="117" fillId="89" borderId="5" xfId="9" applyFont="1" applyFill="1" applyBorder="1" applyAlignment="1">
      <alignment horizontal="center"/>
    </xf>
    <xf numFmtId="0" fontId="117" fillId="89" borderId="6" xfId="9" applyFont="1" applyFill="1" applyBorder="1" applyAlignment="1">
      <alignment horizontal="center"/>
    </xf>
    <xf numFmtId="167" fontId="117" fillId="89" borderId="5" xfId="12" applyNumberFormat="1" applyFont="1" applyFill="1" applyBorder="1" applyAlignment="1">
      <alignment horizontal="center"/>
    </xf>
    <xf numFmtId="167" fontId="117" fillId="89" borderId="131" xfId="12" applyNumberFormat="1" applyFont="1" applyFill="1" applyBorder="1" applyAlignment="1">
      <alignment horizontal="center"/>
    </xf>
    <xf numFmtId="167" fontId="117" fillId="89" borderId="133" xfId="12" applyNumberFormat="1" applyFont="1" applyFill="1" applyBorder="1" applyAlignment="1">
      <alignment horizontal="center"/>
    </xf>
    <xf numFmtId="0" fontId="117" fillId="89" borderId="132" xfId="9" applyFont="1" applyFill="1" applyBorder="1" applyAlignment="1">
      <alignment horizontal="center"/>
    </xf>
    <xf numFmtId="0" fontId="117" fillId="89" borderId="133" xfId="9" applyFont="1" applyFill="1" applyBorder="1" applyAlignment="1">
      <alignment horizontal="center"/>
    </xf>
    <xf numFmtId="167" fontId="117" fillId="89" borderId="132" xfId="12" applyNumberFormat="1" applyFont="1" applyFill="1" applyBorder="1" applyAlignment="1">
      <alignment horizontal="center"/>
    </xf>
    <xf numFmtId="167" fontId="117" fillId="89" borderId="0" xfId="12" applyNumberFormat="1" applyFont="1" applyFill="1" applyBorder="1" applyAlignment="1">
      <alignment horizontal="center"/>
    </xf>
    <xf numFmtId="0" fontId="117" fillId="89" borderId="143" xfId="9" applyFont="1" applyFill="1" applyBorder="1" applyAlignment="1">
      <alignment horizontal="center"/>
    </xf>
    <xf numFmtId="0" fontId="117" fillId="89" borderId="145" xfId="9" applyFont="1" applyFill="1" applyBorder="1" applyAlignment="1">
      <alignment horizontal="center"/>
    </xf>
    <xf numFmtId="167" fontId="117" fillId="89" borderId="143" xfId="12" applyNumberFormat="1" applyFont="1" applyFill="1" applyBorder="1" applyAlignment="1">
      <alignment horizontal="center"/>
    </xf>
    <xf numFmtId="167" fontId="117" fillId="89" borderId="144" xfId="12" applyNumberFormat="1" applyFont="1" applyFill="1" applyBorder="1" applyAlignment="1">
      <alignment horizontal="center"/>
    </xf>
    <xf numFmtId="167" fontId="117" fillId="89" borderId="145" xfId="12" applyNumberFormat="1" applyFont="1" applyFill="1" applyBorder="1" applyAlignment="1">
      <alignment horizontal="center"/>
    </xf>
    <xf numFmtId="0" fontId="117" fillId="89" borderId="0" xfId="9" applyFont="1" applyFill="1" applyAlignment="1">
      <alignment horizontal="center"/>
    </xf>
    <xf numFmtId="43" fontId="155" fillId="94" borderId="111" xfId="1" applyFont="1" applyFill="1" applyBorder="1"/>
    <xf numFmtId="43" fontId="155" fillId="94" borderId="102" xfId="1" applyFont="1" applyFill="1" applyBorder="1"/>
    <xf numFmtId="43" fontId="155" fillId="94" borderId="112" xfId="1" applyFont="1" applyFill="1" applyBorder="1"/>
    <xf numFmtId="43" fontId="155" fillId="94" borderId="391" xfId="1" applyFont="1" applyFill="1" applyBorder="1"/>
    <xf numFmtId="43" fontId="155" fillId="94" borderId="226" xfId="1" applyFont="1" applyFill="1" applyBorder="1"/>
    <xf numFmtId="43" fontId="155" fillId="94" borderId="392" xfId="1" applyFont="1" applyFill="1" applyBorder="1"/>
    <xf numFmtId="43" fontId="138" fillId="0" borderId="366" xfId="1" applyFont="1" applyFill="1" applyBorder="1"/>
    <xf numFmtId="43" fontId="184" fillId="0" borderId="320" xfId="1" applyFont="1" applyFill="1" applyBorder="1"/>
    <xf numFmtId="43" fontId="184" fillId="0" borderId="385" xfId="1" applyFont="1" applyFill="1" applyBorder="1"/>
    <xf numFmtId="43" fontId="138" fillId="0" borderId="383" xfId="1" applyFont="1" applyFill="1" applyBorder="1" applyAlignment="1">
      <alignment horizontal="right"/>
    </xf>
    <xf numFmtId="43" fontId="184" fillId="0" borderId="312" xfId="1" applyFont="1" applyFill="1" applyBorder="1"/>
    <xf numFmtId="0" fontId="15" fillId="93" borderId="337" xfId="0" applyFont="1" applyFill="1" applyBorder="1" applyAlignment="1">
      <alignment vertical="center"/>
    </xf>
    <xf numFmtId="0" fontId="157" fillId="0" borderId="185" xfId="0" applyFont="1" applyBorder="1" applyAlignment="1"/>
    <xf numFmtId="0" fontId="157" fillId="0" borderId="184" xfId="0" applyFont="1" applyBorder="1" applyAlignment="1"/>
    <xf numFmtId="0" fontId="167" fillId="0" borderId="0" xfId="0" applyFont="1" applyAlignment="1">
      <alignment vertical="center"/>
    </xf>
    <xf numFmtId="0" fontId="15" fillId="93" borderId="33" xfId="0" applyFont="1" applyFill="1" applyBorder="1" applyAlignment="1">
      <alignment vertical="center"/>
    </xf>
    <xf numFmtId="0" fontId="164" fillId="0" borderId="129" xfId="0" applyFont="1" applyFill="1" applyBorder="1" applyAlignment="1">
      <alignment vertical="center" wrapText="1"/>
    </xf>
    <xf numFmtId="0" fontId="157" fillId="0" borderId="75" xfId="0" applyFont="1" applyBorder="1" applyAlignment="1">
      <alignment horizontal="left"/>
    </xf>
    <xf numFmtId="0" fontId="157" fillId="0" borderId="307" xfId="0" applyFont="1" applyFill="1" applyBorder="1" applyAlignment="1">
      <alignment horizontal="center" vertical="center"/>
    </xf>
    <xf numFmtId="0" fontId="167" fillId="0" borderId="31" xfId="0" applyFont="1" applyBorder="1" applyAlignment="1">
      <alignment horizontal="left" vertical="center"/>
    </xf>
    <xf numFmtId="0" fontId="157" fillId="0" borderId="149" xfId="0" applyFont="1" applyBorder="1" applyAlignment="1"/>
    <xf numFmtId="0" fontId="7" fillId="0" borderId="73" xfId="0" applyFont="1" applyBorder="1"/>
    <xf numFmtId="43" fontId="25" fillId="0" borderId="0" xfId="1" applyFont="1"/>
    <xf numFmtId="43" fontId="1" fillId="0" borderId="0" xfId="0" applyNumberFormat="1" applyFont="1"/>
    <xf numFmtId="2" fontId="184" fillId="17" borderId="402" xfId="1" applyNumberFormat="1" applyFont="1" applyFill="1" applyBorder="1" applyAlignment="1">
      <alignment horizontal="center" vertical="center"/>
    </xf>
    <xf numFmtId="2" fontId="184" fillId="17" borderId="366" xfId="1" applyNumberFormat="1" applyFont="1" applyFill="1" applyBorder="1" applyAlignment="1">
      <alignment horizontal="center" vertical="center"/>
    </xf>
    <xf numFmtId="2" fontId="184" fillId="17" borderId="383" xfId="1" applyNumberFormat="1" applyFont="1" applyFill="1" applyBorder="1" applyAlignment="1">
      <alignment horizontal="center" vertical="center"/>
    </xf>
    <xf numFmtId="177" fontId="138" fillId="17" borderId="393" xfId="0" applyNumberFormat="1" applyFont="1" applyFill="1" applyBorder="1"/>
    <xf numFmtId="2" fontId="181" fillId="109" borderId="397" xfId="0" applyNumberFormat="1" applyFont="1" applyFill="1" applyBorder="1" applyAlignment="1">
      <alignment horizontal="center" vertical="center"/>
    </xf>
    <xf numFmtId="2" fontId="181" fillId="0" borderId="118" xfId="0" applyNumberFormat="1" applyFont="1" applyBorder="1" applyAlignment="1">
      <alignment horizontal="center" vertical="center"/>
    </xf>
    <xf numFmtId="2" fontId="181" fillId="0" borderId="400" xfId="0" applyNumberFormat="1" applyFont="1" applyBorder="1" applyAlignment="1">
      <alignment horizontal="center" vertical="center"/>
    </xf>
    <xf numFmtId="2" fontId="181" fillId="0" borderId="397" xfId="0" applyNumberFormat="1" applyFont="1" applyBorder="1" applyAlignment="1">
      <alignment horizontal="center" vertical="center"/>
    </xf>
    <xf numFmtId="2" fontId="181" fillId="0" borderId="106" xfId="0" applyNumberFormat="1" applyFont="1" applyBorder="1" applyAlignment="1">
      <alignment horizontal="center" vertical="center"/>
    </xf>
    <xf numFmtId="2" fontId="181" fillId="25" borderId="397" xfId="0" applyNumberFormat="1" applyFont="1" applyFill="1" applyBorder="1" applyAlignment="1">
      <alignment horizontal="center" vertical="center"/>
    </xf>
    <xf numFmtId="43" fontId="128" fillId="16" borderId="404" xfId="1" applyFont="1" applyFill="1" applyBorder="1" applyAlignment="1">
      <alignment vertical="center"/>
    </xf>
    <xf numFmtId="0" fontId="157" fillId="0" borderId="256" xfId="0" applyFont="1" applyBorder="1" applyAlignment="1">
      <alignment horizontal="center"/>
    </xf>
    <xf numFmtId="0" fontId="146" fillId="0" borderId="89" xfId="9108" applyFont="1" applyFill="1" applyBorder="1" applyAlignment="1">
      <alignment vertical="center" wrapText="1"/>
    </xf>
    <xf numFmtId="0" fontId="75" fillId="79" borderId="406" xfId="0" applyFont="1" applyFill="1" applyBorder="1" applyAlignment="1">
      <alignment horizontal="center"/>
    </xf>
    <xf numFmtId="0" fontId="75" fillId="79" borderId="407" xfId="0" applyFont="1" applyFill="1" applyBorder="1" applyAlignment="1">
      <alignment horizontal="center"/>
    </xf>
    <xf numFmtId="0" fontId="75" fillId="79" borderId="405" xfId="0" applyFont="1" applyFill="1" applyBorder="1" applyAlignment="1">
      <alignment horizontal="center"/>
    </xf>
    <xf numFmtId="0" fontId="75" fillId="79" borderId="408" xfId="0" applyFont="1" applyFill="1" applyBorder="1" applyAlignment="1">
      <alignment horizontal="center"/>
    </xf>
    <xf numFmtId="0" fontId="157" fillId="0" borderId="149" xfId="0" applyFont="1" applyBorder="1" applyAlignment="1">
      <alignment horizontal="left"/>
    </xf>
    <xf numFmtId="0" fontId="167" fillId="0" borderId="0" xfId="0" applyFont="1" applyAlignment="1">
      <alignment horizontal="left" vertical="center"/>
    </xf>
    <xf numFmtId="43" fontId="179" fillId="18" borderId="395" xfId="0" applyNumberFormat="1" applyFont="1" applyFill="1" applyBorder="1" applyAlignment="1">
      <alignment horizontal="center" vertical="center"/>
    </xf>
    <xf numFmtId="0" fontId="157" fillId="0" borderId="33" xfId="0" applyFont="1" applyBorder="1" applyAlignment="1"/>
    <xf numFmtId="0" fontId="8" fillId="0" borderId="0" xfId="0" applyFont="1" applyAlignment="1">
      <alignment vertical="top" wrapText="1"/>
    </xf>
    <xf numFmtId="0" fontId="195" fillId="0" borderId="30" xfId="0" applyFont="1" applyBorder="1" applyAlignment="1">
      <alignment vertical="center"/>
    </xf>
    <xf numFmtId="0" fontId="195" fillId="0" borderId="0" xfId="0" applyFont="1" applyBorder="1" applyAlignment="1">
      <alignment vertical="center"/>
    </xf>
    <xf numFmtId="0" fontId="164" fillId="21" borderId="256" xfId="0" applyFont="1" applyFill="1" applyBorder="1" applyAlignment="1">
      <alignment wrapText="1"/>
    </xf>
    <xf numFmtId="0" fontId="15" fillId="93" borderId="34" xfId="0" applyFont="1" applyFill="1" applyBorder="1" applyAlignment="1">
      <alignment vertical="center"/>
    </xf>
    <xf numFmtId="0" fontId="173" fillId="105" borderId="0" xfId="0" applyFont="1" applyFill="1" applyBorder="1" applyAlignment="1">
      <alignment horizontal="left" vertical="center" wrapText="1"/>
    </xf>
    <xf numFmtId="0" fontId="101" fillId="0" borderId="0" xfId="0" applyFont="1" applyFill="1"/>
    <xf numFmtId="0" fontId="0" fillId="0" borderId="0" xfId="0" applyFont="1" applyFill="1"/>
    <xf numFmtId="0" fontId="196" fillId="110" borderId="117" xfId="0" applyFont="1" applyFill="1" applyBorder="1" applyAlignment="1">
      <alignment horizontal="left" vertical="center" indent="1"/>
    </xf>
    <xf numFmtId="0" fontId="196" fillId="110" borderId="92" xfId="0" applyFont="1" applyFill="1" applyBorder="1" applyAlignment="1">
      <alignment horizontal="left" vertical="center" indent="1"/>
    </xf>
    <xf numFmtId="43" fontId="196" fillId="0" borderId="117" xfId="0" applyNumberFormat="1" applyFont="1" applyBorder="1" applyAlignment="1">
      <alignment horizontal="center" vertical="center"/>
    </xf>
    <xf numFmtId="2" fontId="197" fillId="0" borderId="118" xfId="0" applyNumberFormat="1" applyFont="1" applyBorder="1" applyAlignment="1">
      <alignment horizontal="center" vertical="center"/>
    </xf>
    <xf numFmtId="43" fontId="196" fillId="0" borderId="117" xfId="1" applyFont="1" applyBorder="1" applyAlignment="1">
      <alignment horizontal="center" vertical="center"/>
    </xf>
    <xf numFmtId="0" fontId="196" fillId="110" borderId="398" xfId="0" applyFont="1" applyFill="1" applyBorder="1" applyAlignment="1">
      <alignment horizontal="left" vertical="center" indent="1"/>
    </xf>
    <xf numFmtId="0" fontId="196" fillId="110" borderId="399" xfId="0" applyFont="1" applyFill="1" applyBorder="1" applyAlignment="1">
      <alignment vertical="center"/>
    </xf>
    <xf numFmtId="0" fontId="196" fillId="110" borderId="399" xfId="0" applyFont="1" applyFill="1" applyBorder="1" applyAlignment="1">
      <alignment horizontal="center" vertical="center"/>
    </xf>
    <xf numFmtId="43" fontId="196" fillId="0" borderId="398" xfId="0" applyNumberFormat="1" applyFont="1" applyBorder="1" applyAlignment="1">
      <alignment horizontal="center" vertical="center"/>
    </xf>
    <xf numFmtId="2" fontId="197" fillId="0" borderId="400" xfId="0" applyNumberFormat="1" applyFont="1" applyBorder="1" applyAlignment="1">
      <alignment horizontal="center" vertical="center"/>
    </xf>
    <xf numFmtId="43" fontId="196" fillId="16" borderId="398" xfId="1" applyFont="1" applyFill="1" applyBorder="1" applyAlignment="1">
      <alignment horizontal="center" vertical="center"/>
    </xf>
    <xf numFmtId="0" fontId="198" fillId="110" borderId="396" xfId="0" applyFont="1" applyFill="1" applyBorder="1" applyAlignment="1">
      <alignment horizontal="center" vertical="center"/>
    </xf>
    <xf numFmtId="43" fontId="198" fillId="0" borderId="395" xfId="0" applyNumberFormat="1" applyFont="1" applyBorder="1" applyAlignment="1">
      <alignment horizontal="center" vertical="center"/>
    </xf>
    <xf numFmtId="2" fontId="197" fillId="0" borderId="397" xfId="0" applyNumberFormat="1" applyFont="1" applyBorder="1" applyAlignment="1">
      <alignment horizontal="center" vertical="center"/>
    </xf>
    <xf numFmtId="43" fontId="198" fillId="0" borderId="395" xfId="1" applyFont="1" applyBorder="1" applyAlignment="1">
      <alignment horizontal="center" vertical="center"/>
    </xf>
    <xf numFmtId="0" fontId="196" fillId="110" borderId="105" xfId="0" applyFont="1" applyFill="1" applyBorder="1" applyAlignment="1">
      <alignment horizontal="left" vertical="center" indent="1"/>
    </xf>
    <xf numFmtId="0" fontId="196" fillId="110" borderId="85" xfId="0" applyFont="1" applyFill="1" applyBorder="1" applyAlignment="1">
      <alignment horizontal="left" vertical="center" indent="1"/>
    </xf>
    <xf numFmtId="43" fontId="196" fillId="0" borderId="105" xfId="0" applyNumberFormat="1" applyFont="1" applyBorder="1" applyAlignment="1">
      <alignment horizontal="center" vertical="center"/>
    </xf>
    <xf numFmtId="2" fontId="197" fillId="0" borderId="106" xfId="0" applyNumberFormat="1" applyFont="1" applyBorder="1" applyAlignment="1">
      <alignment horizontal="center" vertical="center"/>
    </xf>
    <xf numFmtId="43" fontId="196" fillId="0" borderId="105" xfId="1" applyFont="1" applyBorder="1" applyAlignment="1">
      <alignment horizontal="center" vertical="center"/>
    </xf>
    <xf numFmtId="43" fontId="196" fillId="0" borderId="398" xfId="1" applyFont="1" applyBorder="1" applyAlignment="1">
      <alignment horizontal="center" vertical="center"/>
    </xf>
    <xf numFmtId="171" fontId="197" fillId="16" borderId="397" xfId="0" applyNumberFormat="1" applyFont="1" applyFill="1" applyBorder="1" applyAlignment="1">
      <alignment horizontal="center" vertical="center"/>
    </xf>
    <xf numFmtId="171" fontId="197" fillId="0" borderId="106" xfId="0" applyNumberFormat="1" applyFont="1" applyBorder="1" applyAlignment="1">
      <alignment horizontal="center" vertical="center"/>
    </xf>
    <xf numFmtId="171" fontId="197" fillId="0" borderId="400" xfId="0" applyNumberFormat="1" applyFont="1" applyBorder="1" applyAlignment="1">
      <alignment horizontal="center" vertical="center"/>
    </xf>
    <xf numFmtId="0" fontId="25" fillId="25" borderId="173" xfId="0" applyFont="1" applyFill="1" applyBorder="1" applyAlignment="1">
      <alignment vertical="center"/>
    </xf>
    <xf numFmtId="0" fontId="25" fillId="23" borderId="173" xfId="0" applyFont="1" applyFill="1" applyBorder="1" applyAlignment="1">
      <alignment vertical="center"/>
    </xf>
    <xf numFmtId="0" fontId="5" fillId="96" borderId="173" xfId="0" applyFont="1" applyFill="1" applyBorder="1" applyAlignment="1">
      <alignment vertical="center"/>
    </xf>
    <xf numFmtId="0" fontId="25" fillId="23" borderId="173" xfId="0" applyFont="1" applyFill="1" applyBorder="1" applyAlignment="1">
      <alignment horizontal="left" vertical="center"/>
    </xf>
    <xf numFmtId="0" fontId="199" fillId="0" borderId="0" xfId="0" applyFont="1" applyAlignment="1">
      <alignment vertical="center"/>
    </xf>
    <xf numFmtId="0" fontId="179" fillId="102" borderId="396" xfId="0" applyFont="1" applyFill="1" applyBorder="1" applyAlignment="1">
      <alignment horizontal="center" vertical="center"/>
    </xf>
    <xf numFmtId="43" fontId="179" fillId="102" borderId="395" xfId="0" applyNumberFormat="1" applyFont="1" applyFill="1" applyBorder="1" applyAlignment="1">
      <alignment horizontal="center" vertical="center"/>
    </xf>
    <xf numFmtId="2" fontId="181" fillId="102" borderId="397" xfId="0" applyNumberFormat="1" applyFont="1" applyFill="1" applyBorder="1" applyAlignment="1">
      <alignment horizontal="center" vertical="center"/>
    </xf>
    <xf numFmtId="0" fontId="6" fillId="16" borderId="354" xfId="0" applyFont="1" applyFill="1" applyBorder="1" applyAlignment="1">
      <alignment vertical="center" wrapText="1"/>
    </xf>
    <xf numFmtId="0" fontId="6" fillId="16" borderId="356" xfId="0" applyFont="1" applyFill="1" applyBorder="1" applyAlignment="1">
      <alignment vertical="center" wrapText="1"/>
    </xf>
    <xf numFmtId="0" fontId="6" fillId="0" borderId="351" xfId="0" applyFont="1" applyBorder="1" applyAlignment="1">
      <alignment vertical="center" wrapText="1"/>
    </xf>
    <xf numFmtId="0" fontId="6" fillId="0" borderId="354" xfId="0" applyFont="1" applyBorder="1" applyAlignment="1">
      <alignment vertical="center" wrapText="1"/>
    </xf>
    <xf numFmtId="0" fontId="6" fillId="16" borderId="0" xfId="0" applyFont="1" applyFill="1" applyAlignment="1">
      <alignment horizontal="left" vertical="top" wrapText="1"/>
    </xf>
    <xf numFmtId="0" fontId="200" fillId="0" borderId="0" xfId="0" applyFont="1" applyAlignment="1">
      <alignment horizontal="left" vertical="center" indent="1"/>
    </xf>
    <xf numFmtId="0" fontId="75" fillId="16" borderId="0" xfId="0" applyFont="1" applyFill="1" applyAlignment="1">
      <alignment horizontal="left" vertical="top"/>
    </xf>
    <xf numFmtId="0" fontId="92" fillId="0" borderId="0" xfId="0" applyFont="1"/>
    <xf numFmtId="0" fontId="8" fillId="16" borderId="0" xfId="0" applyFont="1" applyFill="1" applyAlignment="1">
      <alignment horizontal="left" vertical="top" wrapText="1" indent="1"/>
    </xf>
    <xf numFmtId="0" fontId="75" fillId="16" borderId="0" xfId="0" quotePrefix="1" applyFont="1" applyFill="1" applyAlignment="1">
      <alignment horizontal="left" vertical="top"/>
    </xf>
    <xf numFmtId="0" fontId="6" fillId="112" borderId="0" xfId="0" applyFont="1" applyFill="1"/>
    <xf numFmtId="164" fontId="117" fillId="0" borderId="354" xfId="0" applyNumberFormat="1" applyFont="1" applyFill="1" applyBorder="1" applyAlignment="1"/>
    <xf numFmtId="0" fontId="6" fillId="17" borderId="411" xfId="0" applyFont="1" applyFill="1" applyBorder="1" applyAlignment="1">
      <alignment wrapText="1"/>
    </xf>
    <xf numFmtId="0" fontId="6" fillId="17" borderId="412" xfId="0" applyFont="1" applyFill="1" applyBorder="1" applyAlignment="1">
      <alignment wrapText="1"/>
    </xf>
    <xf numFmtId="0" fontId="6" fillId="17" borderId="413" xfId="0" applyFont="1" applyFill="1" applyBorder="1" applyAlignment="1">
      <alignment wrapText="1"/>
    </xf>
    <xf numFmtId="0" fontId="6" fillId="17" borderId="414" xfId="0" applyFont="1" applyFill="1" applyBorder="1" applyAlignment="1">
      <alignment wrapText="1"/>
    </xf>
    <xf numFmtId="0" fontId="6" fillId="17" borderId="415" xfId="0" applyFont="1" applyFill="1" applyBorder="1" applyAlignment="1">
      <alignment wrapText="1"/>
    </xf>
    <xf numFmtId="0" fontId="6" fillId="17" borderId="13" xfId="0" applyFont="1" applyFill="1" applyBorder="1" applyAlignment="1">
      <alignment wrapText="1"/>
    </xf>
    <xf numFmtId="166" fontId="6" fillId="17" borderId="416" xfId="0" applyNumberFormat="1" applyFont="1" applyFill="1" applyBorder="1"/>
    <xf numFmtId="0" fontId="6" fillId="17" borderId="417" xfId="0" applyFont="1" applyFill="1" applyBorder="1" applyAlignment="1">
      <alignment wrapText="1"/>
    </xf>
    <xf numFmtId="0" fontId="6" fillId="17" borderId="418" xfId="0" applyFont="1" applyFill="1" applyBorder="1" applyAlignment="1">
      <alignment wrapText="1"/>
    </xf>
    <xf numFmtId="166" fontId="6" fillId="17" borderId="419" xfId="0" applyNumberFormat="1" applyFont="1" applyFill="1" applyBorder="1"/>
    <xf numFmtId="0" fontId="6" fillId="17" borderId="420" xfId="0" applyFont="1" applyFill="1" applyBorder="1" applyAlignment="1">
      <alignment wrapText="1"/>
    </xf>
    <xf numFmtId="43" fontId="6" fillId="17" borderId="189" xfId="1" applyFont="1" applyFill="1" applyBorder="1"/>
    <xf numFmtId="43" fontId="6" fillId="17" borderId="190" xfId="1" applyFont="1" applyFill="1" applyBorder="1"/>
    <xf numFmtId="43" fontId="6" fillId="17" borderId="122" xfId="1" applyFont="1" applyFill="1" applyBorder="1"/>
    <xf numFmtId="43" fontId="6" fillId="17" borderId="123" xfId="1" applyFont="1" applyFill="1" applyBorder="1"/>
    <xf numFmtId="168" fontId="6" fillId="0" borderId="0" xfId="1" applyNumberFormat="1" applyFont="1"/>
    <xf numFmtId="43" fontId="8" fillId="16" borderId="0" xfId="1" applyFont="1" applyFill="1" applyBorder="1"/>
    <xf numFmtId="0" fontId="0" fillId="0" borderId="0" xfId="0"/>
    <xf numFmtId="0" fontId="0" fillId="16" borderId="0" xfId="0" applyFill="1"/>
    <xf numFmtId="0" fontId="119" fillId="16" borderId="0" xfId="0" applyFont="1" applyFill="1" applyAlignment="1">
      <alignment horizontal="left" vertical="top" wrapText="1"/>
    </xf>
    <xf numFmtId="0" fontId="119" fillId="16" borderId="0" xfId="0" applyFont="1" applyFill="1" applyAlignment="1">
      <alignment horizontal="left" wrapText="1"/>
    </xf>
    <xf numFmtId="0" fontId="157" fillId="17" borderId="62" xfId="0" applyFont="1" applyFill="1" applyBorder="1" applyAlignment="1">
      <alignment wrapText="1"/>
    </xf>
    <xf numFmtId="0" fontId="157" fillId="17" borderId="421" xfId="0" applyFont="1" applyFill="1" applyBorder="1" applyAlignment="1">
      <alignment wrapText="1"/>
    </xf>
    <xf numFmtId="0" fontId="157" fillId="17" borderId="201" xfId="0" applyFont="1" applyFill="1" applyBorder="1" applyAlignment="1">
      <alignment wrapText="1"/>
    </xf>
    <xf numFmtId="0" fontId="157" fillId="17" borderId="58" xfId="0" applyFont="1" applyFill="1" applyBorder="1" applyAlignment="1">
      <alignment wrapText="1"/>
    </xf>
    <xf numFmtId="165" fontId="157" fillId="17" borderId="422" xfId="1" applyNumberFormat="1" applyFont="1" applyFill="1" applyBorder="1" applyAlignment="1">
      <alignment wrapText="1"/>
    </xf>
    <xf numFmtId="0" fontId="164" fillId="0" borderId="424" xfId="0" applyFont="1" applyFill="1" applyBorder="1" applyAlignment="1">
      <alignment vertical="center" wrapText="1"/>
    </xf>
    <xf numFmtId="0" fontId="146" fillId="0" borderId="304" xfId="9108" applyFont="1" applyFill="1" applyBorder="1" applyAlignment="1">
      <alignment vertical="center" wrapText="1"/>
    </xf>
    <xf numFmtId="0" fontId="164" fillId="0" borderId="281" xfId="0" applyFont="1" applyFill="1" applyBorder="1" applyAlignment="1">
      <alignment horizontal="left" vertical="center" wrapText="1"/>
    </xf>
    <xf numFmtId="0" fontId="6" fillId="0" borderId="0" xfId="0" applyFont="1" applyFill="1" applyBorder="1" applyAlignment="1"/>
    <xf numFmtId="166" fontId="6" fillId="0" borderId="0" xfId="0" applyNumberFormat="1" applyFont="1" applyFill="1" applyBorder="1"/>
    <xf numFmtId="164" fontId="6" fillId="0" borderId="0" xfId="0" applyNumberFormat="1" applyFont="1" applyFill="1" applyBorder="1"/>
    <xf numFmtId="164" fontId="107" fillId="0" borderId="0" xfId="4" applyNumberFormat="1" applyFont="1" applyFill="1" applyBorder="1"/>
    <xf numFmtId="10" fontId="128" fillId="0" borderId="0" xfId="0" applyNumberFormat="1" applyFont="1" applyFill="1" applyBorder="1"/>
    <xf numFmtId="43" fontId="6" fillId="0" borderId="0" xfId="0" applyNumberFormat="1" applyFont="1" applyFill="1" applyBorder="1"/>
    <xf numFmtId="43" fontId="6" fillId="0" borderId="0" xfId="1" applyNumberFormat="1" applyFont="1" applyFill="1" applyBorder="1"/>
    <xf numFmtId="0" fontId="22" fillId="99" borderId="173" xfId="9108" applyFill="1" applyBorder="1" applyAlignment="1">
      <alignment horizontal="left" vertical="center"/>
    </xf>
    <xf numFmtId="0" fontId="22" fillId="31" borderId="173" xfId="9108" applyFill="1" applyBorder="1" applyAlignment="1">
      <alignment horizontal="left" vertical="center" indent="1"/>
    </xf>
    <xf numFmtId="0" fontId="164" fillId="0" borderId="395" xfId="0" applyFont="1" applyFill="1" applyBorder="1" applyAlignment="1">
      <alignment vertical="center" wrapText="1"/>
    </xf>
    <xf numFmtId="0" fontId="164" fillId="0" borderId="105" xfId="0" applyFont="1" applyFill="1" applyBorder="1" applyAlignment="1">
      <alignment vertical="center" wrapText="1"/>
    </xf>
    <xf numFmtId="0" fontId="157" fillId="0" borderId="106" xfId="0" applyFont="1" applyFill="1" applyBorder="1" applyAlignment="1">
      <alignment horizontal="center" vertical="center"/>
    </xf>
    <xf numFmtId="0" fontId="157" fillId="0" borderId="400" xfId="0" applyFont="1" applyFill="1" applyBorder="1" applyAlignment="1">
      <alignment horizontal="center" vertical="center"/>
    </xf>
    <xf numFmtId="0" fontId="164" fillId="0" borderId="398" xfId="0" applyFont="1" applyFill="1" applyBorder="1" applyAlignment="1">
      <alignment vertical="center" wrapText="1"/>
    </xf>
    <xf numFmtId="171" fontId="197" fillId="0" borderId="397" xfId="0" applyNumberFormat="1" applyFont="1" applyBorder="1" applyAlignment="1">
      <alignment horizontal="center" vertical="center"/>
    </xf>
    <xf numFmtId="0" fontId="178" fillId="107" borderId="68" xfId="0" applyFont="1" applyFill="1" applyBorder="1" applyAlignment="1">
      <alignment horizontal="center" vertical="center" wrapText="1"/>
    </xf>
    <xf numFmtId="0" fontId="178" fillId="107" borderId="81" xfId="0" applyFont="1" applyFill="1" applyBorder="1" applyAlignment="1">
      <alignment vertical="center"/>
    </xf>
    <xf numFmtId="0" fontId="178" fillId="107" borderId="426" xfId="0" applyFont="1" applyFill="1" applyBorder="1" applyAlignment="1">
      <alignment vertical="center"/>
    </xf>
    <xf numFmtId="0" fontId="179" fillId="102" borderId="425" xfId="0" applyFont="1" applyFill="1" applyBorder="1" applyAlignment="1">
      <alignment horizontal="center" vertical="center"/>
    </xf>
    <xf numFmtId="43" fontId="179" fillId="102" borderId="81" xfId="0" applyNumberFormat="1" applyFont="1" applyFill="1" applyBorder="1" applyAlignment="1">
      <alignment horizontal="center" vertical="center"/>
    </xf>
    <xf numFmtId="43" fontId="179" fillId="102" borderId="255" xfId="0" applyNumberFormat="1" applyFont="1" applyFill="1" applyBorder="1" applyAlignment="1">
      <alignment horizontal="center" vertical="center"/>
    </xf>
    <xf numFmtId="43" fontId="196" fillId="0" borderId="423" xfId="0" applyNumberFormat="1" applyFont="1" applyBorder="1" applyAlignment="1">
      <alignment horizontal="center" vertical="center"/>
    </xf>
    <xf numFmtId="43" fontId="196" fillId="0" borderId="302" xfId="0" applyNumberFormat="1" applyFont="1" applyBorder="1" applyAlignment="1">
      <alignment horizontal="center" vertical="center"/>
    </xf>
    <xf numFmtId="43" fontId="198" fillId="0" borderId="300" xfId="0" applyNumberFormat="1" applyFont="1" applyBorder="1" applyAlignment="1">
      <alignment horizontal="center" vertical="center"/>
    </xf>
    <xf numFmtId="43" fontId="196" fillId="0" borderId="301" xfId="0" applyNumberFormat="1" applyFont="1" applyBorder="1" applyAlignment="1">
      <alignment horizontal="center" vertical="center"/>
    </xf>
    <xf numFmtId="0" fontId="128" fillId="0" borderId="427" xfId="0" applyFont="1" applyBorder="1" applyAlignment="1">
      <alignment horizontal="center" vertical="center" textRotation="90"/>
    </xf>
    <xf numFmtId="0" fontId="164" fillId="0" borderId="428" xfId="0" applyFont="1" applyFill="1" applyBorder="1" applyAlignment="1">
      <alignment vertical="center" wrapText="1"/>
    </xf>
    <xf numFmtId="0" fontId="146" fillId="0" borderId="428" xfId="9108" applyFont="1" applyFill="1" applyBorder="1" applyAlignment="1">
      <alignment vertical="center"/>
    </xf>
    <xf numFmtId="2" fontId="184" fillId="17" borderId="429" xfId="1" applyNumberFormat="1" applyFont="1" applyFill="1" applyBorder="1" applyAlignment="1">
      <alignment horizontal="center" vertical="center"/>
    </xf>
    <xf numFmtId="49" fontId="184" fillId="17" borderId="430" xfId="1" applyNumberFormat="1" applyFont="1" applyFill="1" applyBorder="1" applyAlignment="1">
      <alignment vertical="center" wrapText="1"/>
    </xf>
    <xf numFmtId="0" fontId="164" fillId="0" borderId="431" xfId="0" applyFont="1" applyFill="1" applyBorder="1" applyAlignment="1">
      <alignment vertical="center" wrapText="1"/>
    </xf>
    <xf numFmtId="49" fontId="184" fillId="17" borderId="313" xfId="1" applyNumberFormat="1" applyFont="1" applyFill="1" applyBorder="1" applyAlignment="1">
      <alignment horizontal="left" vertical="center" wrapText="1"/>
    </xf>
    <xf numFmtId="0" fontId="164" fillId="0" borderId="433" xfId="0" applyFont="1" applyFill="1" applyBorder="1" applyAlignment="1">
      <alignment vertical="center" wrapText="1"/>
    </xf>
    <xf numFmtId="0" fontId="146" fillId="0" borderId="433" xfId="9108" applyFont="1" applyFill="1" applyBorder="1" applyAlignment="1">
      <alignment vertical="center" wrapText="1"/>
    </xf>
    <xf numFmtId="2" fontId="184" fillId="17" borderId="434" xfId="1" applyNumberFormat="1" applyFont="1" applyFill="1" applyBorder="1" applyAlignment="1">
      <alignment horizontal="center" vertical="center"/>
    </xf>
    <xf numFmtId="49" fontId="184" fillId="17" borderId="435" xfId="1" applyNumberFormat="1" applyFont="1" applyFill="1" applyBorder="1" applyAlignment="1">
      <alignment vertical="center" wrapText="1"/>
    </xf>
    <xf numFmtId="0" fontId="164" fillId="0" borderId="437" xfId="0" applyFont="1" applyFill="1" applyBorder="1" applyAlignment="1">
      <alignment vertical="center" wrapText="1"/>
    </xf>
    <xf numFmtId="0" fontId="146" fillId="0" borderId="437" xfId="9108" applyFont="1" applyFill="1" applyBorder="1" applyAlignment="1">
      <alignment vertical="center" wrapText="1"/>
    </xf>
    <xf numFmtId="2" fontId="184" fillId="17" borderId="438" xfId="1" applyNumberFormat="1" applyFont="1" applyFill="1" applyBorder="1" applyAlignment="1">
      <alignment horizontal="center" vertical="center"/>
    </xf>
    <xf numFmtId="49" fontId="184" fillId="17" borderId="439" xfId="1" applyNumberFormat="1" applyFont="1" applyFill="1" applyBorder="1" applyAlignment="1">
      <alignment vertical="center" wrapText="1"/>
    </xf>
    <xf numFmtId="0" fontId="6" fillId="18" borderId="0" xfId="0" applyFont="1" applyFill="1" applyBorder="1"/>
    <xf numFmtId="0" fontId="6" fillId="17" borderId="440" xfId="0" applyFont="1" applyFill="1" applyBorder="1" applyAlignment="1">
      <alignment wrapText="1"/>
    </xf>
    <xf numFmtId="0" fontId="75" fillId="79" borderId="405" xfId="0" applyFont="1" applyFill="1" applyBorder="1" applyAlignment="1">
      <alignment horizontal="center" wrapText="1"/>
    </xf>
    <xf numFmtId="1" fontId="191" fillId="89" borderId="68" xfId="9" applyNumberFormat="1" applyFont="1" applyFill="1" applyBorder="1" applyAlignment="1">
      <alignment horizontal="center"/>
    </xf>
    <xf numFmtId="1" fontId="192" fillId="89" borderId="68" xfId="9" applyNumberFormat="1" applyFont="1" applyFill="1" applyBorder="1" applyAlignment="1">
      <alignment horizontal="center"/>
    </xf>
    <xf numFmtId="1" fontId="191" fillId="89" borderId="77" xfId="9" applyNumberFormat="1" applyFont="1" applyFill="1" applyBorder="1" applyAlignment="1">
      <alignment horizontal="center"/>
    </xf>
    <xf numFmtId="164" fontId="3" fillId="0" borderId="0" xfId="4" applyNumberFormat="1" applyFont="1" applyFill="1" applyBorder="1"/>
    <xf numFmtId="0" fontId="103" fillId="0" borderId="0" xfId="0" applyFont="1" applyFill="1" applyBorder="1" applyAlignment="1"/>
    <xf numFmtId="168" fontId="6" fillId="0" borderId="0" xfId="0" applyNumberFormat="1" applyFont="1" applyFill="1" applyBorder="1"/>
    <xf numFmtId="168" fontId="6" fillId="0" borderId="0" xfId="1" applyNumberFormat="1" applyFont="1" applyFill="1" applyBorder="1"/>
    <xf numFmtId="0" fontId="149" fillId="16" borderId="0" xfId="0" applyFont="1" applyFill="1" applyBorder="1" applyAlignment="1"/>
    <xf numFmtId="0" fontId="178" fillId="107" borderId="73" xfId="0" applyFont="1" applyFill="1" applyBorder="1" applyAlignment="1">
      <alignment horizontal="center" vertical="center" wrapText="1"/>
    </xf>
    <xf numFmtId="0" fontId="0" fillId="0" borderId="0" xfId="0" applyBorder="1"/>
    <xf numFmtId="0" fontId="177" fillId="0" borderId="0" xfId="0" applyFont="1" applyBorder="1" applyAlignment="1">
      <alignment vertical="center"/>
    </xf>
    <xf numFmtId="0" fontId="8" fillId="0" borderId="0" xfId="0" applyFont="1" applyAlignment="1">
      <alignment wrapText="1"/>
    </xf>
    <xf numFmtId="9" fontId="8" fillId="0" borderId="0" xfId="2" applyFont="1" applyAlignment="1">
      <alignment wrapText="1"/>
    </xf>
    <xf numFmtId="0" fontId="195" fillId="0" borderId="0" xfId="0" applyFont="1" applyBorder="1" applyAlignment="1">
      <alignment vertical="center" wrapText="1"/>
    </xf>
    <xf numFmtId="0" fontId="157" fillId="0" borderId="149" xfId="0" applyFont="1" applyBorder="1" applyAlignment="1">
      <alignment wrapText="1"/>
    </xf>
    <xf numFmtId="0" fontId="157" fillId="0" borderId="33" xfId="0" applyFont="1" applyBorder="1" applyAlignment="1">
      <alignment wrapText="1"/>
    </xf>
    <xf numFmtId="0" fontId="6" fillId="0" borderId="0" xfId="0" applyFont="1" applyAlignment="1">
      <alignment wrapText="1"/>
    </xf>
    <xf numFmtId="0" fontId="195" fillId="0" borderId="256" xfId="0" applyFont="1" applyBorder="1" applyAlignment="1">
      <alignment vertical="center"/>
    </xf>
    <xf numFmtId="0" fontId="195" fillId="0" borderId="256" xfId="0" applyFont="1" applyBorder="1" applyAlignment="1">
      <alignment vertical="center" wrapText="1"/>
    </xf>
    <xf numFmtId="0" fontId="167" fillId="0" borderId="74" xfId="0" applyFont="1" applyBorder="1" applyAlignment="1">
      <alignment horizontal="left" vertical="center"/>
    </xf>
    <xf numFmtId="0" fontId="157" fillId="0" borderId="32" xfId="0" applyFont="1" applyBorder="1" applyAlignment="1"/>
    <xf numFmtId="43" fontId="128" fillId="0" borderId="404" xfId="1" applyFont="1" applyFill="1" applyBorder="1" applyAlignment="1">
      <alignment vertical="center"/>
    </xf>
    <xf numFmtId="0" fontId="173" fillId="105" borderId="256" xfId="0" applyFont="1" applyFill="1" applyBorder="1" applyAlignment="1">
      <alignment wrapText="1"/>
    </xf>
    <xf numFmtId="0" fontId="173" fillId="105" borderId="74" xfId="0" applyFont="1" applyFill="1" applyBorder="1"/>
    <xf numFmtId="0" fontId="173" fillId="105" borderId="73" xfId="0" applyFont="1" applyFill="1" applyBorder="1"/>
    <xf numFmtId="43" fontId="173" fillId="105" borderId="256" xfId="0" applyNumberFormat="1" applyFont="1" applyFill="1" applyBorder="1"/>
    <xf numFmtId="2" fontId="188" fillId="105" borderId="256" xfId="0" applyNumberFormat="1" applyFont="1" applyFill="1" applyBorder="1" applyAlignment="1">
      <alignment horizontal="left"/>
    </xf>
    <xf numFmtId="43" fontId="4" fillId="18" borderId="337" xfId="0" applyNumberFormat="1" applyFont="1" applyFill="1" applyBorder="1"/>
    <xf numFmtId="0" fontId="158" fillId="0" borderId="34" xfId="0" applyFont="1" applyBorder="1" applyAlignment="1">
      <alignment horizontal="center"/>
    </xf>
    <xf numFmtId="0" fontId="158" fillId="0" borderId="337" xfId="0" applyFont="1" applyBorder="1" applyAlignment="1">
      <alignment horizontal="center" wrapText="1"/>
    </xf>
    <xf numFmtId="0" fontId="16" fillId="0" borderId="0" xfId="0" applyFont="1" applyAlignment="1">
      <alignment wrapText="1"/>
    </xf>
    <xf numFmtId="0" fontId="173" fillId="105" borderId="198" xfId="0" applyFont="1" applyFill="1" applyBorder="1"/>
    <xf numFmtId="0" fontId="104" fillId="105" borderId="256" xfId="0" applyFont="1" applyFill="1" applyBorder="1"/>
    <xf numFmtId="0" fontId="173" fillId="105" borderId="256" xfId="0" applyFont="1" applyFill="1" applyBorder="1"/>
    <xf numFmtId="2" fontId="188" fillId="105" borderId="256" xfId="0" applyNumberFormat="1" applyFont="1" applyFill="1" applyBorder="1" applyAlignment="1">
      <alignment horizontal="center"/>
    </xf>
    <xf numFmtId="0" fontId="167" fillId="0" borderId="73" xfId="0" applyFont="1" applyBorder="1" applyAlignment="1">
      <alignment vertical="center"/>
    </xf>
    <xf numFmtId="0" fontId="213" fillId="0" borderId="0" xfId="0" applyFont="1"/>
    <xf numFmtId="0" fontId="214" fillId="0" borderId="0" xfId="0" applyFont="1" applyAlignment="1">
      <alignment vertical="center"/>
    </xf>
    <xf numFmtId="177" fontId="6" fillId="0" borderId="0" xfId="0" applyNumberFormat="1" applyFont="1"/>
    <xf numFmtId="43" fontId="0" fillId="0" borderId="0" xfId="0" applyNumberFormat="1" applyBorder="1"/>
    <xf numFmtId="0" fontId="0" fillId="0" borderId="0" xfId="0" applyNumberFormat="1"/>
    <xf numFmtId="164" fontId="117" fillId="17" borderId="10" xfId="0" applyNumberFormat="1" applyFont="1" applyFill="1" applyBorder="1"/>
    <xf numFmtId="164" fontId="117" fillId="17" borderId="24" xfId="4" applyNumberFormat="1" applyFont="1" applyFill="1" applyBorder="1" applyAlignment="1"/>
    <xf numFmtId="164" fontId="107" fillId="17" borderId="300" xfId="4" applyNumberFormat="1" applyFont="1" applyFill="1" applyBorder="1"/>
    <xf numFmtId="164" fontId="107" fillId="17" borderId="301" xfId="4" applyNumberFormat="1" applyFont="1" applyFill="1" applyBorder="1"/>
    <xf numFmtId="164" fontId="117" fillId="17" borderId="10" xfId="0" applyNumberFormat="1" applyFont="1" applyFill="1" applyBorder="1" applyAlignment="1">
      <alignment horizontal="right"/>
    </xf>
    <xf numFmtId="164" fontId="117" fillId="17" borderId="24" xfId="4" applyNumberFormat="1" applyFont="1" applyFill="1" applyBorder="1" applyAlignment="1">
      <alignment horizontal="right"/>
    </xf>
    <xf numFmtId="0" fontId="128" fillId="22" borderId="21" xfId="0" applyFont="1" applyFill="1" applyBorder="1" applyAlignment="1">
      <alignment horizontal="left" wrapText="1"/>
    </xf>
    <xf numFmtId="0" fontId="80" fillId="17" borderId="20" xfId="0" applyFont="1" applyFill="1" applyBorder="1" applyAlignment="1">
      <alignment horizontal="left" wrapText="1"/>
    </xf>
    <xf numFmtId="10" fontId="128" fillId="17" borderId="265" xfId="0" applyNumberFormat="1" applyFont="1" applyFill="1" applyBorder="1" applyAlignment="1"/>
    <xf numFmtId="10" fontId="128" fillId="17" borderId="192" xfId="0" applyNumberFormat="1" applyFont="1" applyFill="1" applyBorder="1" applyAlignment="1"/>
    <xf numFmtId="164" fontId="117" fillId="17" borderId="308" xfId="0" applyNumberFormat="1" applyFont="1" applyFill="1" applyBorder="1" applyAlignment="1">
      <alignment horizontal="right"/>
    </xf>
    <xf numFmtId="0" fontId="128" fillId="22" borderId="58" xfId="0" applyFont="1" applyFill="1" applyBorder="1" applyAlignment="1">
      <alignment horizontal="left" wrapText="1"/>
    </xf>
    <xf numFmtId="164" fontId="117" fillId="93" borderId="360" xfId="1" applyNumberFormat="1" applyFont="1" applyFill="1" applyBorder="1" applyAlignment="1"/>
    <xf numFmtId="164" fontId="117" fillId="93" borderId="354" xfId="1" applyNumberFormat="1" applyFont="1" applyFill="1" applyBorder="1" applyAlignment="1"/>
    <xf numFmtId="43" fontId="6" fillId="17" borderId="264" xfId="1" applyFont="1" applyFill="1" applyBorder="1"/>
    <xf numFmtId="9" fontId="6" fillId="19" borderId="445" xfId="2" applyFont="1" applyFill="1" applyBorder="1" applyAlignment="1">
      <alignment horizontal="center"/>
    </xf>
    <xf numFmtId="0" fontId="131" fillId="0" borderId="0" xfId="0" applyFont="1" applyAlignment="1">
      <alignment horizontal="left" indent="1"/>
    </xf>
    <xf numFmtId="0" fontId="5" fillId="122" borderId="0" xfId="0" applyFont="1" applyFill="1" applyAlignment="1">
      <alignment wrapText="1"/>
    </xf>
    <xf numFmtId="0" fontId="0" fillId="79" borderId="444" xfId="0" applyFill="1" applyBorder="1"/>
    <xf numFmtId="164" fontId="0" fillId="79" borderId="444" xfId="1" applyNumberFormat="1" applyFont="1" applyFill="1" applyBorder="1"/>
    <xf numFmtId="168" fontId="0" fillId="79" borderId="444" xfId="1" applyNumberFormat="1" applyFont="1" applyFill="1" applyBorder="1"/>
    <xf numFmtId="9" fontId="0" fillId="79" borderId="444" xfId="2" applyFont="1" applyFill="1" applyBorder="1"/>
    <xf numFmtId="0" fontId="4" fillId="0" borderId="0" xfId="0" applyFont="1"/>
    <xf numFmtId="0" fontId="201" fillId="16" borderId="0" xfId="0" applyFont="1" applyFill="1"/>
    <xf numFmtId="0" fontId="5" fillId="122" borderId="444" xfId="0" applyFont="1" applyFill="1" applyBorder="1" applyAlignment="1">
      <alignment wrapText="1"/>
    </xf>
    <xf numFmtId="171" fontId="0" fillId="79" borderId="444" xfId="2" applyNumberFormat="1" applyFont="1" applyFill="1" applyBorder="1"/>
    <xf numFmtId="165" fontId="0" fillId="79" borderId="444" xfId="1" applyNumberFormat="1" applyFont="1" applyFill="1" applyBorder="1"/>
    <xf numFmtId="165" fontId="0" fillId="79" borderId="446" xfId="1" applyNumberFormat="1" applyFont="1" applyFill="1" applyBorder="1"/>
    <xf numFmtId="0" fontId="203" fillId="16" borderId="0" xfId="0" applyFont="1" applyFill="1"/>
    <xf numFmtId="9" fontId="0" fillId="79" borderId="444" xfId="0" applyNumberFormat="1" applyFill="1" applyBorder="1" applyAlignment="1">
      <alignment horizontal="center"/>
    </xf>
    <xf numFmtId="9" fontId="0" fillId="79" borderId="444" xfId="2" applyFont="1" applyFill="1" applyBorder="1" applyAlignment="1">
      <alignment horizontal="center"/>
    </xf>
    <xf numFmtId="0" fontId="215" fillId="0" borderId="0" xfId="0" applyFont="1"/>
    <xf numFmtId="0" fontId="216" fillId="0" borderId="0" xfId="0" applyFont="1" applyAlignment="1">
      <alignment horizontal="right"/>
    </xf>
    <xf numFmtId="0" fontId="4" fillId="79" borderId="444" xfId="0" applyFont="1" applyFill="1" applyBorder="1" applyAlignment="1">
      <alignment vertical="center" wrapText="1"/>
    </xf>
    <xf numFmtId="0" fontId="4" fillId="79" borderId="444" xfId="0" applyFont="1" applyFill="1" applyBorder="1" applyAlignment="1">
      <alignment horizontal="center" vertical="center" wrapText="1"/>
    </xf>
    <xf numFmtId="0" fontId="22" fillId="0" borderId="0" xfId="9108" applyFill="1" applyBorder="1" applyAlignment="1" applyProtection="1"/>
    <xf numFmtId="0" fontId="0" fillId="0" borderId="444" xfId="0" applyBorder="1"/>
    <xf numFmtId="3" fontId="0" fillId="0" borderId="444" xfId="0" applyNumberFormat="1" applyBorder="1" applyAlignment="1">
      <alignment horizontal="center"/>
    </xf>
    <xf numFmtId="0" fontId="0" fillId="79" borderId="0" xfId="0" applyFill="1"/>
    <xf numFmtId="0" fontId="217" fillId="0" borderId="0" xfId="0" applyFont="1"/>
    <xf numFmtId="0" fontId="218" fillId="0" borderId="0" xfId="0" applyFont="1" applyAlignment="1">
      <alignment horizontal="center" wrapText="1"/>
    </xf>
    <xf numFmtId="0" fontId="0" fillId="0" borderId="0" xfId="0" applyAlignment="1">
      <alignment horizontal="center" wrapText="1"/>
    </xf>
    <xf numFmtId="0" fontId="118" fillId="103" borderId="43" xfId="0" applyFont="1" applyFill="1" applyBorder="1" applyAlignment="1">
      <alignment horizontal="center" vertical="center" wrapText="1"/>
    </xf>
    <xf numFmtId="0" fontId="118" fillId="103" borderId="447" xfId="0" applyFont="1" applyFill="1" applyBorder="1" applyAlignment="1">
      <alignment horizontal="center" vertical="center" wrapText="1"/>
    </xf>
    <xf numFmtId="0" fontId="118" fillId="103" borderId="448" xfId="0" applyFont="1" applyFill="1" applyBorder="1" applyAlignment="1">
      <alignment horizontal="center" vertical="center" wrapText="1"/>
    </xf>
    <xf numFmtId="0" fontId="118" fillId="103" borderId="59" xfId="0" applyFont="1" applyFill="1" applyBorder="1" applyAlignment="1">
      <alignment horizontal="center" vertical="center" wrapText="1"/>
    </xf>
    <xf numFmtId="0" fontId="118" fillId="0" borderId="0" xfId="0" applyFont="1" applyAlignment="1">
      <alignment horizontal="center" vertical="center" wrapText="1"/>
    </xf>
    <xf numFmtId="0" fontId="0" fillId="21" borderId="54" xfId="0" applyFill="1" applyBorder="1" applyAlignment="1">
      <alignment vertical="top"/>
    </xf>
    <xf numFmtId="0" fontId="0" fillId="21" borderId="55" xfId="0" applyFill="1" applyBorder="1" applyAlignment="1">
      <alignment vertical="top"/>
    </xf>
    <xf numFmtId="0" fontId="0" fillId="21" borderId="32" xfId="0" applyFill="1" applyBorder="1" applyAlignment="1">
      <alignment vertical="top"/>
    </xf>
    <xf numFmtId="2" fontId="0" fillId="92" borderId="54" xfId="0" applyNumberFormat="1" applyFill="1" applyBorder="1"/>
    <xf numFmtId="2" fontId="0" fillId="92" borderId="55" xfId="0" applyNumberFormat="1" applyFill="1" applyBorder="1"/>
    <xf numFmtId="2" fontId="0" fillId="92" borderId="32" xfId="0" applyNumberFormat="1" applyFill="1" applyBorder="1"/>
    <xf numFmtId="171" fontId="0" fillId="92" borderId="193" xfId="0" applyNumberFormat="1" applyFill="1" applyBorder="1"/>
    <xf numFmtId="0" fontId="0" fillId="0" borderId="0" xfId="0" applyAlignment="1">
      <alignment horizontal="center" vertical="top"/>
    </xf>
    <xf numFmtId="0" fontId="0" fillId="21" borderId="79" xfId="0" applyFill="1" applyBorder="1" applyAlignment="1">
      <alignment vertical="top"/>
    </xf>
    <xf numFmtId="0" fontId="0" fillId="21" borderId="444" xfId="0" applyFill="1" applyBorder="1" applyAlignment="1">
      <alignment vertical="top"/>
    </xf>
    <xf numFmtId="0" fontId="0" fillId="21" borderId="446" xfId="0" applyFill="1" applyBorder="1" applyAlignment="1">
      <alignment vertical="top"/>
    </xf>
    <xf numFmtId="2" fontId="0" fillId="92" borderId="79" xfId="0" applyNumberFormat="1" applyFill="1" applyBorder="1"/>
    <xf numFmtId="2" fontId="0" fillId="92" borderId="444" xfId="0" applyNumberFormat="1" applyFill="1" applyBorder="1"/>
    <xf numFmtId="2" fontId="0" fillId="92" borderId="446" xfId="0" applyNumberFormat="1" applyFill="1" applyBorder="1"/>
    <xf numFmtId="171" fontId="0" fillId="92" borderId="449" xfId="0" applyNumberFormat="1" applyFill="1" applyBorder="1"/>
    <xf numFmtId="0" fontId="0" fillId="21" borderId="257" xfId="0" applyFill="1" applyBorder="1" applyAlignment="1">
      <alignment vertical="top"/>
    </xf>
    <xf numFmtId="0" fontId="0" fillId="21" borderId="77" xfId="0" applyFill="1" applyBorder="1" applyAlignment="1">
      <alignment vertical="top"/>
    </xf>
    <xf numFmtId="0" fontId="0" fillId="21" borderId="201" xfId="0" applyFill="1" applyBorder="1" applyAlignment="1">
      <alignment vertical="top"/>
    </xf>
    <xf numFmtId="2" fontId="0" fillId="92" borderId="257" xfId="0" applyNumberFormat="1" applyFill="1" applyBorder="1"/>
    <xf numFmtId="2" fontId="0" fillId="92" borderId="77" xfId="0" applyNumberFormat="1" applyFill="1" applyBorder="1"/>
    <xf numFmtId="2" fontId="0" fillId="92" borderId="201" xfId="0" applyNumberFormat="1" applyFill="1" applyBorder="1"/>
    <xf numFmtId="171" fontId="0" fillId="92" borderId="254" xfId="0" applyNumberFormat="1" applyFill="1" applyBorder="1"/>
    <xf numFmtId="0" fontId="0" fillId="0" borderId="0" xfId="0" applyAlignment="1">
      <alignment vertical="top"/>
    </xf>
    <xf numFmtId="2" fontId="0" fillId="0" borderId="0" xfId="0" applyNumberFormat="1"/>
    <xf numFmtId="171" fontId="0" fillId="0" borderId="0" xfId="0" applyNumberFormat="1"/>
    <xf numFmtId="0" fontId="141" fillId="0" borderId="0" xfId="9108" applyFont="1" applyFill="1" applyBorder="1" applyAlignment="1" applyProtection="1">
      <alignment vertical="top"/>
    </xf>
    <xf numFmtId="0" fontId="4" fillId="0" borderId="444" xfId="0" applyFont="1" applyBorder="1" applyAlignment="1">
      <alignment wrapText="1"/>
    </xf>
    <xf numFmtId="0" fontId="4" fillId="0" borderId="444" xfId="0" applyFont="1" applyBorder="1"/>
    <xf numFmtId="9" fontId="0" fillId="0" borderId="444" xfId="0" applyNumberFormat="1" applyBorder="1" applyAlignment="1">
      <alignment horizontal="center"/>
    </xf>
    <xf numFmtId="168" fontId="6" fillId="17" borderId="24" xfId="1" applyNumberFormat="1" applyFont="1" applyFill="1" applyBorder="1" applyAlignment="1"/>
    <xf numFmtId="168" fontId="6" fillId="17" borderId="9" xfId="1" applyNumberFormat="1" applyFont="1" applyFill="1" applyBorder="1" applyAlignment="1"/>
    <xf numFmtId="168" fontId="6" fillId="17" borderId="25" xfId="1" applyNumberFormat="1" applyFont="1" applyFill="1" applyBorder="1" applyAlignment="1"/>
    <xf numFmtId="43" fontId="6" fillId="17" borderId="24" xfId="0" applyNumberFormat="1" applyFont="1" applyFill="1" applyBorder="1" applyAlignment="1"/>
    <xf numFmtId="43" fontId="6" fillId="17" borderId="9" xfId="0" applyNumberFormat="1" applyFont="1" applyFill="1" applyBorder="1" applyAlignment="1"/>
    <xf numFmtId="0" fontId="219" fillId="16" borderId="0" xfId="0" applyFont="1" applyFill="1" applyAlignment="1">
      <alignment vertical="center"/>
    </xf>
    <xf numFmtId="0" fontId="99" fillId="33" borderId="73" xfId="0" applyFont="1" applyFill="1" applyBorder="1" applyAlignment="1"/>
    <xf numFmtId="0" fontId="99" fillId="33" borderId="256" xfId="0" applyFont="1" applyFill="1" applyBorder="1" applyAlignment="1"/>
    <xf numFmtId="0" fontId="99" fillId="33" borderId="74" xfId="0" applyFont="1" applyFill="1" applyBorder="1" applyAlignment="1"/>
    <xf numFmtId="0" fontId="0" fillId="103" borderId="0" xfId="0" applyFill="1"/>
    <xf numFmtId="43" fontId="6" fillId="17" borderId="268" xfId="1" applyNumberFormat="1" applyFont="1" applyFill="1" applyBorder="1"/>
    <xf numFmtId="43" fontId="6" fillId="17" borderId="269" xfId="1" applyNumberFormat="1" applyFont="1" applyFill="1" applyBorder="1"/>
    <xf numFmtId="43" fontId="6" fillId="17" borderId="271" xfId="1" applyNumberFormat="1" applyFont="1" applyFill="1" applyBorder="1"/>
    <xf numFmtId="164" fontId="117" fillId="17" borderId="24" xfId="1" applyNumberFormat="1" applyFont="1" applyFill="1" applyBorder="1" applyAlignment="1">
      <alignment horizontal="right"/>
    </xf>
    <xf numFmtId="0" fontId="74" fillId="17" borderId="20" xfId="0" applyFont="1" applyFill="1" applyBorder="1" applyAlignment="1">
      <alignment horizontal="left" wrapText="1"/>
    </xf>
    <xf numFmtId="0" fontId="79" fillId="26" borderId="0" xfId="0" applyFont="1" applyFill="1" applyBorder="1"/>
    <xf numFmtId="0" fontId="79" fillId="26" borderId="0" xfId="0" applyNumberFormat="1" applyFont="1" applyFill="1" applyBorder="1"/>
    <xf numFmtId="0" fontId="220" fillId="121" borderId="0" xfId="0" applyFont="1" applyFill="1"/>
    <xf numFmtId="0" fontId="221" fillId="121" borderId="0" xfId="0" applyFont="1" applyFill="1"/>
    <xf numFmtId="0" fontId="26" fillId="16" borderId="0" xfId="0" applyFont="1" applyFill="1"/>
    <xf numFmtId="0" fontId="119" fillId="17" borderId="36" xfId="0" applyFont="1" applyFill="1" applyBorder="1" applyAlignment="1"/>
    <xf numFmtId="43" fontId="120" fillId="17" borderId="24" xfId="4" applyNumberFormat="1" applyFont="1" applyFill="1" applyBorder="1" applyAlignment="1">
      <alignment horizontal="right"/>
    </xf>
    <xf numFmtId="164" fontId="117" fillId="17" borderId="266" xfId="1" applyNumberFormat="1" applyFont="1" applyFill="1" applyBorder="1" applyAlignment="1">
      <alignment horizontal="right"/>
    </xf>
    <xf numFmtId="0" fontId="8" fillId="17" borderId="271" xfId="0" applyFont="1" applyFill="1" applyBorder="1" applyAlignment="1"/>
    <xf numFmtId="0" fontId="190" fillId="92" borderId="42" xfId="0" applyFont="1" applyFill="1" applyBorder="1" applyAlignment="1">
      <alignment horizontal="center" vertical="center" wrapText="1"/>
    </xf>
    <xf numFmtId="0" fontId="222" fillId="0" borderId="0" xfId="0" applyFont="1"/>
    <xf numFmtId="10" fontId="118" fillId="86" borderId="4" xfId="2" applyNumberFormat="1" applyFont="1" applyFill="1" applyBorder="1" applyAlignment="1">
      <alignment horizontal="center" vertical="center"/>
    </xf>
    <xf numFmtId="10" fontId="118" fillId="86" borderId="147" xfId="2" applyNumberFormat="1" applyFont="1" applyFill="1" applyBorder="1" applyAlignment="1">
      <alignment horizontal="center" vertical="center"/>
    </xf>
    <xf numFmtId="10" fontId="118" fillId="86" borderId="146" xfId="2" applyNumberFormat="1" applyFont="1" applyFill="1" applyBorder="1" applyAlignment="1">
      <alignment horizontal="center" vertical="center"/>
    </xf>
    <xf numFmtId="10" fontId="222" fillId="32" borderId="5" xfId="2" applyNumberFormat="1" applyFont="1" applyFill="1" applyBorder="1"/>
    <xf numFmtId="10" fontId="222" fillId="32" borderId="131" xfId="2" applyNumberFormat="1" applyFont="1" applyFill="1" applyBorder="1"/>
    <xf numFmtId="10" fontId="222" fillId="32" borderId="6" xfId="2" applyNumberFormat="1" applyFont="1" applyFill="1" applyBorder="1"/>
    <xf numFmtId="10" fontId="222" fillId="32" borderId="132" xfId="2" applyNumberFormat="1" applyFont="1" applyFill="1" applyBorder="1"/>
    <xf numFmtId="10" fontId="222" fillId="32" borderId="0" xfId="2" applyNumberFormat="1" applyFont="1" applyFill="1" applyBorder="1"/>
    <xf numFmtId="10" fontId="222" fillId="32" borderId="133" xfId="2" applyNumberFormat="1" applyFont="1" applyFill="1" applyBorder="1"/>
    <xf numFmtId="10" fontId="222" fillId="0" borderId="5" xfId="0" applyNumberFormat="1" applyFont="1" applyBorder="1"/>
    <xf numFmtId="10" fontId="222" fillId="0" borderId="131" xfId="0" applyNumberFormat="1" applyFont="1" applyBorder="1"/>
    <xf numFmtId="10" fontId="222" fillId="0" borderId="6" xfId="0" applyNumberFormat="1" applyFont="1" applyBorder="1"/>
    <xf numFmtId="10" fontId="222" fillId="0" borderId="132" xfId="0" applyNumberFormat="1" applyFont="1" applyBorder="1"/>
    <xf numFmtId="10" fontId="222" fillId="0" borderId="133" xfId="0" applyNumberFormat="1" applyFont="1" applyBorder="1"/>
    <xf numFmtId="0" fontId="222" fillId="0" borderId="133" xfId="0" applyFont="1" applyBorder="1"/>
    <xf numFmtId="10" fontId="222" fillId="0" borderId="143" xfId="0" applyNumberFormat="1" applyFont="1" applyBorder="1"/>
    <xf numFmtId="10" fontId="222" fillId="0" borderId="144" xfId="0" applyNumberFormat="1" applyFont="1" applyBorder="1"/>
    <xf numFmtId="10" fontId="222" fillId="0" borderId="145" xfId="0" applyNumberFormat="1" applyFont="1" applyBorder="1"/>
    <xf numFmtId="0" fontId="222" fillId="86" borderId="4" xfId="0" applyFont="1" applyFill="1" applyBorder="1" applyAlignment="1">
      <alignment horizontal="center" vertical="center" wrapText="1"/>
    </xf>
    <xf numFmtId="0" fontId="222" fillId="86" borderId="147" xfId="0" applyFont="1" applyFill="1" applyBorder="1" applyAlignment="1">
      <alignment horizontal="center" vertical="center" wrapText="1"/>
    </xf>
    <xf numFmtId="164" fontId="222" fillId="0" borderId="5" xfId="0" applyNumberFormat="1" applyFont="1" applyBorder="1"/>
    <xf numFmtId="9" fontId="222" fillId="0" borderId="131" xfId="0" applyNumberFormat="1" applyFont="1" applyBorder="1" applyAlignment="1">
      <alignment horizontal="center"/>
    </xf>
    <xf numFmtId="164" fontId="222" fillId="0" borderId="131" xfId="0" applyNumberFormat="1" applyFont="1" applyBorder="1"/>
    <xf numFmtId="164" fontId="222" fillId="0" borderId="132" xfId="0" applyNumberFormat="1" applyFont="1" applyBorder="1"/>
    <xf numFmtId="164" fontId="222" fillId="0" borderId="143" xfId="0" applyNumberFormat="1" applyFont="1" applyBorder="1"/>
    <xf numFmtId="9" fontId="222" fillId="0" borderId="144" xfId="0" applyNumberFormat="1" applyFont="1" applyBorder="1" applyAlignment="1">
      <alignment horizontal="center"/>
    </xf>
    <xf numFmtId="164" fontId="222" fillId="0" borderId="144" xfId="0" applyNumberFormat="1" applyFont="1" applyBorder="1"/>
    <xf numFmtId="0" fontId="222" fillId="0" borderId="0" xfId="0" applyFont="1" applyBorder="1"/>
    <xf numFmtId="0" fontId="222" fillId="16" borderId="0" xfId="0" applyFont="1" applyFill="1" applyBorder="1"/>
    <xf numFmtId="0" fontId="24" fillId="36" borderId="444" xfId="8" applyFont="1" applyFill="1" applyBorder="1" applyAlignment="1">
      <alignment horizontal="center" wrapText="1"/>
    </xf>
    <xf numFmtId="0" fontId="0" fillId="0" borderId="444" xfId="0" applyBorder="1" applyAlignment="1">
      <alignment horizontal="center" vertical="center" wrapText="1" readingOrder="1"/>
    </xf>
    <xf numFmtId="169" fontId="0" fillId="0" borderId="444" xfId="0" applyNumberFormat="1" applyBorder="1" applyAlignment="1">
      <alignment horizontal="center" vertical="center" readingOrder="1"/>
    </xf>
    <xf numFmtId="1" fontId="0" fillId="0" borderId="444" xfId="0" applyNumberFormat="1" applyBorder="1" applyAlignment="1">
      <alignment horizontal="center" vertical="center" readingOrder="1"/>
    </xf>
    <xf numFmtId="0" fontId="222" fillId="0" borderId="444" xfId="0" applyFont="1" applyBorder="1" applyAlignment="1">
      <alignment horizontal="center" vertical="center"/>
    </xf>
    <xf numFmtId="0" fontId="223" fillId="86" borderId="146" xfId="0" applyFont="1" applyFill="1" applyBorder="1" applyAlignment="1">
      <alignment horizontal="center" vertical="center" wrapText="1"/>
    </xf>
    <xf numFmtId="10" fontId="223" fillId="0" borderId="6" xfId="2" applyNumberFormat="1" applyFont="1" applyBorder="1"/>
    <xf numFmtId="10" fontId="223" fillId="0" borderId="133" xfId="2" applyNumberFormat="1" applyFont="1" applyBorder="1"/>
    <xf numFmtId="10" fontId="223" fillId="0" borderId="145" xfId="2" applyNumberFormat="1" applyFont="1" applyBorder="1"/>
    <xf numFmtId="10" fontId="222" fillId="0" borderId="0" xfId="0" applyNumberFormat="1" applyFont="1" applyBorder="1"/>
    <xf numFmtId="9" fontId="222" fillId="0" borderId="0" xfId="0" applyNumberFormat="1" applyFont="1" applyBorder="1" applyAlignment="1">
      <alignment horizontal="center"/>
    </xf>
    <xf numFmtId="164" fontId="222" fillId="0" borderId="0" xfId="0" applyNumberFormat="1" applyFont="1" applyBorder="1"/>
    <xf numFmtId="0" fontId="0" fillId="0" borderId="0" xfId="0" applyBorder="1" applyAlignment="1">
      <alignment horizontal="center" vertical="center" wrapText="1" readingOrder="1"/>
    </xf>
    <xf numFmtId="169" fontId="0" fillId="0" borderId="0" xfId="0" applyNumberFormat="1" applyBorder="1" applyAlignment="1">
      <alignment horizontal="center" vertical="center" readingOrder="1"/>
    </xf>
    <xf numFmtId="0" fontId="222" fillId="0" borderId="0" xfId="0" applyFont="1" applyBorder="1" applyAlignment="1">
      <alignment horizontal="center" vertical="center"/>
    </xf>
    <xf numFmtId="0" fontId="190" fillId="16" borderId="0" xfId="0" applyFont="1" applyFill="1" applyBorder="1" applyAlignment="1">
      <alignment horizontal="center" vertical="center" wrapText="1"/>
    </xf>
    <xf numFmtId="3" fontId="222" fillId="16" borderId="0" xfId="1" applyNumberFormat="1" applyFont="1" applyFill="1" applyBorder="1"/>
    <xf numFmtId="43" fontId="222" fillId="16" borderId="0" xfId="1" applyFont="1" applyFill="1" applyBorder="1"/>
    <xf numFmtId="0" fontId="190" fillId="123" borderId="59" xfId="0" applyFont="1" applyFill="1" applyBorder="1" applyAlignment="1">
      <alignment horizontal="center" vertical="center" wrapText="1"/>
    </xf>
    <xf numFmtId="164" fontId="222" fillId="0" borderId="452" xfId="1" applyNumberFormat="1" applyFont="1" applyFill="1" applyBorder="1"/>
    <xf numFmtId="164" fontId="222" fillId="0" borderId="453" xfId="1" applyNumberFormat="1" applyFont="1" applyFill="1" applyBorder="1"/>
    <xf numFmtId="164" fontId="222" fillId="0" borderId="454" xfId="1" applyNumberFormat="1" applyFont="1" applyFill="1" applyBorder="1"/>
    <xf numFmtId="0" fontId="16" fillId="16" borderId="0" xfId="0" applyFont="1" applyFill="1"/>
    <xf numFmtId="4" fontId="222" fillId="19" borderId="455" xfId="1" applyNumberFormat="1" applyFont="1" applyFill="1" applyBorder="1"/>
    <xf numFmtId="4" fontId="222" fillId="19" borderId="453" xfId="1" applyNumberFormat="1" applyFont="1" applyFill="1" applyBorder="1"/>
    <xf numFmtId="4" fontId="222" fillId="19" borderId="454" xfId="1" applyNumberFormat="1" applyFont="1" applyFill="1" applyBorder="1"/>
    <xf numFmtId="0" fontId="190" fillId="31" borderId="59" xfId="0" applyFont="1" applyFill="1" applyBorder="1" applyAlignment="1">
      <alignment horizontal="center" vertical="center" wrapText="1"/>
    </xf>
    <xf numFmtId="0" fontId="118" fillId="21" borderId="59" xfId="9" applyFont="1" applyFill="1" applyBorder="1" applyAlignment="1">
      <alignment horizontal="center"/>
    </xf>
    <xf numFmtId="0" fontId="118" fillId="21" borderId="147" xfId="9" applyFont="1" applyFill="1" applyBorder="1" applyAlignment="1">
      <alignment horizontal="center"/>
    </xf>
    <xf numFmtId="0" fontId="118" fillId="21" borderId="146" xfId="9" applyFont="1" applyFill="1" applyBorder="1" applyAlignment="1">
      <alignment horizontal="center"/>
    </xf>
    <xf numFmtId="0" fontId="117" fillId="89" borderId="224" xfId="9" applyFont="1" applyFill="1" applyBorder="1" applyAlignment="1">
      <alignment horizontal="center"/>
    </xf>
    <xf numFmtId="167" fontId="117" fillId="89" borderId="6" xfId="12" applyNumberFormat="1" applyFont="1" applyFill="1" applyBorder="1" applyAlignment="1">
      <alignment horizontal="center"/>
    </xf>
    <xf numFmtId="0" fontId="117" fillId="89" borderId="296" xfId="9" applyFont="1" applyFill="1" applyBorder="1" applyAlignment="1">
      <alignment horizontal="center"/>
    </xf>
    <xf numFmtId="167" fontId="117" fillId="89" borderId="143" xfId="9" applyNumberFormat="1" applyFont="1" applyFill="1" applyBorder="1" applyAlignment="1">
      <alignment horizontal="center"/>
    </xf>
    <xf numFmtId="0" fontId="190" fillId="88" borderId="444" xfId="8159" applyFont="1" applyFill="1" applyBorder="1" applyAlignment="1">
      <alignment horizontal="center" wrapText="1"/>
    </xf>
    <xf numFmtId="0" fontId="190" fillId="88" borderId="444" xfId="8159" applyFont="1" applyFill="1" applyBorder="1" applyAlignment="1">
      <alignment horizontal="center"/>
    </xf>
    <xf numFmtId="0" fontId="191" fillId="89" borderId="444" xfId="9" applyFont="1" applyFill="1" applyBorder="1" applyAlignment="1">
      <alignment horizontal="center"/>
    </xf>
    <xf numFmtId="164" fontId="0" fillId="16" borderId="444" xfId="14" applyNumberFormat="1" applyFont="1" applyFill="1" applyBorder="1"/>
    <xf numFmtId="0" fontId="75" fillId="21" borderId="59" xfId="0" applyFont="1" applyFill="1" applyBorder="1" applyAlignment="1">
      <alignment horizontal="center"/>
    </xf>
    <xf numFmtId="0" fontId="75" fillId="21" borderId="4" xfId="0" applyFont="1" applyFill="1" applyBorder="1" applyAlignment="1">
      <alignment horizontal="center"/>
    </xf>
    <xf numFmtId="0" fontId="75" fillId="21" borderId="147" xfId="0" applyFont="1" applyFill="1" applyBorder="1" applyAlignment="1">
      <alignment horizontal="center"/>
    </xf>
    <xf numFmtId="0" fontId="75" fillId="21" borderId="146" xfId="0" applyFont="1" applyFill="1" applyBorder="1" applyAlignment="1">
      <alignment horizontal="center"/>
    </xf>
    <xf numFmtId="0" fontId="117" fillId="89" borderId="41" xfId="9" applyFont="1" applyFill="1" applyBorder="1" applyAlignment="1">
      <alignment horizontal="center" vertical="center"/>
    </xf>
    <xf numFmtId="167" fontId="117" fillId="89" borderId="131" xfId="12" applyNumberFormat="1" applyFont="1" applyFill="1" applyBorder="1" applyAlignment="1">
      <alignment horizontal="center" vertical="center"/>
    </xf>
    <xf numFmtId="167" fontId="117" fillId="89" borderId="6" xfId="12" applyNumberFormat="1" applyFont="1" applyFill="1" applyBorder="1" applyAlignment="1">
      <alignment horizontal="center" vertical="center"/>
    </xf>
    <xf numFmtId="0" fontId="117" fillId="89" borderId="224" xfId="9" applyFont="1" applyFill="1" applyBorder="1" applyAlignment="1">
      <alignment horizontal="center" vertical="center"/>
    </xf>
    <xf numFmtId="167" fontId="117" fillId="89" borderId="0" xfId="12" applyNumberFormat="1" applyFont="1" applyFill="1" applyBorder="1" applyAlignment="1">
      <alignment horizontal="center" vertical="center"/>
    </xf>
    <xf numFmtId="167" fontId="117" fillId="89" borderId="133" xfId="12" applyNumberFormat="1" applyFont="1" applyFill="1" applyBorder="1" applyAlignment="1">
      <alignment horizontal="center" vertical="center"/>
    </xf>
    <xf numFmtId="0" fontId="117" fillId="89" borderId="296" xfId="9" applyFont="1" applyFill="1" applyBorder="1" applyAlignment="1">
      <alignment horizontal="center" vertical="center"/>
    </xf>
    <xf numFmtId="167" fontId="117" fillId="89" borderId="144" xfId="12" applyNumberFormat="1" applyFont="1" applyFill="1" applyBorder="1" applyAlignment="1">
      <alignment horizontal="center" vertical="center"/>
    </xf>
    <xf numFmtId="167" fontId="117" fillId="89" borderId="145" xfId="12" applyNumberFormat="1" applyFont="1" applyFill="1" applyBorder="1" applyAlignment="1">
      <alignment horizontal="center" vertical="center"/>
    </xf>
    <xf numFmtId="0" fontId="28" fillId="84" borderId="81" xfId="0" applyFont="1" applyFill="1" applyBorder="1" applyAlignment="1">
      <alignment horizontal="centerContinuous"/>
    </xf>
    <xf numFmtId="0" fontId="224" fillId="84" borderId="81" xfId="0" applyFont="1" applyFill="1" applyBorder="1" applyAlignment="1">
      <alignment horizontal="centerContinuous"/>
    </xf>
    <xf numFmtId="0" fontId="224" fillId="84" borderId="255" xfId="0" applyFont="1" applyFill="1" applyBorder="1" applyAlignment="1">
      <alignment horizontal="centerContinuous"/>
    </xf>
    <xf numFmtId="0" fontId="225" fillId="84" borderId="450" xfId="0" applyFont="1" applyFill="1" applyBorder="1" applyAlignment="1">
      <alignment horizontal="centerContinuous"/>
    </xf>
    <xf numFmtId="0" fontId="24" fillId="36" borderId="444" xfId="0" applyFont="1" applyFill="1" applyBorder="1" applyAlignment="1">
      <alignment horizontal="center" wrapText="1"/>
    </xf>
    <xf numFmtId="0" fontId="24" fillId="36" borderId="32" xfId="0" applyFont="1" applyFill="1" applyBorder="1" applyAlignment="1">
      <alignment horizontal="center" wrapText="1"/>
    </xf>
    <xf numFmtId="0" fontId="24" fillId="36" borderId="55" xfId="0" applyFont="1" applyFill="1" applyBorder="1" applyAlignment="1">
      <alignment horizontal="center" wrapText="1"/>
    </xf>
    <xf numFmtId="0" fontId="19" fillId="16" borderId="0" xfId="13" applyFont="1" applyFill="1" applyAlignment="1">
      <alignment vertical="center" wrapText="1"/>
    </xf>
    <xf numFmtId="3" fontId="19" fillId="16" borderId="0" xfId="13" applyNumberFormat="1" applyFont="1" applyFill="1" applyAlignment="1">
      <alignment vertical="center" wrapText="1"/>
    </xf>
    <xf numFmtId="1" fontId="1" fillId="16" borderId="0" xfId="13" applyNumberFormat="1" applyFill="1" applyAlignment="1">
      <alignment vertical="center" readingOrder="1"/>
    </xf>
    <xf numFmtId="180" fontId="1" fillId="16" borderId="0" xfId="13" applyNumberFormat="1" applyFill="1" applyAlignment="1">
      <alignment vertical="center" readingOrder="1"/>
    </xf>
    <xf numFmtId="44" fontId="1" fillId="16" borderId="0" xfId="13" applyNumberFormat="1" applyFill="1" applyAlignment="1">
      <alignment vertical="center" readingOrder="1"/>
    </xf>
    <xf numFmtId="0" fontId="19" fillId="16" borderId="0" xfId="13" applyFont="1" applyFill="1" applyAlignment="1">
      <alignment vertical="center" readingOrder="1"/>
    </xf>
    <xf numFmtId="180" fontId="19" fillId="16" borderId="0" xfId="9231" applyNumberFormat="1" applyFill="1" applyAlignment="1">
      <alignment vertical="center" readingOrder="1"/>
    </xf>
    <xf numFmtId="0" fontId="0" fillId="16" borderId="0" xfId="0" applyFill="1" applyAlignment="1">
      <alignment horizontal="center" vertical="center"/>
    </xf>
    <xf numFmtId="0" fontId="0" fillId="94" borderId="446" xfId="0" applyFill="1" applyBorder="1" applyAlignment="1">
      <alignment horizontal="center" wrapText="1"/>
    </xf>
    <xf numFmtId="0" fontId="116" fillId="16" borderId="0" xfId="8" applyFont="1" applyFill="1" applyBorder="1" applyAlignment="1">
      <alignment horizontal="center" wrapText="1"/>
    </xf>
    <xf numFmtId="0" fontId="116" fillId="16" borderId="0" xfId="0" applyFont="1" applyFill="1" applyBorder="1" applyAlignment="1">
      <alignment horizontal="center" wrapText="1"/>
    </xf>
    <xf numFmtId="0" fontId="117" fillId="16" borderId="0" xfId="9" applyFont="1" applyFill="1" applyBorder="1" applyAlignment="1">
      <alignment wrapText="1"/>
    </xf>
    <xf numFmtId="1" fontId="117" fillId="16" borderId="0" xfId="9" applyNumberFormat="1" applyFont="1" applyFill="1" applyBorder="1" applyAlignment="1">
      <alignment wrapText="1"/>
    </xf>
    <xf numFmtId="6" fontId="117" fillId="16" borderId="0" xfId="9" applyNumberFormat="1" applyFont="1" applyFill="1" applyBorder="1" applyAlignment="1">
      <alignment wrapText="1"/>
    </xf>
    <xf numFmtId="0" fontId="117" fillId="16" borderId="0" xfId="9" applyFont="1" applyFill="1" applyBorder="1" applyAlignment="1">
      <alignment horizontal="left" wrapText="1"/>
    </xf>
    <xf numFmtId="164" fontId="16"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90" fillId="16" borderId="0" xfId="8159" applyFont="1" applyFill="1" applyBorder="1" applyAlignment="1">
      <alignment horizontal="center"/>
    </xf>
    <xf numFmtId="1" fontId="27" fillId="16" borderId="0" xfId="0" applyNumberFormat="1" applyFont="1" applyFill="1" applyBorder="1"/>
    <xf numFmtId="0" fontId="19" fillId="0" borderId="0" xfId="0" applyFont="1" applyAlignment="1">
      <alignment vertical="center" wrapText="1"/>
    </xf>
    <xf numFmtId="3" fontId="19" fillId="0" borderId="0" xfId="0" applyNumberFormat="1" applyFont="1" applyAlignment="1">
      <alignment vertical="center" wrapText="1"/>
    </xf>
    <xf numFmtId="1" fontId="0" fillId="0" borderId="0" xfId="0" applyNumberFormat="1" applyAlignment="1">
      <alignment vertical="center" readingOrder="1"/>
    </xf>
    <xf numFmtId="180" fontId="0" fillId="0" borderId="0" xfId="0" applyNumberFormat="1" applyAlignment="1">
      <alignment vertical="center" readingOrder="1"/>
    </xf>
    <xf numFmtId="44" fontId="0" fillId="0" borderId="0" xfId="0" applyNumberFormat="1" applyAlignment="1">
      <alignment vertical="center" readingOrder="1"/>
    </xf>
    <xf numFmtId="0" fontId="19" fillId="0" borderId="0" xfId="0" applyFont="1" applyAlignment="1">
      <alignment vertical="center" readingOrder="1"/>
    </xf>
    <xf numFmtId="180" fontId="19" fillId="0" borderId="0" xfId="9232" applyNumberFormat="1" applyAlignment="1">
      <alignment vertical="center" readingOrder="1"/>
    </xf>
    <xf numFmtId="0" fontId="193" fillId="16" borderId="132" xfId="0" applyFont="1" applyFill="1" applyBorder="1" applyAlignment="1">
      <alignment horizontal="center" vertical="center" wrapText="1"/>
    </xf>
    <xf numFmtId="0" fontId="193" fillId="16" borderId="133" xfId="0" applyFont="1" applyFill="1" applyBorder="1" applyAlignment="1">
      <alignment horizontal="center" vertical="center" wrapText="1"/>
    </xf>
    <xf numFmtId="0" fontId="216" fillId="16" borderId="0" xfId="0" applyFont="1" applyFill="1"/>
    <xf numFmtId="0" fontId="226" fillId="16" borderId="1" xfId="3" applyFont="1" applyFill="1"/>
    <xf numFmtId="0" fontId="226" fillId="16" borderId="0" xfId="0" applyFont="1" applyFill="1"/>
    <xf numFmtId="0" fontId="227" fillId="16" borderId="1" xfId="3" applyFont="1" applyFill="1"/>
    <xf numFmtId="0" fontId="193" fillId="16" borderId="224" xfId="0" applyFont="1" applyFill="1" applyBorder="1" applyAlignment="1">
      <alignment horizontal="center" vertical="center" wrapText="1"/>
    </xf>
    <xf numFmtId="0" fontId="0" fillId="21" borderId="41" xfId="0" applyFill="1" applyBorder="1" applyAlignment="1">
      <alignment wrapText="1"/>
    </xf>
    <xf numFmtId="164" fontId="0" fillId="16" borderId="134" xfId="1" applyNumberFormat="1" applyFont="1" applyFill="1" applyBorder="1"/>
    <xf numFmtId="164" fontId="0" fillId="16" borderId="137" xfId="1" applyNumberFormat="1" applyFont="1" applyFill="1" applyBorder="1"/>
    <xf numFmtId="164" fontId="0" fillId="16" borderId="140" xfId="1" applyNumberFormat="1" applyFont="1" applyFill="1" applyBorder="1"/>
    <xf numFmtId="164" fontId="0" fillId="16" borderId="143" xfId="1" applyNumberFormat="1" applyFont="1" applyFill="1" applyBorder="1"/>
    <xf numFmtId="164" fontId="0" fillId="16" borderId="401" xfId="1" applyNumberFormat="1" applyFont="1" applyFill="1" applyBorder="1"/>
    <xf numFmtId="164" fontId="0" fillId="16" borderId="456" xfId="1" applyNumberFormat="1" applyFont="1" applyFill="1" applyBorder="1"/>
    <xf numFmtId="164" fontId="0" fillId="16" borderId="457" xfId="1" applyNumberFormat="1" applyFont="1" applyFill="1" applyBorder="1"/>
    <xf numFmtId="164" fontId="0" fillId="16" borderId="296" xfId="1" applyNumberFormat="1" applyFont="1" applyFill="1" applyBorder="1"/>
    <xf numFmtId="9" fontId="0" fillId="16" borderId="135" xfId="2" applyFont="1" applyFill="1" applyBorder="1"/>
    <xf numFmtId="9" fontId="0" fillId="16" borderId="138" xfId="2" applyFont="1" applyFill="1" applyBorder="1"/>
    <xf numFmtId="9" fontId="0" fillId="16" borderId="144" xfId="2" applyFont="1" applyFill="1" applyBorder="1"/>
    <xf numFmtId="1" fontId="27" fillId="112" borderId="0" xfId="0" applyNumberFormat="1" applyFont="1" applyFill="1" applyAlignment="1">
      <alignment horizontal="center"/>
    </xf>
    <xf numFmtId="0" fontId="117" fillId="0" borderId="354" xfId="0" applyFont="1" applyBorder="1"/>
    <xf numFmtId="3" fontId="6" fillId="0" borderId="68" xfId="0" applyNumberFormat="1" applyFont="1" applyBorder="1" applyAlignment="1">
      <alignment horizontal="center"/>
    </xf>
    <xf numFmtId="0" fontId="6" fillId="17" borderId="22" xfId="0" applyFont="1" applyFill="1" applyBorder="1" applyAlignment="1">
      <alignment wrapText="1"/>
    </xf>
    <xf numFmtId="10" fontId="128" fillId="17" borderId="23" xfId="0" applyNumberFormat="1" applyFont="1" applyFill="1" applyBorder="1"/>
    <xf numFmtId="43" fontId="6" fillId="17" borderId="14" xfId="1" applyFont="1" applyFill="1" applyBorder="1"/>
    <xf numFmtId="43" fontId="6" fillId="17" borderId="15" xfId="1" applyFont="1" applyFill="1" applyBorder="1"/>
    <xf numFmtId="43" fontId="6" fillId="17" borderId="458" xfId="1" applyFont="1" applyFill="1" applyBorder="1"/>
    <xf numFmtId="43" fontId="6" fillId="17" borderId="459" xfId="1" applyFont="1" applyFill="1" applyBorder="1"/>
    <xf numFmtId="49" fontId="73" fillId="0" borderId="0" xfId="1" applyNumberFormat="1" applyFont="1"/>
    <xf numFmtId="49" fontId="73" fillId="0" borderId="0" xfId="1" applyNumberFormat="1" applyFont="1" applyAlignment="1">
      <alignment vertical="center"/>
    </xf>
    <xf numFmtId="0" fontId="73" fillId="0" borderId="0" xfId="0" applyFont="1" applyAlignment="1">
      <alignment vertical="center"/>
    </xf>
    <xf numFmtId="9" fontId="73" fillId="0" borderId="0" xfId="2" applyFont="1" applyAlignment="1">
      <alignment vertical="center"/>
    </xf>
    <xf numFmtId="10" fontId="107" fillId="18" borderId="303" xfId="2" applyNumberFormat="1" applyFont="1" applyFill="1" applyBorder="1"/>
    <xf numFmtId="0" fontId="8" fillId="18" borderId="299" xfId="0" applyFont="1" applyFill="1" applyBorder="1" applyAlignment="1"/>
    <xf numFmtId="0" fontId="6" fillId="0" borderId="68" xfId="0" applyFont="1" applyBorder="1" applyAlignment="1">
      <alignment horizontal="left"/>
    </xf>
    <xf numFmtId="9" fontId="6" fillId="0" borderId="68" xfId="0" applyNumberFormat="1" applyFont="1" applyBorder="1"/>
    <xf numFmtId="0" fontId="6" fillId="31" borderId="68" xfId="0" applyFont="1" applyFill="1" applyBorder="1" applyAlignment="1">
      <alignment horizontal="left"/>
    </xf>
    <xf numFmtId="0" fontId="6" fillId="31" borderId="68" xfId="0" applyFont="1" applyFill="1" applyBorder="1" applyAlignment="1">
      <alignment horizontal="center"/>
    </xf>
    <xf numFmtId="3" fontId="6" fillId="31" borderId="68" xfId="0" applyNumberFormat="1" applyFont="1" applyFill="1" applyBorder="1" applyAlignment="1">
      <alignment horizontal="center"/>
    </xf>
    <xf numFmtId="9" fontId="6" fillId="31" borderId="68" xfId="0" applyNumberFormat="1" applyFont="1" applyFill="1" applyBorder="1" applyAlignment="1">
      <alignment horizontal="right"/>
    </xf>
    <xf numFmtId="0" fontId="75" fillId="79" borderId="68" xfId="0" applyFont="1" applyFill="1" applyBorder="1" applyAlignment="1">
      <alignment horizontal="center" vertical="center"/>
    </xf>
    <xf numFmtId="9" fontId="6" fillId="31" borderId="68" xfId="2" applyNumberFormat="1" applyFont="1" applyFill="1" applyBorder="1" applyAlignment="1">
      <alignment horizontal="center"/>
    </xf>
    <xf numFmtId="0" fontId="6" fillId="31" borderId="379" xfId="0" applyFont="1" applyFill="1" applyBorder="1" applyAlignment="1">
      <alignment horizontal="left"/>
    </xf>
    <xf numFmtId="3" fontId="6" fillId="31" borderId="379" xfId="0" applyNumberFormat="1" applyFont="1" applyFill="1" applyBorder="1" applyAlignment="1">
      <alignment horizontal="center"/>
    </xf>
    <xf numFmtId="9" fontId="6" fillId="31" borderId="379" xfId="2" applyNumberFormat="1" applyFont="1" applyFill="1" applyBorder="1" applyAlignment="1">
      <alignment horizontal="center"/>
    </xf>
    <xf numFmtId="0" fontId="75" fillId="31" borderId="55" xfId="0" applyFont="1" applyFill="1" applyBorder="1" applyAlignment="1">
      <alignment horizontal="left"/>
    </xf>
    <xf numFmtId="3" fontId="75" fillId="31" borderId="55" xfId="0" applyNumberFormat="1" applyFont="1" applyFill="1" applyBorder="1" applyAlignment="1">
      <alignment horizontal="center"/>
    </xf>
    <xf numFmtId="9" fontId="6" fillId="0" borderId="380" xfId="2" applyFont="1" applyFill="1" applyBorder="1" applyAlignment="1">
      <alignment horizontal="center"/>
    </xf>
    <xf numFmtId="43" fontId="6" fillId="17" borderId="25" xfId="9181" applyNumberFormat="1" applyFont="1" applyFill="1" applyBorder="1"/>
    <xf numFmtId="43" fontId="6" fillId="17" borderId="24" xfId="1" applyNumberFormat="1" applyFont="1" applyFill="1" applyBorder="1"/>
    <xf numFmtId="0" fontId="123" fillId="26" borderId="132" xfId="0" applyNumberFormat="1" applyFont="1" applyFill="1" applyBorder="1"/>
    <xf numFmtId="164" fontId="6" fillId="17" borderId="189" xfId="0" applyNumberFormat="1" applyFont="1" applyFill="1" applyBorder="1"/>
    <xf numFmtId="164" fontId="6" fillId="17" borderId="190" xfId="0" applyNumberFormat="1" applyFont="1" applyFill="1" applyBorder="1"/>
    <xf numFmtId="164" fontId="117" fillId="17" borderId="189" xfId="4" applyNumberFormat="1" applyFont="1" applyFill="1" applyBorder="1" applyAlignment="1">
      <alignment horizontal="right"/>
    </xf>
    <xf numFmtId="43" fontId="6" fillId="17" borderId="189" xfId="0" applyNumberFormat="1" applyFont="1" applyFill="1" applyBorder="1"/>
    <xf numFmtId="43" fontId="6" fillId="17" borderId="192" xfId="1" applyNumberFormat="1" applyFont="1" applyFill="1" applyBorder="1"/>
    <xf numFmtId="0" fontId="128" fillId="17" borderId="443" xfId="0" applyFont="1" applyFill="1" applyBorder="1" applyAlignment="1">
      <alignment wrapText="1"/>
    </xf>
    <xf numFmtId="0" fontId="128" fillId="17" borderId="460" xfId="0" applyFont="1" applyFill="1" applyBorder="1" applyAlignment="1">
      <alignment wrapText="1"/>
    </xf>
    <xf numFmtId="0" fontId="128" fillId="22" borderId="442" xfId="0" applyFont="1" applyFill="1" applyBorder="1" applyAlignment="1">
      <alignment horizontal="center" wrapText="1"/>
    </xf>
    <xf numFmtId="0" fontId="157" fillId="17" borderId="443" xfId="0" applyFont="1" applyFill="1" applyBorder="1" applyAlignment="1">
      <alignment wrapText="1"/>
    </xf>
    <xf numFmtId="0" fontId="128" fillId="17" borderId="442" xfId="0" applyFont="1" applyFill="1" applyBorder="1" applyAlignment="1">
      <alignment wrapText="1"/>
    </xf>
    <xf numFmtId="43" fontId="128" fillId="17" borderId="443" xfId="1" applyFont="1" applyFill="1" applyBorder="1" applyAlignment="1">
      <alignment wrapText="1"/>
    </xf>
    <xf numFmtId="43" fontId="128" fillId="17" borderId="460" xfId="1" applyFont="1" applyFill="1" applyBorder="1" applyAlignment="1">
      <alignment wrapText="1"/>
    </xf>
    <xf numFmtId="43" fontId="128" fillId="17" borderId="442" xfId="1" applyFont="1" applyFill="1" applyBorder="1" applyAlignment="1">
      <alignment wrapText="1"/>
    </xf>
    <xf numFmtId="0" fontId="156" fillId="120" borderId="68" xfId="0" applyFont="1" applyFill="1" applyBorder="1" applyAlignment="1">
      <alignment horizontal="center" wrapText="1"/>
    </xf>
    <xf numFmtId="0" fontId="156" fillId="120" borderId="74" xfId="0" applyFont="1" applyFill="1" applyBorder="1" applyAlignment="1">
      <alignment horizontal="center" wrapText="1"/>
    </xf>
    <xf numFmtId="0" fontId="156" fillId="0" borderId="0" xfId="0" applyFont="1"/>
    <xf numFmtId="0" fontId="6" fillId="17" borderId="11" xfId="0" applyFont="1" applyFill="1" applyBorder="1" applyAlignment="1">
      <alignment vertical="center" wrapText="1"/>
    </xf>
    <xf numFmtId="0" fontId="6" fillId="17" borderId="9" xfId="0" applyFont="1" applyFill="1" applyBorder="1" applyAlignment="1">
      <alignment vertical="center" wrapText="1"/>
    </xf>
    <xf numFmtId="166" fontId="6" fillId="17" borderId="15" xfId="0" applyNumberFormat="1" applyFont="1" applyFill="1" applyBorder="1" applyAlignment="1">
      <alignment vertical="center"/>
    </xf>
    <xf numFmtId="164" fontId="6" fillId="17" borderId="24" xfId="0" applyNumberFormat="1" applyFont="1" applyFill="1" applyBorder="1" applyAlignment="1">
      <alignment vertical="center"/>
    </xf>
    <xf numFmtId="164" fontId="6" fillId="17" borderId="9" xfId="0" applyNumberFormat="1" applyFont="1" applyFill="1" applyBorder="1" applyAlignment="1">
      <alignment vertical="center"/>
    </xf>
    <xf numFmtId="164" fontId="107" fillId="17" borderId="9" xfId="4" applyNumberFormat="1" applyFont="1" applyFill="1" applyBorder="1" applyAlignment="1">
      <alignment vertical="center" wrapText="1"/>
    </xf>
    <xf numFmtId="10" fontId="128" fillId="17" borderId="25" xfId="0" applyNumberFormat="1" applyFont="1" applyFill="1" applyBorder="1" applyAlignment="1">
      <alignment vertical="center"/>
    </xf>
    <xf numFmtId="0" fontId="8" fillId="17" borderId="36" xfId="0" applyFont="1" applyFill="1" applyBorder="1" applyAlignment="1">
      <alignment vertical="center" wrapText="1"/>
    </xf>
    <xf numFmtId="165" fontId="6" fillId="17" borderId="24" xfId="0" applyNumberFormat="1" applyFont="1" applyFill="1" applyBorder="1" applyAlignment="1">
      <alignment vertical="center"/>
    </xf>
    <xf numFmtId="43" fontId="6" fillId="17" borderId="9" xfId="0" applyNumberFormat="1" applyFont="1" applyFill="1" applyBorder="1" applyAlignment="1">
      <alignment vertical="center"/>
    </xf>
    <xf numFmtId="43" fontId="6" fillId="17" borderId="25" xfId="1" applyNumberFormat="1" applyFont="1" applyFill="1" applyBorder="1" applyAlignment="1">
      <alignment vertical="center"/>
    </xf>
    <xf numFmtId="43" fontId="6" fillId="17" borderId="24" xfId="1" applyFont="1" applyFill="1" applyBorder="1" applyAlignment="1"/>
    <xf numFmtId="43" fontId="6" fillId="17" borderId="9" xfId="1" applyFont="1" applyFill="1" applyBorder="1" applyAlignment="1"/>
    <xf numFmtId="43" fontId="6" fillId="17" borderId="25" xfId="1" applyFont="1" applyFill="1" applyBorder="1" applyAlignment="1"/>
    <xf numFmtId="0" fontId="146" fillId="0" borderId="104" xfId="9108" applyFont="1" applyFill="1" applyBorder="1" applyAlignment="1">
      <alignment vertical="center" wrapText="1"/>
    </xf>
    <xf numFmtId="169" fontId="157" fillId="16" borderId="106" xfId="1" applyNumberFormat="1" applyFont="1" applyFill="1" applyBorder="1" applyAlignment="1">
      <alignment horizontal="center" vertical="center" wrapText="1"/>
    </xf>
    <xf numFmtId="169" fontId="157" fillId="16" borderId="400" xfId="1" applyNumberFormat="1" applyFont="1" applyFill="1" applyBorder="1" applyAlignment="1">
      <alignment horizontal="center" vertical="center" wrapText="1"/>
    </xf>
    <xf numFmtId="0" fontId="6" fillId="17" borderId="15" xfId="0" applyFont="1" applyFill="1" applyBorder="1" applyAlignment="1">
      <alignment wrapText="1"/>
    </xf>
    <xf numFmtId="1" fontId="6" fillId="19" borderId="444" xfId="1" applyNumberFormat="1" applyFont="1" applyFill="1" applyBorder="1" applyAlignment="1">
      <alignment horizontal="center" vertical="center"/>
    </xf>
    <xf numFmtId="1" fontId="6" fillId="29" borderId="444" xfId="1" applyNumberFormat="1" applyFont="1" applyFill="1" applyBorder="1" applyAlignment="1">
      <alignment horizontal="center" vertical="center"/>
    </xf>
    <xf numFmtId="1" fontId="6" fillId="23" borderId="444" xfId="1" applyNumberFormat="1" applyFont="1" applyFill="1" applyBorder="1" applyAlignment="1">
      <alignment horizontal="center" vertical="center"/>
    </xf>
    <xf numFmtId="1" fontId="6" fillId="31" borderId="444" xfId="1" applyNumberFormat="1" applyFont="1" applyFill="1" applyBorder="1" applyAlignment="1">
      <alignment horizontal="center" vertical="center"/>
    </xf>
    <xf numFmtId="0" fontId="6" fillId="17" borderId="261" xfId="0" applyFont="1" applyFill="1" applyBorder="1" applyAlignment="1">
      <alignment wrapText="1"/>
    </xf>
    <xf numFmtId="169" fontId="6" fillId="17" borderId="9" xfId="0" applyNumberFormat="1" applyFont="1" applyFill="1" applyBorder="1" applyAlignment="1">
      <alignment wrapText="1"/>
    </xf>
    <xf numFmtId="0" fontId="157" fillId="16" borderId="304" xfId="0" applyFont="1" applyFill="1" applyBorder="1" applyAlignment="1">
      <alignment horizontal="center" vertical="center"/>
    </xf>
    <xf numFmtId="0" fontId="157" fillId="16" borderId="104" xfId="0" applyFont="1" applyFill="1" applyBorder="1" applyAlignment="1">
      <alignment horizontal="center" vertical="center"/>
    </xf>
    <xf numFmtId="0" fontId="157" fillId="16" borderId="433" xfId="0" applyFont="1" applyFill="1" applyBorder="1" applyAlignment="1">
      <alignment horizontal="center" vertical="center"/>
    </xf>
    <xf numFmtId="0" fontId="157" fillId="16" borderId="437" xfId="0" applyFont="1" applyFill="1" applyBorder="1" applyAlignment="1">
      <alignment horizontal="center" vertical="center"/>
    </xf>
    <xf numFmtId="0" fontId="157" fillId="16" borderId="428" xfId="0" applyFont="1" applyFill="1" applyBorder="1" applyAlignment="1">
      <alignment horizontal="center" vertical="center"/>
    </xf>
    <xf numFmtId="164" fontId="6" fillId="17" borderId="187" xfId="0" applyNumberFormat="1" applyFont="1" applyFill="1" applyBorder="1"/>
    <xf numFmtId="164" fontId="6" fillId="17" borderId="188" xfId="0" applyNumberFormat="1" applyFont="1" applyFill="1" applyBorder="1"/>
    <xf numFmtId="10" fontId="128" fillId="17" borderId="461" xfId="0" applyNumberFormat="1" applyFont="1" applyFill="1" applyBorder="1" applyAlignment="1"/>
    <xf numFmtId="164" fontId="117" fillId="17" borderId="187" xfId="4" applyNumberFormat="1" applyFont="1" applyFill="1" applyBorder="1" applyAlignment="1">
      <alignment horizontal="right"/>
    </xf>
    <xf numFmtId="164" fontId="107" fillId="17" borderId="309" xfId="4" applyNumberFormat="1" applyFont="1" applyFill="1" applyBorder="1"/>
    <xf numFmtId="43" fontId="6" fillId="17" borderId="462" xfId="1" applyFont="1" applyFill="1" applyBorder="1"/>
    <xf numFmtId="43" fontId="6" fillId="17" borderId="463" xfId="1" applyFont="1" applyFill="1" applyBorder="1"/>
    <xf numFmtId="164" fontId="6" fillId="17" borderId="464" xfId="0" applyNumberFormat="1" applyFont="1" applyFill="1" applyBorder="1"/>
    <xf numFmtId="164" fontId="6" fillId="17" borderId="465" xfId="0" applyNumberFormat="1" applyFont="1" applyFill="1" applyBorder="1"/>
    <xf numFmtId="164" fontId="107" fillId="17" borderId="465" xfId="4" applyNumberFormat="1" applyFont="1" applyFill="1" applyBorder="1"/>
    <xf numFmtId="10" fontId="128" fillId="17" borderId="466" xfId="0" applyNumberFormat="1" applyFont="1" applyFill="1" applyBorder="1" applyAlignment="1"/>
    <xf numFmtId="164" fontId="117" fillId="17" borderId="464" xfId="4" applyNumberFormat="1" applyFont="1" applyFill="1" applyBorder="1" applyAlignment="1">
      <alignment horizontal="right"/>
    </xf>
    <xf numFmtId="164" fontId="107" fillId="17" borderId="467" xfId="4" applyNumberFormat="1" applyFont="1" applyFill="1" applyBorder="1"/>
    <xf numFmtId="43" fontId="6" fillId="17" borderId="468" xfId="1" applyFont="1" applyFill="1" applyBorder="1"/>
    <xf numFmtId="43" fontId="6" fillId="17" borderId="467" xfId="1" applyFont="1" applyFill="1" applyBorder="1"/>
    <xf numFmtId="43" fontId="6" fillId="17" borderId="469" xfId="1" applyFont="1" applyFill="1" applyBorder="1"/>
    <xf numFmtId="43" fontId="6" fillId="17" borderId="466" xfId="1" applyFont="1" applyFill="1" applyBorder="1"/>
    <xf numFmtId="0" fontId="128" fillId="17" borderId="30" xfId="0" applyFont="1" applyFill="1" applyBorder="1" applyAlignment="1">
      <alignment wrapText="1"/>
    </xf>
    <xf numFmtId="0" fontId="128" fillId="17" borderId="0" xfId="0" applyFont="1" applyFill="1" applyBorder="1" applyAlignment="1">
      <alignment wrapText="1"/>
    </xf>
    <xf numFmtId="0" fontId="128" fillId="22" borderId="31" xfId="0" applyFont="1" applyFill="1" applyBorder="1" applyAlignment="1">
      <alignment horizontal="left" wrapText="1"/>
    </xf>
    <xf numFmtId="0" fontId="80" fillId="17" borderId="30" xfId="0" applyFont="1" applyFill="1" applyBorder="1" applyAlignment="1">
      <alignment horizontal="left" wrapText="1"/>
    </xf>
    <xf numFmtId="0" fontId="128" fillId="17" borderId="31" xfId="0" applyFont="1" applyFill="1" applyBorder="1" applyAlignment="1">
      <alignment wrapText="1"/>
    </xf>
    <xf numFmtId="165" fontId="128" fillId="17" borderId="31" xfId="1" applyNumberFormat="1" applyFont="1" applyFill="1" applyBorder="1" applyAlignment="1">
      <alignment wrapText="1"/>
    </xf>
    <xf numFmtId="166" fontId="6" fillId="17" borderId="472" xfId="0" applyNumberFormat="1" applyFont="1" applyFill="1" applyBorder="1"/>
    <xf numFmtId="164" fontId="6" fillId="17" borderId="464" xfId="0" applyNumberFormat="1" applyFont="1" applyFill="1" applyBorder="1" applyAlignment="1"/>
    <xf numFmtId="164" fontId="6" fillId="17" borderId="465" xfId="0" applyNumberFormat="1" applyFont="1" applyFill="1" applyBorder="1" applyAlignment="1"/>
    <xf numFmtId="164" fontId="117" fillId="17" borderId="473" xfId="0" applyNumberFormat="1" applyFont="1" applyFill="1" applyBorder="1" applyAlignment="1">
      <alignment horizontal="right"/>
    </xf>
    <xf numFmtId="164" fontId="0" fillId="124" borderId="0" xfId="1" applyNumberFormat="1" applyFont="1" applyFill="1"/>
    <xf numFmtId="164" fontId="0" fillId="0" borderId="0" xfId="1" applyNumberFormat="1" applyFont="1"/>
    <xf numFmtId="1" fontId="0" fillId="0" borderId="0" xfId="0" applyNumberFormat="1"/>
    <xf numFmtId="164" fontId="0" fillId="0" borderId="0" xfId="0" applyNumberFormat="1"/>
    <xf numFmtId="9" fontId="216" fillId="0" borderId="0" xfId="2" applyFont="1"/>
    <xf numFmtId="16" fontId="0" fillId="0" borderId="0" xfId="0" applyNumberFormat="1"/>
    <xf numFmtId="43" fontId="6" fillId="17" borderId="464" xfId="1" applyFont="1" applyFill="1" applyBorder="1"/>
    <xf numFmtId="43" fontId="6" fillId="17" borderId="465" xfId="1" applyFont="1" applyFill="1" applyBorder="1"/>
    <xf numFmtId="0" fontId="229" fillId="0" borderId="0" xfId="0" applyFont="1"/>
    <xf numFmtId="0" fontId="230" fillId="125" borderId="444" xfId="0" applyFont="1" applyFill="1" applyBorder="1" applyAlignment="1">
      <alignment wrapText="1" readingOrder="1"/>
    </xf>
    <xf numFmtId="0" fontId="19" fillId="125" borderId="444" xfId="0" applyFont="1" applyFill="1" applyBorder="1" applyAlignment="1">
      <alignment wrapText="1" readingOrder="1"/>
    </xf>
    <xf numFmtId="0" fontId="230" fillId="125" borderId="82" xfId="0" applyFont="1" applyFill="1" applyBorder="1" applyAlignment="1">
      <alignment wrapText="1" readingOrder="1"/>
    </xf>
    <xf numFmtId="0" fontId="198" fillId="0" borderId="444" xfId="0" applyFont="1" applyBorder="1" applyAlignment="1">
      <alignment horizontal="center" wrapText="1" readingOrder="1"/>
    </xf>
    <xf numFmtId="0" fontId="156" fillId="0" borderId="444" xfId="0" applyFont="1" applyBorder="1" applyAlignment="1">
      <alignment wrapText="1" readingOrder="1"/>
    </xf>
    <xf numFmtId="1" fontId="156" fillId="0" borderId="444" xfId="0" applyNumberFormat="1" applyFont="1" applyBorder="1" applyAlignment="1">
      <alignment wrapText="1" readingOrder="1"/>
    </xf>
    <xf numFmtId="9" fontId="156" fillId="0" borderId="444" xfId="0" applyNumberFormat="1" applyFont="1" applyBorder="1" applyAlignment="1">
      <alignment wrapText="1" readingOrder="1"/>
    </xf>
    <xf numFmtId="9" fontId="156" fillId="0" borderId="444" xfId="0" applyNumberFormat="1" applyFont="1" applyBorder="1" applyAlignment="1">
      <alignment horizontal="right" wrapText="1" readingOrder="1"/>
    </xf>
    <xf numFmtId="9" fontId="6" fillId="0" borderId="444" xfId="0" applyNumberFormat="1" applyFont="1" applyBorder="1" applyAlignment="1">
      <alignment wrapText="1" readingOrder="1"/>
    </xf>
    <xf numFmtId="1" fontId="156" fillId="90" borderId="444" xfId="0" applyNumberFormat="1" applyFont="1" applyFill="1" applyBorder="1" applyAlignment="1">
      <alignment wrapText="1" readingOrder="1"/>
    </xf>
    <xf numFmtId="0" fontId="156" fillId="0" borderId="444" xfId="0" applyFont="1" applyBorder="1" applyAlignment="1">
      <alignment horizontal="right" wrapText="1" readingOrder="1"/>
    </xf>
    <xf numFmtId="0" fontId="6" fillId="0" borderId="0" xfId="13" applyFont="1"/>
    <xf numFmtId="0" fontId="6" fillId="32" borderId="444" xfId="13" applyFont="1" applyFill="1" applyBorder="1" applyAlignment="1">
      <alignment vertical="center" wrapText="1"/>
    </xf>
    <xf numFmtId="0" fontId="6" fillId="32" borderId="444" xfId="13" applyFont="1" applyFill="1" applyBorder="1" applyAlignment="1">
      <alignment wrapText="1"/>
    </xf>
    <xf numFmtId="0" fontId="6" fillId="32" borderId="444" xfId="13" applyFont="1" applyFill="1" applyBorder="1" applyAlignment="1">
      <alignment horizontal="right" wrapText="1"/>
    </xf>
    <xf numFmtId="0" fontId="6" fillId="0" borderId="444" xfId="13" applyFont="1" applyBorder="1"/>
    <xf numFmtId="3" fontId="6" fillId="0" borderId="444" xfId="13" applyNumberFormat="1" applyFont="1" applyBorder="1"/>
    <xf numFmtId="169" fontId="6" fillId="0" borderId="444" xfId="13" applyNumberFormat="1" applyFont="1" applyBorder="1"/>
    <xf numFmtId="0" fontId="196" fillId="0" borderId="0" xfId="0" applyFont="1" applyAlignment="1">
      <alignment readingOrder="1"/>
    </xf>
    <xf numFmtId="0" fontId="6" fillId="0" borderId="444" xfId="0" applyFont="1" applyBorder="1"/>
    <xf numFmtId="0" fontId="99" fillId="122" borderId="444" xfId="0" applyFont="1" applyFill="1" applyBorder="1" applyAlignment="1">
      <alignment wrapText="1"/>
    </xf>
    <xf numFmtId="0" fontId="171" fillId="127" borderId="444" xfId="11" applyFont="1" applyFill="1" applyBorder="1" applyAlignment="1">
      <alignment wrapText="1" readingOrder="1"/>
    </xf>
    <xf numFmtId="0" fontId="171" fillId="122" borderId="444" xfId="11" applyFont="1" applyFill="1" applyBorder="1" applyAlignment="1">
      <alignment wrapText="1" readingOrder="1"/>
    </xf>
    <xf numFmtId="0" fontId="171" fillId="34" borderId="444" xfId="11" applyFont="1" applyFill="1" applyBorder="1" applyAlignment="1">
      <alignment wrapText="1" readingOrder="1"/>
    </xf>
    <xf numFmtId="164" fontId="6" fillId="0" borderId="444" xfId="0" applyNumberFormat="1" applyFont="1" applyBorder="1"/>
    <xf numFmtId="164" fontId="6" fillId="90" borderId="444" xfId="0" applyNumberFormat="1" applyFont="1" applyFill="1" applyBorder="1"/>
    <xf numFmtId="9" fontId="6" fillId="0" borderId="444" xfId="2" applyFont="1" applyBorder="1"/>
    <xf numFmtId="1" fontId="6" fillId="0" borderId="444" xfId="0" applyNumberFormat="1" applyFont="1" applyBorder="1"/>
    <xf numFmtId="0" fontId="6" fillId="29" borderId="444" xfId="0" applyFont="1" applyFill="1" applyBorder="1"/>
    <xf numFmtId="9" fontId="6" fillId="0" borderId="444" xfId="0" applyNumberFormat="1" applyFont="1" applyBorder="1"/>
    <xf numFmtId="169" fontId="75" fillId="0" borderId="444" xfId="0" applyNumberFormat="1" applyFont="1" applyBorder="1"/>
    <xf numFmtId="171" fontId="6" fillId="0" borderId="444" xfId="0" applyNumberFormat="1" applyFont="1" applyBorder="1"/>
    <xf numFmtId="2" fontId="6" fillId="0" borderId="444" xfId="0" applyNumberFormat="1" applyFont="1" applyBorder="1"/>
    <xf numFmtId="168" fontId="75" fillId="90" borderId="444" xfId="0" applyNumberFormat="1" applyFont="1" applyFill="1" applyBorder="1"/>
    <xf numFmtId="0" fontId="6" fillId="0" borderId="444" xfId="0" applyFont="1" applyBorder="1" applyAlignment="1">
      <alignment wrapText="1"/>
    </xf>
    <xf numFmtId="0" fontId="6" fillId="0" borderId="444" xfId="0" applyFont="1" applyBorder="1" applyAlignment="1">
      <alignment vertical="center"/>
    </xf>
    <xf numFmtId="0" fontId="6" fillId="0" borderId="444" xfId="0" applyFont="1" applyBorder="1" applyAlignment="1">
      <alignment vertical="center" wrapText="1"/>
    </xf>
    <xf numFmtId="0" fontId="6" fillId="0" borderId="446" xfId="0" applyFont="1" applyBorder="1" applyAlignment="1">
      <alignment vertical="center"/>
    </xf>
    <xf numFmtId="0" fontId="226" fillId="103" borderId="0" xfId="0" applyFont="1" applyFill="1"/>
    <xf numFmtId="0" fontId="203" fillId="0" borderId="0" xfId="0" applyFont="1"/>
    <xf numFmtId="0" fontId="123" fillId="94" borderId="444" xfId="0" applyFont="1" applyFill="1" applyBorder="1" applyAlignment="1">
      <alignment wrapText="1"/>
    </xf>
    <xf numFmtId="0" fontId="6" fillId="126" borderId="444" xfId="0" applyFont="1" applyFill="1" applyBorder="1" applyAlignment="1">
      <alignment wrapText="1"/>
    </xf>
    <xf numFmtId="0" fontId="231" fillId="0" borderId="444" xfId="0" applyFont="1" applyBorder="1" applyAlignment="1">
      <alignment wrapText="1"/>
    </xf>
    <xf numFmtId="9" fontId="231" fillId="0" borderId="444" xfId="0" applyNumberFormat="1" applyFont="1" applyBorder="1"/>
    <xf numFmtId="9" fontId="6" fillId="19" borderId="444" xfId="0" applyNumberFormat="1" applyFont="1" applyFill="1" applyBorder="1"/>
    <xf numFmtId="9" fontId="123" fillId="0" borderId="0" xfId="2" applyFont="1"/>
    <xf numFmtId="164" fontId="6" fillId="90" borderId="444" xfId="1" applyNumberFormat="1" applyFont="1" applyFill="1" applyBorder="1"/>
    <xf numFmtId="169" fontId="231" fillId="0" borderId="444" xfId="0" applyNumberFormat="1" applyFont="1" applyBorder="1"/>
    <xf numFmtId="0" fontId="231" fillId="0" borderId="444" xfId="0" applyFont="1" applyBorder="1"/>
    <xf numFmtId="0" fontId="75" fillId="0" borderId="444" xfId="0" applyFont="1" applyBorder="1"/>
    <xf numFmtId="168" fontId="75" fillId="90" borderId="444" xfId="1" applyNumberFormat="1" applyFont="1" applyFill="1" applyBorder="1"/>
    <xf numFmtId="164" fontId="75" fillId="90" borderId="444" xfId="1" applyNumberFormat="1" applyFont="1" applyFill="1" applyBorder="1"/>
    <xf numFmtId="169" fontId="232" fillId="0" borderId="444" xfId="0" applyNumberFormat="1" applyFont="1" applyBorder="1"/>
    <xf numFmtId="168" fontId="231" fillId="0" borderId="444" xfId="1" applyNumberFormat="1" applyFont="1" applyBorder="1"/>
    <xf numFmtId="164" fontId="231" fillId="0" borderId="444" xfId="1" applyNumberFormat="1" applyFont="1" applyBorder="1"/>
    <xf numFmtId="0" fontId="231" fillId="0" borderId="0" xfId="0" applyFont="1"/>
    <xf numFmtId="168" fontId="231" fillId="0" borderId="0" xfId="1" applyNumberFormat="1" applyFont="1" applyBorder="1"/>
    <xf numFmtId="164" fontId="231" fillId="0" borderId="0" xfId="1" applyNumberFormat="1" applyFont="1" applyBorder="1"/>
    <xf numFmtId="169" fontId="232" fillId="0" borderId="0" xfId="0" applyNumberFormat="1" applyFont="1"/>
    <xf numFmtId="0" fontId="6" fillId="0" borderId="256" xfId="0" applyFont="1" applyBorder="1" applyAlignment="1">
      <alignment vertical="center"/>
    </xf>
    <xf numFmtId="0" fontId="231" fillId="0" borderId="256" xfId="0" applyFont="1" applyBorder="1" applyAlignment="1">
      <alignment vertical="center"/>
    </xf>
    <xf numFmtId="168" fontId="231" fillId="0" borderId="256" xfId="1" applyNumberFormat="1" applyFont="1" applyBorder="1" applyAlignment="1">
      <alignment vertical="center"/>
    </xf>
    <xf numFmtId="164" fontId="231" fillId="0" borderId="450" xfId="1" applyNumberFormat="1" applyFont="1" applyBorder="1" applyAlignment="1">
      <alignment vertical="center"/>
    </xf>
    <xf numFmtId="168" fontId="117" fillId="17" borderId="24" xfId="1" applyNumberFormat="1" applyFont="1" applyFill="1" applyBorder="1" applyAlignment="1">
      <alignment horizontal="right"/>
    </xf>
    <xf numFmtId="169" fontId="117" fillId="17" borderId="10" xfId="0" applyNumberFormat="1" applyFont="1" applyFill="1" applyBorder="1" applyAlignment="1">
      <alignment horizontal="right"/>
    </xf>
    <xf numFmtId="169" fontId="117" fillId="17" borderId="24" xfId="4" applyNumberFormat="1" applyFont="1" applyFill="1" applyBorder="1" applyAlignment="1">
      <alignment horizontal="right"/>
    </xf>
    <xf numFmtId="43" fontId="213" fillId="0" borderId="0" xfId="1" applyFont="1"/>
    <xf numFmtId="10" fontId="0" fillId="0" borderId="0" xfId="2" applyNumberFormat="1" applyFont="1"/>
    <xf numFmtId="0" fontId="123" fillId="0" borderId="0" xfId="0" applyFont="1" applyFill="1" applyBorder="1"/>
    <xf numFmtId="0" fontId="123" fillId="0" borderId="0" xfId="0" applyNumberFormat="1" applyFont="1" applyFill="1" applyBorder="1"/>
    <xf numFmtId="164" fontId="107" fillId="0" borderId="0" xfId="4" applyNumberFormat="1" applyFont="1" applyFill="1" applyBorder="1" applyAlignment="1">
      <alignment horizontal="center" vertical="center" wrapText="1"/>
    </xf>
    <xf numFmtId="43" fontId="130" fillId="0" borderId="0" xfId="0" applyNumberFormat="1" applyFont="1" applyFill="1"/>
    <xf numFmtId="0" fontId="8" fillId="0" borderId="0" xfId="0" applyFont="1" applyFill="1" applyBorder="1" applyAlignment="1">
      <alignment wrapText="1"/>
    </xf>
    <xf numFmtId="43" fontId="6" fillId="0" borderId="0" xfId="1" applyFont="1" applyFill="1" applyBorder="1"/>
    <xf numFmtId="166" fontId="6" fillId="17" borderId="0" xfId="0" applyNumberFormat="1" applyFont="1" applyFill="1" applyBorder="1"/>
    <xf numFmtId="10" fontId="128" fillId="0" borderId="0" xfId="0" applyNumberFormat="1" applyFont="1" applyFill="1" applyBorder="1" applyAlignment="1"/>
    <xf numFmtId="164" fontId="117" fillId="0" borderId="0" xfId="4" applyNumberFormat="1" applyFont="1" applyFill="1" applyBorder="1" applyAlignment="1">
      <alignment horizontal="right"/>
    </xf>
    <xf numFmtId="0" fontId="8" fillId="0" borderId="0" xfId="0" applyFont="1" applyFill="1" applyBorder="1" applyAlignment="1">
      <alignment horizontal="left" vertical="center" wrapText="1"/>
    </xf>
    <xf numFmtId="0" fontId="8" fillId="17" borderId="0" xfId="0" applyFont="1" applyFill="1" applyBorder="1" applyAlignment="1"/>
    <xf numFmtId="0" fontId="6" fillId="17" borderId="462" xfId="0" applyFont="1" applyFill="1" applyBorder="1" applyAlignment="1">
      <alignment wrapText="1"/>
    </xf>
    <xf numFmtId="0" fontId="6" fillId="17" borderId="463" xfId="0" applyFont="1" applyFill="1" applyBorder="1" applyAlignment="1">
      <alignment wrapText="1"/>
    </xf>
    <xf numFmtId="166" fontId="6" fillId="17" borderId="475" xfId="0" applyNumberFormat="1" applyFont="1" applyFill="1" applyBorder="1"/>
    <xf numFmtId="43" fontId="6" fillId="17" borderId="187" xfId="1" applyFont="1" applyFill="1" applyBorder="1"/>
    <xf numFmtId="43" fontId="6" fillId="17" borderId="188" xfId="1" applyFont="1" applyFill="1" applyBorder="1"/>
    <xf numFmtId="164" fontId="107" fillId="17" borderId="463" xfId="4" applyNumberFormat="1" applyFont="1" applyFill="1" applyBorder="1"/>
    <xf numFmtId="164" fontId="117" fillId="17" borderId="187" xfId="1" applyNumberFormat="1" applyFont="1" applyFill="1" applyBorder="1" applyAlignment="1">
      <alignment horizontal="right"/>
    </xf>
    <xf numFmtId="0" fontId="8" fillId="17" borderId="476" xfId="0" applyFont="1" applyFill="1" applyBorder="1" applyAlignment="1"/>
    <xf numFmtId="43" fontId="6" fillId="17" borderId="462" xfId="1" applyNumberFormat="1" applyFont="1" applyFill="1" applyBorder="1"/>
    <xf numFmtId="43" fontId="6" fillId="17" borderId="463" xfId="1" applyNumberFormat="1" applyFont="1" applyFill="1" applyBorder="1"/>
    <xf numFmtId="43" fontId="6" fillId="17" borderId="476" xfId="1" applyNumberFormat="1" applyFont="1" applyFill="1" applyBorder="1"/>
    <xf numFmtId="43" fontId="233" fillId="0" borderId="30" xfId="0" applyNumberFormat="1" applyFont="1" applyBorder="1" applyAlignment="1">
      <alignment vertical="center" textRotation="90"/>
    </xf>
    <xf numFmtId="0" fontId="164" fillId="19" borderId="426" xfId="0" applyFont="1" applyFill="1" applyBorder="1" applyAlignment="1">
      <alignment wrapText="1"/>
    </xf>
    <xf numFmtId="2" fontId="76" fillId="18" borderId="256" xfId="1" applyNumberFormat="1" applyFont="1" applyFill="1" applyBorder="1" applyAlignment="1">
      <alignment horizontal="center"/>
    </xf>
    <xf numFmtId="2" fontId="76" fillId="18" borderId="450" xfId="1" applyNumberFormat="1" applyFont="1" applyFill="1" applyBorder="1" applyAlignment="1">
      <alignment horizontal="center"/>
    </xf>
    <xf numFmtId="0" fontId="157" fillId="17" borderId="201" xfId="0" applyFont="1" applyFill="1" applyBorder="1" applyAlignment="1">
      <alignment horizontal="left" wrapText="1"/>
    </xf>
    <xf numFmtId="0" fontId="234" fillId="0" borderId="0" xfId="0" applyFont="1"/>
    <xf numFmtId="0" fontId="235" fillId="0" borderId="0" xfId="0" applyFont="1" applyAlignment="1">
      <alignment horizontal="left" indent="1"/>
    </xf>
    <xf numFmtId="14" fontId="235" fillId="0" borderId="0" xfId="0" applyNumberFormat="1" applyFont="1" applyFill="1" applyAlignment="1">
      <alignment horizontal="left" indent="1"/>
    </xf>
    <xf numFmtId="2" fontId="7" fillId="17" borderId="482" xfId="1" applyNumberFormat="1" applyFont="1" applyFill="1" applyBorder="1" applyAlignment="1">
      <alignment horizontal="center"/>
    </xf>
    <xf numFmtId="2" fontId="7" fillId="16" borderId="483" xfId="1" applyNumberFormat="1" applyFont="1" applyFill="1" applyBorder="1" applyAlignment="1">
      <alignment horizontal="center"/>
    </xf>
    <xf numFmtId="2" fontId="7" fillId="0" borderId="483" xfId="1" applyNumberFormat="1" applyFont="1" applyBorder="1" applyAlignment="1">
      <alignment horizontal="center"/>
    </xf>
    <xf numFmtId="2" fontId="7" fillId="0" borderId="484" xfId="1" applyNumberFormat="1" applyFont="1" applyBorder="1" applyAlignment="1">
      <alignment horizontal="center"/>
    </xf>
    <xf numFmtId="0" fontId="80" fillId="21" borderId="481" xfId="0" applyFont="1" applyFill="1" applyBorder="1" applyAlignment="1">
      <alignment horizontal="center" wrapText="1"/>
    </xf>
    <xf numFmtId="10" fontId="0" fillId="0" borderId="0" xfId="0" applyNumberFormat="1"/>
    <xf numFmtId="0" fontId="12" fillId="0" borderId="0" xfId="0" applyFont="1" applyFill="1" applyBorder="1"/>
    <xf numFmtId="0" fontId="12" fillId="0" borderId="0" xfId="0" applyNumberFormat="1" applyFont="1" applyFill="1" applyBorder="1"/>
    <xf numFmtId="2" fontId="7" fillId="17" borderId="487" xfId="1" applyNumberFormat="1" applyFont="1" applyFill="1" applyBorder="1" applyAlignment="1">
      <alignment horizontal="center"/>
    </xf>
    <xf numFmtId="2" fontId="7" fillId="16" borderId="484" xfId="1" applyNumberFormat="1" applyFont="1" applyFill="1" applyBorder="1" applyAlignment="1">
      <alignment horizontal="center"/>
    </xf>
    <xf numFmtId="0" fontId="236" fillId="18" borderId="0" xfId="0" applyFont="1" applyFill="1" applyAlignment="1">
      <alignment vertical="center" wrapText="1"/>
    </xf>
    <xf numFmtId="0" fontId="238" fillId="0" borderId="0" xfId="0" applyFont="1" applyAlignment="1">
      <alignment wrapText="1"/>
    </xf>
    <xf numFmtId="0" fontId="239" fillId="0" borderId="0" xfId="0" applyFont="1"/>
    <xf numFmtId="0" fontId="240" fillId="16" borderId="0" xfId="0" applyFont="1" applyFill="1" applyAlignment="1">
      <alignment vertical="top"/>
    </xf>
    <xf numFmtId="0" fontId="164" fillId="19" borderId="425" xfId="0" applyFont="1" applyFill="1" applyBorder="1" applyAlignment="1">
      <alignment wrapText="1"/>
    </xf>
    <xf numFmtId="0" fontId="15" fillId="93" borderId="488" xfId="0" applyFont="1" applyFill="1" applyBorder="1" applyAlignment="1">
      <alignment vertical="center"/>
    </xf>
    <xf numFmtId="0" fontId="164" fillId="19" borderId="446" xfId="0" applyFont="1" applyFill="1" applyBorder="1" applyAlignment="1">
      <alignment wrapText="1"/>
    </xf>
    <xf numFmtId="0" fontId="164" fillId="19" borderId="234" xfId="0" applyFont="1" applyFill="1" applyBorder="1" applyAlignment="1">
      <alignment wrapText="1"/>
    </xf>
    <xf numFmtId="0" fontId="158" fillId="17" borderId="488" xfId="0" applyFont="1" applyFill="1" applyBorder="1" applyAlignment="1">
      <alignment horizontal="center" wrapText="1"/>
    </xf>
    <xf numFmtId="2" fontId="188" fillId="105" borderId="488" xfId="0" applyNumberFormat="1" applyFont="1" applyFill="1" applyBorder="1" applyAlignment="1">
      <alignment horizontal="center"/>
    </xf>
    <xf numFmtId="43" fontId="4" fillId="18" borderId="256" xfId="0" applyNumberFormat="1" applyFont="1" applyFill="1" applyBorder="1"/>
    <xf numFmtId="43" fontId="128" fillId="0" borderId="396" xfId="1" applyFont="1" applyFill="1" applyBorder="1" applyAlignment="1">
      <alignment horizontal="right" vertical="center"/>
    </xf>
    <xf numFmtId="43" fontId="128" fillId="0" borderId="85" xfId="1" applyFont="1" applyFill="1" applyBorder="1" applyAlignment="1">
      <alignment horizontal="right" vertical="center"/>
    </xf>
    <xf numFmtId="43" fontId="128" fillId="0" borderId="399" xfId="1" applyFont="1" applyFill="1" applyBorder="1" applyAlignment="1">
      <alignment horizontal="right" vertical="center"/>
    </xf>
    <xf numFmtId="43" fontId="128" fillId="0" borderId="85" xfId="1" applyFont="1" applyFill="1" applyBorder="1" applyAlignment="1">
      <alignment vertical="center"/>
    </xf>
    <xf numFmtId="0" fontId="108" fillId="93" borderId="406" xfId="0" applyFont="1" applyFill="1" applyBorder="1" applyAlignment="1">
      <alignment vertical="center"/>
    </xf>
    <xf numFmtId="0" fontId="108" fillId="93" borderId="494" xfId="0" applyFont="1" applyFill="1" applyBorder="1" applyAlignment="1">
      <alignment vertical="center"/>
    </xf>
    <xf numFmtId="0" fontId="164" fillId="19" borderId="406" xfId="0" applyFont="1" applyFill="1" applyBorder="1" applyAlignment="1">
      <alignment wrapText="1"/>
    </xf>
    <xf numFmtId="0" fontId="164" fillId="19" borderId="236" xfId="0" applyFont="1" applyFill="1" applyBorder="1" applyAlignment="1">
      <alignment wrapText="1"/>
    </xf>
    <xf numFmtId="0" fontId="158" fillId="0" borderId="406" xfId="0" applyFont="1" applyBorder="1" applyAlignment="1">
      <alignment horizontal="center" wrapText="1"/>
    </xf>
    <xf numFmtId="0" fontId="158" fillId="17" borderId="406" xfId="0" applyFont="1" applyFill="1" applyBorder="1" applyAlignment="1">
      <alignment horizontal="center" wrapText="1"/>
    </xf>
    <xf numFmtId="43" fontId="4" fillId="18" borderId="406" xfId="0" applyNumberFormat="1" applyFont="1" applyFill="1" applyBorder="1"/>
    <xf numFmtId="2" fontId="188" fillId="105" borderId="406" xfId="0" applyNumberFormat="1" applyFont="1" applyFill="1" applyBorder="1" applyAlignment="1">
      <alignment horizontal="center"/>
    </xf>
    <xf numFmtId="43" fontId="128" fillId="16" borderId="495" xfId="1" applyFont="1" applyFill="1" applyBorder="1" applyAlignment="1">
      <alignment horizontal="right" vertical="center"/>
    </xf>
    <xf numFmtId="43" fontId="128" fillId="16" borderId="496" xfId="1" applyFont="1" applyFill="1" applyBorder="1" applyAlignment="1">
      <alignment horizontal="right" vertical="center"/>
    </xf>
    <xf numFmtId="43" fontId="128" fillId="17" borderId="496" xfId="1" applyFont="1" applyFill="1" applyBorder="1" applyAlignment="1">
      <alignment horizontal="right" vertical="center"/>
    </xf>
    <xf numFmtId="43" fontId="128" fillId="16" borderId="496" xfId="1" applyFont="1" applyFill="1" applyBorder="1" applyAlignment="1">
      <alignment vertical="center"/>
    </xf>
    <xf numFmtId="43" fontId="128" fillId="16" borderId="498" xfId="1" applyFont="1" applyFill="1" applyBorder="1" applyAlignment="1">
      <alignment vertical="center"/>
    </xf>
    <xf numFmtId="43" fontId="128" fillId="0" borderId="498" xfId="1" applyFont="1" applyFill="1" applyBorder="1" applyAlignment="1">
      <alignment vertical="center"/>
    </xf>
    <xf numFmtId="0" fontId="108" fillId="102" borderId="426" xfId="9180" applyFont="1" applyFill="1" applyBorder="1" applyAlignment="1">
      <alignment vertical="center"/>
    </xf>
    <xf numFmtId="0" fontId="108" fillId="102" borderId="425" xfId="9180" applyFont="1" applyFill="1" applyBorder="1" applyAlignment="1">
      <alignment vertical="center"/>
    </xf>
    <xf numFmtId="43" fontId="123" fillId="17" borderId="396" xfId="1" applyFont="1" applyFill="1" applyBorder="1" applyAlignment="1">
      <alignment horizontal="right" vertical="center"/>
    </xf>
    <xf numFmtId="43" fontId="123" fillId="17" borderId="85" xfId="1" applyFont="1" applyFill="1" applyBorder="1" applyAlignment="1">
      <alignment horizontal="right" vertical="center"/>
    </xf>
    <xf numFmtId="43" fontId="123" fillId="17" borderId="85" xfId="1" applyFont="1" applyFill="1" applyBorder="1" applyAlignment="1">
      <alignment vertical="center"/>
    </xf>
    <xf numFmtId="43" fontId="123" fillId="17" borderId="96" xfId="1" applyFont="1" applyFill="1" applyBorder="1" applyAlignment="1">
      <alignment vertical="center"/>
    </xf>
    <xf numFmtId="43" fontId="123" fillId="17" borderId="399" xfId="1" applyFont="1" applyFill="1" applyBorder="1" applyAlignment="1">
      <alignment vertical="center"/>
    </xf>
    <xf numFmtId="43" fontId="188" fillId="105" borderId="450" xfId="0" applyNumberFormat="1" applyFont="1" applyFill="1" applyBorder="1" applyAlignment="1">
      <alignment horizontal="left"/>
    </xf>
    <xf numFmtId="0" fontId="175" fillId="96" borderId="256" xfId="0" applyFont="1" applyFill="1" applyBorder="1" applyAlignment="1"/>
    <xf numFmtId="0" fontId="0" fillId="0" borderId="81" xfId="0" applyBorder="1"/>
    <xf numFmtId="0" fontId="0" fillId="0" borderId="426" xfId="0" applyBorder="1"/>
    <xf numFmtId="2" fontId="237" fillId="18" borderId="32" xfId="0" applyNumberFormat="1" applyFont="1" applyFill="1" applyBorder="1" applyAlignment="1">
      <alignment horizontal="center" vertical="center"/>
    </xf>
    <xf numFmtId="2" fontId="237" fillId="18" borderId="55" xfId="0" applyNumberFormat="1" applyFont="1" applyFill="1" applyBorder="1" applyAlignment="1">
      <alignment horizontal="center" vertical="center"/>
    </xf>
    <xf numFmtId="0" fontId="6" fillId="17" borderId="26" xfId="0" applyFont="1" applyFill="1" applyBorder="1" applyAlignment="1">
      <alignment wrapText="1"/>
    </xf>
    <xf numFmtId="164" fontId="6" fillId="17" borderId="500" xfId="0" applyNumberFormat="1" applyFont="1" applyFill="1" applyBorder="1"/>
    <xf numFmtId="164" fontId="6" fillId="17" borderId="501" xfId="0" applyNumberFormat="1" applyFont="1" applyFill="1" applyBorder="1"/>
    <xf numFmtId="10" fontId="128" fillId="17" borderId="28" xfId="0" applyNumberFormat="1" applyFont="1" applyFill="1" applyBorder="1"/>
    <xf numFmtId="0" fontId="8" fillId="17" borderId="503" xfId="0" applyFont="1" applyFill="1" applyBorder="1" applyAlignment="1">
      <alignment wrapText="1"/>
    </xf>
    <xf numFmtId="43" fontId="6" fillId="17" borderId="26" xfId="1" applyFont="1" applyFill="1" applyBorder="1"/>
    <xf numFmtId="43" fontId="6" fillId="17" borderId="172" xfId="1" applyFont="1" applyFill="1" applyBorder="1"/>
    <xf numFmtId="43" fontId="6" fillId="17" borderId="504" xfId="1" applyFont="1" applyFill="1" applyBorder="1"/>
    <xf numFmtId="43" fontId="214" fillId="0" borderId="0" xfId="0" applyNumberFormat="1" applyFont="1" applyAlignment="1">
      <alignment vertical="center"/>
    </xf>
    <xf numFmtId="164" fontId="6" fillId="17" borderId="22" xfId="0" applyNumberFormat="1" applyFont="1" applyFill="1" applyBorder="1" applyAlignment="1"/>
    <xf numFmtId="164" fontId="6" fillId="17" borderId="8" xfId="0" applyNumberFormat="1" applyFont="1" applyFill="1" applyBorder="1" applyAlignment="1"/>
    <xf numFmtId="43" fontId="6" fillId="17" borderId="119" xfId="1" applyFont="1" applyFill="1" applyBorder="1"/>
    <xf numFmtId="43" fontId="6" fillId="17" borderId="120" xfId="1" applyFont="1" applyFill="1" applyBorder="1"/>
    <xf numFmtId="43" fontId="6" fillId="17" borderId="23" xfId="1" applyFont="1" applyFill="1" applyBorder="1"/>
    <xf numFmtId="43" fontId="6" fillId="17" borderId="461" xfId="1" applyFont="1" applyFill="1" applyBorder="1"/>
    <xf numFmtId="0" fontId="6" fillId="17" borderId="189" xfId="0" applyFont="1" applyFill="1" applyBorder="1" applyAlignment="1">
      <alignment wrapText="1"/>
    </xf>
    <xf numFmtId="0" fontId="128" fillId="17" borderId="446" xfId="0" applyFont="1" applyFill="1" applyBorder="1" applyAlignment="1">
      <alignment wrapText="1"/>
    </xf>
    <xf numFmtId="0" fontId="128" fillId="17" borderId="256" xfId="0" applyFont="1" applyFill="1" applyBorder="1" applyAlignment="1">
      <alignment wrapText="1"/>
    </xf>
    <xf numFmtId="0" fontId="128" fillId="17" borderId="450" xfId="0" applyFont="1" applyFill="1" applyBorder="1" applyAlignment="1">
      <alignment wrapText="1"/>
    </xf>
    <xf numFmtId="0" fontId="6" fillId="17" borderId="505" xfId="0" applyFont="1" applyFill="1" applyBorder="1" applyAlignment="1">
      <alignment wrapText="1"/>
    </xf>
    <xf numFmtId="0" fontId="6" fillId="17" borderId="506" xfId="0" applyFont="1" applyFill="1" applyBorder="1" applyAlignment="1">
      <alignment wrapText="1"/>
    </xf>
    <xf numFmtId="166" fontId="6" fillId="17" borderId="507" xfId="0" applyNumberFormat="1" applyFont="1" applyFill="1" applyBorder="1"/>
    <xf numFmtId="0" fontId="6" fillId="17" borderId="508" xfId="0" applyFont="1" applyFill="1" applyBorder="1" applyAlignment="1">
      <alignment wrapText="1"/>
    </xf>
    <xf numFmtId="0" fontId="6" fillId="17" borderId="473" xfId="0" applyFont="1" applyFill="1" applyBorder="1" applyAlignment="1">
      <alignment wrapText="1"/>
    </xf>
    <xf numFmtId="43" fontId="6" fillId="17" borderId="310" xfId="1" applyFont="1" applyFill="1" applyBorder="1"/>
    <xf numFmtId="43" fontId="6" fillId="17" borderId="309" xfId="1" applyFont="1" applyFill="1" applyBorder="1"/>
    <xf numFmtId="0" fontId="144" fillId="0" borderId="0" xfId="0" applyFont="1"/>
    <xf numFmtId="0" fontId="241" fillId="128" borderId="509" xfId="0" applyFont="1" applyFill="1" applyBorder="1" applyAlignment="1">
      <alignment vertical="center" wrapText="1"/>
    </xf>
    <xf numFmtId="0" fontId="241" fillId="128" borderId="6" xfId="0" applyFont="1" applyFill="1" applyBorder="1" applyAlignment="1">
      <alignment vertical="center" wrapText="1"/>
    </xf>
    <xf numFmtId="0" fontId="241" fillId="128" borderId="273" xfId="0" applyFont="1" applyFill="1" applyBorder="1" applyAlignment="1">
      <alignment vertical="top" wrapText="1"/>
    </xf>
    <xf numFmtId="0" fontId="241" fillId="128" borderId="145" xfId="0" applyFont="1" applyFill="1" applyBorder="1" applyAlignment="1">
      <alignment vertical="top" wrapText="1"/>
    </xf>
    <xf numFmtId="0" fontId="241" fillId="128" borderId="58" xfId="0" applyFont="1" applyFill="1" applyBorder="1" applyAlignment="1">
      <alignment horizontal="center" vertical="center" wrapText="1"/>
    </xf>
    <xf numFmtId="0" fontId="241" fillId="132" borderId="77" xfId="0" applyFont="1" applyFill="1" applyBorder="1" applyAlignment="1">
      <alignment horizontal="center" vertical="center" wrapText="1"/>
    </xf>
    <xf numFmtId="0" fontId="241" fillId="128" borderId="78" xfId="0" applyFont="1" applyFill="1" applyBorder="1" applyAlignment="1">
      <alignment horizontal="center" vertical="center" wrapText="1"/>
    </xf>
    <xf numFmtId="0" fontId="241" fillId="128" borderId="257" xfId="0" applyFont="1" applyFill="1" applyBorder="1" applyAlignment="1">
      <alignment horizontal="center" vertical="center" wrapText="1"/>
    </xf>
    <xf numFmtId="0" fontId="241" fillId="132" borderId="78" xfId="0" applyFont="1" applyFill="1" applyBorder="1" applyAlignment="1">
      <alignment horizontal="center" vertical="center" wrapText="1"/>
    </xf>
    <xf numFmtId="168" fontId="6" fillId="90" borderId="68" xfId="1" applyNumberFormat="1" applyFont="1" applyFill="1" applyBorder="1"/>
    <xf numFmtId="169" fontId="117" fillId="90" borderId="255" xfId="209" applyNumberFormat="1" applyFont="1" applyFill="1" applyBorder="1"/>
    <xf numFmtId="169" fontId="117" fillId="90" borderId="82" xfId="209" applyNumberFormat="1" applyFont="1" applyFill="1" applyBorder="1"/>
    <xf numFmtId="169" fontId="117" fillId="90" borderId="55" xfId="209" applyNumberFormat="1" applyFont="1" applyFill="1" applyBorder="1"/>
    <xf numFmtId="0" fontId="5" fillId="102" borderId="256" xfId="9180" applyFont="1" applyFill="1" applyBorder="1" applyAlignment="1">
      <alignment vertical="center"/>
    </xf>
    <xf numFmtId="0" fontId="173" fillId="96" borderId="256" xfId="0" applyFont="1" applyFill="1" applyBorder="1" applyAlignment="1"/>
    <xf numFmtId="43" fontId="138" fillId="17" borderId="396" xfId="1" applyFont="1" applyFill="1" applyBorder="1" applyAlignment="1">
      <alignment vertical="center"/>
    </xf>
    <xf numFmtId="43" fontId="138" fillId="17" borderId="85" xfId="1" applyFont="1" applyFill="1" applyBorder="1" applyAlignment="1">
      <alignment vertical="center"/>
    </xf>
    <xf numFmtId="43" fontId="138" fillId="17" borderId="96" xfId="1" applyFont="1" applyFill="1" applyBorder="1" applyAlignment="1">
      <alignment vertical="center"/>
    </xf>
    <xf numFmtId="43" fontId="138" fillId="17" borderId="510" xfId="1" applyFont="1" applyFill="1" applyBorder="1" applyAlignment="1">
      <alignment vertical="center"/>
    </xf>
    <xf numFmtId="43" fontId="138" fillId="17" borderId="511" xfId="1" applyFont="1" applyFill="1" applyBorder="1" applyAlignment="1">
      <alignment vertical="center"/>
    </xf>
    <xf numFmtId="43" fontId="138" fillId="17" borderId="428" xfId="1" applyFont="1" applyFill="1" applyBorder="1" applyAlignment="1">
      <alignment vertical="center"/>
    </xf>
    <xf numFmtId="0" fontId="5" fillId="102" borderId="407" xfId="9180" applyFont="1" applyFill="1" applyBorder="1" applyAlignment="1">
      <alignment vertical="center"/>
    </xf>
    <xf numFmtId="0" fontId="15" fillId="93" borderId="405" xfId="0" applyFont="1" applyFill="1" applyBorder="1" applyAlignment="1">
      <alignment vertical="center"/>
    </xf>
    <xf numFmtId="0" fontId="15" fillId="93" borderId="406" xfId="0" applyFont="1" applyFill="1" applyBorder="1" applyAlignment="1">
      <alignment vertical="center"/>
    </xf>
    <xf numFmtId="0" fontId="15" fillId="93" borderId="494" xfId="0" applyFont="1" applyFill="1" applyBorder="1" applyAlignment="1">
      <alignment vertical="center"/>
    </xf>
    <xf numFmtId="0" fontId="15" fillId="93" borderId="512" xfId="0" applyFont="1" applyFill="1" applyBorder="1" applyAlignment="1">
      <alignment vertical="center"/>
    </xf>
    <xf numFmtId="0" fontId="164" fillId="21" borderId="405" xfId="0" applyFont="1" applyFill="1" applyBorder="1" applyAlignment="1">
      <alignment wrapText="1"/>
    </xf>
    <xf numFmtId="0" fontId="164" fillId="21" borderId="406" xfId="0" applyFont="1" applyFill="1" applyBorder="1" applyAlignment="1">
      <alignment wrapText="1"/>
    </xf>
    <xf numFmtId="0" fontId="164" fillId="21" borderId="407" xfId="0" applyFont="1" applyFill="1" applyBorder="1" applyAlignment="1">
      <alignment wrapText="1"/>
    </xf>
    <xf numFmtId="0" fontId="6" fillId="0" borderId="513" xfId="0" applyFont="1" applyBorder="1"/>
    <xf numFmtId="0" fontId="6" fillId="0" borderId="347" xfId="0" applyFont="1" applyBorder="1"/>
    <xf numFmtId="0" fontId="6" fillId="0" borderId="514" xfId="0" applyFont="1" applyBorder="1"/>
    <xf numFmtId="0" fontId="186" fillId="0" borderId="405" xfId="0" applyFont="1" applyBorder="1" applyAlignment="1">
      <alignment horizontal="center" wrapText="1"/>
    </xf>
    <xf numFmtId="0" fontId="186" fillId="17" borderId="406" xfId="0" applyFont="1" applyFill="1" applyBorder="1" applyAlignment="1">
      <alignment horizontal="center" wrapText="1"/>
    </xf>
    <xf numFmtId="0" fontId="186" fillId="0" borderId="406" xfId="0" applyFont="1" applyBorder="1" applyAlignment="1">
      <alignment horizontal="center" wrapText="1"/>
    </xf>
    <xf numFmtId="43" fontId="4" fillId="18" borderId="405" xfId="0" applyNumberFormat="1" applyFont="1" applyFill="1" applyBorder="1"/>
    <xf numFmtId="43" fontId="188" fillId="105" borderId="407" xfId="0" applyNumberFormat="1" applyFont="1" applyFill="1" applyBorder="1" applyAlignment="1">
      <alignment horizontal="center" vertical="center"/>
    </xf>
    <xf numFmtId="43" fontId="128" fillId="16" borderId="515" xfId="1" applyFont="1" applyFill="1" applyBorder="1" applyAlignment="1">
      <alignment vertical="center"/>
    </xf>
    <xf numFmtId="2" fontId="184" fillId="17" borderId="495" xfId="1" applyNumberFormat="1" applyFont="1" applyFill="1" applyBorder="1" applyAlignment="1">
      <alignment horizontal="center" vertical="center"/>
    </xf>
    <xf numFmtId="43" fontId="128" fillId="16" borderId="495" xfId="1" applyFont="1" applyFill="1" applyBorder="1" applyAlignment="1">
      <alignment vertical="center"/>
    </xf>
    <xf numFmtId="43" fontId="138" fillId="0" borderId="495" xfId="1" applyFont="1" applyFill="1" applyBorder="1" applyAlignment="1">
      <alignment vertical="center"/>
    </xf>
    <xf numFmtId="43" fontId="82" fillId="0" borderId="516" xfId="1" applyFont="1" applyFill="1" applyBorder="1" applyAlignment="1">
      <alignment horizontal="left" vertical="center"/>
    </xf>
    <xf numFmtId="43" fontId="128" fillId="16" borderId="517" xfId="1" applyFont="1" applyFill="1" applyBorder="1" applyAlignment="1">
      <alignment vertical="center"/>
    </xf>
    <xf numFmtId="2" fontId="184" fillId="17" borderId="499" xfId="1" applyNumberFormat="1" applyFont="1" applyFill="1" applyBorder="1" applyAlignment="1">
      <alignment horizontal="center" vertical="center"/>
    </xf>
    <xf numFmtId="43" fontId="138" fillId="0" borderId="496" xfId="1" applyNumberFormat="1" applyFont="1" applyFill="1" applyBorder="1" applyAlignment="1">
      <alignment vertical="center"/>
    </xf>
    <xf numFmtId="43" fontId="82" fillId="0" borderId="518" xfId="1" applyNumberFormat="1" applyFont="1" applyFill="1" applyBorder="1" applyAlignment="1">
      <alignment horizontal="left" vertical="center"/>
    </xf>
    <xf numFmtId="43" fontId="128" fillId="16" borderId="519" xfId="1" applyFont="1" applyFill="1" applyBorder="1" applyAlignment="1">
      <alignment vertical="center"/>
    </xf>
    <xf numFmtId="2" fontId="184" fillId="17" borderId="347" xfId="1" applyNumberFormat="1" applyFont="1" applyFill="1" applyBorder="1" applyAlignment="1">
      <alignment horizontal="center" vertical="center"/>
    </xf>
    <xf numFmtId="43" fontId="128" fillId="16" borderId="497" xfId="1" applyFont="1" applyFill="1" applyBorder="1" applyAlignment="1">
      <alignment vertical="center"/>
    </xf>
    <xf numFmtId="43" fontId="138" fillId="0" borderId="497" xfId="1" applyNumberFormat="1" applyFont="1" applyFill="1" applyBorder="1" applyAlignment="1">
      <alignment vertical="center"/>
    </xf>
    <xf numFmtId="43" fontId="82" fillId="0" borderId="520" xfId="1" applyNumberFormat="1" applyFont="1" applyFill="1" applyBorder="1" applyAlignment="1">
      <alignment horizontal="left" vertical="center"/>
    </xf>
    <xf numFmtId="43" fontId="128" fillId="16" borderId="521" xfId="1" applyFont="1" applyFill="1" applyBorder="1" applyAlignment="1">
      <alignment vertical="center"/>
    </xf>
    <xf numFmtId="2" fontId="184" fillId="17" borderId="522" xfId="1" applyNumberFormat="1" applyFont="1" applyFill="1" applyBorder="1" applyAlignment="1">
      <alignment horizontal="center" vertical="center"/>
    </xf>
    <xf numFmtId="43" fontId="128" fillId="16" borderId="522" xfId="1" applyFont="1" applyFill="1" applyBorder="1" applyAlignment="1">
      <alignment vertical="center"/>
    </xf>
    <xf numFmtId="43" fontId="138" fillId="0" borderId="522" xfId="1" applyNumberFormat="1" applyFont="1" applyFill="1" applyBorder="1" applyAlignment="1">
      <alignment vertical="center"/>
    </xf>
    <xf numFmtId="43" fontId="82" fillId="0" borderId="523" xfId="1" applyNumberFormat="1" applyFont="1" applyFill="1" applyBorder="1" applyAlignment="1">
      <alignment horizontal="left" vertical="center"/>
    </xf>
    <xf numFmtId="43" fontId="128" fillId="16" borderId="524" xfId="1" applyFont="1" applyFill="1" applyBorder="1" applyAlignment="1">
      <alignment vertical="center"/>
    </xf>
    <xf numFmtId="2" fontId="184" fillId="17" borderId="346" xfId="1" applyNumberFormat="1" applyFont="1" applyFill="1" applyBorder="1" applyAlignment="1">
      <alignment horizontal="center" vertical="center"/>
    </xf>
    <xf numFmtId="43" fontId="128" fillId="16" borderId="525" xfId="1" applyFont="1" applyFill="1" applyBorder="1" applyAlignment="1">
      <alignment vertical="center"/>
    </xf>
    <xf numFmtId="43" fontId="138" fillId="0" borderId="525" xfId="1" applyNumberFormat="1" applyFont="1" applyFill="1" applyBorder="1" applyAlignment="1">
      <alignment vertical="center"/>
    </xf>
    <xf numFmtId="43" fontId="82" fillId="0" borderId="526" xfId="1" applyNumberFormat="1" applyFont="1" applyFill="1" applyBorder="1" applyAlignment="1">
      <alignment horizontal="left" vertical="center"/>
    </xf>
    <xf numFmtId="43" fontId="128" fillId="16" borderId="527" xfId="1" applyFont="1" applyFill="1" applyBorder="1" applyAlignment="1">
      <alignment vertical="center"/>
    </xf>
    <xf numFmtId="2" fontId="184" fillId="17" borderId="528" xfId="1" applyNumberFormat="1" applyFont="1" applyFill="1" applyBorder="1" applyAlignment="1">
      <alignment horizontal="center" vertical="center"/>
    </xf>
    <xf numFmtId="43" fontId="128" fillId="16" borderId="528" xfId="1" applyFont="1" applyFill="1" applyBorder="1" applyAlignment="1">
      <alignment vertical="center"/>
    </xf>
    <xf numFmtId="43" fontId="138" fillId="0" borderId="528" xfId="1" applyFont="1" applyFill="1" applyBorder="1" applyAlignment="1">
      <alignment vertical="center"/>
    </xf>
    <xf numFmtId="43" fontId="82" fillId="0" borderId="529" xfId="1" applyFont="1" applyFill="1" applyBorder="1" applyAlignment="1">
      <alignment horizontal="left" vertical="center"/>
    </xf>
    <xf numFmtId="0" fontId="99" fillId="30" borderId="531" xfId="0" applyFont="1" applyFill="1" applyBorder="1" applyAlignment="1">
      <alignment horizontal="center" vertical="center"/>
    </xf>
    <xf numFmtId="0" fontId="99" fillId="30" borderId="532" xfId="0" applyFont="1" applyFill="1" applyBorder="1" applyAlignment="1">
      <alignment horizontal="center" vertical="center"/>
    </xf>
    <xf numFmtId="0" fontId="6" fillId="17" borderId="546" xfId="0" applyFont="1" applyFill="1" applyBorder="1" applyAlignment="1">
      <alignment vertical="center" wrapText="1"/>
    </xf>
    <xf numFmtId="0" fontId="177" fillId="110" borderId="0" xfId="0" applyFont="1" applyFill="1" applyAlignment="1">
      <alignment vertical="center"/>
    </xf>
    <xf numFmtId="0" fontId="243" fillId="110" borderId="0" xfId="0" applyFont="1" applyFill="1" applyAlignment="1">
      <alignment vertical="center"/>
    </xf>
    <xf numFmtId="0" fontId="242" fillId="0" borderId="0" xfId="0" applyFont="1"/>
    <xf numFmtId="0" fontId="242" fillId="0" borderId="0" xfId="0" applyFont="1" applyAlignment="1">
      <alignment vertical="center" wrapText="1"/>
    </xf>
    <xf numFmtId="0" fontId="6" fillId="17" borderId="264" xfId="0" applyFont="1" applyFill="1" applyBorder="1" applyAlignment="1">
      <alignment wrapText="1"/>
    </xf>
    <xf numFmtId="166" fontId="6" fillId="17" borderId="548" xfId="0" applyNumberFormat="1" applyFont="1" applyFill="1" applyBorder="1"/>
    <xf numFmtId="164" fontId="6" fillId="17" borderId="266" xfId="0" applyNumberFormat="1" applyFont="1" applyFill="1" applyBorder="1"/>
    <xf numFmtId="164" fontId="6" fillId="17" borderId="264" xfId="0" applyNumberFormat="1" applyFont="1" applyFill="1" applyBorder="1"/>
    <xf numFmtId="164" fontId="107" fillId="17" borderId="264" xfId="4" applyNumberFormat="1" applyFont="1" applyFill="1" applyBorder="1"/>
    <xf numFmtId="43" fontId="6" fillId="17" borderId="266" xfId="0" applyNumberFormat="1" applyFont="1" applyFill="1" applyBorder="1"/>
    <xf numFmtId="43" fontId="6" fillId="17" borderId="264" xfId="0" applyNumberFormat="1" applyFont="1" applyFill="1" applyBorder="1"/>
    <xf numFmtId="43" fontId="6" fillId="17" borderId="549" xfId="1" applyNumberFormat="1" applyFont="1" applyFill="1" applyBorder="1"/>
    <xf numFmtId="0" fontId="157" fillId="17" borderId="550" xfId="0" applyFont="1" applyFill="1" applyBorder="1" applyAlignment="1">
      <alignment horizontal="center" wrapText="1"/>
    </xf>
    <xf numFmtId="177" fontId="157" fillId="17" borderId="551" xfId="1" applyNumberFormat="1" applyFont="1" applyFill="1" applyBorder="1" applyAlignment="1">
      <alignment horizontal="center" wrapText="1"/>
    </xf>
    <xf numFmtId="0" fontId="85" fillId="16" borderId="0" xfId="0" applyFont="1" applyFill="1" applyAlignment="1">
      <alignment wrapText="1"/>
    </xf>
    <xf numFmtId="10" fontId="8" fillId="17" borderId="303" xfId="2" applyNumberFormat="1" applyFont="1" applyFill="1" applyBorder="1"/>
    <xf numFmtId="0" fontId="8" fillId="17" borderId="299" xfId="0" applyFont="1" applyFill="1" applyBorder="1" applyAlignment="1"/>
    <xf numFmtId="0" fontId="6" fillId="17" borderId="553" xfId="0" applyFont="1" applyFill="1" applyBorder="1" applyAlignment="1">
      <alignment wrapText="1"/>
    </xf>
    <xf numFmtId="0" fontId="6" fillId="17" borderId="554" xfId="0" applyFont="1" applyFill="1" applyBorder="1" applyAlignment="1">
      <alignment wrapText="1"/>
    </xf>
    <xf numFmtId="166" fontId="6" fillId="17" borderId="555" xfId="0" applyNumberFormat="1" applyFont="1" applyFill="1" applyBorder="1"/>
    <xf numFmtId="164" fontId="6" fillId="17" borderId="26" xfId="0" applyNumberFormat="1" applyFont="1" applyFill="1" applyBorder="1"/>
    <xf numFmtId="164" fontId="6" fillId="17" borderId="27" xfId="0" applyNumberFormat="1" applyFont="1" applyFill="1" applyBorder="1"/>
    <xf numFmtId="164" fontId="107" fillId="17" borderId="27" xfId="4" applyNumberFormat="1" applyFont="1" applyFill="1" applyBorder="1"/>
    <xf numFmtId="10" fontId="128" fillId="17" borderId="28" xfId="0" applyNumberFormat="1" applyFont="1" applyFill="1" applyBorder="1" applyAlignment="1"/>
    <xf numFmtId="164" fontId="117" fillId="17" borderId="26" xfId="4" applyNumberFormat="1" applyFont="1" applyFill="1" applyBorder="1" applyAlignment="1">
      <alignment horizontal="right"/>
    </xf>
    <xf numFmtId="164" fontId="107" fillId="17" borderId="554" xfId="4" applyNumberFormat="1" applyFont="1" applyFill="1" applyBorder="1"/>
    <xf numFmtId="43" fontId="6" fillId="17" borderId="556" xfId="1" applyFont="1" applyFill="1" applyBorder="1"/>
    <xf numFmtId="43" fontId="6" fillId="17" borderId="554" xfId="1" applyFont="1" applyFill="1" applyBorder="1"/>
    <xf numFmtId="43" fontId="6" fillId="17" borderId="557" xfId="1" applyFont="1" applyFill="1" applyBorder="1"/>
    <xf numFmtId="0" fontId="6" fillId="17" borderId="558" xfId="0" applyFont="1" applyFill="1" applyBorder="1" applyAlignment="1">
      <alignment wrapText="1"/>
    </xf>
    <xf numFmtId="0" fontId="6" fillId="17" borderId="465" xfId="0" applyFont="1" applyFill="1" applyBorder="1" applyAlignment="1">
      <alignment wrapText="1"/>
    </xf>
    <xf numFmtId="166" fontId="6" fillId="17" borderId="466" xfId="0" applyNumberFormat="1" applyFont="1" applyFill="1" applyBorder="1"/>
    <xf numFmtId="0" fontId="6" fillId="17" borderId="559" xfId="0" applyFont="1" applyFill="1" applyBorder="1" applyAlignment="1">
      <alignment wrapText="1"/>
    </xf>
    <xf numFmtId="166" fontId="6" fillId="17" borderId="28" xfId="0" applyNumberFormat="1" applyFont="1" applyFill="1" applyBorder="1"/>
    <xf numFmtId="0" fontId="6" fillId="17" borderId="560" xfId="0" applyFont="1" applyFill="1" applyBorder="1" applyAlignment="1">
      <alignment wrapText="1"/>
    </xf>
    <xf numFmtId="0" fontId="6" fillId="17" borderId="467" xfId="0" applyFont="1" applyFill="1" applyBorder="1" applyAlignment="1">
      <alignment wrapText="1"/>
    </xf>
    <xf numFmtId="166" fontId="6" fillId="17" borderId="561" xfId="0" applyNumberFormat="1" applyFont="1" applyFill="1" applyBorder="1"/>
    <xf numFmtId="43" fontId="6" fillId="17" borderId="25" xfId="1" applyFont="1" applyFill="1" applyBorder="1" applyAlignment="1">
      <alignment horizontal="left" indent="4"/>
    </xf>
    <xf numFmtId="1" fontId="157" fillId="16" borderId="104" xfId="0" applyNumberFormat="1" applyFont="1" applyFill="1" applyBorder="1" applyAlignment="1">
      <alignment horizontal="center" vertical="center"/>
    </xf>
    <xf numFmtId="2" fontId="7" fillId="17" borderId="304" xfId="1" applyNumberFormat="1" applyFont="1" applyFill="1" applyBorder="1" applyAlignment="1">
      <alignment horizontal="center"/>
    </xf>
    <xf numFmtId="2" fontId="7" fillId="16" borderId="89" xfId="1" applyNumberFormat="1" applyFont="1" applyFill="1" applyBorder="1" applyAlignment="1">
      <alignment horizontal="center"/>
    </xf>
    <xf numFmtId="2" fontId="7" fillId="16" borderId="562" xfId="1" applyNumberFormat="1" applyFont="1" applyFill="1" applyBorder="1" applyAlignment="1">
      <alignment horizontal="center"/>
    </xf>
    <xf numFmtId="2" fontId="7" fillId="0" borderId="89" xfId="1" applyNumberFormat="1" applyFont="1" applyBorder="1" applyAlignment="1">
      <alignment horizontal="center"/>
    </xf>
    <xf numFmtId="2" fontId="7" fillId="0" borderId="562" xfId="1" applyNumberFormat="1" applyFont="1" applyBorder="1" applyAlignment="1">
      <alignment horizontal="center"/>
    </xf>
    <xf numFmtId="0" fontId="80" fillId="21" borderId="446" xfId="0" applyFont="1" applyFill="1" applyBorder="1" applyAlignment="1">
      <alignment horizontal="center" wrapText="1"/>
    </xf>
    <xf numFmtId="0" fontId="80" fillId="21" borderId="407" xfId="0" applyFont="1" applyFill="1" applyBorder="1" applyAlignment="1">
      <alignment horizontal="center" wrapText="1"/>
    </xf>
    <xf numFmtId="2" fontId="76" fillId="18" borderId="407" xfId="1" applyNumberFormat="1" applyFont="1" applyFill="1" applyBorder="1" applyAlignment="1">
      <alignment horizontal="center"/>
    </xf>
    <xf numFmtId="2" fontId="246" fillId="18" borderId="407" xfId="0" applyNumberFormat="1" applyFont="1" applyFill="1" applyBorder="1" applyAlignment="1">
      <alignment horizontal="center" vertical="center"/>
    </xf>
    <xf numFmtId="2" fontId="76" fillId="17" borderId="565" xfId="1" applyNumberFormat="1" applyFont="1" applyFill="1" applyBorder="1" applyAlignment="1">
      <alignment horizontal="center"/>
    </xf>
    <xf numFmtId="2" fontId="76" fillId="0" borderId="566" xfId="1" applyNumberFormat="1" applyFont="1" applyBorder="1" applyAlignment="1">
      <alignment horizontal="center"/>
    </xf>
    <xf numFmtId="2" fontId="76" fillId="0" borderId="567" xfId="1" applyNumberFormat="1" applyFont="1" applyBorder="1" applyAlignment="1">
      <alignment horizontal="center"/>
    </xf>
    <xf numFmtId="2" fontId="76" fillId="17" borderId="487" xfId="1" applyNumberFormat="1" applyFont="1" applyFill="1" applyBorder="1" applyAlignment="1">
      <alignment horizontal="center"/>
    </xf>
    <xf numFmtId="2" fontId="76" fillId="16" borderId="563" xfId="1" applyNumberFormat="1" applyFont="1" applyFill="1" applyBorder="1" applyAlignment="1">
      <alignment horizontal="center"/>
    </xf>
    <xf numFmtId="2" fontId="76" fillId="16" borderId="564" xfId="1" applyNumberFormat="1" applyFont="1" applyFill="1" applyBorder="1" applyAlignment="1">
      <alignment horizontal="center"/>
    </xf>
    <xf numFmtId="2" fontId="76" fillId="0" borderId="564" xfId="1" applyNumberFormat="1" applyFont="1" applyBorder="1" applyAlignment="1">
      <alignment horizontal="center"/>
    </xf>
    <xf numFmtId="10" fontId="128" fillId="17" borderId="25" xfId="0" applyNumberFormat="1" applyFont="1" applyFill="1" applyBorder="1" applyAlignment="1">
      <alignment horizontal="center" vertical="center"/>
    </xf>
    <xf numFmtId="0" fontId="6" fillId="17" borderId="119" xfId="0" applyFont="1" applyFill="1" applyBorder="1" applyAlignment="1">
      <alignment horizontal="left" vertical="center"/>
    </xf>
    <xf numFmtId="0" fontId="6" fillId="17" borderId="120" xfId="0" applyFont="1" applyFill="1" applyBorder="1" applyAlignment="1">
      <alignment horizontal="left" vertical="center"/>
    </xf>
    <xf numFmtId="166" fontId="6" fillId="17" borderId="125" xfId="0" applyNumberFormat="1" applyFont="1" applyFill="1" applyBorder="1" applyAlignment="1">
      <alignment horizontal="left" vertical="center"/>
    </xf>
    <xf numFmtId="43" fontId="6" fillId="17" borderId="24" xfId="0" applyNumberFormat="1" applyFont="1" applyFill="1" applyBorder="1" applyAlignment="1">
      <alignment horizontal="left" vertical="center"/>
    </xf>
    <xf numFmtId="43" fontId="6" fillId="17" borderId="9" xfId="0" applyNumberFormat="1" applyFont="1" applyFill="1" applyBorder="1" applyAlignment="1">
      <alignment horizontal="left" vertical="center"/>
    </xf>
    <xf numFmtId="164" fontId="107" fillId="17" borderId="123" xfId="4" applyNumberFormat="1" applyFont="1" applyFill="1" applyBorder="1" applyAlignment="1">
      <alignment horizontal="left" vertical="center"/>
    </xf>
    <xf numFmtId="164" fontId="117" fillId="17" borderId="10" xfId="1" applyNumberFormat="1" applyFont="1" applyFill="1" applyBorder="1" applyAlignment="1">
      <alignment horizontal="left" vertical="center"/>
    </xf>
    <xf numFmtId="0" fontId="8" fillId="17" borderId="174" xfId="0" applyFont="1" applyFill="1" applyBorder="1" applyAlignment="1">
      <alignment horizontal="left" vertical="center"/>
    </xf>
    <xf numFmtId="43" fontId="6" fillId="17" borderId="119" xfId="1" applyNumberFormat="1" applyFont="1" applyFill="1" applyBorder="1" applyAlignment="1">
      <alignment horizontal="left" vertical="center"/>
    </xf>
    <xf numFmtId="43" fontId="6" fillId="17" borderId="120" xfId="1" applyNumberFormat="1" applyFont="1" applyFill="1" applyBorder="1" applyAlignment="1">
      <alignment horizontal="left" vertical="center"/>
    </xf>
    <xf numFmtId="43" fontId="6" fillId="17" borderId="121" xfId="1" applyNumberFormat="1" applyFont="1" applyFill="1" applyBorder="1" applyAlignment="1">
      <alignment horizontal="left" vertical="center"/>
    </xf>
    <xf numFmtId="0" fontId="6" fillId="16" borderId="0" xfId="0" applyFont="1" applyFill="1" applyAlignment="1">
      <alignment horizontal="left" vertical="center"/>
    </xf>
    <xf numFmtId="0" fontId="6" fillId="17" borderId="122" xfId="0" applyFont="1" applyFill="1" applyBorder="1" applyAlignment="1">
      <alignment horizontal="left" vertical="center" wrapText="1"/>
    </xf>
    <xf numFmtId="0" fontId="6" fillId="17" borderId="123" xfId="0" applyFont="1" applyFill="1" applyBorder="1" applyAlignment="1">
      <alignment horizontal="left" vertical="center" wrapText="1"/>
    </xf>
    <xf numFmtId="166" fontId="6" fillId="17" borderId="126" xfId="0" applyNumberFormat="1" applyFont="1" applyFill="1" applyBorder="1" applyAlignment="1">
      <alignment horizontal="left" vertical="center"/>
    </xf>
    <xf numFmtId="164" fontId="6" fillId="17" borderId="24" xfId="0" applyNumberFormat="1" applyFont="1" applyFill="1" applyBorder="1" applyAlignment="1">
      <alignment horizontal="left" vertical="center"/>
    </xf>
    <xf numFmtId="164" fontId="6" fillId="17" borderId="9" xfId="0" applyNumberFormat="1" applyFont="1" applyFill="1" applyBorder="1" applyAlignment="1">
      <alignment horizontal="left" vertical="center"/>
    </xf>
    <xf numFmtId="168" fontId="117" fillId="17" borderId="24" xfId="1" applyNumberFormat="1" applyFont="1" applyFill="1" applyBorder="1" applyAlignment="1">
      <alignment horizontal="left" vertical="center"/>
    </xf>
    <xf numFmtId="0" fontId="8" fillId="17" borderId="124" xfId="0" applyFont="1" applyFill="1" applyBorder="1" applyAlignment="1">
      <alignment horizontal="left" vertical="center" wrapText="1"/>
    </xf>
    <xf numFmtId="43" fontId="6" fillId="17" borderId="122" xfId="1" applyNumberFormat="1" applyFont="1" applyFill="1" applyBorder="1" applyAlignment="1">
      <alignment horizontal="left" vertical="center"/>
    </xf>
    <xf numFmtId="43" fontId="6" fillId="17" borderId="123" xfId="1" applyNumberFormat="1" applyFont="1" applyFill="1" applyBorder="1" applyAlignment="1">
      <alignment horizontal="left" vertical="center"/>
    </xf>
    <xf numFmtId="43" fontId="6" fillId="17" borderId="124" xfId="1" applyNumberFormat="1" applyFont="1" applyFill="1" applyBorder="1" applyAlignment="1">
      <alignment horizontal="left" vertical="center"/>
    </xf>
    <xf numFmtId="0" fontId="6" fillId="17" borderId="122" xfId="0" applyFont="1" applyFill="1" applyBorder="1" applyAlignment="1">
      <alignment horizontal="left" vertical="center"/>
    </xf>
    <xf numFmtId="0" fontId="6" fillId="17" borderId="123" xfId="0" applyFont="1" applyFill="1" applyBorder="1" applyAlignment="1">
      <alignment horizontal="left" vertical="center"/>
    </xf>
    <xf numFmtId="164" fontId="117" fillId="17" borderId="24" xfId="1" applyNumberFormat="1" applyFont="1" applyFill="1" applyBorder="1" applyAlignment="1">
      <alignment horizontal="left" vertical="center"/>
    </xf>
    <xf numFmtId="0" fontId="8" fillId="17" borderId="175" xfId="0" applyFont="1" applyFill="1" applyBorder="1" applyAlignment="1">
      <alignment horizontal="left" vertical="center"/>
    </xf>
    <xf numFmtId="0" fontId="0" fillId="0" borderId="0" xfId="0" applyAlignment="1">
      <alignment horizontal="left" vertical="center"/>
    </xf>
    <xf numFmtId="49" fontId="212" fillId="17" borderId="300" xfId="1" applyNumberFormat="1" applyFont="1" applyFill="1" applyBorder="1" applyAlignment="1">
      <alignment horizontal="left" vertical="center" wrapText="1" indent="1"/>
    </xf>
    <xf numFmtId="49" fontId="212" fillId="17" borderId="301" xfId="1" applyNumberFormat="1" applyFont="1" applyFill="1" applyBorder="1" applyAlignment="1">
      <alignment horizontal="left" vertical="center" wrapText="1" indent="1"/>
    </xf>
    <xf numFmtId="49" fontId="212" fillId="17" borderId="302" xfId="1" applyNumberFormat="1" applyFont="1" applyFill="1" applyBorder="1" applyAlignment="1">
      <alignment horizontal="left" vertical="center" wrapText="1" indent="1"/>
    </xf>
    <xf numFmtId="49" fontId="128" fillId="17" borderId="34" xfId="1" applyNumberFormat="1" applyFont="1" applyFill="1" applyBorder="1" applyAlignment="1">
      <alignment wrapText="1"/>
    </xf>
    <xf numFmtId="49" fontId="158" fillId="79" borderId="21" xfId="1" applyNumberFormat="1" applyFont="1" applyFill="1" applyBorder="1" applyAlignment="1">
      <alignment horizontal="left" wrapText="1"/>
    </xf>
    <xf numFmtId="49" fontId="157" fillId="17" borderId="21" xfId="1" applyNumberFormat="1" applyFont="1" applyFill="1" applyBorder="1" applyAlignment="1">
      <alignment wrapText="1"/>
    </xf>
    <xf numFmtId="43" fontId="117" fillId="17" borderId="10" xfId="0" applyNumberFormat="1" applyFont="1" applyFill="1" applyBorder="1" applyAlignment="1">
      <alignment horizontal="right"/>
    </xf>
    <xf numFmtId="43" fontId="117" fillId="17" borderId="24" xfId="4" applyNumberFormat="1" applyFont="1" applyFill="1" applyBorder="1" applyAlignment="1">
      <alignment horizontal="right"/>
    </xf>
    <xf numFmtId="43" fontId="117" fillId="17" borderId="266" xfId="4" applyNumberFormat="1" applyFont="1" applyFill="1" applyBorder="1" applyAlignment="1">
      <alignment horizontal="right"/>
    </xf>
    <xf numFmtId="49" fontId="6" fillId="17" borderId="262" xfId="0" applyNumberFormat="1" applyFont="1" applyFill="1" applyBorder="1" applyAlignment="1">
      <alignment horizontal="left" wrapText="1"/>
    </xf>
    <xf numFmtId="49" fontId="6" fillId="17" borderId="11" xfId="0" applyNumberFormat="1" applyFont="1" applyFill="1" applyBorder="1" applyAlignment="1">
      <alignment horizontal="left" wrapText="1"/>
    </xf>
    <xf numFmtId="49" fontId="6" fillId="17" borderId="9" xfId="0" applyNumberFormat="1" applyFont="1" applyFill="1" applyBorder="1" applyAlignment="1">
      <alignment horizontal="left" wrapText="1"/>
    </xf>
    <xf numFmtId="49" fontId="6" fillId="17" borderId="552" xfId="0" applyNumberFormat="1" applyFont="1" applyFill="1" applyBorder="1" applyAlignment="1">
      <alignment horizontal="left" wrapText="1"/>
    </xf>
    <xf numFmtId="49" fontId="6" fillId="17" borderId="547" xfId="0" applyNumberFormat="1" applyFont="1" applyFill="1" applyBorder="1" applyAlignment="1">
      <alignment horizontal="left" wrapText="1"/>
    </xf>
    <xf numFmtId="49" fontId="6" fillId="17" borderId="264" xfId="0" applyNumberFormat="1" applyFont="1" applyFill="1" applyBorder="1" applyAlignment="1">
      <alignment horizontal="left" wrapText="1"/>
    </xf>
    <xf numFmtId="0" fontId="6" fillId="16" borderId="0" xfId="0" applyFont="1" applyFill="1" applyAlignment="1">
      <alignment horizontal="center"/>
    </xf>
    <xf numFmtId="0" fontId="6" fillId="0" borderId="446" xfId="0" applyFont="1" applyBorder="1" applyAlignment="1">
      <alignment wrapText="1"/>
    </xf>
    <xf numFmtId="0" fontId="6" fillId="0" borderId="446" xfId="0" applyFont="1" applyBorder="1"/>
    <xf numFmtId="0" fontId="6" fillId="0" borderId="450" xfId="0" applyFont="1" applyBorder="1"/>
    <xf numFmtId="164" fontId="117" fillId="17" borderId="24" xfId="0" applyNumberFormat="1" applyFont="1" applyFill="1" applyBorder="1"/>
    <xf numFmtId="9" fontId="75" fillId="17" borderId="444" xfId="2" applyFont="1" applyFill="1" applyBorder="1"/>
    <xf numFmtId="9" fontId="6" fillId="17" borderId="444" xfId="2" applyFont="1" applyFill="1" applyBorder="1"/>
    <xf numFmtId="0" fontId="6" fillId="79" borderId="446" xfId="0" applyFont="1" applyFill="1" applyBorder="1"/>
    <xf numFmtId="0" fontId="6" fillId="79" borderId="256" xfId="0" applyFont="1" applyFill="1" applyBorder="1"/>
    <xf numFmtId="0" fontId="6" fillId="79" borderId="256" xfId="0" applyFont="1" applyFill="1" applyBorder="1" applyAlignment="1">
      <alignment horizontal="right"/>
    </xf>
    <xf numFmtId="0" fontId="6" fillId="79" borderId="450" xfId="0" applyFont="1" applyFill="1" applyBorder="1"/>
    <xf numFmtId="0" fontId="6" fillId="79" borderId="444" xfId="0" applyFont="1" applyFill="1" applyBorder="1"/>
    <xf numFmtId="0" fontId="6" fillId="79" borderId="444" xfId="0" applyFont="1" applyFill="1" applyBorder="1" applyAlignment="1">
      <alignment horizontal="center" wrapText="1"/>
    </xf>
    <xf numFmtId="0" fontId="6" fillId="79" borderId="446" xfId="0" applyFont="1" applyFill="1" applyBorder="1" applyAlignment="1">
      <alignment horizontal="center" wrapText="1"/>
    </xf>
    <xf numFmtId="0" fontId="6" fillId="79" borderId="450" xfId="0" applyFont="1" applyFill="1" applyBorder="1" applyAlignment="1">
      <alignment horizontal="center" wrapText="1"/>
    </xf>
    <xf numFmtId="43" fontId="6" fillId="16" borderId="444" xfId="0" applyNumberFormat="1" applyFont="1" applyFill="1" applyBorder="1"/>
    <xf numFmtId="164" fontId="6" fillId="23" borderId="444" xfId="0" applyNumberFormat="1" applyFont="1" applyFill="1" applyBorder="1" applyAlignment="1">
      <alignment horizontal="center"/>
    </xf>
    <xf numFmtId="0" fontId="6" fillId="16" borderId="0" xfId="0" applyNumberFormat="1" applyFont="1" applyFill="1" applyAlignment="1"/>
    <xf numFmtId="0" fontId="6" fillId="23" borderId="444" xfId="0" applyFont="1" applyFill="1" applyBorder="1" applyAlignment="1">
      <alignment horizontal="right"/>
    </xf>
    <xf numFmtId="164" fontId="6" fillId="23" borderId="446" xfId="0" applyNumberFormat="1" applyFont="1" applyFill="1" applyBorder="1"/>
    <xf numFmtId="164" fontId="6" fillId="23" borderId="256" xfId="0" applyNumberFormat="1" applyFont="1" applyFill="1" applyBorder="1"/>
    <xf numFmtId="9" fontId="6" fillId="19" borderId="444" xfId="2" applyFont="1" applyFill="1" applyBorder="1"/>
    <xf numFmtId="9" fontId="6" fillId="19" borderId="444" xfId="0" applyNumberFormat="1" applyFont="1" applyFill="1" applyBorder="1" applyAlignment="1"/>
    <xf numFmtId="9" fontId="75" fillId="19" borderId="444" xfId="2" applyFont="1" applyFill="1" applyBorder="1" applyAlignment="1">
      <alignment horizontal="center"/>
    </xf>
    <xf numFmtId="0" fontId="131" fillId="16" borderId="0" xfId="0" applyFont="1" applyFill="1" applyAlignment="1">
      <alignment wrapText="1"/>
    </xf>
    <xf numFmtId="9" fontId="131" fillId="16" borderId="0" xfId="0" applyNumberFormat="1" applyFont="1" applyFill="1" applyAlignment="1"/>
    <xf numFmtId="43" fontId="75" fillId="16" borderId="444" xfId="0" applyNumberFormat="1" applyFont="1" applyFill="1" applyBorder="1"/>
    <xf numFmtId="0" fontId="128" fillId="0" borderId="55" xfId="0" applyFont="1" applyBorder="1" applyAlignment="1">
      <alignment horizontal="center" vertical="center" textRotation="90"/>
    </xf>
    <xf numFmtId="0" fontId="8" fillId="17" borderId="192" xfId="0" applyFont="1" applyFill="1" applyBorder="1" applyAlignment="1"/>
    <xf numFmtId="43" fontId="128" fillId="16" borderId="403" xfId="1" applyFont="1" applyFill="1" applyBorder="1" applyAlignment="1">
      <alignment horizontal="right" vertical="center"/>
    </xf>
    <xf numFmtId="43" fontId="161" fillId="17" borderId="489" xfId="1" applyFont="1" applyFill="1" applyBorder="1" applyAlignment="1">
      <alignment horizontal="right" vertical="center"/>
    </xf>
    <xf numFmtId="43" fontId="161" fillId="17" borderId="495" xfId="1" applyFont="1" applyFill="1" applyBorder="1" applyAlignment="1">
      <alignment vertical="center"/>
    </xf>
    <xf numFmtId="43" fontId="128" fillId="16" borderId="322" xfId="1" applyFont="1" applyFill="1" applyBorder="1" applyAlignment="1">
      <alignment horizontal="right" vertical="center" indent="2"/>
    </xf>
    <xf numFmtId="43" fontId="161" fillId="17" borderId="230" xfId="1" applyFont="1" applyFill="1" applyBorder="1" applyAlignment="1">
      <alignment horizontal="right" vertical="center"/>
    </xf>
    <xf numFmtId="43" fontId="161" fillId="17" borderId="496" xfId="1" applyFont="1" applyFill="1" applyBorder="1" applyAlignment="1">
      <alignment vertical="center"/>
    </xf>
    <xf numFmtId="43" fontId="128" fillId="16" borderId="322" xfId="1" applyFont="1" applyFill="1" applyBorder="1" applyAlignment="1">
      <alignment horizontal="right" vertical="center"/>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28" fillId="16" borderId="404" xfId="1" applyFont="1" applyFill="1" applyBorder="1" applyAlignment="1">
      <alignment horizontal="right" vertical="center"/>
    </xf>
    <xf numFmtId="43" fontId="128" fillId="16" borderId="498" xfId="1" applyFont="1" applyFill="1" applyBorder="1" applyAlignment="1">
      <alignment horizontal="right" vertical="center"/>
    </xf>
    <xf numFmtId="43" fontId="161" fillId="17" borderId="494" xfId="1" applyFont="1" applyFill="1" applyBorder="1" applyAlignment="1">
      <alignment vertical="center"/>
    </xf>
    <xf numFmtId="43" fontId="128" fillId="16" borderId="496" xfId="1" applyFont="1" applyFill="1" applyBorder="1" applyAlignment="1">
      <alignment horizontal="right" vertical="center" indent="2"/>
    </xf>
    <xf numFmtId="43" fontId="161" fillId="17" borderId="493" xfId="1" applyFont="1" applyFill="1" applyBorder="1" applyAlignment="1">
      <alignment horizontal="right" vertical="center"/>
    </xf>
    <xf numFmtId="43" fontId="161" fillId="17" borderId="498" xfId="1" applyFont="1" applyFill="1" applyBorder="1" applyAlignment="1">
      <alignment vertical="center"/>
    </xf>
    <xf numFmtId="43" fontId="128" fillId="0" borderId="399" xfId="1" applyFont="1" applyFill="1" applyBorder="1" applyAlignment="1">
      <alignment vertical="center"/>
    </xf>
    <xf numFmtId="0" fontId="15" fillId="93" borderId="236" xfId="9180" applyFont="1" applyFill="1" applyBorder="1" applyAlignment="1">
      <alignment horizontal="center" vertical="center" wrapText="1"/>
    </xf>
    <xf numFmtId="0" fontId="15" fillId="93" borderId="426" xfId="9180" applyFont="1" applyFill="1" applyBorder="1" applyAlignment="1">
      <alignment horizontal="center" vertical="center" wrapText="1"/>
    </xf>
    <xf numFmtId="0" fontId="146" fillId="0" borderId="395" xfId="9108" applyFont="1" applyFill="1" applyBorder="1" applyAlignment="1">
      <alignment vertical="center" wrapText="1"/>
    </xf>
    <xf numFmtId="43" fontId="152" fillId="0" borderId="397" xfId="1" applyFont="1" applyFill="1" applyBorder="1" applyAlignment="1">
      <alignment horizontal="left" vertical="center"/>
    </xf>
    <xf numFmtId="2" fontId="184" fillId="17" borderId="396" xfId="1" applyNumberFormat="1" applyFont="1" applyFill="1" applyBorder="1" applyAlignment="1">
      <alignment vertical="center"/>
    </xf>
    <xf numFmtId="0" fontId="146" fillId="0" borderId="105" xfId="9108" applyFont="1" applyFill="1" applyBorder="1" applyAlignment="1">
      <alignment vertical="center" wrapText="1"/>
    </xf>
    <xf numFmtId="43" fontId="152" fillId="0" borderId="106" xfId="1" applyFont="1" applyFill="1" applyBorder="1" applyAlignment="1">
      <alignment horizontal="left" vertical="center"/>
    </xf>
    <xf numFmtId="2" fontId="184" fillId="17" borderId="85" xfId="1" applyNumberFormat="1" applyFont="1" applyFill="1" applyBorder="1" applyAlignment="1">
      <alignment vertical="center"/>
    </xf>
    <xf numFmtId="43" fontId="152" fillId="0" borderId="106" xfId="1" applyFont="1" applyFill="1" applyBorder="1" applyAlignment="1">
      <alignment vertical="center"/>
    </xf>
    <xf numFmtId="0" fontId="146" fillId="0" borderId="398" xfId="9108" applyFont="1" applyFill="1" applyBorder="1" applyAlignment="1">
      <alignment vertical="center" wrapText="1"/>
    </xf>
    <xf numFmtId="43" fontId="152" fillId="0" borderId="400" xfId="1" applyFont="1" applyFill="1" applyBorder="1" applyAlignment="1">
      <alignment vertical="center"/>
    </xf>
    <xf numFmtId="43" fontId="152" fillId="0" borderId="108" xfId="1" applyFont="1" applyFill="1" applyBorder="1" applyAlignment="1">
      <alignment horizontal="left" vertical="center"/>
    </xf>
    <xf numFmtId="2" fontId="184" fillId="17" borderId="96" xfId="1" applyNumberFormat="1" applyFont="1" applyFill="1" applyBorder="1" applyAlignment="1">
      <alignment vertical="center"/>
    </xf>
    <xf numFmtId="43" fontId="152" fillId="0" borderId="400" xfId="1" applyFont="1" applyFill="1" applyBorder="1" applyAlignment="1">
      <alignment horizontal="left" vertical="center"/>
    </xf>
    <xf numFmtId="2" fontId="184" fillId="17" borderId="399" xfId="1" applyNumberFormat="1" applyFont="1" applyFill="1" applyBorder="1" applyAlignment="1">
      <alignment vertical="center"/>
    </xf>
    <xf numFmtId="0" fontId="146" fillId="0" borderId="129" xfId="9108" applyFont="1" applyFill="1" applyBorder="1" applyAlignment="1">
      <alignment vertical="center" wrapText="1"/>
    </xf>
    <xf numFmtId="43" fontId="152" fillId="0" borderId="34" xfId="1" applyFont="1" applyFill="1" applyBorder="1" applyAlignment="1">
      <alignment horizontal="left" vertical="center"/>
    </xf>
    <xf numFmtId="0" fontId="164" fillId="22" borderId="107" xfId="0" applyFont="1" applyFill="1" applyBorder="1" applyAlignment="1">
      <alignment vertical="center" wrapText="1"/>
    </xf>
    <xf numFmtId="0" fontId="146" fillId="22" borderId="107" xfId="9108" applyFont="1" applyFill="1" applyBorder="1" applyAlignment="1">
      <alignment vertical="center" wrapText="1"/>
    </xf>
    <xf numFmtId="0" fontId="157" fillId="22" borderId="108" xfId="0" applyFont="1" applyFill="1" applyBorder="1" applyAlignment="1">
      <alignment horizontal="center" vertical="center"/>
    </xf>
    <xf numFmtId="43" fontId="128" fillId="22" borderId="326" xfId="1" applyFont="1" applyFill="1" applyBorder="1" applyAlignment="1">
      <alignment horizontal="right" vertical="center"/>
    </xf>
    <xf numFmtId="43" fontId="161" fillId="22" borderId="231" xfId="1" applyFont="1" applyFill="1" applyBorder="1" applyAlignment="1">
      <alignment horizontal="right" vertical="center"/>
    </xf>
    <xf numFmtId="43" fontId="128" fillId="22" borderId="497" xfId="1" applyFont="1" applyFill="1" applyBorder="1" applyAlignment="1">
      <alignment horizontal="right" vertical="center"/>
    </xf>
    <xf numFmtId="43" fontId="161" fillId="22" borderId="497" xfId="1" applyFont="1" applyFill="1" applyBorder="1" applyAlignment="1">
      <alignment vertical="center"/>
    </xf>
    <xf numFmtId="43" fontId="128" fillId="22" borderId="496" xfId="1" applyFont="1" applyFill="1" applyBorder="1" applyAlignment="1">
      <alignment horizontal="right" vertical="center"/>
    </xf>
    <xf numFmtId="2" fontId="76" fillId="16" borderId="256" xfId="1" applyNumberFormat="1" applyFont="1" applyFill="1" applyBorder="1" applyAlignment="1">
      <alignment horizontal="center"/>
    </xf>
    <xf numFmtId="2" fontId="76" fillId="16" borderId="450" xfId="1" applyNumberFormat="1" applyFont="1" applyFill="1" applyBorder="1" applyAlignment="1">
      <alignment horizontal="center"/>
    </xf>
    <xf numFmtId="2" fontId="248" fillId="18" borderId="407" xfId="0" applyNumberFormat="1" applyFont="1" applyFill="1" applyBorder="1" applyAlignment="1">
      <alignment horizontal="center" vertical="center"/>
    </xf>
    <xf numFmtId="2" fontId="173" fillId="105" borderId="446" xfId="1" applyNumberFormat="1" applyFont="1" applyFill="1" applyBorder="1" applyAlignment="1">
      <alignment horizontal="center"/>
    </xf>
    <xf numFmtId="2" fontId="173" fillId="105" borderId="256" xfId="1" applyNumberFormat="1" applyFont="1" applyFill="1" applyBorder="1" applyAlignment="1">
      <alignment horizontal="center"/>
    </xf>
    <xf numFmtId="2" fontId="173" fillId="105" borderId="450" xfId="1" applyNumberFormat="1" applyFont="1" applyFill="1" applyBorder="1" applyAlignment="1">
      <alignment horizontal="center"/>
    </xf>
    <xf numFmtId="0" fontId="128" fillId="17" borderId="305" xfId="0" applyFont="1" applyFill="1" applyBorder="1"/>
    <xf numFmtId="2" fontId="128" fillId="17" borderId="477" xfId="1" applyNumberFormat="1" applyFont="1" applyFill="1" applyBorder="1" applyAlignment="1">
      <alignment horizontal="center"/>
    </xf>
    <xf numFmtId="2" fontId="128" fillId="17" borderId="424" xfId="1" applyNumberFormat="1" applyFont="1" applyFill="1" applyBorder="1" applyAlignment="1">
      <alignment horizontal="center"/>
    </xf>
    <xf numFmtId="2" fontId="138" fillId="17" borderId="487" xfId="1" applyNumberFormat="1" applyFont="1" applyFill="1" applyBorder="1" applyAlignment="1">
      <alignment horizontal="center"/>
    </xf>
    <xf numFmtId="0" fontId="128" fillId="16" borderId="306" xfId="0" applyFont="1" applyFill="1" applyBorder="1" applyAlignment="1">
      <alignment horizontal="left" indent="1"/>
    </xf>
    <xf numFmtId="2" fontId="128" fillId="16" borderId="478" xfId="1" applyNumberFormat="1" applyFont="1" applyFill="1" applyBorder="1" applyAlignment="1">
      <alignment horizontal="center"/>
    </xf>
    <xf numFmtId="2" fontId="128" fillId="16" borderId="281" xfId="1" applyNumberFormat="1" applyFont="1" applyFill="1" applyBorder="1" applyAlignment="1">
      <alignment horizontal="center"/>
    </xf>
    <xf numFmtId="2" fontId="138" fillId="16" borderId="563" xfId="1" applyNumberFormat="1" applyFont="1" applyFill="1" applyBorder="1" applyAlignment="1">
      <alignment horizontal="center"/>
    </xf>
    <xf numFmtId="2" fontId="128" fillId="16" borderId="479" xfId="1" applyNumberFormat="1" applyFont="1" applyFill="1" applyBorder="1" applyAlignment="1">
      <alignment horizontal="center"/>
    </xf>
    <xf numFmtId="2" fontId="128" fillId="16" borderId="480" xfId="1" applyNumberFormat="1" applyFont="1" applyFill="1" applyBorder="1" applyAlignment="1">
      <alignment horizontal="center"/>
    </xf>
    <xf numFmtId="2" fontId="138" fillId="16" borderId="564" xfId="1" applyNumberFormat="1" applyFont="1" applyFill="1" applyBorder="1" applyAlignment="1">
      <alignment horizontal="center"/>
    </xf>
    <xf numFmtId="0" fontId="128" fillId="0" borderId="129" xfId="0" applyFont="1" applyBorder="1" applyAlignment="1">
      <alignment horizontal="left" indent="1"/>
    </xf>
    <xf numFmtId="2" fontId="128" fillId="0" borderId="479" xfId="1" applyNumberFormat="1" applyFont="1" applyBorder="1" applyAlignment="1">
      <alignment horizontal="center"/>
    </xf>
    <xf numFmtId="2" fontId="128" fillId="0" borderId="480" xfId="1" applyNumberFormat="1" applyFont="1" applyBorder="1" applyAlignment="1">
      <alignment horizontal="center"/>
    </xf>
    <xf numFmtId="2" fontId="138" fillId="0" borderId="564" xfId="1" applyNumberFormat="1" applyFont="1" applyBorder="1" applyAlignment="1">
      <alignment horizontal="center"/>
    </xf>
    <xf numFmtId="2" fontId="128" fillId="17" borderId="568" xfId="1" applyNumberFormat="1" applyFont="1" applyFill="1" applyBorder="1" applyAlignment="1">
      <alignment horizontal="center"/>
    </xf>
    <xf numFmtId="2" fontId="128" fillId="17" borderId="569" xfId="1" applyNumberFormat="1" applyFont="1" applyFill="1" applyBorder="1" applyAlignment="1">
      <alignment horizontal="center"/>
    </xf>
    <xf numFmtId="2" fontId="138" fillId="17" borderId="565" xfId="1" applyNumberFormat="1" applyFont="1" applyFill="1" applyBorder="1" applyAlignment="1">
      <alignment horizontal="center"/>
    </xf>
    <xf numFmtId="0" fontId="128" fillId="0" borderId="306" xfId="0" applyFont="1" applyBorder="1" applyAlignment="1">
      <alignment horizontal="left" indent="1"/>
    </xf>
    <xf numFmtId="2" fontId="128" fillId="0" borderId="570" xfId="1" applyNumberFormat="1" applyFont="1" applyBorder="1" applyAlignment="1">
      <alignment horizontal="center"/>
    </xf>
    <xf numFmtId="2" fontId="128" fillId="0" borderId="571" xfId="1" applyNumberFormat="1" applyFont="1" applyBorder="1" applyAlignment="1">
      <alignment horizontal="center"/>
    </xf>
    <xf numFmtId="2" fontId="138" fillId="0" borderId="566" xfId="1" applyNumberFormat="1" applyFont="1" applyBorder="1" applyAlignment="1">
      <alignment horizontal="center"/>
    </xf>
    <xf numFmtId="2" fontId="128" fillId="0" borderId="572" xfId="1" applyNumberFormat="1" applyFont="1" applyBorder="1" applyAlignment="1">
      <alignment horizontal="center"/>
    </xf>
    <xf numFmtId="2" fontId="128" fillId="0" borderId="573" xfId="1" applyNumberFormat="1" applyFont="1" applyBorder="1" applyAlignment="1">
      <alignment horizontal="center"/>
    </xf>
    <xf numFmtId="2" fontId="138" fillId="0" borderId="567" xfId="1" applyNumberFormat="1" applyFont="1" applyBorder="1" applyAlignment="1">
      <alignment horizontal="center"/>
    </xf>
    <xf numFmtId="0" fontId="249" fillId="16" borderId="405" xfId="0" applyFont="1" applyFill="1" applyBorder="1" applyAlignment="1">
      <alignment horizontal="center" wrapText="1"/>
    </xf>
    <xf numFmtId="0" fontId="249" fillId="16" borderId="406" xfId="0" applyFont="1" applyFill="1" applyBorder="1" applyAlignment="1">
      <alignment horizontal="center" wrapText="1"/>
    </xf>
    <xf numFmtId="0" fontId="249" fillId="16" borderId="407" xfId="0" applyFont="1" applyFill="1" applyBorder="1" applyAlignment="1">
      <alignment horizontal="center" wrapText="1"/>
    </xf>
    <xf numFmtId="0" fontId="22" fillId="106" borderId="173" xfId="9108" applyFill="1" applyBorder="1" applyAlignment="1">
      <alignment vertical="center"/>
    </xf>
    <xf numFmtId="2" fontId="248" fillId="18" borderId="405" xfId="0" applyNumberFormat="1" applyFont="1" applyFill="1" applyBorder="1" applyAlignment="1">
      <alignment horizontal="center" vertical="center"/>
    </xf>
    <xf numFmtId="2" fontId="248" fillId="18" borderId="406" xfId="0" applyNumberFormat="1" applyFont="1" applyFill="1" applyBorder="1" applyAlignment="1">
      <alignment horizontal="center" vertical="center"/>
    </xf>
    <xf numFmtId="0" fontId="8" fillId="16" borderId="0" xfId="0" applyFont="1" applyFill="1" applyAlignment="1">
      <alignment vertical="center"/>
    </xf>
    <xf numFmtId="0" fontId="5" fillId="96" borderId="205" xfId="0" applyFont="1" applyFill="1" applyBorder="1" applyAlignment="1">
      <alignment horizontal="left" vertical="center"/>
    </xf>
    <xf numFmtId="0" fontId="5" fillId="96" borderId="206" xfId="0" applyFont="1" applyFill="1" applyBorder="1" applyAlignment="1">
      <alignment horizontal="left" vertical="center"/>
    </xf>
    <xf numFmtId="0" fontId="5" fillId="96" borderId="207" xfId="0" applyFont="1" applyFill="1" applyBorder="1" applyAlignment="1">
      <alignment horizontal="left" vertical="center"/>
    </xf>
    <xf numFmtId="0" fontId="99" fillId="93" borderId="342" xfId="0" applyFont="1" applyFill="1" applyBorder="1" applyAlignment="1">
      <alignment horizontal="center"/>
    </xf>
    <xf numFmtId="0" fontId="6" fillId="18" borderId="343" xfId="0" applyFont="1" applyFill="1" applyBorder="1" applyAlignment="1">
      <alignment horizontal="center"/>
    </xf>
    <xf numFmtId="0" fontId="6" fillId="32" borderId="343" xfId="0" applyFont="1" applyFill="1" applyBorder="1" applyAlignment="1">
      <alignment horizontal="center"/>
    </xf>
    <xf numFmtId="0" fontId="99" fillId="102" borderId="343" xfId="0" applyFont="1" applyFill="1" applyBorder="1" applyAlignment="1">
      <alignment horizontal="center"/>
    </xf>
    <xf numFmtId="0" fontId="8" fillId="17" borderId="0" xfId="0" quotePrefix="1" applyFont="1" applyFill="1" applyAlignment="1">
      <alignment horizontal="left" vertical="center" wrapText="1"/>
    </xf>
    <xf numFmtId="0" fontId="8" fillId="17" borderId="0" xfId="0" applyFont="1" applyFill="1" applyAlignment="1">
      <alignment horizontal="left" vertical="center" wrapText="1"/>
    </xf>
    <xf numFmtId="0" fontId="99" fillId="96" borderId="283" xfId="0" applyFont="1" applyFill="1" applyBorder="1" applyAlignment="1">
      <alignment horizontal="center"/>
    </xf>
    <xf numFmtId="0" fontId="99" fillId="96" borderId="284" xfId="0" applyFont="1" applyFill="1" applyBorder="1" applyAlignment="1">
      <alignment horizontal="center"/>
    </xf>
    <xf numFmtId="0" fontId="99" fillId="96" borderId="285" xfId="0" applyFont="1" applyFill="1" applyBorder="1" applyAlignment="1">
      <alignment horizontal="center"/>
    </xf>
    <xf numFmtId="0" fontId="15" fillId="102" borderId="73" xfId="0" applyFont="1" applyFill="1" applyBorder="1" applyAlignment="1">
      <alignment horizontal="center" vertical="center" wrapText="1"/>
    </xf>
    <xf numFmtId="0" fontId="15" fillId="102" borderId="74" xfId="0" applyFont="1" applyFill="1" applyBorder="1" applyAlignment="1">
      <alignment horizontal="center" vertical="center" wrapText="1"/>
    </xf>
    <xf numFmtId="0" fontId="101" fillId="0" borderId="0" xfId="0" applyFont="1" applyAlignment="1">
      <alignment horizontal="left" wrapText="1"/>
    </xf>
    <xf numFmtId="0" fontId="177" fillId="0" borderId="73" xfId="0" applyFont="1" applyBorder="1" applyAlignment="1">
      <alignment horizontal="left" vertical="center"/>
    </xf>
    <xf numFmtId="0" fontId="177" fillId="0" borderId="256" xfId="0" applyFont="1" applyBorder="1" applyAlignment="1">
      <alignment horizontal="left" vertical="center"/>
    </xf>
    <xf numFmtId="0" fontId="177" fillId="0" borderId="74" xfId="0" applyFont="1" applyBorder="1" applyAlignment="1">
      <alignment horizontal="left" vertical="center"/>
    </xf>
    <xf numFmtId="0" fontId="101" fillId="16" borderId="0" xfId="0" applyFont="1" applyFill="1" applyBorder="1" applyAlignment="1">
      <alignment horizontal="left" vertical="top" wrapText="1"/>
    </xf>
    <xf numFmtId="0" fontId="104" fillId="24" borderId="0" xfId="0" applyFont="1" applyFill="1" applyBorder="1" applyAlignment="1">
      <alignment horizontal="left" vertical="top" wrapText="1"/>
    </xf>
    <xf numFmtId="0" fontId="8" fillId="29" borderId="0" xfId="0" quotePrefix="1" applyFont="1" applyFill="1" applyBorder="1" applyAlignment="1">
      <alignment horizontal="left" vertical="top" wrapText="1"/>
    </xf>
    <xf numFmtId="0" fontId="179" fillId="102" borderId="81" xfId="0" applyFont="1" applyFill="1" applyBorder="1" applyAlignment="1">
      <alignment vertical="center"/>
    </xf>
    <xf numFmtId="0" fontId="179" fillId="102" borderId="426" xfId="0" applyFont="1" applyFill="1" applyBorder="1" applyAlignment="1">
      <alignment vertical="center"/>
    </xf>
    <xf numFmtId="0" fontId="198" fillId="110" borderId="395" xfId="0" applyFont="1" applyFill="1" applyBorder="1" applyAlignment="1">
      <alignment vertical="center"/>
    </xf>
    <xf numFmtId="0" fontId="198" fillId="110" borderId="396" xfId="0" applyFont="1" applyFill="1" applyBorder="1" applyAlignment="1">
      <alignment vertical="center"/>
    </xf>
    <xf numFmtId="0" fontId="177" fillId="0" borderId="81" xfId="0" applyFont="1" applyBorder="1" applyAlignment="1">
      <alignment vertical="center"/>
    </xf>
    <xf numFmtId="0" fontId="177" fillId="0" borderId="149" xfId="0" applyFont="1" applyBorder="1" applyAlignment="1">
      <alignment vertical="center"/>
    </xf>
    <xf numFmtId="0" fontId="177" fillId="0" borderId="75" xfId="0" applyFont="1" applyBorder="1" applyAlignment="1">
      <alignment vertical="center"/>
    </xf>
    <xf numFmtId="0" fontId="178" fillId="107" borderId="73" xfId="0" applyFont="1" applyFill="1" applyBorder="1" applyAlignment="1">
      <alignment horizontal="center" vertical="center" wrapText="1"/>
    </xf>
    <xf numFmtId="0" fontId="178" fillId="107" borderId="74" xfId="0" applyFont="1" applyFill="1" applyBorder="1" applyAlignment="1">
      <alignment horizontal="center" vertical="center" wrapText="1"/>
    </xf>
    <xf numFmtId="0" fontId="178" fillId="98" borderId="73" xfId="0" applyFont="1" applyFill="1" applyBorder="1" applyAlignment="1">
      <alignment horizontal="center" vertical="center" wrapText="1"/>
    </xf>
    <xf numFmtId="0" fontId="178" fillId="98" borderId="74" xfId="0" applyFont="1" applyFill="1" applyBorder="1" applyAlignment="1">
      <alignment horizontal="center" vertical="center" wrapText="1"/>
    </xf>
    <xf numFmtId="0" fontId="179" fillId="102" borderId="395" xfId="0" applyFont="1" applyFill="1" applyBorder="1" applyAlignment="1">
      <alignment vertical="center"/>
    </xf>
    <xf numFmtId="0" fontId="179" fillId="102" borderId="396" xfId="0" applyFont="1" applyFill="1" applyBorder="1" applyAlignment="1">
      <alignment vertical="center"/>
    </xf>
    <xf numFmtId="0" fontId="180" fillId="110" borderId="395" xfId="0" applyFont="1" applyFill="1" applyBorder="1" applyAlignment="1">
      <alignment vertical="center"/>
    </xf>
    <xf numFmtId="0" fontId="180" fillId="110" borderId="396" xfId="0" applyFont="1" applyFill="1" applyBorder="1" applyAlignment="1">
      <alignment vertical="center"/>
    </xf>
    <xf numFmtId="0" fontId="8" fillId="29" borderId="0" xfId="0" quotePrefix="1" applyFont="1" applyFill="1" applyBorder="1" applyAlignment="1">
      <alignment horizontal="left" vertical="center" wrapText="1"/>
    </xf>
    <xf numFmtId="0" fontId="178" fillId="108" borderId="73" xfId="0" applyFont="1" applyFill="1" applyBorder="1" applyAlignment="1">
      <alignment horizontal="center" vertical="center" wrapText="1"/>
    </xf>
    <xf numFmtId="0" fontId="178" fillId="108" borderId="74" xfId="0" applyFont="1" applyFill="1" applyBorder="1" applyAlignment="1">
      <alignment horizontal="center" vertical="center" wrapText="1"/>
    </xf>
    <xf numFmtId="0" fontId="179" fillId="109" borderId="395" xfId="0" applyFont="1" applyFill="1" applyBorder="1" applyAlignment="1">
      <alignment vertical="center"/>
    </xf>
    <xf numFmtId="0" fontId="179" fillId="109" borderId="396" xfId="0" applyFont="1" applyFill="1" applyBorder="1" applyAlignment="1">
      <alignment vertical="center"/>
    </xf>
    <xf numFmtId="0" fontId="250" fillId="16" borderId="0" xfId="0" applyFont="1" applyFill="1" applyBorder="1" applyAlignment="1">
      <alignment horizontal="center" wrapText="1"/>
    </xf>
    <xf numFmtId="0" fontId="80" fillId="17" borderId="256" xfId="0" applyFont="1" applyFill="1" applyBorder="1" applyAlignment="1">
      <alignment horizontal="center" wrapText="1"/>
    </xf>
    <xf numFmtId="0" fontId="80" fillId="17" borderId="450" xfId="0" applyFont="1" applyFill="1" applyBorder="1" applyAlignment="1">
      <alignment horizontal="center" wrapText="1"/>
    </xf>
    <xf numFmtId="49" fontId="163" fillId="0" borderId="0" xfId="0" applyNumberFormat="1" applyFont="1" applyBorder="1" applyAlignment="1">
      <alignment horizontal="left" vertical="center" wrapText="1"/>
    </xf>
    <xf numFmtId="0" fontId="92" fillId="0" borderId="30" xfId="0" applyFont="1" applyBorder="1" applyAlignment="1">
      <alignment horizontal="left" vertical="center"/>
    </xf>
    <xf numFmtId="0" fontId="92" fillId="0" borderId="0" xfId="0" applyFont="1" applyBorder="1" applyAlignment="1">
      <alignment horizontal="left" vertical="center"/>
    </xf>
    <xf numFmtId="0" fontId="173" fillId="105" borderId="446" xfId="0" applyFont="1" applyFill="1" applyBorder="1" applyAlignment="1">
      <alignment horizontal="left"/>
    </xf>
    <xf numFmtId="0" fontId="173" fillId="105" borderId="256" xfId="0" applyFont="1" applyFill="1" applyBorder="1" applyAlignment="1">
      <alignment horizontal="left"/>
    </xf>
    <xf numFmtId="0" fontId="0" fillId="0" borderId="81" xfId="0" applyBorder="1" applyAlignment="1">
      <alignment horizontal="center"/>
    </xf>
    <xf numFmtId="0" fontId="0" fillId="0" borderId="426" xfId="0" applyBorder="1" applyAlignment="1">
      <alignment horizontal="center"/>
    </xf>
    <xf numFmtId="49" fontId="163" fillId="0" borderId="30" xfId="0" applyNumberFormat="1" applyFont="1" applyBorder="1" applyAlignment="1">
      <alignment horizontal="left" vertical="center" wrapText="1"/>
    </xf>
    <xf numFmtId="43" fontId="7" fillId="0" borderId="255" xfId="0" applyNumberFormat="1" applyFont="1" applyBorder="1" applyAlignment="1">
      <alignment horizontal="center" vertical="center"/>
    </xf>
    <xf numFmtId="43" fontId="7" fillId="0" borderId="82" xfId="0" applyNumberFormat="1" applyFont="1" applyBorder="1" applyAlignment="1">
      <alignment horizontal="center" vertical="center"/>
    </xf>
    <xf numFmtId="43" fontId="7" fillId="0" borderId="55" xfId="0" applyNumberFormat="1" applyFont="1" applyBorder="1" applyAlignment="1">
      <alignment horizontal="center" vertical="center"/>
    </xf>
    <xf numFmtId="43" fontId="7" fillId="0" borderId="81" xfId="0" applyNumberFormat="1" applyFont="1" applyBorder="1" applyAlignment="1">
      <alignment horizontal="center" vertical="center"/>
    </xf>
    <xf numFmtId="43" fontId="7" fillId="0" borderId="30" xfId="0" applyNumberFormat="1" applyFont="1" applyBorder="1" applyAlignment="1">
      <alignment horizontal="center" vertical="center"/>
    </xf>
    <xf numFmtId="43" fontId="7" fillId="0" borderId="32" xfId="0" applyNumberFormat="1" applyFont="1" applyBorder="1" applyAlignment="1">
      <alignment horizontal="center" vertical="center"/>
    </xf>
    <xf numFmtId="0" fontId="6" fillId="0" borderId="0" xfId="0" applyFont="1" applyAlignment="1">
      <alignment horizontal="center"/>
    </xf>
    <xf numFmtId="0" fontId="157" fillId="22" borderId="312" xfId="0" applyFont="1" applyFill="1" applyBorder="1" applyAlignment="1">
      <alignment horizontal="center" vertical="center"/>
    </xf>
    <xf numFmtId="0" fontId="157" fillId="22" borderId="313" xfId="0" applyFont="1" applyFill="1" applyBorder="1" applyAlignment="1">
      <alignment horizontal="center" vertical="center"/>
    </xf>
    <xf numFmtId="0" fontId="15" fillId="93" borderId="337" xfId="0" applyFont="1" applyFill="1" applyBorder="1" applyAlignment="1">
      <alignment horizontal="center" vertical="center"/>
    </xf>
    <xf numFmtId="0" fontId="15" fillId="93" borderId="338" xfId="0" applyFont="1" applyFill="1" applyBorder="1" applyAlignment="1">
      <alignment horizontal="center" vertical="center"/>
    </xf>
    <xf numFmtId="0" fontId="15" fillId="93" borderId="339" xfId="0" applyFont="1" applyFill="1" applyBorder="1" applyAlignment="1">
      <alignment horizontal="center" vertical="center"/>
    </xf>
    <xf numFmtId="0" fontId="8" fillId="0" borderId="0" xfId="0" applyFont="1" applyAlignment="1">
      <alignment horizontal="left" vertical="top" wrapText="1"/>
    </xf>
    <xf numFmtId="0" fontId="164" fillId="0" borderId="89" xfId="0" applyFont="1" applyFill="1" applyBorder="1" applyAlignment="1">
      <alignment horizontal="left" vertical="center"/>
    </xf>
    <xf numFmtId="43" fontId="152" fillId="0" borderId="325" xfId="1" applyFont="1" applyFill="1" applyBorder="1" applyAlignment="1">
      <alignment horizontal="center" vertical="center"/>
    </xf>
    <xf numFmtId="43" fontId="152" fillId="0" borderId="312" xfId="1" applyFont="1" applyFill="1" applyBorder="1" applyAlignment="1">
      <alignment horizontal="center" vertical="center"/>
    </xf>
    <xf numFmtId="43" fontId="152" fillId="0" borderId="320" xfId="1" applyFont="1" applyFill="1" applyBorder="1" applyAlignment="1">
      <alignment horizontal="center" vertical="center"/>
    </xf>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63" fillId="16" borderId="327" xfId="1" applyFont="1" applyFill="1" applyBorder="1" applyAlignment="1">
      <alignment horizontal="center" vertical="center"/>
    </xf>
    <xf numFmtId="43" fontId="163" fillId="16" borderId="313" xfId="1" applyFont="1" applyFill="1" applyBorder="1" applyAlignment="1">
      <alignment horizontal="center" vertical="center"/>
    </xf>
    <xf numFmtId="43" fontId="163" fillId="16" borderId="321" xfId="1" applyFont="1" applyFill="1" applyBorder="1" applyAlignment="1">
      <alignment horizontal="center" vertical="center"/>
    </xf>
    <xf numFmtId="0" fontId="157" fillId="0" borderId="372" xfId="0" applyFont="1" applyFill="1" applyBorder="1" applyAlignment="1">
      <alignment horizontal="center" vertical="center"/>
    </xf>
    <xf numFmtId="0" fontId="157" fillId="0" borderId="373" xfId="0" applyFont="1" applyFill="1" applyBorder="1" applyAlignment="1">
      <alignment horizontal="center" vertical="center"/>
    </xf>
    <xf numFmtId="0" fontId="164" fillId="19" borderId="81" xfId="0" applyFont="1" applyFill="1" applyBorder="1" applyAlignment="1">
      <alignment horizontal="center" wrapText="1"/>
    </xf>
    <xf numFmtId="0" fontId="164" fillId="19" borderId="149" xfId="0" applyFont="1" applyFill="1" applyBorder="1" applyAlignment="1">
      <alignment horizontal="center" wrapText="1"/>
    </xf>
    <xf numFmtId="43" fontId="184" fillId="0" borderId="386" xfId="1" applyFont="1" applyFill="1" applyBorder="1" applyAlignment="1">
      <alignment horizontal="left" vertical="center" wrapText="1"/>
    </xf>
    <xf numFmtId="43" fontId="184" fillId="0" borderId="384" xfId="1" applyFont="1" applyFill="1" applyBorder="1" applyAlignment="1">
      <alignment horizontal="left" vertical="center" wrapText="1"/>
    </xf>
    <xf numFmtId="43" fontId="184" fillId="0" borderId="385" xfId="1" applyFont="1" applyFill="1" applyBorder="1" applyAlignment="1">
      <alignment horizontal="left" vertical="center" wrapText="1"/>
    </xf>
    <xf numFmtId="0" fontId="164" fillId="0" borderId="89" xfId="0" applyFont="1" applyFill="1" applyBorder="1" applyAlignment="1">
      <alignment horizontal="left" vertical="center" wrapText="1"/>
    </xf>
    <xf numFmtId="0" fontId="164" fillId="21" borderId="81" xfId="0" applyFont="1" applyFill="1" applyBorder="1" applyAlignment="1">
      <alignment horizontal="center" wrapText="1"/>
    </xf>
    <xf numFmtId="0" fontId="164" fillId="21" borderId="149" xfId="0" applyFont="1" applyFill="1" applyBorder="1" applyAlignment="1">
      <alignment horizontal="center" wrapText="1"/>
    </xf>
    <xf numFmtId="0" fontId="164" fillId="21" borderId="75" xfId="0" applyFont="1" applyFill="1" applyBorder="1" applyAlignment="1">
      <alignment horizontal="center" wrapText="1"/>
    </xf>
    <xf numFmtId="0" fontId="5" fillId="96" borderId="73" xfId="0" applyFont="1" applyFill="1" applyBorder="1" applyAlignment="1">
      <alignment horizontal="left"/>
    </xf>
    <xf numFmtId="0" fontId="5" fillId="96" borderId="47" xfId="0" applyFont="1" applyFill="1" applyBorder="1" applyAlignment="1">
      <alignment horizontal="left"/>
    </xf>
    <xf numFmtId="0" fontId="5" fillId="96" borderId="256" xfId="0" applyFont="1" applyFill="1" applyBorder="1" applyAlignment="1">
      <alignment horizontal="left"/>
    </xf>
    <xf numFmtId="0" fontId="5" fillId="96" borderId="74" xfId="0" applyFont="1" applyFill="1" applyBorder="1" applyAlignment="1">
      <alignment horizontal="left"/>
    </xf>
    <xf numFmtId="0" fontId="167" fillId="0" borderId="0" xfId="0" applyFont="1" applyAlignment="1">
      <alignment horizontal="left" vertical="center"/>
    </xf>
    <xf numFmtId="0" fontId="5" fillId="97" borderId="81" xfId="9180" applyFont="1" applyFill="1" applyBorder="1" applyAlignment="1">
      <alignment horizontal="center" vertical="center"/>
    </xf>
    <xf numFmtId="0" fontId="5" fillId="97" borderId="149" xfId="9180" applyFont="1" applyFill="1" applyBorder="1" applyAlignment="1">
      <alignment horizontal="center" vertical="center"/>
    </xf>
    <xf numFmtId="0" fontId="5" fillId="97" borderId="75" xfId="9180" applyFont="1" applyFill="1" applyBorder="1" applyAlignment="1">
      <alignment horizontal="center" vertical="center"/>
    </xf>
    <xf numFmtId="0" fontId="175" fillId="97" borderId="314" xfId="0" applyFont="1" applyFill="1" applyBorder="1" applyAlignment="1">
      <alignment horizontal="center" vertical="center"/>
    </xf>
    <xf numFmtId="0" fontId="175" fillId="97" borderId="315" xfId="0" applyFont="1" applyFill="1" applyBorder="1" applyAlignment="1">
      <alignment horizontal="center" vertical="center"/>
    </xf>
    <xf numFmtId="0" fontId="175" fillId="97" borderId="316" xfId="0" applyFont="1" applyFill="1" applyBorder="1" applyAlignment="1">
      <alignment horizontal="center" vertical="center"/>
    </xf>
    <xf numFmtId="0" fontId="157" fillId="22" borderId="383" xfId="0" applyFont="1" applyFill="1" applyBorder="1" applyAlignment="1">
      <alignment horizontal="center" vertical="center"/>
    </xf>
    <xf numFmtId="0" fontId="108" fillId="93" borderId="337" xfId="0" applyFont="1" applyFill="1" applyBorder="1" applyAlignment="1">
      <alignment horizontal="center" vertical="center"/>
    </xf>
    <xf numFmtId="0" fontId="108" fillId="93" borderId="338" xfId="0" applyFont="1" applyFill="1" applyBorder="1" applyAlignment="1">
      <alignment horizontal="center" vertical="center"/>
    </xf>
    <xf numFmtId="0" fontId="108" fillId="93" borderId="339" xfId="0" applyFont="1" applyFill="1" applyBorder="1" applyAlignment="1">
      <alignment horizontal="center" vertical="center"/>
    </xf>
    <xf numFmtId="0" fontId="15" fillId="93" borderId="32" xfId="0" applyFont="1" applyFill="1" applyBorder="1" applyAlignment="1">
      <alignment horizontal="center" vertical="center"/>
    </xf>
    <xf numFmtId="0" fontId="15" fillId="93" borderId="33" xfId="0" applyFont="1" applyFill="1" applyBorder="1" applyAlignment="1">
      <alignment horizontal="center" vertical="center"/>
    </xf>
    <xf numFmtId="0" fontId="15" fillId="93" borderId="387" xfId="0" applyFont="1" applyFill="1" applyBorder="1" applyAlignment="1">
      <alignment horizontal="center" vertical="center"/>
    </xf>
    <xf numFmtId="0" fontId="128" fillId="0" borderId="116" xfId="0" applyFont="1" applyBorder="1" applyAlignment="1">
      <alignment horizontal="center" vertical="center" textRotation="90"/>
    </xf>
    <xf numFmtId="0" fontId="128" fillId="0" borderId="83" xfId="0" applyFont="1" applyBorder="1" applyAlignment="1">
      <alignment horizontal="center" vertical="center" textRotation="90"/>
    </xf>
    <xf numFmtId="0" fontId="128" fillId="0" borderId="115" xfId="0" applyFont="1" applyBorder="1" applyAlignment="1">
      <alignment horizontal="center" vertical="center" textRotation="90"/>
    </xf>
    <xf numFmtId="0" fontId="164" fillId="21" borderId="337" xfId="0" applyFont="1" applyFill="1" applyBorder="1" applyAlignment="1">
      <alignment horizontal="center" wrapText="1"/>
    </xf>
    <xf numFmtId="0" fontId="164" fillId="21" borderId="339" xfId="0" applyFont="1" applyFill="1" applyBorder="1" applyAlignment="1">
      <alignment horizontal="center" wrapText="1"/>
    </xf>
    <xf numFmtId="0" fontId="164" fillId="0" borderId="381" xfId="0" applyFont="1" applyBorder="1" applyAlignment="1">
      <alignment horizontal="center" wrapText="1"/>
    </xf>
    <xf numFmtId="0" fontId="164" fillId="0" borderId="316" xfId="0" applyFont="1" applyBorder="1" applyAlignment="1">
      <alignment horizontal="center" wrapText="1"/>
    </xf>
    <xf numFmtId="43" fontId="163" fillId="16" borderId="386" xfId="1" applyFont="1" applyFill="1" applyBorder="1" applyAlignment="1">
      <alignment horizontal="center" vertical="center"/>
    </xf>
    <xf numFmtId="43" fontId="163" fillId="16" borderId="384" xfId="1" applyFont="1" applyFill="1" applyBorder="1" applyAlignment="1">
      <alignment horizontal="center" vertical="center"/>
    </xf>
    <xf numFmtId="43" fontId="163" fillId="16" borderId="385" xfId="1" applyFont="1" applyFill="1" applyBorder="1" applyAlignment="1">
      <alignment horizontal="center" vertical="center"/>
    </xf>
    <xf numFmtId="0" fontId="128" fillId="0" borderId="113" xfId="0" applyFont="1" applyBorder="1" applyAlignment="1">
      <alignment horizontal="center" vertical="center" textRotation="90"/>
    </xf>
    <xf numFmtId="0" fontId="128" fillId="0" borderId="114" xfId="0" applyFont="1" applyBorder="1" applyAlignment="1">
      <alignment horizontal="center" vertical="center" textRotation="90"/>
    </xf>
    <xf numFmtId="0" fontId="186" fillId="0" borderId="73" xfId="0" applyFont="1" applyBorder="1" applyAlignment="1">
      <alignment horizontal="center" wrapText="1"/>
    </xf>
    <xf numFmtId="0" fontId="186" fillId="0" borderId="393" xfId="0" applyFont="1" applyBorder="1" applyAlignment="1">
      <alignment horizontal="center" wrapText="1"/>
    </xf>
    <xf numFmtId="0" fontId="164" fillId="19" borderId="337" xfId="0" applyFont="1" applyFill="1" applyBorder="1" applyAlignment="1">
      <alignment horizontal="center" wrapText="1"/>
    </xf>
    <xf numFmtId="0" fontId="164" fillId="19" borderId="339" xfId="0" applyFont="1" applyFill="1" applyBorder="1" applyAlignment="1">
      <alignment horizontal="center" wrapText="1"/>
    </xf>
    <xf numFmtId="0" fontId="164" fillId="19" borderId="388" xfId="0" applyFont="1" applyFill="1" applyBorder="1" applyAlignment="1">
      <alignment horizontal="center" wrapText="1"/>
    </xf>
    <xf numFmtId="0" fontId="157" fillId="0" borderId="185" xfId="0" applyFont="1" applyBorder="1" applyAlignment="1">
      <alignment horizontal="left"/>
    </xf>
    <xf numFmtId="0" fontId="157" fillId="0" borderId="240" xfId="0" applyFont="1" applyBorder="1" applyAlignment="1">
      <alignment horizontal="left"/>
    </xf>
    <xf numFmtId="0" fontId="157" fillId="0" borderId="184" xfId="0" applyFont="1" applyBorder="1" applyAlignment="1">
      <alignment horizontal="left"/>
    </xf>
    <xf numFmtId="0" fontId="157" fillId="0" borderId="241" xfId="0" applyFont="1" applyBorder="1" applyAlignment="1">
      <alignment horizontal="left"/>
    </xf>
    <xf numFmtId="0" fontId="157" fillId="0" borderId="18" xfId="0" applyFont="1" applyBorder="1" applyAlignment="1">
      <alignment horizontal="left"/>
    </xf>
    <xf numFmtId="0" fontId="157" fillId="0" borderId="33" xfId="0" applyFont="1" applyBorder="1" applyAlignment="1">
      <alignment horizontal="left"/>
    </xf>
    <xf numFmtId="0" fontId="8" fillId="17" borderId="0" xfId="0" quotePrefix="1" applyFont="1" applyFill="1" applyBorder="1" applyAlignment="1">
      <alignment horizontal="left" vertical="top" wrapText="1" indent="1"/>
    </xf>
    <xf numFmtId="0" fontId="8" fillId="17" borderId="0" xfId="0" applyFont="1" applyFill="1" applyBorder="1" applyAlignment="1">
      <alignment horizontal="left" vertical="top" wrapText="1" indent="1"/>
    </xf>
    <xf numFmtId="0" fontId="101" fillId="0" borderId="0" xfId="0" applyFont="1" applyBorder="1" applyAlignment="1">
      <alignment horizontal="left" vertical="top" wrapText="1" indent="1"/>
    </xf>
    <xf numFmtId="0" fontId="8" fillId="17" borderId="362" xfId="0" applyFont="1" applyFill="1" applyBorder="1" applyAlignment="1">
      <alignment horizontal="left" vertical="top" wrapText="1"/>
    </xf>
    <xf numFmtId="0" fontId="153" fillId="17" borderId="0" xfId="0" applyFont="1" applyFill="1" applyBorder="1" applyAlignment="1">
      <alignment horizontal="left" vertical="top" wrapText="1"/>
    </xf>
    <xf numFmtId="0" fontId="101" fillId="17" borderId="0" xfId="0" quotePrefix="1" applyFont="1" applyFill="1" applyBorder="1" applyAlignment="1">
      <alignment horizontal="left" vertical="top" wrapText="1" indent="1"/>
    </xf>
    <xf numFmtId="0" fontId="101" fillId="17" borderId="0" xfId="0" applyFont="1" applyFill="1" applyBorder="1" applyAlignment="1">
      <alignment horizontal="left" vertical="top" wrapText="1" indent="1"/>
    </xf>
    <xf numFmtId="0" fontId="174" fillId="96" borderId="0" xfId="0" applyFont="1" applyFill="1" applyAlignment="1">
      <alignment horizontal="left" vertical="center"/>
    </xf>
    <xf numFmtId="0" fontId="76" fillId="0" borderId="405" xfId="0" applyFont="1" applyFill="1" applyBorder="1" applyAlignment="1">
      <alignment horizontal="center" vertical="center"/>
    </xf>
    <xf numFmtId="0" fontId="76" fillId="0" borderId="406" xfId="0" applyFont="1" applyFill="1" applyBorder="1" applyAlignment="1">
      <alignment horizontal="center" vertical="center"/>
    </xf>
    <xf numFmtId="0" fontId="76" fillId="0" borderId="407" xfId="0" applyFont="1" applyFill="1" applyBorder="1" applyAlignment="1">
      <alignment horizontal="center" vertical="center"/>
    </xf>
    <xf numFmtId="0" fontId="173" fillId="97" borderId="405" xfId="0" applyFont="1" applyFill="1" applyBorder="1" applyAlignment="1">
      <alignment horizontal="center" vertical="center"/>
    </xf>
    <xf numFmtId="0" fontId="173" fillId="97" borderId="406" xfId="0" applyFont="1" applyFill="1" applyBorder="1" applyAlignment="1">
      <alignment horizontal="center" vertical="center"/>
    </xf>
    <xf numFmtId="0" fontId="173" fillId="97" borderId="408" xfId="0" applyFont="1" applyFill="1" applyBorder="1" applyAlignment="1">
      <alignment horizontal="center" vertical="center"/>
    </xf>
    <xf numFmtId="0" fontId="173" fillId="102" borderId="405" xfId="0" applyFont="1" applyFill="1" applyBorder="1" applyAlignment="1">
      <alignment horizontal="center" vertical="center"/>
    </xf>
    <xf numFmtId="0" fontId="173" fillId="102" borderId="406" xfId="0" applyFont="1" applyFill="1" applyBorder="1" applyAlignment="1">
      <alignment horizontal="center" vertical="center"/>
    </xf>
    <xf numFmtId="0" fontId="173" fillId="102" borderId="407" xfId="0" applyFont="1" applyFill="1" applyBorder="1" applyAlignment="1">
      <alignment horizontal="center" vertical="center"/>
    </xf>
    <xf numFmtId="0" fontId="175" fillId="96" borderId="446" xfId="0" applyFont="1" applyFill="1" applyBorder="1" applyAlignment="1">
      <alignment horizontal="center"/>
    </xf>
    <xf numFmtId="0" fontId="175" fillId="96" borderId="256" xfId="0" applyFont="1" applyFill="1" applyBorder="1" applyAlignment="1">
      <alignment horizontal="center"/>
    </xf>
    <xf numFmtId="0" fontId="164" fillId="16" borderId="255" xfId="0" applyFont="1" applyFill="1" applyBorder="1" applyAlignment="1">
      <alignment horizontal="center" wrapText="1"/>
    </xf>
    <xf numFmtId="0" fontId="164" fillId="16" borderId="82" xfId="0" applyFont="1" applyFill="1" applyBorder="1" applyAlignment="1">
      <alignment horizontal="center" wrapText="1"/>
    </xf>
    <xf numFmtId="0" fontId="164" fillId="16" borderId="55" xfId="0" applyFont="1" applyFill="1" applyBorder="1" applyAlignment="1">
      <alignment horizontal="center" wrapText="1"/>
    </xf>
    <xf numFmtId="0" fontId="128" fillId="0" borderId="82" xfId="0" applyFont="1" applyBorder="1" applyAlignment="1">
      <alignment horizontal="center" vertical="center" textRotation="90"/>
    </xf>
    <xf numFmtId="0" fontId="128" fillId="0" borderId="55" xfId="0" applyFont="1" applyBorder="1" applyAlignment="1">
      <alignment horizontal="center" vertical="center" textRotation="90"/>
    </xf>
    <xf numFmtId="0" fontId="15" fillId="97" borderId="446" xfId="0" applyFont="1" applyFill="1" applyBorder="1" applyAlignment="1">
      <alignment horizontal="center" vertical="center"/>
    </xf>
    <xf numFmtId="0" fontId="15" fillId="97" borderId="234" xfId="0" applyFont="1" applyFill="1" applyBorder="1" applyAlignment="1">
      <alignment horizontal="center" vertical="center"/>
    </xf>
    <xf numFmtId="0" fontId="15" fillId="97" borderId="406" xfId="0" applyFont="1" applyFill="1" applyBorder="1" applyAlignment="1">
      <alignment horizontal="center" vertical="center"/>
    </xf>
    <xf numFmtId="0" fontId="158" fillId="17" borderId="256" xfId="0" applyFont="1" applyFill="1" applyBorder="1" applyAlignment="1">
      <alignment horizontal="center" wrapText="1"/>
    </xf>
    <xf numFmtId="0" fontId="158" fillId="0" borderId="256" xfId="0" applyFont="1" applyBorder="1" applyAlignment="1">
      <alignment horizontal="center" wrapText="1"/>
    </xf>
    <xf numFmtId="0" fontId="158" fillId="0" borderId="450" xfId="0" applyFont="1" applyBorder="1" applyAlignment="1">
      <alignment horizontal="center" wrapText="1"/>
    </xf>
    <xf numFmtId="0" fontId="164" fillId="0" borderId="301" xfId="0" applyFont="1" applyFill="1" applyBorder="1" applyAlignment="1">
      <alignment horizontal="left" vertical="center" wrapText="1"/>
    </xf>
    <xf numFmtId="0" fontId="164" fillId="0" borderId="302" xfId="0" applyFont="1" applyFill="1" applyBorder="1" applyAlignment="1">
      <alignment horizontal="left" vertical="center" wrapText="1"/>
    </xf>
    <xf numFmtId="0" fontId="128" fillId="0" borderId="255" xfId="0" applyFont="1" applyBorder="1" applyAlignment="1">
      <alignment horizontal="center" vertical="center" textRotation="90"/>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61" fillId="17" borderId="494" xfId="1" applyFont="1" applyFill="1" applyBorder="1" applyAlignment="1">
      <alignment vertical="center"/>
    </xf>
    <xf numFmtId="43" fontId="161" fillId="17" borderId="490" xfId="1" applyFont="1" applyFill="1" applyBorder="1" applyAlignment="1">
      <alignment horizontal="right" vertical="center"/>
    </xf>
    <xf numFmtId="43" fontId="161" fillId="17" borderId="491" xfId="1" applyFont="1" applyFill="1" applyBorder="1" applyAlignment="1">
      <alignment horizontal="right" vertical="center"/>
    </xf>
    <xf numFmtId="43" fontId="161" fillId="17" borderId="492" xfId="1" applyFont="1" applyFill="1" applyBorder="1" applyAlignment="1">
      <alignment horizontal="right" vertical="center"/>
    </xf>
    <xf numFmtId="43" fontId="123" fillId="17" borderId="96" xfId="1" applyFont="1" applyFill="1" applyBorder="1" applyAlignment="1">
      <alignment horizontal="center" vertical="center"/>
    </xf>
    <xf numFmtId="43" fontId="123" fillId="17" borderId="0" xfId="1" applyFont="1" applyFill="1" applyBorder="1" applyAlignment="1">
      <alignment horizontal="center" vertical="center"/>
    </xf>
    <xf numFmtId="43" fontId="123" fillId="17" borderId="33" xfId="1" applyFont="1" applyFill="1" applyBorder="1" applyAlignment="1">
      <alignment horizontal="center" vertical="center"/>
    </xf>
    <xf numFmtId="2" fontId="184" fillId="17" borderId="96" xfId="1" applyNumberFormat="1" applyFont="1" applyFill="1" applyBorder="1" applyAlignment="1">
      <alignment vertical="center"/>
    </xf>
    <xf numFmtId="2" fontId="184" fillId="17" borderId="0" xfId="1" applyNumberFormat="1" applyFont="1" applyFill="1" applyBorder="1" applyAlignment="1">
      <alignment vertical="center"/>
    </xf>
    <xf numFmtId="2" fontId="184" fillId="17" borderId="33" xfId="1" applyNumberFormat="1" applyFont="1" applyFill="1" applyBorder="1" applyAlignment="1">
      <alignment vertical="center"/>
    </xf>
    <xf numFmtId="0" fontId="16" fillId="0" borderId="0" xfId="0" applyFont="1" applyAlignment="1">
      <alignment horizontal="center"/>
    </xf>
    <xf numFmtId="0" fontId="173" fillId="96" borderId="446" xfId="0" applyFont="1" applyFill="1" applyBorder="1" applyAlignment="1">
      <alignment horizontal="center"/>
    </xf>
    <xf numFmtId="0" fontId="173" fillId="96" borderId="256" xfId="0" applyFont="1" applyFill="1" applyBorder="1" applyAlignment="1">
      <alignment horizontal="center"/>
    </xf>
    <xf numFmtId="0" fontId="164" fillId="16" borderId="425" xfId="0" applyFont="1" applyFill="1" applyBorder="1" applyAlignment="1">
      <alignment horizontal="center" wrapText="1"/>
    </xf>
    <xf numFmtId="0" fontId="164" fillId="16" borderId="31" xfId="0" applyFont="1" applyFill="1" applyBorder="1" applyAlignment="1">
      <alignment horizontal="center" wrapText="1"/>
    </xf>
    <xf numFmtId="0" fontId="164" fillId="16" borderId="34" xfId="0" applyFont="1" applyFill="1" applyBorder="1" applyAlignment="1">
      <alignment horizontal="center" wrapText="1"/>
    </xf>
    <xf numFmtId="0" fontId="15" fillId="97" borderId="405" xfId="0" applyFont="1" applyFill="1" applyBorder="1" applyAlignment="1">
      <alignment horizontal="center" vertical="center"/>
    </xf>
    <xf numFmtId="0" fontId="186" fillId="17" borderId="256" xfId="0" applyFont="1" applyFill="1" applyBorder="1" applyAlignment="1">
      <alignment horizontal="center" wrapText="1"/>
    </xf>
    <xf numFmtId="0" fontId="186" fillId="17" borderId="393" xfId="0" applyFont="1" applyFill="1" applyBorder="1" applyAlignment="1">
      <alignment horizontal="center" wrapText="1"/>
    </xf>
    <xf numFmtId="0" fontId="186" fillId="0" borderId="406" xfId="0" applyFont="1" applyBorder="1" applyAlignment="1">
      <alignment horizontal="center" wrapText="1"/>
    </xf>
    <xf numFmtId="0" fontId="186" fillId="0" borderId="407" xfId="0" applyFont="1" applyBorder="1" applyAlignment="1">
      <alignment horizontal="center" wrapText="1"/>
    </xf>
    <xf numFmtId="49" fontId="184" fillId="17" borderId="316" xfId="1" applyNumberFormat="1" applyFont="1" applyFill="1" applyBorder="1" applyAlignment="1">
      <alignment horizontal="left" vertical="center" wrapText="1"/>
    </xf>
    <xf numFmtId="49" fontId="184" fillId="17" borderId="321" xfId="1" applyNumberFormat="1" applyFont="1" applyFill="1" applyBorder="1" applyAlignment="1">
      <alignment horizontal="left" vertical="center" wrapText="1"/>
    </xf>
    <xf numFmtId="0" fontId="128" fillId="0" borderId="432" xfId="0" applyFont="1" applyBorder="1" applyAlignment="1">
      <alignment horizontal="center" vertical="center" textRotation="90"/>
    </xf>
    <xf numFmtId="0" fontId="128" fillId="0" borderId="436" xfId="0" applyFont="1" applyBorder="1" applyAlignment="1">
      <alignment horizontal="center" vertical="center" textRotation="90"/>
    </xf>
    <xf numFmtId="0" fontId="128" fillId="0" borderId="185" xfId="0" applyFont="1" applyBorder="1" applyAlignment="1">
      <alignment horizontal="center" vertical="center" textRotation="90"/>
    </xf>
    <xf numFmtId="0" fontId="128" fillId="0" borderId="310" xfId="0" applyFont="1" applyBorder="1" applyAlignment="1">
      <alignment horizontal="center" vertical="center" textRotation="90"/>
    </xf>
    <xf numFmtId="0" fontId="22" fillId="17" borderId="541" xfId="9108" applyFont="1" applyFill="1" applyBorder="1" applyAlignment="1">
      <alignment horizontal="left" vertical="center" wrapText="1"/>
    </xf>
    <xf numFmtId="0" fontId="22" fillId="17" borderId="513" xfId="9108" applyFont="1" applyFill="1" applyBorder="1" applyAlignment="1">
      <alignment horizontal="left" vertical="center" wrapText="1"/>
    </xf>
    <xf numFmtId="0" fontId="22" fillId="17" borderId="545" xfId="9108" applyFont="1" applyFill="1" applyBorder="1" applyAlignment="1">
      <alignment horizontal="left" vertical="center" wrapText="1"/>
    </xf>
    <xf numFmtId="0" fontId="117" fillId="17" borderId="348" xfId="0" applyFont="1" applyFill="1" applyBorder="1" applyAlignment="1">
      <alignment horizontal="left" vertical="center" wrapText="1"/>
    </xf>
    <xf numFmtId="0" fontId="117" fillId="17" borderId="350" xfId="0" applyFont="1" applyFill="1" applyBorder="1" applyAlignment="1">
      <alignment horizontal="left" vertical="center" wrapText="1"/>
    </xf>
    <xf numFmtId="0" fontId="117" fillId="17" borderId="544" xfId="0" applyFont="1" applyFill="1" applyBorder="1" applyAlignment="1">
      <alignment horizontal="left" vertical="center" wrapText="1"/>
    </xf>
    <xf numFmtId="0" fontId="117" fillId="17" borderId="349" xfId="0" applyFont="1" applyFill="1" applyBorder="1" applyAlignment="1">
      <alignment horizontal="left" vertical="center" wrapText="1"/>
    </xf>
    <xf numFmtId="0" fontId="117" fillId="17" borderId="0" xfId="0" applyFont="1" applyFill="1" applyBorder="1" applyAlignment="1">
      <alignment horizontal="left" vertical="center" wrapText="1"/>
    </xf>
    <xf numFmtId="0" fontId="117" fillId="17" borderId="31" xfId="0" applyFont="1" applyFill="1" applyBorder="1" applyAlignment="1">
      <alignment horizontal="left" vertical="center" wrapText="1"/>
    </xf>
    <xf numFmtId="0" fontId="117" fillId="17" borderId="242" xfId="0" applyFont="1" applyFill="1" applyBorder="1" applyAlignment="1">
      <alignment horizontal="left" vertical="center" wrapText="1"/>
    </xf>
    <xf numFmtId="0" fontId="117" fillId="17" borderId="33" xfId="0" applyFont="1" applyFill="1" applyBorder="1" applyAlignment="1">
      <alignment horizontal="left" vertical="center" wrapText="1"/>
    </xf>
    <xf numFmtId="0" fontId="117" fillId="17" borderId="34" xfId="0" applyFont="1" applyFill="1" applyBorder="1" applyAlignment="1">
      <alignment horizontal="left" vertical="center" wrapText="1"/>
    </xf>
    <xf numFmtId="0" fontId="99" fillId="30" borderId="533" xfId="0" applyFont="1" applyFill="1" applyBorder="1" applyAlignment="1">
      <alignment horizontal="center" vertical="center"/>
    </xf>
    <xf numFmtId="0" fontId="99" fillId="30" borderId="534" xfId="0" applyFont="1" applyFill="1" applyBorder="1" applyAlignment="1">
      <alignment horizontal="center" vertical="center"/>
    </xf>
    <xf numFmtId="0" fontId="99" fillId="30" borderId="535" xfId="0" applyFont="1" applyFill="1" applyBorder="1" applyAlignment="1">
      <alignment horizontal="center" vertical="center"/>
    </xf>
    <xf numFmtId="0" fontId="22" fillId="17" borderId="536" xfId="9108" applyFont="1" applyFill="1" applyBorder="1" applyAlignment="1">
      <alignment horizontal="left" vertical="center" wrapText="1"/>
    </xf>
    <xf numFmtId="0" fontId="22" fillId="17" borderId="538" xfId="9108" applyFont="1" applyFill="1" applyBorder="1" applyAlignment="1">
      <alignment horizontal="left" vertical="center" wrapText="1"/>
    </xf>
    <xf numFmtId="0" fontId="22" fillId="17" borderId="360" xfId="9108" applyFont="1" applyFill="1" applyBorder="1" applyAlignment="1">
      <alignment horizontal="left" vertical="center" wrapText="1"/>
    </xf>
    <xf numFmtId="0" fontId="6" fillId="17" borderId="352" xfId="0" applyFont="1" applyFill="1" applyBorder="1" applyAlignment="1">
      <alignment horizontal="left" vertical="center" wrapText="1"/>
    </xf>
    <xf numFmtId="0" fontId="6" fillId="17" borderId="353" xfId="0" applyFont="1" applyFill="1" applyBorder="1" applyAlignment="1">
      <alignment horizontal="left" vertical="center" wrapText="1"/>
    </xf>
    <xf numFmtId="0" fontId="6" fillId="17" borderId="537" xfId="0" applyFont="1" applyFill="1" applyBorder="1" applyAlignment="1">
      <alignment horizontal="left" vertical="center" wrapText="1"/>
    </xf>
    <xf numFmtId="0" fontId="6" fillId="17" borderId="358" xfId="0" applyFont="1" applyFill="1" applyBorder="1" applyAlignment="1">
      <alignment horizontal="left" vertical="center" wrapText="1"/>
    </xf>
    <xf numFmtId="0" fontId="6" fillId="17" borderId="359" xfId="0" applyFont="1" applyFill="1" applyBorder="1" applyAlignment="1">
      <alignment horizontal="left" vertical="center" wrapText="1"/>
    </xf>
    <xf numFmtId="0" fontId="6" fillId="17" borderId="539" xfId="0" applyFont="1" applyFill="1" applyBorder="1" applyAlignment="1">
      <alignment horizontal="left" vertical="center" wrapText="1"/>
    </xf>
    <xf numFmtId="0" fontId="6" fillId="17" borderId="355" xfId="0" applyFont="1" applyFill="1" applyBorder="1" applyAlignment="1">
      <alignment horizontal="left" vertical="center" wrapText="1"/>
    </xf>
    <xf numFmtId="0" fontId="6" fillId="17" borderId="225" xfId="0" applyFont="1" applyFill="1" applyBorder="1" applyAlignment="1">
      <alignment horizontal="left" vertical="center" wrapText="1"/>
    </xf>
    <xf numFmtId="0" fontId="6" fillId="17" borderId="540" xfId="0" applyFont="1" applyFill="1" applyBorder="1" applyAlignment="1">
      <alignment horizontal="left" vertical="center" wrapText="1"/>
    </xf>
    <xf numFmtId="0" fontId="22" fillId="16" borderId="541" xfId="9108" applyFont="1" applyFill="1" applyBorder="1" applyAlignment="1">
      <alignment horizontal="left" vertical="center" wrapText="1"/>
    </xf>
    <xf numFmtId="0" fontId="22" fillId="16" borderId="513" xfId="9108" applyFont="1" applyFill="1" applyBorder="1" applyAlignment="1">
      <alignment horizontal="left" vertical="center" wrapText="1"/>
    </xf>
    <xf numFmtId="0" fontId="22" fillId="16" borderId="543" xfId="9108" applyFont="1" applyFill="1" applyBorder="1" applyAlignment="1">
      <alignment horizontal="left" vertical="center" wrapText="1"/>
    </xf>
    <xf numFmtId="0" fontId="6" fillId="16" borderId="344" xfId="0" quotePrefix="1" applyFont="1" applyFill="1" applyBorder="1" applyAlignment="1">
      <alignment horizontal="left" vertical="center" wrapText="1"/>
    </xf>
    <xf numFmtId="0" fontId="6" fillId="16" borderId="345" xfId="0" quotePrefix="1" applyFont="1" applyFill="1" applyBorder="1" applyAlignment="1">
      <alignment horizontal="left" vertical="center" wrapText="1"/>
    </xf>
    <xf numFmtId="0" fontId="6" fillId="16" borderId="542" xfId="0" quotePrefix="1" applyFont="1" applyFill="1" applyBorder="1" applyAlignment="1">
      <alignment horizontal="left" vertical="center" wrapText="1"/>
    </xf>
    <xf numFmtId="0" fontId="6" fillId="16" borderId="348" xfId="0" quotePrefix="1" applyFont="1" applyFill="1" applyBorder="1" applyAlignment="1">
      <alignment horizontal="left" vertical="center" wrapText="1"/>
    </xf>
    <xf numFmtId="0" fontId="6" fillId="16" borderId="350" xfId="0" quotePrefix="1" applyFont="1" applyFill="1" applyBorder="1" applyAlignment="1">
      <alignment horizontal="left" vertical="center" wrapText="1"/>
    </xf>
    <xf numFmtId="0" fontId="6" fillId="16" borderId="544" xfId="0" quotePrefix="1" applyFont="1" applyFill="1" applyBorder="1" applyAlignment="1">
      <alignment horizontal="left" vertical="center" wrapText="1"/>
    </xf>
    <xf numFmtId="0" fontId="6" fillId="16" borderId="530" xfId="0" applyFont="1" applyFill="1" applyBorder="1" applyAlignment="1">
      <alignment horizontal="left" vertical="center" wrapText="1"/>
    </xf>
    <xf numFmtId="0" fontId="6" fillId="16" borderId="347" xfId="0" applyFont="1" applyFill="1" applyBorder="1" applyAlignment="1">
      <alignment horizontal="left" vertical="center" wrapText="1"/>
    </xf>
    <xf numFmtId="0" fontId="6" fillId="17" borderId="227" xfId="0" applyFont="1" applyFill="1" applyBorder="1" applyAlignment="1">
      <alignment horizontal="left" vertical="center" wrapText="1"/>
    </xf>
    <xf numFmtId="0" fontId="6" fillId="17" borderId="347" xfId="0" applyFont="1" applyFill="1" applyBorder="1" applyAlignment="1">
      <alignment horizontal="left" vertical="center" wrapText="1"/>
    </xf>
    <xf numFmtId="0" fontId="6" fillId="17" borderId="357" xfId="0" applyFont="1" applyFill="1" applyBorder="1" applyAlignment="1">
      <alignment horizontal="left" vertical="center" wrapText="1"/>
    </xf>
    <xf numFmtId="0" fontId="6" fillId="17" borderId="494" xfId="0" applyFont="1" applyFill="1" applyBorder="1" applyAlignment="1">
      <alignment horizontal="left" vertical="center" wrapText="1"/>
    </xf>
    <xf numFmtId="0" fontId="8" fillId="16" borderId="0" xfId="0" quotePrefix="1" applyFont="1" applyFill="1" applyAlignment="1">
      <alignment horizontal="left" vertical="top" wrapText="1" indent="1"/>
    </xf>
    <xf numFmtId="0" fontId="8" fillId="16" borderId="0" xfId="0" applyFont="1" applyFill="1" applyAlignment="1">
      <alignment horizontal="left" vertical="top" wrapText="1" indent="1"/>
    </xf>
    <xf numFmtId="0" fontId="6" fillId="16" borderId="66" xfId="0" applyFont="1" applyFill="1" applyBorder="1" applyAlignment="1">
      <alignment horizontal="left" vertical="center" wrapText="1"/>
    </xf>
    <xf numFmtId="10" fontId="6" fillId="16" borderId="66" xfId="0" applyNumberFormat="1" applyFont="1" applyFill="1" applyBorder="1" applyAlignment="1">
      <alignment horizontal="center" vertical="center" wrapText="1"/>
    </xf>
    <xf numFmtId="14" fontId="173" fillId="96" borderId="0" xfId="0" applyNumberFormat="1" applyFont="1" applyFill="1" applyAlignment="1">
      <alignment horizontal="center" vertical="center"/>
    </xf>
    <xf numFmtId="0" fontId="8" fillId="16" borderId="0" xfId="0" applyFont="1" applyFill="1" applyAlignment="1">
      <alignment horizontal="left" vertical="top" wrapText="1"/>
    </xf>
    <xf numFmtId="0" fontId="99" fillId="97" borderId="0" xfId="0" applyFont="1" applyFill="1" applyAlignment="1">
      <alignment horizontal="center" vertical="center"/>
    </xf>
    <xf numFmtId="0" fontId="8" fillId="16" borderId="0" xfId="0" applyFont="1" applyFill="1" applyAlignment="1">
      <alignment vertical="top" wrapText="1"/>
    </xf>
    <xf numFmtId="0" fontId="75" fillId="16" borderId="66" xfId="0" applyFont="1" applyFill="1" applyBorder="1" applyAlignment="1">
      <alignment horizontal="center" vertical="center" wrapText="1"/>
    </xf>
    <xf numFmtId="0" fontId="154" fillId="16" borderId="0" xfId="0" applyFont="1" applyFill="1" applyAlignment="1">
      <alignment horizontal="left" vertical="center" wrapText="1" indent="1"/>
    </xf>
    <xf numFmtId="0" fontId="104" fillId="100" borderId="0" xfId="0" applyFont="1" applyFill="1" applyAlignment="1">
      <alignment horizontal="left" vertical="center" wrapText="1"/>
    </xf>
    <xf numFmtId="0" fontId="104" fillId="79" borderId="0" xfId="0" applyFont="1" applyFill="1" applyAlignment="1">
      <alignment horizontal="left" vertical="center" wrapText="1"/>
    </xf>
    <xf numFmtId="43" fontId="82" fillId="0" borderId="231" xfId="1" applyFont="1" applyFill="1" applyBorder="1" applyAlignment="1">
      <alignment horizontal="center" vertical="center"/>
    </xf>
    <xf numFmtId="43" fontId="82" fillId="0" borderId="183" xfId="1" applyFont="1" applyFill="1" applyBorder="1" applyAlignment="1">
      <alignment horizontal="center" vertical="center"/>
    </xf>
    <xf numFmtId="43" fontId="82" fillId="0" borderId="229" xfId="1" applyFont="1" applyFill="1" applyBorder="1" applyAlignment="1">
      <alignment horizontal="center" vertical="center"/>
    </xf>
    <xf numFmtId="43" fontId="106" fillId="0" borderId="96" xfId="1" applyFont="1" applyFill="1" applyBorder="1" applyAlignment="1">
      <alignment horizontal="center" vertical="center"/>
    </xf>
    <xf numFmtId="43" fontId="106" fillId="0" borderId="0" xfId="1" applyFont="1" applyFill="1" applyBorder="1" applyAlignment="1">
      <alignment horizontal="center" vertical="center"/>
    </xf>
    <xf numFmtId="43" fontId="106" fillId="0" borderId="92" xfId="1" applyFont="1" applyFill="1" applyBorder="1" applyAlignment="1">
      <alignment horizontal="center" vertical="center"/>
    </xf>
    <xf numFmtId="0" fontId="74" fillId="0" borderId="32" xfId="0" applyFont="1" applyBorder="1" applyAlignment="1">
      <alignment horizontal="center" wrapText="1"/>
    </xf>
    <xf numFmtId="0" fontId="74" fillId="0" borderId="33" xfId="0" applyFont="1" applyBorder="1" applyAlignment="1">
      <alignment horizontal="center" wrapText="1"/>
    </xf>
    <xf numFmtId="0" fontId="25" fillId="0" borderId="0" xfId="0" applyFont="1" applyAlignment="1">
      <alignment horizontal="left" vertical="top" wrapText="1"/>
    </xf>
    <xf numFmtId="0" fontId="7" fillId="0" borderId="113" xfId="0" applyFont="1" applyBorder="1" applyAlignment="1">
      <alignment horizontal="center" vertical="center" textRotation="90"/>
    </xf>
    <xf numFmtId="0" fontId="7" fillId="0" borderId="83" xfId="0" applyFont="1" applyBorder="1" applyAlignment="1">
      <alignment horizontal="center" vertical="center" textRotation="90"/>
    </xf>
    <xf numFmtId="0" fontId="7" fillId="0" borderId="115" xfId="0" applyFont="1" applyBorder="1" applyAlignment="1">
      <alignment horizontal="center" vertical="center" textRotation="90"/>
    </xf>
    <xf numFmtId="0" fontId="7" fillId="0" borderId="114" xfId="0" applyFont="1" applyBorder="1" applyAlignment="1">
      <alignment horizontal="center" vertical="center" textRotation="90"/>
    </xf>
    <xf numFmtId="0" fontId="7" fillId="0" borderId="116" xfId="0" applyFont="1" applyBorder="1" applyAlignment="1">
      <alignment horizontal="center" vertical="center" textRotation="90"/>
    </xf>
    <xf numFmtId="0" fontId="78" fillId="0" borderId="89" xfId="0" applyFont="1" applyFill="1" applyBorder="1" applyAlignment="1">
      <alignment horizontal="left" vertical="center" wrapText="1"/>
    </xf>
    <xf numFmtId="0" fontId="78" fillId="0" borderId="89" xfId="0" applyFont="1" applyFill="1" applyBorder="1" applyAlignment="1">
      <alignment horizontal="left" vertical="center"/>
    </xf>
    <xf numFmtId="0" fontId="74" fillId="0" borderId="18" xfId="0" applyFont="1" applyBorder="1" applyAlignment="1">
      <alignment horizontal="left"/>
    </xf>
    <xf numFmtId="0" fontId="74" fillId="0" borderId="33" xfId="0" applyFont="1" applyBorder="1" applyAlignment="1">
      <alignment horizontal="left"/>
    </xf>
    <xf numFmtId="0" fontId="74" fillId="0" borderId="184" xfId="0" applyFont="1" applyBorder="1" applyAlignment="1">
      <alignment horizontal="left"/>
    </xf>
    <xf numFmtId="0" fontId="74" fillId="0" borderId="241" xfId="0" applyFont="1" applyBorder="1" applyAlignment="1">
      <alignment horizontal="left"/>
    </xf>
    <xf numFmtId="0" fontId="74" fillId="0" borderId="185" xfId="0" applyFont="1" applyBorder="1" applyAlignment="1">
      <alignment horizontal="left"/>
    </xf>
    <xf numFmtId="0" fontId="74" fillId="0" borderId="240" xfId="0" applyFont="1" applyBorder="1" applyAlignment="1">
      <alignment horizontal="left"/>
    </xf>
    <xf numFmtId="43" fontId="98" fillId="0" borderId="95" xfId="1" applyFont="1" applyFill="1" applyBorder="1" applyAlignment="1">
      <alignment horizontal="center" vertical="center"/>
    </xf>
    <xf numFmtId="43" fontId="98" fillId="0" borderId="182" xfId="1" applyFont="1" applyFill="1" applyBorder="1" applyAlignment="1">
      <alignment horizontal="center" vertical="center"/>
    </xf>
    <xf numFmtId="43" fontId="98" fillId="0" borderId="91" xfId="1" applyFont="1" applyFill="1" applyBorder="1" applyAlignment="1">
      <alignment horizontal="center" vertical="center"/>
    </xf>
    <xf numFmtId="0" fontId="78" fillId="0" borderId="239" xfId="0" applyFont="1" applyBorder="1" applyAlignment="1">
      <alignment horizontal="center" wrapText="1"/>
    </xf>
    <xf numFmtId="0" fontId="78" fillId="0" borderId="235" xfId="0" applyFont="1" applyBorder="1" applyAlignment="1">
      <alignment horizontal="center" wrapText="1"/>
    </xf>
    <xf numFmtId="0" fontId="78" fillId="0" borderId="236" xfId="0" applyFont="1" applyBorder="1" applyAlignment="1">
      <alignment horizontal="center" wrapText="1"/>
    </xf>
    <xf numFmtId="0" fontId="137" fillId="0" borderId="0" xfId="0" applyFont="1" applyAlignment="1">
      <alignment horizontal="left" vertical="center"/>
    </xf>
    <xf numFmtId="0" fontId="78" fillId="0" borderId="237" xfId="0" applyFont="1" applyBorder="1" applyAlignment="1">
      <alignment horizontal="center" wrapText="1"/>
    </xf>
    <xf numFmtId="0" fontId="0" fillId="0" borderId="0" xfId="0" applyAlignment="1">
      <alignment horizontal="center"/>
    </xf>
    <xf numFmtId="0" fontId="5" fillId="85" borderId="73" xfId="0" applyFont="1" applyFill="1" applyBorder="1" applyAlignment="1">
      <alignment horizontal="center"/>
    </xf>
    <xf numFmtId="0" fontId="5" fillId="85" borderId="47" xfId="0" applyFont="1" applyFill="1" applyBorder="1" applyAlignment="1">
      <alignment horizontal="center"/>
    </xf>
    <xf numFmtId="0" fontId="5" fillId="85" borderId="74" xfId="0" applyFont="1" applyFill="1" applyBorder="1" applyAlignment="1">
      <alignment horizontal="center"/>
    </xf>
    <xf numFmtId="0" fontId="78" fillId="19" borderId="67" xfId="0" applyFont="1" applyFill="1" applyBorder="1" applyAlignment="1">
      <alignment horizontal="center" vertical="center"/>
    </xf>
    <xf numFmtId="0" fontId="78" fillId="19" borderId="18" xfId="0" applyFont="1" applyFill="1" applyBorder="1" applyAlignment="1">
      <alignment horizontal="center" vertical="center"/>
    </xf>
    <xf numFmtId="0" fontId="78" fillId="19" borderId="19" xfId="0" applyFont="1" applyFill="1" applyBorder="1" applyAlignment="1">
      <alignment horizontal="center" vertical="center"/>
    </xf>
    <xf numFmtId="0" fontId="74" fillId="32" borderId="30" xfId="0" applyFont="1" applyFill="1" applyBorder="1" applyAlignment="1">
      <alignment horizontal="center" vertical="center"/>
    </xf>
    <xf numFmtId="0" fontId="74" fillId="32" borderId="0" xfId="0" applyFont="1" applyFill="1" applyBorder="1" applyAlignment="1">
      <alignment horizontal="center" vertical="center"/>
    </xf>
    <xf numFmtId="0" fontId="78" fillId="21" borderId="0" xfId="0" applyFont="1" applyFill="1" applyBorder="1" applyAlignment="1">
      <alignment horizontal="center" vertical="center"/>
    </xf>
    <xf numFmtId="0" fontId="78" fillId="21" borderId="67" xfId="0" applyFont="1" applyFill="1" applyBorder="1" applyAlignment="1">
      <alignment horizontal="center" vertical="center"/>
    </xf>
    <xf numFmtId="0" fontId="78" fillId="21" borderId="18" xfId="0" applyFont="1" applyFill="1" applyBorder="1" applyAlignment="1">
      <alignment horizontal="center" vertical="center"/>
    </xf>
    <xf numFmtId="0" fontId="78" fillId="21" borderId="19" xfId="0" applyFont="1" applyFill="1" applyBorder="1" applyAlignment="1">
      <alignment horizontal="center" vertical="center"/>
    </xf>
    <xf numFmtId="0" fontId="74" fillId="22" borderId="0" xfId="0" applyFont="1" applyFill="1" applyBorder="1" applyAlignment="1">
      <alignment horizontal="center" vertical="center"/>
    </xf>
    <xf numFmtId="0" fontId="74" fillId="22" borderId="31" xfId="0" applyFont="1" applyFill="1" applyBorder="1" applyAlignment="1">
      <alignment horizontal="center" vertical="center"/>
    </xf>
    <xf numFmtId="0" fontId="78" fillId="0" borderId="238" xfId="0" applyFont="1" applyBorder="1" applyAlignment="1">
      <alignment horizontal="center" wrapText="1"/>
    </xf>
    <xf numFmtId="0" fontId="110" fillId="17" borderId="0" xfId="0" applyFont="1" applyFill="1" applyAlignment="1">
      <alignment horizontal="left" vertical="center" wrapText="1"/>
    </xf>
    <xf numFmtId="0" fontId="110" fillId="16" borderId="202" xfId="0" applyFont="1" applyFill="1" applyBorder="1" applyAlignment="1">
      <alignment horizontal="left" vertical="top" wrapText="1"/>
    </xf>
    <xf numFmtId="0" fontId="110" fillId="16" borderId="203" xfId="0" applyFont="1" applyFill="1" applyBorder="1" applyAlignment="1">
      <alignment horizontal="left" vertical="top" wrapText="1"/>
    </xf>
    <xf numFmtId="0" fontId="110" fillId="16" borderId="204" xfId="0" applyFont="1" applyFill="1" applyBorder="1" applyAlignment="1">
      <alignment horizontal="left" vertical="top" wrapText="1"/>
    </xf>
    <xf numFmtId="0" fontId="113" fillId="17" borderId="0" xfId="0" applyFont="1" applyFill="1" applyAlignment="1">
      <alignment horizontal="left" vertical="center" wrapText="1"/>
    </xf>
    <xf numFmtId="0" fontId="110" fillId="17" borderId="0" xfId="0" quotePrefix="1" applyFont="1" applyFill="1" applyAlignment="1">
      <alignment horizontal="left" vertical="center" wrapText="1"/>
    </xf>
    <xf numFmtId="0" fontId="0" fillId="21" borderId="5" xfId="0" applyFill="1" applyBorder="1" applyAlignment="1">
      <alignment horizontal="center" vertical="center"/>
    </xf>
    <xf numFmtId="0" fontId="0" fillId="21" borderId="6" xfId="0" applyFill="1" applyBorder="1" applyAlignment="1">
      <alignment horizontal="center" vertical="center"/>
    </xf>
    <xf numFmtId="0" fontId="6" fillId="28" borderId="0" xfId="0" applyFont="1" applyFill="1" applyAlignment="1">
      <alignment horizontal="left" vertical="center" wrapText="1"/>
    </xf>
    <xf numFmtId="0" fontId="123" fillId="26" borderId="17" xfId="0" applyFont="1" applyFill="1" applyBorder="1" applyAlignment="1">
      <alignment horizontal="center"/>
    </xf>
    <xf numFmtId="0" fontId="123" fillId="26" borderId="18" xfId="0" applyFont="1" applyFill="1" applyBorder="1" applyAlignment="1">
      <alignment horizontal="center"/>
    </xf>
    <xf numFmtId="0" fontId="123" fillId="26" borderId="19" xfId="0" applyFont="1" applyFill="1" applyBorder="1" applyAlignment="1">
      <alignment horizontal="center"/>
    </xf>
    <xf numFmtId="0" fontId="99" fillId="102" borderId="73" xfId="0" applyFont="1" applyFill="1" applyBorder="1" applyAlignment="1">
      <alignment horizontal="center"/>
    </xf>
    <xf numFmtId="0" fontId="99" fillId="102" borderId="74" xfId="0" applyFont="1" applyFill="1" applyBorder="1" applyAlignment="1">
      <alignment horizontal="center"/>
    </xf>
    <xf numFmtId="0" fontId="128" fillId="17" borderId="73" xfId="0" applyFont="1" applyFill="1" applyBorder="1" applyAlignment="1">
      <alignment horizontal="left" vertical="center" wrapText="1"/>
    </xf>
    <xf numFmtId="0" fontId="128" fillId="17" borderId="47" xfId="0" applyFont="1" applyFill="1" applyBorder="1" applyAlignment="1">
      <alignment horizontal="left" vertical="center" wrapText="1"/>
    </xf>
    <xf numFmtId="0" fontId="128" fillId="17" borderId="74" xfId="0" applyFont="1" applyFill="1" applyBorder="1" applyAlignment="1">
      <alignment horizontal="left" vertical="center" wrapText="1"/>
    </xf>
    <xf numFmtId="0" fontId="6" fillId="16" borderId="73" xfId="0" applyFont="1" applyFill="1" applyBorder="1" applyAlignment="1">
      <alignment horizontal="left" vertical="center" wrapText="1"/>
    </xf>
    <xf numFmtId="0" fontId="6" fillId="16" borderId="47" xfId="0" applyFont="1" applyFill="1" applyBorder="1" applyAlignment="1">
      <alignment horizontal="left" vertical="center" wrapText="1"/>
    </xf>
    <xf numFmtId="0" fontId="6" fillId="16" borderId="74" xfId="0" applyFont="1" applyFill="1" applyBorder="1" applyAlignment="1">
      <alignment horizontal="left" vertical="center" wrapText="1"/>
    </xf>
    <xf numFmtId="2" fontId="6" fillId="35" borderId="179" xfId="2" applyNumberFormat="1" applyFont="1" applyFill="1" applyBorder="1" applyAlignment="1">
      <alignment horizontal="left"/>
    </xf>
    <xf numFmtId="2" fontId="6" fillId="35" borderId="180" xfId="2" applyNumberFormat="1" applyFont="1" applyFill="1" applyBorder="1" applyAlignment="1">
      <alignment horizontal="left"/>
    </xf>
    <xf numFmtId="2" fontId="6" fillId="35" borderId="181" xfId="2" applyNumberFormat="1" applyFont="1" applyFill="1" applyBorder="1" applyAlignment="1">
      <alignment horizontal="left"/>
    </xf>
    <xf numFmtId="0" fontId="118" fillId="111" borderId="143" xfId="9" applyFont="1" applyFill="1" applyBorder="1" applyAlignment="1">
      <alignment horizontal="center"/>
    </xf>
    <xf numFmtId="0" fontId="118" fillId="111" borderId="144" xfId="9" applyFont="1" applyFill="1" applyBorder="1" applyAlignment="1">
      <alignment horizontal="center"/>
    </xf>
    <xf numFmtId="0" fontId="75" fillId="111" borderId="143" xfId="0" applyFont="1" applyFill="1" applyBorder="1" applyAlignment="1">
      <alignment horizontal="center"/>
    </xf>
    <xf numFmtId="0" fontId="75" fillId="111" borderId="144" xfId="0" applyFont="1" applyFill="1" applyBorder="1" applyAlignment="1">
      <alignment horizontal="center"/>
    </xf>
    <xf numFmtId="0" fontId="99" fillId="97" borderId="73" xfId="0" applyFont="1" applyFill="1" applyBorder="1" applyAlignment="1">
      <alignment horizontal="center"/>
    </xf>
    <xf numFmtId="0" fontId="99" fillId="97" borderId="256" xfId="0" applyFont="1" applyFill="1" applyBorder="1" applyAlignment="1">
      <alignment horizontal="center"/>
    </xf>
    <xf numFmtId="0" fontId="99" fillId="97" borderId="74" xfId="0" applyFont="1" applyFill="1" applyBorder="1" applyAlignment="1">
      <alignment horizontal="center"/>
    </xf>
    <xf numFmtId="164" fontId="107" fillId="17" borderId="485" xfId="4" applyNumberFormat="1" applyFont="1" applyFill="1" applyBorder="1" applyAlignment="1">
      <alignment horizontal="center" vertical="center" wrapText="1"/>
    </xf>
    <xf numFmtId="164" fontId="107" fillId="17" borderId="309" xfId="4" applyNumberFormat="1" applyFont="1" applyFill="1" applyBorder="1" applyAlignment="1">
      <alignment horizontal="center" vertical="center" wrapText="1"/>
    </xf>
    <xf numFmtId="164" fontId="107" fillId="17" borderId="502" xfId="4" applyNumberFormat="1" applyFont="1" applyFill="1" applyBorder="1" applyAlignment="1">
      <alignment horizontal="center" vertical="center" wrapText="1"/>
    </xf>
    <xf numFmtId="0" fontId="99" fillId="33" borderId="446" xfId="0" applyFont="1" applyFill="1" applyBorder="1" applyAlignment="1">
      <alignment horizontal="center"/>
    </xf>
    <xf numFmtId="0" fontId="99" fillId="33" borderId="256" xfId="0" applyFont="1" applyFill="1" applyBorder="1" applyAlignment="1">
      <alignment horizontal="center"/>
    </xf>
    <xf numFmtId="0" fontId="99" fillId="33" borderId="450" xfId="0" applyFont="1" applyFill="1" applyBorder="1" applyAlignment="1">
      <alignment horizontal="center"/>
    </xf>
    <xf numFmtId="0" fontId="99" fillId="96" borderId="446" xfId="0" applyFont="1" applyFill="1" applyBorder="1" applyAlignment="1">
      <alignment horizontal="center"/>
    </xf>
    <xf numFmtId="0" fontId="99" fillId="96" borderId="256" xfId="0" applyFont="1" applyFill="1" applyBorder="1" applyAlignment="1">
      <alignment horizontal="center"/>
    </xf>
    <xf numFmtId="0" fontId="99" fillId="96" borderId="450" xfId="0" applyFont="1" applyFill="1" applyBorder="1" applyAlignment="1">
      <alignment horizontal="center"/>
    </xf>
    <xf numFmtId="0" fontId="117" fillId="16" borderId="0" xfId="9" applyFont="1" applyFill="1" applyBorder="1" applyAlignment="1">
      <alignment horizontal="left" wrapText="1"/>
    </xf>
    <xf numFmtId="0" fontId="11" fillId="26" borderId="17" xfId="0" applyFont="1" applyFill="1" applyBorder="1" applyAlignment="1">
      <alignment horizontal="center"/>
    </xf>
    <xf numFmtId="0" fontId="11" fillId="26" borderId="18" xfId="0" applyFont="1" applyFill="1" applyBorder="1" applyAlignment="1">
      <alignment horizontal="center"/>
    </xf>
    <xf numFmtId="0" fontId="11" fillId="26" borderId="19" xfId="0" applyFont="1" applyFill="1" applyBorder="1" applyAlignment="1">
      <alignment horizontal="center"/>
    </xf>
    <xf numFmtId="0" fontId="15" fillId="96" borderId="73" xfId="0" applyFont="1" applyFill="1" applyBorder="1" applyAlignment="1">
      <alignment horizontal="center"/>
    </xf>
    <xf numFmtId="0" fontId="15" fillId="96" borderId="256" xfId="0" applyFont="1" applyFill="1" applyBorder="1" applyAlignment="1">
      <alignment horizontal="center"/>
    </xf>
    <xf numFmtId="0" fontId="5" fillId="33" borderId="73" xfId="0" applyFont="1" applyFill="1" applyBorder="1" applyAlignment="1">
      <alignment horizontal="center"/>
    </xf>
    <xf numFmtId="0" fontId="5" fillId="33" borderId="256" xfId="0" applyFont="1" applyFill="1" applyBorder="1" applyAlignment="1">
      <alignment horizontal="center"/>
    </xf>
    <xf numFmtId="0" fontId="5" fillId="33" borderId="74" xfId="0" applyFont="1" applyFill="1" applyBorder="1" applyAlignment="1">
      <alignment horizontal="center"/>
    </xf>
    <xf numFmtId="0" fontId="117" fillId="21" borderId="73" xfId="0" applyFont="1" applyFill="1" applyBorder="1" applyAlignment="1">
      <alignment horizontal="left" vertical="top" wrapText="1"/>
    </xf>
    <xf numFmtId="0" fontId="117" fillId="21" borderId="47" xfId="0" applyFont="1" applyFill="1" applyBorder="1" applyAlignment="1">
      <alignment horizontal="left" vertical="top" wrapText="1"/>
    </xf>
    <xf numFmtId="0" fontId="117" fillId="21" borderId="256" xfId="0" applyFont="1" applyFill="1" applyBorder="1" applyAlignment="1">
      <alignment horizontal="left" vertical="top" wrapText="1"/>
    </xf>
    <xf numFmtId="0" fontId="117" fillId="21" borderId="74" xfId="0" applyFont="1" applyFill="1" applyBorder="1" applyAlignment="1">
      <alignment horizontal="left" vertical="top" wrapText="1"/>
    </xf>
    <xf numFmtId="0" fontId="5" fillId="102" borderId="73" xfId="0" applyFont="1" applyFill="1" applyBorder="1" applyAlignment="1">
      <alignment horizontal="center"/>
    </xf>
    <xf numFmtId="0" fontId="5" fillId="102" borderId="74" xfId="0" applyFont="1" applyFill="1" applyBorder="1" applyAlignment="1">
      <alignment horizontal="center"/>
    </xf>
    <xf numFmtId="0" fontId="5" fillId="97" borderId="73" xfId="0" applyFont="1" applyFill="1" applyBorder="1" applyAlignment="1">
      <alignment horizontal="center"/>
    </xf>
    <xf numFmtId="0" fontId="5" fillId="97" borderId="256" xfId="0" applyFont="1" applyFill="1" applyBorder="1" applyAlignment="1">
      <alignment horizontal="center"/>
    </xf>
    <xf numFmtId="0" fontId="5" fillId="97" borderId="74" xfId="0" applyFont="1" applyFill="1" applyBorder="1" applyAlignment="1">
      <alignment horizontal="center"/>
    </xf>
    <xf numFmtId="0" fontId="6" fillId="21" borderId="73" xfId="0" applyFont="1" applyFill="1" applyBorder="1" applyAlignment="1">
      <alignment horizontal="left" vertical="top" wrapText="1"/>
    </xf>
    <xf numFmtId="0" fontId="6" fillId="21" borderId="47" xfId="0" applyFont="1" applyFill="1" applyBorder="1" applyAlignment="1">
      <alignment horizontal="left" vertical="top" wrapText="1"/>
    </xf>
    <xf numFmtId="0" fontId="6" fillId="21" borderId="256" xfId="0" applyFont="1" applyFill="1" applyBorder="1" applyAlignment="1">
      <alignment horizontal="left" vertical="top" wrapText="1"/>
    </xf>
    <xf numFmtId="0" fontId="6" fillId="21" borderId="74" xfId="0" applyFont="1" applyFill="1" applyBorder="1" applyAlignment="1">
      <alignment horizontal="left" vertical="top" wrapText="1"/>
    </xf>
    <xf numFmtId="0" fontId="99" fillId="30" borderId="73" xfId="0" applyFont="1" applyFill="1" applyBorder="1" applyAlignment="1">
      <alignment horizontal="center"/>
    </xf>
    <xf numFmtId="0" fontId="99" fillId="30" borderId="256" xfId="0" applyFont="1" applyFill="1" applyBorder="1" applyAlignment="1">
      <alignment horizontal="center"/>
    </xf>
    <xf numFmtId="0" fontId="99" fillId="33" borderId="73" xfId="0" applyFont="1" applyFill="1" applyBorder="1" applyAlignment="1">
      <alignment horizontal="center"/>
    </xf>
    <xf numFmtId="0" fontId="99" fillId="33" borderId="74" xfId="0" applyFont="1" applyFill="1" applyBorder="1" applyAlignment="1">
      <alignment horizontal="center"/>
    </xf>
    <xf numFmtId="0" fontId="6" fillId="16" borderId="0" xfId="0" applyFont="1" applyFill="1" applyAlignment="1">
      <alignment horizontal="center"/>
    </xf>
    <xf numFmtId="0" fontId="6" fillId="16" borderId="4" xfId="0" applyFont="1" applyFill="1" applyBorder="1" applyAlignment="1">
      <alignment horizontal="center"/>
    </xf>
    <xf numFmtId="0" fontId="6" fillId="16" borderId="147" xfId="0" applyFont="1" applyFill="1" applyBorder="1" applyAlignment="1">
      <alignment horizontal="center"/>
    </xf>
    <xf numFmtId="0" fontId="6" fillId="16" borderId="146" xfId="0" applyFont="1" applyFill="1" applyBorder="1" applyAlignment="1">
      <alignment horizontal="center"/>
    </xf>
    <xf numFmtId="0" fontId="75" fillId="97" borderId="68" xfId="0" applyFont="1" applyFill="1" applyBorder="1" applyAlignment="1">
      <alignment horizontal="center" wrapText="1"/>
    </xf>
    <xf numFmtId="0" fontId="75" fillId="97" borderId="68" xfId="0" applyFont="1" applyFill="1" applyBorder="1" applyAlignment="1">
      <alignment horizontal="center" vertical="center" wrapText="1"/>
    </xf>
    <xf numFmtId="0" fontId="6" fillId="17" borderId="81" xfId="0" applyFont="1" applyFill="1" applyBorder="1" applyAlignment="1">
      <alignment horizontal="left" vertical="center" wrapText="1"/>
    </xf>
    <xf numFmtId="0" fontId="6" fillId="17" borderId="149" xfId="0" applyFont="1" applyFill="1" applyBorder="1" applyAlignment="1">
      <alignment horizontal="left" vertical="center" wrapText="1"/>
    </xf>
    <xf numFmtId="0" fontId="6" fillId="17" borderId="75" xfId="0" applyFont="1" applyFill="1" applyBorder="1" applyAlignment="1">
      <alignment horizontal="left" vertical="center" wrapText="1"/>
    </xf>
    <xf numFmtId="0" fontId="6" fillId="17" borderId="32" xfId="0" applyFont="1" applyFill="1" applyBorder="1" applyAlignment="1">
      <alignment horizontal="left" vertical="center" wrapText="1"/>
    </xf>
    <xf numFmtId="0" fontId="6" fillId="17" borderId="33" xfId="0" applyFont="1" applyFill="1" applyBorder="1" applyAlignment="1">
      <alignment horizontal="left" vertical="center" wrapText="1"/>
    </xf>
    <xf numFmtId="0" fontId="6" fillId="17" borderId="34" xfId="0" applyFont="1" applyFill="1" applyBorder="1" applyAlignment="1">
      <alignment horizontal="left" vertical="center" wrapText="1"/>
    </xf>
    <xf numFmtId="0" fontId="119" fillId="16" borderId="0" xfId="0" applyFont="1" applyFill="1" applyAlignment="1">
      <alignment horizontal="left" vertical="center" wrapText="1"/>
    </xf>
    <xf numFmtId="0" fontId="104" fillId="96" borderId="0" xfId="0" applyFont="1" applyFill="1" applyBorder="1" applyAlignment="1">
      <alignment horizontal="center" vertical="center"/>
    </xf>
    <xf numFmtId="0" fontId="104" fillId="96" borderId="33" xfId="0" applyFont="1" applyFill="1" applyBorder="1" applyAlignment="1">
      <alignment horizontal="center" vertical="center"/>
    </xf>
    <xf numFmtId="0" fontId="146" fillId="23" borderId="150" xfId="9108" applyFont="1" applyFill="1" applyBorder="1" applyAlignment="1">
      <alignment horizontal="left" vertical="center"/>
    </xf>
    <xf numFmtId="0" fontId="146" fillId="23" borderId="82" xfId="9108" applyFont="1" applyFill="1" applyBorder="1" applyAlignment="1">
      <alignment horizontal="left" vertical="center"/>
    </xf>
    <xf numFmtId="0" fontId="146" fillId="23" borderId="55" xfId="9108" applyFont="1" applyFill="1" applyBorder="1" applyAlignment="1">
      <alignment horizontal="left" vertical="center"/>
    </xf>
    <xf numFmtId="0" fontId="146" fillId="25" borderId="255" xfId="9108" applyFont="1" applyFill="1" applyBorder="1" applyAlignment="1">
      <alignment horizontal="left" vertical="center"/>
    </xf>
    <xf numFmtId="0" fontId="146" fillId="25" borderId="82" xfId="9108" applyFont="1" applyFill="1" applyBorder="1" applyAlignment="1">
      <alignment horizontal="left" vertical="center"/>
    </xf>
    <xf numFmtId="0" fontId="146" fillId="25" borderId="55" xfId="9108" applyFont="1" applyFill="1" applyBorder="1" applyAlignment="1">
      <alignment horizontal="left" vertical="center"/>
    </xf>
    <xf numFmtId="164" fontId="6" fillId="0" borderId="5" xfId="135" applyNumberFormat="1" applyFont="1" applyBorder="1" applyAlignment="1">
      <alignment horizontal="center" vertical="center" wrapText="1"/>
    </xf>
    <xf numFmtId="164" fontId="6" fillId="0" borderId="6" xfId="135" applyNumberFormat="1" applyFont="1" applyBorder="1" applyAlignment="1">
      <alignment horizontal="center" vertical="center" wrapText="1"/>
    </xf>
    <xf numFmtId="164" fontId="6" fillId="0" borderId="132" xfId="135" applyNumberFormat="1" applyFont="1" applyBorder="1" applyAlignment="1">
      <alignment horizontal="center" vertical="center" wrapText="1"/>
    </xf>
    <xf numFmtId="164" fontId="6" fillId="0" borderId="133" xfId="135" applyNumberFormat="1" applyFont="1" applyBorder="1" applyAlignment="1">
      <alignment horizontal="center" vertical="center" wrapText="1"/>
    </xf>
    <xf numFmtId="0" fontId="116" fillId="0" borderId="73" xfId="0" applyFont="1" applyFill="1" applyBorder="1" applyAlignment="1">
      <alignment horizontal="center" wrapText="1"/>
    </xf>
    <xf numFmtId="0" fontId="116" fillId="0" borderId="47" xfId="0" applyFont="1" applyFill="1" applyBorder="1" applyAlignment="1">
      <alignment horizontal="center" wrapText="1"/>
    </xf>
    <xf numFmtId="0" fontId="116" fillId="0" borderId="74" xfId="0" applyFont="1" applyFill="1" applyBorder="1" applyAlignment="1">
      <alignment horizontal="center" wrapText="1"/>
    </xf>
    <xf numFmtId="0" fontId="6" fillId="0" borderId="73" xfId="0" applyFont="1" applyBorder="1" applyAlignment="1">
      <alignment horizontal="center"/>
    </xf>
    <xf numFmtId="0" fontId="6" fillId="0" borderId="47" xfId="0" applyFont="1" applyBorder="1" applyAlignment="1">
      <alignment horizontal="center"/>
    </xf>
    <xf numFmtId="0" fontId="6" fillId="0" borderId="74" xfId="0" applyFont="1" applyBorder="1" applyAlignment="1">
      <alignment horizontal="center"/>
    </xf>
    <xf numFmtId="0" fontId="75" fillId="16" borderId="0" xfId="0" applyFont="1" applyFill="1" applyAlignment="1">
      <alignment horizontal="left" vertical="center" wrapText="1"/>
    </xf>
    <xf numFmtId="0" fontId="6" fillId="16" borderId="0" xfId="0" applyFont="1" applyFill="1" applyAlignment="1">
      <alignment horizontal="left" vertical="top" wrapText="1"/>
    </xf>
    <xf numFmtId="0" fontId="6" fillId="16" borderId="0" xfId="0" applyFont="1" applyFill="1" applyAlignment="1">
      <alignment horizontal="left" wrapText="1"/>
    </xf>
    <xf numFmtId="0" fontId="8" fillId="23" borderId="409" xfId="0" applyFont="1" applyFill="1" applyBorder="1" applyAlignment="1">
      <alignment horizontal="center" wrapText="1"/>
    </xf>
    <xf numFmtId="0" fontId="8" fillId="23" borderId="410" xfId="0" applyFont="1" applyFill="1" applyBorder="1" applyAlignment="1">
      <alignment horizontal="center" wrapText="1"/>
    </xf>
    <xf numFmtId="0" fontId="75" fillId="16" borderId="5" xfId="0" applyFont="1" applyFill="1" applyBorder="1" applyAlignment="1">
      <alignment horizontal="center" wrapText="1"/>
    </xf>
    <xf numFmtId="0" fontId="75" fillId="16" borderId="131" xfId="0" applyFont="1" applyFill="1" applyBorder="1" applyAlignment="1">
      <alignment horizontal="center" wrapText="1"/>
    </xf>
    <xf numFmtId="0" fontId="75" fillId="16" borderId="6" xfId="0" applyFont="1" applyFill="1" applyBorder="1" applyAlignment="1">
      <alignment horizontal="center" wrapText="1"/>
    </xf>
    <xf numFmtId="164" fontId="6" fillId="25" borderId="68" xfId="0" applyNumberFormat="1" applyFont="1" applyFill="1" applyBorder="1" applyAlignment="1">
      <alignment horizontal="center" vertical="center" wrapText="1"/>
    </xf>
    <xf numFmtId="0" fontId="6" fillId="25" borderId="68" xfId="0" applyFont="1" applyFill="1" applyBorder="1" applyAlignment="1">
      <alignment horizontal="center" vertical="center"/>
    </xf>
    <xf numFmtId="0" fontId="6" fillId="25" borderId="68" xfId="0" applyFont="1" applyFill="1" applyBorder="1" applyAlignment="1">
      <alignment horizontal="center" vertical="center" wrapText="1"/>
    </xf>
    <xf numFmtId="0" fontId="0" fillId="21" borderId="81" xfId="0" applyFill="1" applyBorder="1" applyAlignment="1">
      <alignment horizontal="left" vertical="center" wrapText="1"/>
    </xf>
    <xf numFmtId="0" fontId="0" fillId="21" borderId="149" xfId="0" applyFill="1" applyBorder="1" applyAlignment="1">
      <alignment horizontal="left" vertical="center" wrapText="1"/>
    </xf>
    <xf numFmtId="0" fontId="0" fillId="21" borderId="75" xfId="0" applyFill="1" applyBorder="1" applyAlignment="1">
      <alignment horizontal="left" vertical="center" wrapText="1"/>
    </xf>
    <xf numFmtId="0" fontId="0" fillId="21" borderId="32"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124" fillId="96" borderId="68" xfId="0" applyFont="1" applyFill="1" applyBorder="1" applyAlignment="1">
      <alignment horizontal="center" vertical="center"/>
    </xf>
    <xf numFmtId="0" fontId="4" fillId="97" borderId="68" xfId="0" applyFont="1" applyFill="1" applyBorder="1" applyAlignment="1">
      <alignment horizontal="center" wrapText="1"/>
    </xf>
    <xf numFmtId="0" fontId="4" fillId="97" borderId="68" xfId="0" applyFont="1" applyFill="1" applyBorder="1" applyAlignment="1">
      <alignment horizontal="center" vertical="center" wrapText="1"/>
    </xf>
    <xf numFmtId="0" fontId="22" fillId="17" borderId="255" xfId="9108" applyFill="1" applyBorder="1" applyAlignment="1">
      <alignment horizontal="left" vertical="center"/>
    </xf>
    <xf numFmtId="0" fontId="22" fillId="17" borderId="55" xfId="9108" applyFill="1" applyBorder="1" applyAlignment="1">
      <alignment horizontal="left" vertical="center"/>
    </xf>
    <xf numFmtId="0" fontId="22" fillId="25" borderId="255" xfId="9108" applyFill="1" applyBorder="1" applyAlignment="1">
      <alignment horizontal="left" vertical="center"/>
    </xf>
    <xf numFmtId="0" fontId="22" fillId="25" borderId="55" xfId="9108" applyFill="1" applyBorder="1" applyAlignment="1">
      <alignment horizontal="left" vertical="center"/>
    </xf>
    <xf numFmtId="0" fontId="22" fillId="23" borderId="255" xfId="9108" applyFill="1" applyBorder="1" applyAlignment="1">
      <alignment horizontal="left" vertical="center"/>
    </xf>
    <xf numFmtId="0" fontId="22" fillId="23" borderId="82" xfId="9108" applyFill="1" applyBorder="1" applyAlignment="1">
      <alignment horizontal="left" vertical="center"/>
    </xf>
    <xf numFmtId="0" fontId="22" fillId="23" borderId="55" xfId="9108" applyFill="1" applyBorder="1" applyAlignment="1">
      <alignment horizontal="left" vertical="center"/>
    </xf>
    <xf numFmtId="0" fontId="116" fillId="37" borderId="73" xfId="10" applyFont="1" applyFill="1" applyBorder="1" applyAlignment="1">
      <alignment horizontal="center" wrapText="1" readingOrder="1"/>
    </xf>
    <xf numFmtId="0" fontId="116" fillId="37" borderId="74" xfId="10" applyFont="1" applyFill="1" applyBorder="1" applyAlignment="1">
      <alignment horizontal="center" wrapText="1" readingOrder="1"/>
    </xf>
    <xf numFmtId="0" fontId="4" fillId="20" borderId="68" xfId="0" applyFont="1" applyFill="1" applyBorder="1" applyAlignment="1">
      <alignment horizontal="center" vertical="center"/>
    </xf>
    <xf numFmtId="0" fontId="0" fillId="16" borderId="4" xfId="0" applyFill="1" applyBorder="1" applyAlignment="1">
      <alignment horizontal="center"/>
    </xf>
    <xf numFmtId="0" fontId="0" fillId="16" borderId="147" xfId="0" applyFill="1" applyBorder="1" applyAlignment="1">
      <alignment horizontal="center"/>
    </xf>
    <xf numFmtId="0" fontId="0" fillId="16" borderId="146" xfId="0" applyFill="1" applyBorder="1" applyAlignment="1">
      <alignment horizontal="center"/>
    </xf>
    <xf numFmtId="0" fontId="0" fillId="16" borderId="0" xfId="0" applyFill="1" applyAlignment="1">
      <alignment horizontal="center"/>
    </xf>
    <xf numFmtId="0" fontId="24" fillId="0" borderId="73" xfId="0" applyFont="1" applyFill="1" applyBorder="1" applyAlignment="1">
      <alignment horizontal="center" wrapText="1"/>
    </xf>
    <xf numFmtId="0" fontId="24" fillId="0" borderId="256" xfId="0" applyFont="1" applyFill="1" applyBorder="1" applyAlignment="1">
      <alignment horizontal="center" wrapText="1"/>
    </xf>
    <xf numFmtId="0" fontId="24" fillId="0" borderId="74" xfId="0" applyFont="1" applyFill="1" applyBorder="1" applyAlignment="1">
      <alignment horizontal="center" wrapText="1"/>
    </xf>
    <xf numFmtId="0" fontId="0" fillId="0" borderId="73" xfId="0" applyBorder="1" applyAlignment="1">
      <alignment horizontal="center"/>
    </xf>
    <xf numFmtId="0" fontId="0" fillId="0" borderId="256" xfId="0" applyBorder="1" applyAlignment="1">
      <alignment horizontal="center"/>
    </xf>
    <xf numFmtId="0" fontId="0" fillId="0" borderId="74" xfId="0" applyBorder="1" applyAlignment="1">
      <alignment horizontal="center"/>
    </xf>
    <xf numFmtId="0" fontId="75" fillId="0" borderId="81" xfId="0" applyFont="1" applyBorder="1" applyAlignment="1">
      <alignment horizontal="center" vertical="center" wrapText="1"/>
    </xf>
    <xf numFmtId="0" fontId="75" fillId="0" borderId="149" xfId="0" applyFont="1" applyBorder="1" applyAlignment="1">
      <alignment horizontal="center" vertical="center" wrapText="1"/>
    </xf>
    <xf numFmtId="0" fontId="75" fillId="0" borderId="75"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33" xfId="0" applyFont="1" applyBorder="1" applyAlignment="1">
      <alignment horizontal="center" vertical="center" wrapText="1"/>
    </xf>
    <xf numFmtId="0" fontId="75" fillId="0" borderId="34" xfId="0" applyFont="1" applyBorder="1" applyAlignment="1">
      <alignment horizontal="center" vertical="center" wrapText="1"/>
    </xf>
    <xf numFmtId="0" fontId="117" fillId="79" borderId="0" xfId="0" applyFont="1" applyFill="1" applyAlignment="1">
      <alignment horizontal="left" vertical="center" wrapText="1"/>
    </xf>
    <xf numFmtId="0" fontId="117" fillId="28" borderId="73" xfId="0" quotePrefix="1" applyFont="1" applyFill="1" applyBorder="1" applyAlignment="1">
      <alignment horizontal="left" vertical="center" wrapText="1"/>
    </xf>
    <xf numFmtId="0" fontId="117" fillId="28" borderId="256" xfId="0" applyFont="1" applyFill="1" applyBorder="1" applyAlignment="1">
      <alignment horizontal="left" vertical="center" wrapText="1"/>
    </xf>
    <xf numFmtId="0" fontId="117" fillId="28" borderId="74" xfId="0" applyFont="1" applyFill="1" applyBorder="1" applyAlignment="1">
      <alignment horizontal="left" vertical="center" wrapText="1"/>
    </xf>
    <xf numFmtId="0" fontId="99" fillId="96" borderId="73" xfId="0" applyFont="1" applyFill="1" applyBorder="1" applyAlignment="1">
      <alignment horizontal="center"/>
    </xf>
    <xf numFmtId="0" fontId="99" fillId="96" borderId="74" xfId="0" applyFont="1" applyFill="1" applyBorder="1" applyAlignment="1">
      <alignment horizontal="center"/>
    </xf>
    <xf numFmtId="43" fontId="99" fillId="97" borderId="73" xfId="1" applyFont="1" applyFill="1" applyBorder="1" applyAlignment="1">
      <alignment horizontal="center"/>
    </xf>
    <xf numFmtId="43" fontId="99" fillId="97" borderId="256" xfId="1" applyFont="1" applyFill="1" applyBorder="1" applyAlignment="1">
      <alignment horizontal="center"/>
    </xf>
    <xf numFmtId="43" fontId="99" fillId="97" borderId="74" xfId="1" applyFont="1" applyFill="1" applyBorder="1" applyAlignment="1">
      <alignment horizontal="center"/>
    </xf>
    <xf numFmtId="0" fontId="6" fillId="31" borderId="56" xfId="0" applyFont="1" applyFill="1" applyBorder="1" applyAlignment="1">
      <alignment horizontal="center" vertical="center"/>
    </xf>
    <xf numFmtId="0" fontId="6" fillId="31" borderId="272" xfId="0" applyFont="1" applyFill="1" applyBorder="1" applyAlignment="1">
      <alignment horizontal="center" vertical="center"/>
    </xf>
    <xf numFmtId="0" fontId="6" fillId="31" borderId="273" xfId="0" applyFont="1" applyFill="1" applyBorder="1" applyAlignment="1">
      <alignment horizontal="center" vertical="center"/>
    </xf>
    <xf numFmtId="0" fontId="6" fillId="31" borderId="255" xfId="0" applyFont="1" applyFill="1" applyBorder="1" applyAlignment="1">
      <alignment horizontal="left" vertical="center"/>
    </xf>
    <xf numFmtId="0" fontId="6" fillId="31" borderId="82" xfId="0" applyFont="1" applyFill="1" applyBorder="1" applyAlignment="1">
      <alignment horizontal="left" vertical="center"/>
    </xf>
    <xf numFmtId="0" fontId="6" fillId="31" borderId="274" xfId="0" applyFont="1" applyFill="1" applyBorder="1" applyAlignment="1">
      <alignment horizontal="left" vertical="center"/>
    </xf>
    <xf numFmtId="0" fontId="104" fillId="97" borderId="4" xfId="0" applyFont="1" applyFill="1" applyBorder="1" applyAlignment="1">
      <alignment horizontal="center"/>
    </xf>
    <xf numFmtId="0" fontId="104" fillId="97" borderId="147" xfId="0" applyFont="1" applyFill="1" applyBorder="1" applyAlignment="1">
      <alignment horizontal="center"/>
    </xf>
    <xf numFmtId="0" fontId="6" fillId="19" borderId="79" xfId="0" applyFont="1" applyFill="1" applyBorder="1" applyAlignment="1">
      <alignment horizontal="center" vertical="center"/>
    </xf>
    <xf numFmtId="0" fontId="6" fillId="19" borderId="68" xfId="0" applyFont="1" applyFill="1" applyBorder="1" applyAlignment="1">
      <alignment horizontal="left" vertical="center"/>
    </xf>
    <xf numFmtId="0" fontId="6" fillId="29" borderId="56" xfId="0" applyFont="1" applyFill="1" applyBorder="1" applyAlignment="1">
      <alignment horizontal="center" vertical="center"/>
    </xf>
    <xf numFmtId="0" fontId="6" fillId="29" borderId="272" xfId="0" applyFont="1" applyFill="1" applyBorder="1" applyAlignment="1">
      <alignment horizontal="center" vertical="center"/>
    </xf>
    <xf numFmtId="0" fontId="6" fillId="29" borderId="54" xfId="0" applyFont="1" applyFill="1" applyBorder="1" applyAlignment="1">
      <alignment horizontal="center" vertical="center"/>
    </xf>
    <xf numFmtId="0" fontId="6" fillId="29" borderId="255" xfId="0" applyFont="1" applyFill="1" applyBorder="1" applyAlignment="1">
      <alignment horizontal="left" vertical="center"/>
    </xf>
    <xf numFmtId="0" fontId="6" fillId="29" borderId="82" xfId="0" applyFont="1" applyFill="1" applyBorder="1" applyAlignment="1">
      <alignment horizontal="left" vertical="center"/>
    </xf>
    <xf numFmtId="0" fontId="6" fillId="29" borderId="55" xfId="0" applyFont="1" applyFill="1" applyBorder="1" applyAlignment="1">
      <alignment horizontal="left" vertical="center"/>
    </xf>
    <xf numFmtId="0" fontId="6" fillId="21" borderId="73" xfId="0" applyFont="1" applyFill="1" applyBorder="1" applyAlignment="1">
      <alignment horizontal="left" vertical="center" wrapText="1"/>
    </xf>
    <xf numFmtId="0" fontId="6" fillId="21" borderId="47" xfId="0" applyFont="1" applyFill="1" applyBorder="1" applyAlignment="1">
      <alignment horizontal="left" vertical="center" wrapText="1"/>
    </xf>
    <xf numFmtId="0" fontId="6" fillId="21" borderId="256" xfId="0" applyFont="1" applyFill="1" applyBorder="1" applyAlignment="1">
      <alignment horizontal="left" vertical="center" wrapText="1"/>
    </xf>
    <xf numFmtId="0" fontId="6" fillId="21" borderId="74" xfId="0" applyFont="1" applyFill="1" applyBorder="1" applyAlignment="1">
      <alignment horizontal="left" vertical="center" wrapText="1"/>
    </xf>
    <xf numFmtId="0" fontId="6" fillId="23" borderId="79" xfId="0" applyFont="1" applyFill="1" applyBorder="1" applyAlignment="1">
      <alignment horizontal="center" vertical="center"/>
    </xf>
    <xf numFmtId="0" fontId="6" fillId="23" borderId="68" xfId="0" applyFont="1" applyFill="1" applyBorder="1" applyAlignment="1">
      <alignment horizontal="left" vertical="center"/>
    </xf>
    <xf numFmtId="0" fontId="131" fillId="21" borderId="81" xfId="0" applyFont="1" applyFill="1" applyBorder="1" applyAlignment="1">
      <alignment vertical="center" wrapText="1"/>
    </xf>
    <xf numFmtId="0" fontId="6" fillId="21" borderId="149" xfId="0" applyFont="1" applyFill="1" applyBorder="1" applyAlignment="1">
      <alignment vertical="center" wrapText="1"/>
    </xf>
    <xf numFmtId="0" fontId="6" fillId="21" borderId="75" xfId="0" applyFont="1" applyFill="1" applyBorder="1" applyAlignment="1">
      <alignment vertical="center" wrapText="1"/>
    </xf>
    <xf numFmtId="0" fontId="6" fillId="21" borderId="30" xfId="0" applyFont="1" applyFill="1" applyBorder="1" applyAlignment="1">
      <alignment vertical="center" wrapText="1"/>
    </xf>
    <xf numFmtId="0" fontId="6" fillId="21" borderId="0" xfId="0" applyFont="1" applyFill="1" applyBorder="1" applyAlignment="1">
      <alignment vertical="center" wrapText="1"/>
    </xf>
    <xf numFmtId="0" fontId="6" fillId="21" borderId="31" xfId="0" applyFont="1" applyFill="1" applyBorder="1" applyAlignment="1">
      <alignment vertical="center" wrapText="1"/>
    </xf>
    <xf numFmtId="0" fontId="6" fillId="21" borderId="32" xfId="0" applyFont="1" applyFill="1" applyBorder="1" applyAlignment="1">
      <alignment vertical="center" wrapText="1"/>
    </xf>
    <xf numFmtId="0" fontId="6" fillId="21" borderId="33" xfId="0" applyFont="1" applyFill="1" applyBorder="1" applyAlignment="1">
      <alignment vertical="center" wrapText="1"/>
    </xf>
    <xf numFmtId="0" fontId="6" fillId="21" borderId="34" xfId="0" applyFont="1" applyFill="1" applyBorder="1" applyAlignment="1">
      <alignment vertical="center" wrapText="1"/>
    </xf>
    <xf numFmtId="0" fontId="99" fillId="97" borderId="446" xfId="0" applyFont="1" applyFill="1" applyBorder="1" applyAlignment="1">
      <alignment horizontal="center"/>
    </xf>
    <xf numFmtId="0" fontId="99" fillId="97" borderId="450" xfId="0" applyFont="1" applyFill="1" applyBorder="1" applyAlignment="1">
      <alignment horizontal="center"/>
    </xf>
    <xf numFmtId="0" fontId="6" fillId="16" borderId="73" xfId="0" applyFont="1" applyFill="1" applyBorder="1" applyAlignment="1">
      <alignment horizontal="center"/>
    </xf>
    <xf numFmtId="0" fontId="6" fillId="16" borderId="256" xfId="0" applyFont="1" applyFill="1" applyBorder="1" applyAlignment="1">
      <alignment horizontal="center"/>
    </xf>
    <xf numFmtId="0" fontId="6" fillId="16" borderId="74" xfId="0" applyFont="1" applyFill="1" applyBorder="1" applyAlignment="1">
      <alignment horizontal="center"/>
    </xf>
    <xf numFmtId="0" fontId="6" fillId="16" borderId="0" xfId="0" applyFont="1" applyFill="1" applyAlignment="1">
      <alignment horizontal="left" vertical="center" wrapText="1"/>
    </xf>
    <xf numFmtId="0" fontId="75" fillId="16" borderId="33" xfId="0" applyFont="1" applyFill="1" applyBorder="1" applyAlignment="1">
      <alignment horizontal="center"/>
    </xf>
    <xf numFmtId="0" fontId="241" fillId="129" borderId="60" xfId="0" applyFont="1" applyFill="1" applyBorder="1" applyAlignment="1">
      <alignment horizontal="center" vertical="center"/>
    </xf>
    <xf numFmtId="0" fontId="241" fillId="129" borderId="151" xfId="0" applyFont="1" applyFill="1" applyBorder="1" applyAlignment="1">
      <alignment horizontal="center" vertical="center"/>
    </xf>
    <xf numFmtId="0" fontId="241" fillId="129" borderId="152" xfId="0" applyFont="1" applyFill="1" applyBorder="1" applyAlignment="1">
      <alignment horizontal="center" vertical="center"/>
    </xf>
    <xf numFmtId="0" fontId="241" fillId="130" borderId="60" xfId="0" applyFont="1" applyFill="1" applyBorder="1" applyAlignment="1">
      <alignment horizontal="center" vertical="center"/>
    </xf>
    <xf numFmtId="0" fontId="241" fillId="130" borderId="151" xfId="0" applyFont="1" applyFill="1" applyBorder="1" applyAlignment="1">
      <alignment horizontal="center" vertical="center"/>
    </xf>
    <xf numFmtId="0" fontId="241" fillId="130" borderId="152" xfId="0" applyFont="1" applyFill="1" applyBorder="1" applyAlignment="1">
      <alignment horizontal="center" vertical="center"/>
    </xf>
    <xf numFmtId="0" fontId="241" fillId="131" borderId="60" xfId="0" applyFont="1" applyFill="1" applyBorder="1" applyAlignment="1">
      <alignment horizontal="center" vertical="center"/>
    </xf>
    <xf numFmtId="0" fontId="241" fillId="131" borderId="152" xfId="0" applyFont="1" applyFill="1" applyBorder="1" applyAlignment="1">
      <alignment horizontal="center" vertical="center"/>
    </xf>
    <xf numFmtId="164" fontId="107" fillId="17" borderId="471" xfId="4" applyNumberFormat="1" applyFont="1" applyFill="1" applyBorder="1" applyAlignment="1">
      <alignment horizontal="center" vertical="center" wrapText="1"/>
    </xf>
    <xf numFmtId="164" fontId="107" fillId="17" borderId="130" xfId="4" applyNumberFormat="1" applyFont="1" applyFill="1" applyBorder="1" applyAlignment="1">
      <alignment horizontal="center" vertical="center" wrapText="1"/>
    </xf>
    <xf numFmtId="0" fontId="99" fillId="102" borderId="446" xfId="0" applyFont="1" applyFill="1" applyBorder="1" applyAlignment="1">
      <alignment horizontal="center"/>
    </xf>
    <xf numFmtId="0" fontId="99" fillId="102" borderId="450" xfId="0" applyFont="1" applyFill="1" applyBorder="1" applyAlignment="1">
      <alignment horizontal="center"/>
    </xf>
    <xf numFmtId="164" fontId="107" fillId="17" borderId="470" xfId="4" applyNumberFormat="1" applyFont="1" applyFill="1" applyBorder="1" applyAlignment="1">
      <alignment horizontal="center" vertical="center" wrapText="1"/>
    </xf>
    <xf numFmtId="0" fontId="6" fillId="17" borderId="81" xfId="0" quotePrefix="1" applyFont="1" applyFill="1" applyBorder="1" applyAlignment="1">
      <alignment horizontal="left" vertical="center" wrapText="1"/>
    </xf>
    <xf numFmtId="0" fontId="6" fillId="17" borderId="149" xfId="0" quotePrefix="1" applyFont="1" applyFill="1" applyBorder="1" applyAlignment="1">
      <alignment horizontal="left" vertical="center" wrapText="1"/>
    </xf>
    <xf numFmtId="0" fontId="6" fillId="17" borderId="75" xfId="0" quotePrefix="1" applyFont="1" applyFill="1" applyBorder="1" applyAlignment="1">
      <alignment horizontal="left" vertical="center" wrapText="1"/>
    </xf>
    <xf numFmtId="0" fontId="6" fillId="17" borderId="30" xfId="0" quotePrefix="1" applyFont="1" applyFill="1" applyBorder="1" applyAlignment="1">
      <alignment horizontal="left" vertical="center" wrapText="1"/>
    </xf>
    <xf numFmtId="0" fontId="6" fillId="17" borderId="0" xfId="0" quotePrefix="1" applyFont="1" applyFill="1" applyBorder="1" applyAlignment="1">
      <alignment horizontal="left" vertical="center" wrapText="1"/>
    </xf>
    <xf numFmtId="0" fontId="6" fillId="17" borderId="31" xfId="0" quotePrefix="1" applyFont="1" applyFill="1" applyBorder="1" applyAlignment="1">
      <alignment horizontal="left" vertical="center" wrapText="1"/>
    </xf>
    <xf numFmtId="0" fontId="6" fillId="17" borderId="32" xfId="0" quotePrefix="1" applyFont="1" applyFill="1" applyBorder="1" applyAlignment="1">
      <alignment horizontal="left" vertical="center" wrapText="1"/>
    </xf>
    <xf numFmtId="0" fontId="6" fillId="17" borderId="33" xfId="0" quotePrefix="1" applyFont="1" applyFill="1" applyBorder="1" applyAlignment="1">
      <alignment horizontal="left" vertical="center" wrapText="1"/>
    </xf>
    <xf numFmtId="0" fontId="6" fillId="17" borderId="34" xfId="0" quotePrefix="1" applyFont="1" applyFill="1" applyBorder="1" applyAlignment="1">
      <alignment horizontal="left" vertical="center" wrapText="1"/>
    </xf>
    <xf numFmtId="0" fontId="8" fillId="17" borderId="37" xfId="0" applyFont="1" applyFill="1" applyBorder="1" applyAlignment="1">
      <alignment horizontal="left" vertical="center" wrapText="1"/>
    </xf>
    <xf numFmtId="0" fontId="8" fillId="17" borderId="130" xfId="0" applyFont="1" applyFill="1" applyBorder="1" applyAlignment="1">
      <alignment horizontal="left" vertical="center" wrapText="1"/>
    </xf>
    <xf numFmtId="0" fontId="108" fillId="30" borderId="73" xfId="0" applyFont="1" applyFill="1" applyBorder="1" applyAlignment="1">
      <alignment horizontal="center"/>
    </xf>
    <xf numFmtId="0" fontId="108" fillId="30" borderId="256" xfId="0" applyFont="1" applyFill="1" applyBorder="1" applyAlignment="1">
      <alignment horizontal="center"/>
    </xf>
    <xf numFmtId="0" fontId="123" fillId="17" borderId="0" xfId="0" applyFont="1" applyFill="1" applyAlignment="1">
      <alignment horizontal="left" vertical="center" wrapText="1"/>
    </xf>
    <xf numFmtId="0" fontId="159" fillId="16" borderId="0" xfId="0" applyFont="1" applyFill="1" applyBorder="1" applyAlignment="1">
      <alignment horizontal="left" vertical="center"/>
    </xf>
    <xf numFmtId="0" fontId="70" fillId="19" borderId="4" xfId="0" applyFont="1" applyFill="1" applyBorder="1" applyAlignment="1">
      <alignment horizontal="center"/>
    </xf>
    <xf numFmtId="0" fontId="70" fillId="19" borderId="147" xfId="0" applyFont="1" applyFill="1" applyBorder="1" applyAlignment="1">
      <alignment horizontal="center"/>
    </xf>
    <xf numFmtId="0" fontId="70" fillId="19" borderId="146" xfId="0" applyFont="1" applyFill="1" applyBorder="1" applyAlignment="1">
      <alignment horizontal="center"/>
    </xf>
    <xf numFmtId="0" fontId="0" fillId="28" borderId="0" xfId="0" applyFill="1" applyBorder="1" applyAlignment="1">
      <alignment horizontal="left" vertical="center" wrapText="1" readingOrder="1"/>
    </xf>
    <xf numFmtId="0" fontId="99" fillId="24" borderId="73" xfId="0" applyFont="1" applyFill="1" applyBorder="1" applyAlignment="1">
      <alignment horizontal="center"/>
    </xf>
    <xf numFmtId="0" fontId="99" fillId="24" borderId="256" xfId="0" applyFont="1" applyFill="1" applyBorder="1" applyAlignment="1">
      <alignment horizontal="center"/>
    </xf>
    <xf numFmtId="0" fontId="99" fillId="24" borderId="74" xfId="0" applyFont="1" applyFill="1" applyBorder="1" applyAlignment="1">
      <alignment horizontal="center"/>
    </xf>
    <xf numFmtId="0" fontId="108" fillId="30" borderId="5" xfId="0" applyFont="1" applyFill="1" applyBorder="1" applyAlignment="1">
      <alignment horizontal="center" vertical="center"/>
    </xf>
    <xf numFmtId="0" fontId="108" fillId="30" borderId="6" xfId="0" applyFont="1" applyFill="1" applyBorder="1" applyAlignment="1">
      <alignment horizontal="center" vertical="center"/>
    </xf>
    <xf numFmtId="169" fontId="116" fillId="37" borderId="61" xfId="10" applyNumberFormat="1" applyFont="1" applyFill="1" applyBorder="1" applyAlignment="1">
      <alignment horizontal="center" wrapText="1" readingOrder="1"/>
    </xf>
    <xf numFmtId="169" fontId="116" fillId="37" borderId="223" xfId="10" applyNumberFormat="1" applyFont="1" applyFill="1" applyBorder="1" applyAlignment="1">
      <alignment horizontal="center" wrapText="1" readingOrder="1"/>
    </xf>
    <xf numFmtId="0" fontId="6" fillId="21" borderId="73" xfId="0" quotePrefix="1" applyFont="1" applyFill="1" applyBorder="1" applyAlignment="1">
      <alignment horizontal="left" vertical="center" wrapText="1"/>
    </xf>
    <xf numFmtId="9" fontId="222" fillId="16" borderId="451" xfId="0" applyNumberFormat="1" applyFont="1" applyFill="1" applyBorder="1" applyAlignment="1">
      <alignment horizontal="center" vertical="center"/>
    </xf>
    <xf numFmtId="9" fontId="222" fillId="16" borderId="296" xfId="0" applyNumberFormat="1" applyFont="1" applyFill="1" applyBorder="1" applyAlignment="1">
      <alignment horizontal="center" vertical="center"/>
    </xf>
    <xf numFmtId="0" fontId="6" fillId="0" borderId="446" xfId="0" applyFont="1" applyBorder="1" applyAlignment="1">
      <alignment wrapText="1"/>
    </xf>
    <xf numFmtId="0" fontId="6" fillId="0" borderId="256" xfId="0" applyFont="1" applyBorder="1" applyAlignment="1">
      <alignment wrapText="1"/>
    </xf>
    <xf numFmtId="0" fontId="6" fillId="0" borderId="450" xfId="0" applyFont="1" applyBorder="1" applyAlignment="1">
      <alignment wrapText="1"/>
    </xf>
    <xf numFmtId="0" fontId="6" fillId="0" borderId="446" xfId="0" applyFont="1" applyBorder="1" applyAlignment="1">
      <alignment vertical="center" wrapText="1"/>
    </xf>
    <xf numFmtId="0" fontId="6" fillId="0" borderId="256" xfId="0" applyFont="1" applyBorder="1" applyAlignment="1">
      <alignment vertical="center" wrapText="1"/>
    </xf>
    <xf numFmtId="0" fontId="6" fillId="0" borderId="450" xfId="0" applyFont="1" applyBorder="1" applyAlignment="1">
      <alignment vertical="center" wrapText="1"/>
    </xf>
    <xf numFmtId="0" fontId="6" fillId="0" borderId="446" xfId="0" applyFont="1" applyBorder="1"/>
    <xf numFmtId="0" fontId="6" fillId="0" borderId="256" xfId="0" applyFont="1" applyBorder="1"/>
    <xf numFmtId="0" fontId="6" fillId="0" borderId="450" xfId="0" applyFont="1" applyBorder="1"/>
    <xf numFmtId="2" fontId="6" fillId="35" borderId="179" xfId="2" applyNumberFormat="1" applyFont="1" applyFill="1" applyBorder="1" applyAlignment="1"/>
    <xf numFmtId="2" fontId="6" fillId="35" borderId="181" xfId="2" applyNumberFormat="1" applyFont="1" applyFill="1" applyBorder="1" applyAlignment="1"/>
    <xf numFmtId="0" fontId="6" fillId="94" borderId="444" xfId="0" applyFont="1" applyFill="1" applyBorder="1" applyAlignment="1">
      <alignment horizontal="center" wrapText="1"/>
    </xf>
    <xf numFmtId="0" fontId="6" fillId="94" borderId="446" xfId="0" applyFont="1" applyFill="1" applyBorder="1" applyAlignment="1">
      <alignment horizontal="center" wrapText="1"/>
    </xf>
    <xf numFmtId="0" fontId="6" fillId="94" borderId="256" xfId="0" applyFont="1" applyFill="1" applyBorder="1" applyAlignment="1">
      <alignment horizontal="center" wrapText="1"/>
    </xf>
    <xf numFmtId="0" fontId="6" fillId="94" borderId="450" xfId="0" applyFont="1" applyFill="1" applyBorder="1" applyAlignment="1">
      <alignment horizontal="center" wrapText="1"/>
    </xf>
    <xf numFmtId="0" fontId="4" fillId="0" borderId="444" xfId="0" applyFont="1" applyBorder="1" applyAlignment="1">
      <alignment horizontal="center"/>
    </xf>
    <xf numFmtId="0" fontId="6" fillId="21" borderId="81" xfId="0" quotePrefix="1" applyFont="1" applyFill="1" applyBorder="1" applyAlignment="1">
      <alignment horizontal="left" vertical="top" wrapText="1"/>
    </xf>
    <xf numFmtId="0" fontId="6" fillId="21" borderId="149" xfId="0" quotePrefix="1" applyFont="1" applyFill="1" applyBorder="1" applyAlignment="1">
      <alignment horizontal="left" vertical="top" wrapText="1"/>
    </xf>
    <xf numFmtId="0" fontId="6" fillId="21" borderId="75" xfId="0" quotePrefix="1" applyFont="1" applyFill="1" applyBorder="1" applyAlignment="1">
      <alignment horizontal="left" vertical="top" wrapText="1"/>
    </xf>
    <xf numFmtId="0" fontId="6" fillId="21" borderId="30" xfId="0" quotePrefix="1" applyFont="1" applyFill="1" applyBorder="1" applyAlignment="1">
      <alignment horizontal="left" vertical="top" wrapText="1"/>
    </xf>
    <xf numFmtId="0" fontId="6" fillId="21" borderId="0" xfId="0" quotePrefix="1" applyFont="1" applyFill="1" applyBorder="1" applyAlignment="1">
      <alignment horizontal="left" vertical="top" wrapText="1"/>
    </xf>
    <xf numFmtId="0" fontId="6" fillId="21" borderId="31" xfId="0" quotePrefix="1" applyFont="1" applyFill="1" applyBorder="1" applyAlignment="1">
      <alignment horizontal="left" vertical="top" wrapText="1"/>
    </xf>
    <xf numFmtId="0" fontId="6" fillId="21" borderId="32" xfId="0" quotePrefix="1" applyFont="1" applyFill="1" applyBorder="1" applyAlignment="1">
      <alignment horizontal="left" vertical="top" wrapText="1"/>
    </xf>
    <xf numFmtId="0" fontId="6" fillId="21" borderId="33" xfId="0" quotePrefix="1" applyFont="1" applyFill="1" applyBorder="1" applyAlignment="1">
      <alignment horizontal="left" vertical="top" wrapText="1"/>
    </xf>
    <xf numFmtId="0" fontId="6" fillId="21" borderId="34" xfId="0" quotePrefix="1" applyFont="1" applyFill="1" applyBorder="1" applyAlignment="1">
      <alignment horizontal="left" vertical="top" wrapText="1"/>
    </xf>
    <xf numFmtId="0" fontId="108" fillId="96" borderId="73" xfId="0" applyFont="1" applyFill="1" applyBorder="1" applyAlignment="1">
      <alignment horizontal="center"/>
    </xf>
    <xf numFmtId="0" fontId="108" fillId="96" borderId="256" xfId="0" applyFont="1" applyFill="1" applyBorder="1" applyAlignment="1">
      <alignment horizontal="center"/>
    </xf>
    <xf numFmtId="0" fontId="108" fillId="96" borderId="74" xfId="0" applyFont="1" applyFill="1" applyBorder="1" applyAlignment="1">
      <alignment horizontal="center"/>
    </xf>
    <xf numFmtId="0" fontId="107" fillId="17" borderId="485" xfId="4" applyNumberFormat="1" applyFont="1" applyFill="1" applyBorder="1" applyAlignment="1">
      <alignment horizontal="center" vertical="center" wrapText="1"/>
    </xf>
    <xf numFmtId="0" fontId="107" fillId="17" borderId="309" xfId="4" applyNumberFormat="1" applyFont="1" applyFill="1" applyBorder="1" applyAlignment="1">
      <alignment horizontal="center" vertical="center" wrapText="1"/>
    </xf>
    <xf numFmtId="0" fontId="8" fillId="17" borderId="37" xfId="0" applyFont="1" applyFill="1" applyBorder="1" applyAlignment="1">
      <alignment horizontal="center" vertical="center" wrapText="1"/>
    </xf>
    <xf numFmtId="0" fontId="8" fillId="17" borderId="130" xfId="0" applyFont="1" applyFill="1" applyBorder="1" applyAlignment="1">
      <alignment horizontal="center" vertical="center" wrapText="1"/>
    </xf>
    <xf numFmtId="0" fontId="6" fillId="21" borderId="81" xfId="0" applyFont="1" applyFill="1" applyBorder="1" applyAlignment="1">
      <alignment horizontal="left" indent="1"/>
    </xf>
    <xf numFmtId="0" fontId="6" fillId="21" borderId="426" xfId="0" applyFont="1" applyFill="1" applyBorder="1" applyAlignment="1">
      <alignment horizontal="left" indent="1"/>
    </xf>
    <xf numFmtId="0" fontId="6" fillId="21" borderId="425" xfId="0" applyFont="1" applyFill="1" applyBorder="1" applyAlignment="1">
      <alignment horizontal="left" indent="1"/>
    </xf>
    <xf numFmtId="0" fontId="146" fillId="21" borderId="30" xfId="9108" applyFont="1" applyFill="1" applyBorder="1" applyAlignment="1">
      <alignment horizontal="left" indent="1"/>
    </xf>
    <xf numFmtId="0" fontId="146" fillId="21" borderId="0" xfId="9108" applyFont="1" applyFill="1" applyBorder="1" applyAlignment="1">
      <alignment horizontal="left" indent="1"/>
    </xf>
    <xf numFmtId="0" fontId="146" fillId="21" borderId="31" xfId="9108" applyFont="1" applyFill="1" applyBorder="1" applyAlignment="1">
      <alignment horizontal="left" indent="1"/>
    </xf>
    <xf numFmtId="0" fontId="6" fillId="21" borderId="30" xfId="0" applyFont="1" applyFill="1" applyBorder="1" applyAlignment="1">
      <alignment horizontal="left" vertical="top" wrapText="1" indent="1"/>
    </xf>
    <xf numFmtId="0" fontId="6" fillId="21" borderId="0" xfId="0" applyFont="1" applyFill="1" applyBorder="1" applyAlignment="1">
      <alignment horizontal="left" vertical="top" wrapText="1" indent="1"/>
    </xf>
    <xf numFmtId="0" fontId="6" fillId="21" borderId="31" xfId="0" applyFont="1" applyFill="1" applyBorder="1" applyAlignment="1">
      <alignment horizontal="left" vertical="top" wrapText="1" indent="1"/>
    </xf>
    <xf numFmtId="0" fontId="6" fillId="21" borderId="32" xfId="0" applyFont="1" applyFill="1" applyBorder="1" applyAlignment="1">
      <alignment horizontal="left" vertical="top" wrapText="1" indent="1"/>
    </xf>
    <xf numFmtId="0" fontId="6" fillId="21" borderId="33" xfId="0" applyFont="1" applyFill="1" applyBorder="1" applyAlignment="1">
      <alignment horizontal="left" vertical="top" wrapText="1" indent="1"/>
    </xf>
    <xf numFmtId="0" fontId="6" fillId="21" borderId="34" xfId="0" applyFont="1" applyFill="1" applyBorder="1" applyAlignment="1">
      <alignment horizontal="left" vertical="top" wrapText="1" indent="1"/>
    </xf>
    <xf numFmtId="0" fontId="123" fillId="26" borderId="149" xfId="0" applyFont="1" applyFill="1" applyBorder="1" applyAlignment="1">
      <alignment horizontal="center"/>
    </xf>
    <xf numFmtId="0" fontId="108" fillId="96" borderId="60" xfId="0" applyFont="1" applyFill="1" applyBorder="1" applyAlignment="1">
      <alignment horizontal="center"/>
    </xf>
    <xf numFmtId="0" fontId="108" fillId="96" borderId="151" xfId="0" applyFont="1" applyFill="1" applyBorder="1" applyAlignment="1">
      <alignment horizontal="center"/>
    </xf>
    <xf numFmtId="0" fontId="99" fillId="33" borderId="200" xfId="0" applyFont="1" applyFill="1" applyBorder="1" applyAlignment="1">
      <alignment horizontal="center"/>
    </xf>
    <xf numFmtId="0" fontId="99" fillId="33" borderId="151" xfId="0" applyFont="1" applyFill="1" applyBorder="1" applyAlignment="1">
      <alignment horizontal="center"/>
    </xf>
    <xf numFmtId="0" fontId="99" fillId="33" borderId="57" xfId="0" applyFont="1" applyFill="1" applyBorder="1" applyAlignment="1">
      <alignment horizontal="center"/>
    </xf>
    <xf numFmtId="0" fontId="6" fillId="21" borderId="81" xfId="0" applyFont="1" applyFill="1" applyBorder="1" applyAlignment="1">
      <alignment horizontal="left" vertical="top" wrapText="1"/>
    </xf>
    <xf numFmtId="0" fontId="6" fillId="21" borderId="426" xfId="0" applyFont="1" applyFill="1" applyBorder="1" applyAlignment="1">
      <alignment horizontal="left" vertical="top" wrapText="1"/>
    </xf>
    <xf numFmtId="0" fontId="6" fillId="21" borderId="425" xfId="0" applyFont="1" applyFill="1" applyBorder="1" applyAlignment="1">
      <alignment horizontal="left" vertical="top" wrapText="1"/>
    </xf>
    <xf numFmtId="0" fontId="6" fillId="21" borderId="30" xfId="0" applyFont="1" applyFill="1" applyBorder="1" applyAlignment="1">
      <alignment horizontal="left" vertical="top" wrapText="1"/>
    </xf>
    <xf numFmtId="0" fontId="6" fillId="21" borderId="0" xfId="0" applyFont="1" applyFill="1" applyAlignment="1">
      <alignment horizontal="left" vertical="top" wrapText="1"/>
    </xf>
    <xf numFmtId="0" fontId="6" fillId="21" borderId="31" xfId="0" applyFont="1" applyFill="1" applyBorder="1" applyAlignment="1">
      <alignment horizontal="left" vertical="top" wrapText="1"/>
    </xf>
    <xf numFmtId="0" fontId="6" fillId="21" borderId="32" xfId="0" applyFont="1" applyFill="1" applyBorder="1" applyAlignment="1">
      <alignment horizontal="left" vertical="top" wrapText="1"/>
    </xf>
    <xf numFmtId="0" fontId="6" fillId="21" borderId="33" xfId="0" applyFont="1" applyFill="1" applyBorder="1" applyAlignment="1">
      <alignment horizontal="left" vertical="top" wrapText="1"/>
    </xf>
    <xf numFmtId="0" fontId="6" fillId="21" borderId="34" xfId="0" applyFont="1" applyFill="1" applyBorder="1" applyAlignment="1">
      <alignment horizontal="left" vertical="top" wrapText="1"/>
    </xf>
    <xf numFmtId="164" fontId="107" fillId="17" borderId="486" xfId="4" applyNumberFormat="1" applyFont="1" applyFill="1" applyBorder="1" applyAlignment="1">
      <alignment horizontal="center" vertical="center" wrapText="1"/>
    </xf>
    <xf numFmtId="164" fontId="107" fillId="17" borderId="474" xfId="4" applyNumberFormat="1" applyFont="1" applyFill="1" applyBorder="1" applyAlignment="1">
      <alignment horizontal="center" vertical="center" wrapText="1"/>
    </xf>
    <xf numFmtId="0" fontId="22" fillId="21" borderId="32" xfId="9108" applyFill="1" applyBorder="1" applyAlignment="1">
      <alignment horizontal="left" vertical="top" wrapText="1"/>
    </xf>
    <xf numFmtId="0" fontId="22" fillId="21" borderId="33" xfId="9108" applyFill="1" applyBorder="1" applyAlignment="1">
      <alignment horizontal="left" vertical="top" wrapText="1"/>
    </xf>
    <xf numFmtId="0" fontId="22" fillId="21" borderId="34" xfId="9108" applyFill="1" applyBorder="1" applyAlignment="1">
      <alignment horizontal="left" vertical="top" wrapText="1"/>
    </xf>
    <xf numFmtId="0" fontId="6" fillId="21" borderId="446" xfId="0" quotePrefix="1" applyFont="1" applyFill="1" applyBorder="1" applyAlignment="1">
      <alignment horizontal="left" vertical="top" wrapText="1"/>
    </xf>
    <xf numFmtId="0" fontId="6" fillId="21" borderId="450" xfId="0" applyFont="1" applyFill="1" applyBorder="1" applyAlignment="1">
      <alignment horizontal="left" vertical="top" wrapText="1"/>
    </xf>
    <xf numFmtId="0" fontId="6" fillId="16" borderId="81" xfId="0" applyFont="1" applyFill="1" applyBorder="1" applyAlignment="1">
      <alignment horizontal="left" wrapText="1"/>
    </xf>
    <xf numFmtId="0" fontId="6" fillId="16" borderId="426" xfId="0" applyFont="1" applyFill="1" applyBorder="1" applyAlignment="1">
      <alignment horizontal="left" wrapText="1"/>
    </xf>
    <xf numFmtId="0" fontId="6" fillId="16" borderId="425" xfId="0" applyFont="1" applyFill="1" applyBorder="1" applyAlignment="1">
      <alignment horizontal="left" wrapText="1"/>
    </xf>
    <xf numFmtId="0" fontId="6" fillId="16" borderId="0" xfId="0" applyFont="1" applyFill="1" applyAlignment="1">
      <alignment wrapText="1"/>
    </xf>
    <xf numFmtId="0" fontId="99" fillId="97" borderId="200" xfId="0" applyFont="1" applyFill="1" applyBorder="1" applyAlignment="1">
      <alignment horizontal="center"/>
    </xf>
    <xf numFmtId="0" fontId="99" fillId="97" borderId="151" xfId="0" applyFont="1" applyFill="1" applyBorder="1" applyAlignment="1">
      <alignment horizontal="center"/>
    </xf>
    <xf numFmtId="0" fontId="99" fillId="97" borderId="152" xfId="0" applyFont="1" applyFill="1" applyBorder="1" applyAlignment="1">
      <alignment horizontal="center"/>
    </xf>
    <xf numFmtId="0" fontId="99" fillId="102" borderId="200" xfId="0" applyFont="1" applyFill="1" applyBorder="1" applyAlignment="1">
      <alignment horizontal="center"/>
    </xf>
    <xf numFmtId="0" fontId="99" fillId="102" borderId="57" xfId="0" applyFont="1" applyFill="1" applyBorder="1" applyAlignment="1">
      <alignment horizontal="center"/>
    </xf>
    <xf numFmtId="177" fontId="99" fillId="97" borderId="152" xfId="0" applyNumberFormat="1" applyFont="1" applyFill="1" applyBorder="1" applyAlignment="1">
      <alignment horizontal="center"/>
    </xf>
    <xf numFmtId="0" fontId="123" fillId="26" borderId="81" xfId="0" applyFont="1" applyFill="1" applyBorder="1" applyAlignment="1">
      <alignment horizontal="center"/>
    </xf>
    <xf numFmtId="0" fontId="123" fillId="26" borderId="426" xfId="0" applyFont="1" applyFill="1" applyBorder="1" applyAlignment="1">
      <alignment horizontal="center"/>
    </xf>
    <xf numFmtId="0" fontId="177" fillId="110" borderId="0" xfId="0" applyFont="1" applyFill="1" applyAlignment="1">
      <alignment vertical="center"/>
    </xf>
    <xf numFmtId="0" fontId="244" fillId="110" borderId="0" xfId="0" applyFont="1" applyFill="1" applyAlignment="1">
      <alignment vertical="center" wrapText="1"/>
    </xf>
    <xf numFmtId="0" fontId="198" fillId="110" borderId="0" xfId="0" applyFont="1" applyFill="1" applyAlignment="1">
      <alignment vertical="center" wrapText="1"/>
    </xf>
    <xf numFmtId="0" fontId="0" fillId="110" borderId="0" xfId="0" applyFill="1" applyAlignment="1">
      <alignment vertical="top" wrapText="1"/>
    </xf>
    <xf numFmtId="0" fontId="0" fillId="110" borderId="0" xfId="0" applyFill="1" applyAlignment="1">
      <alignment vertical="center" wrapText="1"/>
    </xf>
    <xf numFmtId="0" fontId="245" fillId="110" borderId="0" xfId="0" applyFont="1" applyFill="1" applyAlignment="1">
      <alignment vertical="center" wrapText="1"/>
    </xf>
    <xf numFmtId="0" fontId="15" fillId="30" borderId="12" xfId="0" applyFont="1" applyFill="1" applyBorder="1" applyAlignment="1">
      <alignment horizontal="center"/>
    </xf>
    <xf numFmtId="0" fontId="5" fillId="33" borderId="17" xfId="0" applyFont="1" applyFill="1" applyBorder="1" applyAlignment="1">
      <alignment horizontal="center"/>
    </xf>
    <xf numFmtId="0" fontId="5" fillId="33" borderId="18" xfId="0" applyFont="1" applyFill="1" applyBorder="1" applyAlignment="1">
      <alignment horizontal="center"/>
    </xf>
    <xf numFmtId="0" fontId="5" fillId="33" borderId="19" xfId="0" applyFont="1" applyFill="1" applyBorder="1" applyAlignment="1">
      <alignment horizontal="center"/>
    </xf>
    <xf numFmtId="0" fontId="5" fillId="34" borderId="17" xfId="0" applyFont="1" applyFill="1" applyBorder="1" applyAlignment="1">
      <alignment horizontal="center"/>
    </xf>
    <xf numFmtId="0" fontId="5" fillId="34" borderId="19" xfId="0" applyFont="1" applyFill="1" applyBorder="1" applyAlignment="1">
      <alignment horizontal="center"/>
    </xf>
    <xf numFmtId="0" fontId="5" fillId="24" borderId="17" xfId="0" applyFont="1" applyFill="1" applyBorder="1" applyAlignment="1">
      <alignment horizontal="center"/>
    </xf>
    <xf numFmtId="0" fontId="5" fillId="24" borderId="18" xfId="0" applyFont="1" applyFill="1" applyBorder="1" applyAlignment="1">
      <alignment horizontal="center"/>
    </xf>
    <xf numFmtId="0" fontId="5" fillId="24" borderId="19" xfId="0" applyFont="1" applyFill="1" applyBorder="1" applyAlignment="1">
      <alignment horizontal="center"/>
    </xf>
  </cellXfs>
  <cellStyles count="9233">
    <cellStyle name="20% - Accent1 2" xfId="23" xr:uid="{00000000-0005-0000-0000-000000000000}"/>
    <cellStyle name="20% - Accent1 2 2" xfId="246" xr:uid="{00000000-0005-0000-0000-000001000000}"/>
    <cellStyle name="20% - Accent1 2 2 2" xfId="8222" xr:uid="{00000000-0005-0000-0000-000002000000}"/>
    <cellStyle name="20% - Accent1 2 2 2 2" xfId="8223" xr:uid="{00000000-0005-0000-0000-000003000000}"/>
    <cellStyle name="20% - Accent1 2 2 3" xfId="8224" xr:uid="{00000000-0005-0000-0000-000004000000}"/>
    <cellStyle name="20% - Accent1 2 2 3 2" xfId="8225" xr:uid="{00000000-0005-0000-0000-000005000000}"/>
    <cellStyle name="20% - Accent1 2 2 4" xfId="8226" xr:uid="{00000000-0005-0000-0000-000006000000}"/>
    <cellStyle name="20% - Accent1 2 2 5" xfId="8227" xr:uid="{00000000-0005-0000-0000-000007000000}"/>
    <cellStyle name="20% - Accent1 2 2 6" xfId="8180" xr:uid="{00000000-0005-0000-0000-000008000000}"/>
    <cellStyle name="20% - Accent1 2 3" xfId="8228" xr:uid="{00000000-0005-0000-0000-000009000000}"/>
    <cellStyle name="20% - Accent1 2 3 2" xfId="8229" xr:uid="{00000000-0005-0000-0000-00000A000000}"/>
    <cellStyle name="20% - Accent1 2 4" xfId="8230" xr:uid="{00000000-0005-0000-0000-00000B000000}"/>
    <cellStyle name="20% - Accent1 2 4 2" xfId="8231" xr:uid="{00000000-0005-0000-0000-00000C000000}"/>
    <cellStyle name="20% - Accent1 2 5" xfId="8232" xr:uid="{00000000-0005-0000-0000-00000D000000}"/>
    <cellStyle name="20% - Accent1 2 5 2" xfId="8233" xr:uid="{00000000-0005-0000-0000-00000E000000}"/>
    <cellStyle name="20% - Accent1 2 6" xfId="8179" xr:uid="{00000000-0005-0000-0000-00000F000000}"/>
    <cellStyle name="20% - Accent1 3" xfId="247" xr:uid="{00000000-0005-0000-0000-000010000000}"/>
    <cellStyle name="20% - Accent1 3 2" xfId="371" xr:uid="{00000000-0005-0000-0000-000011000000}"/>
    <cellStyle name="20% - Accent1 3 2 2" xfId="8234" xr:uid="{00000000-0005-0000-0000-000012000000}"/>
    <cellStyle name="20% - Accent1 3 2 2 2" xfId="8235" xr:uid="{00000000-0005-0000-0000-000013000000}"/>
    <cellStyle name="20% - Accent1 3 2 3" xfId="8236" xr:uid="{00000000-0005-0000-0000-000014000000}"/>
    <cellStyle name="20% - Accent1 3 2 3 2" xfId="8237" xr:uid="{00000000-0005-0000-0000-000015000000}"/>
    <cellStyle name="20% - Accent1 3 2 4" xfId="8238" xr:uid="{00000000-0005-0000-0000-000016000000}"/>
    <cellStyle name="20% - Accent1 3 3" xfId="8239" xr:uid="{00000000-0005-0000-0000-000017000000}"/>
    <cellStyle name="20% - Accent1 3 3 2" xfId="8240" xr:uid="{00000000-0005-0000-0000-000018000000}"/>
    <cellStyle name="20% - Accent1 3 4" xfId="8241" xr:uid="{00000000-0005-0000-0000-000019000000}"/>
    <cellStyle name="20% - Accent1 3 4 2" xfId="8242" xr:uid="{00000000-0005-0000-0000-00001A000000}"/>
    <cellStyle name="20% - Accent1 3 5" xfId="8243" xr:uid="{00000000-0005-0000-0000-00001B000000}"/>
    <cellStyle name="20% - Accent1 4" xfId="372" xr:uid="{00000000-0005-0000-0000-00001C000000}"/>
    <cellStyle name="20% - Accent1 4 2" xfId="373" xr:uid="{00000000-0005-0000-0000-00001D000000}"/>
    <cellStyle name="20% - Accent1 4 2 2" xfId="8244" xr:uid="{00000000-0005-0000-0000-00001E000000}"/>
    <cellStyle name="20% - Accent1 4 2 2 2" xfId="8245" xr:uid="{00000000-0005-0000-0000-00001F000000}"/>
    <cellStyle name="20% - Accent1 4 2 3" xfId="8246" xr:uid="{00000000-0005-0000-0000-000020000000}"/>
    <cellStyle name="20% - Accent1 4 2 3 2" xfId="8247" xr:uid="{00000000-0005-0000-0000-000021000000}"/>
    <cellStyle name="20% - Accent1 4 2 4" xfId="8248" xr:uid="{00000000-0005-0000-0000-000022000000}"/>
    <cellStyle name="20% - Accent1 4 3" xfId="8249" xr:uid="{00000000-0005-0000-0000-000023000000}"/>
    <cellStyle name="20% - Accent1 4 3 2" xfId="8250" xr:uid="{00000000-0005-0000-0000-000024000000}"/>
    <cellStyle name="20% - Accent1 4 4" xfId="8251" xr:uid="{00000000-0005-0000-0000-000025000000}"/>
    <cellStyle name="20% - Accent1 4 4 2" xfId="8252" xr:uid="{00000000-0005-0000-0000-000026000000}"/>
    <cellStyle name="20% - Accent1 4 5" xfId="8253" xr:uid="{00000000-0005-0000-0000-000027000000}"/>
    <cellStyle name="20% - Accent1 5" xfId="374" xr:uid="{00000000-0005-0000-0000-000028000000}"/>
    <cellStyle name="20% - Accent1 5 2" xfId="8254" xr:uid="{00000000-0005-0000-0000-000029000000}"/>
    <cellStyle name="20% - Accent1 5 2 2" xfId="8255" xr:uid="{00000000-0005-0000-0000-00002A000000}"/>
    <cellStyle name="20% - Accent1 5 3" xfId="8256" xr:uid="{00000000-0005-0000-0000-00002B000000}"/>
    <cellStyle name="20% - Accent1 5 3 2" xfId="8257" xr:uid="{00000000-0005-0000-0000-00002C000000}"/>
    <cellStyle name="20% - Accent1 5 4" xfId="8258" xr:uid="{00000000-0005-0000-0000-00002D000000}"/>
    <cellStyle name="20% - Accent2 2" xfId="24" xr:uid="{00000000-0005-0000-0000-00002E000000}"/>
    <cellStyle name="20% - Accent2 2 2" xfId="375" xr:uid="{00000000-0005-0000-0000-00002F000000}"/>
    <cellStyle name="20% - Accent2 2 2 2" xfId="8259" xr:uid="{00000000-0005-0000-0000-000030000000}"/>
    <cellStyle name="20% - Accent2 2 2 2 2" xfId="8260" xr:uid="{00000000-0005-0000-0000-000031000000}"/>
    <cellStyle name="20% - Accent2 2 2 3" xfId="8261" xr:uid="{00000000-0005-0000-0000-000032000000}"/>
    <cellStyle name="20% - Accent2 2 2 3 2" xfId="8262" xr:uid="{00000000-0005-0000-0000-000033000000}"/>
    <cellStyle name="20% - Accent2 2 2 4" xfId="8263" xr:uid="{00000000-0005-0000-0000-000034000000}"/>
    <cellStyle name="20% - Accent2 2 3" xfId="8264" xr:uid="{00000000-0005-0000-0000-000035000000}"/>
    <cellStyle name="20% - Accent2 2 3 2" xfId="8265" xr:uid="{00000000-0005-0000-0000-000036000000}"/>
    <cellStyle name="20% - Accent2 2 4" xfId="8266" xr:uid="{00000000-0005-0000-0000-000037000000}"/>
    <cellStyle name="20% - Accent2 2 4 2" xfId="8267" xr:uid="{00000000-0005-0000-0000-000038000000}"/>
    <cellStyle name="20% - Accent2 2 5" xfId="8268" xr:uid="{00000000-0005-0000-0000-000039000000}"/>
    <cellStyle name="20% - Accent2 2 5 2" xfId="8269" xr:uid="{00000000-0005-0000-0000-00003A000000}"/>
    <cellStyle name="20% - Accent2 3" xfId="248" xr:uid="{00000000-0005-0000-0000-00003B000000}"/>
    <cellStyle name="20% - Accent2 3 2" xfId="376" xr:uid="{00000000-0005-0000-0000-00003C000000}"/>
    <cellStyle name="20% - Accent2 3 2 2" xfId="8270" xr:uid="{00000000-0005-0000-0000-00003D000000}"/>
    <cellStyle name="20% - Accent2 3 2 2 2" xfId="8271" xr:uid="{00000000-0005-0000-0000-00003E000000}"/>
    <cellStyle name="20% - Accent2 3 2 3" xfId="8272" xr:uid="{00000000-0005-0000-0000-00003F000000}"/>
    <cellStyle name="20% - Accent2 3 2 3 2" xfId="8273" xr:uid="{00000000-0005-0000-0000-000040000000}"/>
    <cellStyle name="20% - Accent2 3 2 4" xfId="8274" xr:uid="{00000000-0005-0000-0000-000041000000}"/>
    <cellStyle name="20% - Accent2 3 3" xfId="8275" xr:uid="{00000000-0005-0000-0000-000042000000}"/>
    <cellStyle name="20% - Accent2 3 3 2" xfId="8276" xr:uid="{00000000-0005-0000-0000-000043000000}"/>
    <cellStyle name="20% - Accent2 3 4" xfId="8277" xr:uid="{00000000-0005-0000-0000-000044000000}"/>
    <cellStyle name="20% - Accent2 3 4 2" xfId="8278" xr:uid="{00000000-0005-0000-0000-000045000000}"/>
    <cellStyle name="20% - Accent2 3 5" xfId="8279" xr:uid="{00000000-0005-0000-0000-000046000000}"/>
    <cellStyle name="20% - Accent2 4" xfId="377" xr:uid="{00000000-0005-0000-0000-000047000000}"/>
    <cellStyle name="20% - Accent2 4 2" xfId="378" xr:uid="{00000000-0005-0000-0000-000048000000}"/>
    <cellStyle name="20% - Accent2 4 2 2" xfId="8280" xr:uid="{00000000-0005-0000-0000-000049000000}"/>
    <cellStyle name="20% - Accent2 4 2 2 2" xfId="8281" xr:uid="{00000000-0005-0000-0000-00004A000000}"/>
    <cellStyle name="20% - Accent2 4 2 3" xfId="8282" xr:uid="{00000000-0005-0000-0000-00004B000000}"/>
    <cellStyle name="20% - Accent2 4 2 3 2" xfId="8283" xr:uid="{00000000-0005-0000-0000-00004C000000}"/>
    <cellStyle name="20% - Accent2 4 2 4" xfId="8284" xr:uid="{00000000-0005-0000-0000-00004D000000}"/>
    <cellStyle name="20% - Accent2 4 3" xfId="8285" xr:uid="{00000000-0005-0000-0000-00004E000000}"/>
    <cellStyle name="20% - Accent2 4 3 2" xfId="8286" xr:uid="{00000000-0005-0000-0000-00004F000000}"/>
    <cellStyle name="20% - Accent2 4 4" xfId="8287" xr:uid="{00000000-0005-0000-0000-000050000000}"/>
    <cellStyle name="20% - Accent2 4 4 2" xfId="8288" xr:uid="{00000000-0005-0000-0000-000051000000}"/>
    <cellStyle name="20% - Accent2 4 5" xfId="8289" xr:uid="{00000000-0005-0000-0000-000052000000}"/>
    <cellStyle name="20% - Accent2 5" xfId="379" xr:uid="{00000000-0005-0000-0000-000053000000}"/>
    <cellStyle name="20% - Accent2 5 2" xfId="8290" xr:uid="{00000000-0005-0000-0000-000054000000}"/>
    <cellStyle name="20% - Accent2 5 2 2" xfId="8291" xr:uid="{00000000-0005-0000-0000-000055000000}"/>
    <cellStyle name="20% - Accent2 5 3" xfId="8292" xr:uid="{00000000-0005-0000-0000-000056000000}"/>
    <cellStyle name="20% - Accent2 5 3 2" xfId="8293" xr:uid="{00000000-0005-0000-0000-000057000000}"/>
    <cellStyle name="20% - Accent2 5 4" xfId="8294" xr:uid="{00000000-0005-0000-0000-000058000000}"/>
    <cellStyle name="20% - Accent3 2" xfId="25" xr:uid="{00000000-0005-0000-0000-000059000000}"/>
    <cellStyle name="20% - Accent3 2 2" xfId="249" xr:uid="{00000000-0005-0000-0000-00005A000000}"/>
    <cellStyle name="20% - Accent3 2 2 2" xfId="8295" xr:uid="{00000000-0005-0000-0000-00005B000000}"/>
    <cellStyle name="20% - Accent3 2 2 2 2" xfId="8296" xr:uid="{00000000-0005-0000-0000-00005C000000}"/>
    <cellStyle name="20% - Accent3 2 2 3" xfId="8297" xr:uid="{00000000-0005-0000-0000-00005D000000}"/>
    <cellStyle name="20% - Accent3 2 2 3 2" xfId="8298" xr:uid="{00000000-0005-0000-0000-00005E000000}"/>
    <cellStyle name="20% - Accent3 2 2 4" xfId="8299" xr:uid="{00000000-0005-0000-0000-00005F000000}"/>
    <cellStyle name="20% - Accent3 2 2 5" xfId="8300" xr:uid="{00000000-0005-0000-0000-000060000000}"/>
    <cellStyle name="20% - Accent3 2 2 6" xfId="8182" xr:uid="{00000000-0005-0000-0000-000061000000}"/>
    <cellStyle name="20% - Accent3 2 3" xfId="8301" xr:uid="{00000000-0005-0000-0000-000062000000}"/>
    <cellStyle name="20% - Accent3 2 3 2" xfId="8302" xr:uid="{00000000-0005-0000-0000-000063000000}"/>
    <cellStyle name="20% - Accent3 2 4" xfId="8303" xr:uid="{00000000-0005-0000-0000-000064000000}"/>
    <cellStyle name="20% - Accent3 2 4 2" xfId="8304" xr:uid="{00000000-0005-0000-0000-000065000000}"/>
    <cellStyle name="20% - Accent3 2 5" xfId="8305" xr:uid="{00000000-0005-0000-0000-000066000000}"/>
    <cellStyle name="20% - Accent3 2 5 2" xfId="8306" xr:uid="{00000000-0005-0000-0000-000067000000}"/>
    <cellStyle name="20% - Accent3 2 6" xfId="8181" xr:uid="{00000000-0005-0000-0000-000068000000}"/>
    <cellStyle name="20% - Accent3 3" xfId="250" xr:uid="{00000000-0005-0000-0000-000069000000}"/>
    <cellStyle name="20% - Accent3 3 2" xfId="380" xr:uid="{00000000-0005-0000-0000-00006A000000}"/>
    <cellStyle name="20% - Accent3 3 2 2" xfId="8307" xr:uid="{00000000-0005-0000-0000-00006B000000}"/>
    <cellStyle name="20% - Accent3 3 2 2 2" xfId="8308" xr:uid="{00000000-0005-0000-0000-00006C000000}"/>
    <cellStyle name="20% - Accent3 3 2 3" xfId="8309" xr:uid="{00000000-0005-0000-0000-00006D000000}"/>
    <cellStyle name="20% - Accent3 3 2 3 2" xfId="8310" xr:uid="{00000000-0005-0000-0000-00006E000000}"/>
    <cellStyle name="20% - Accent3 3 2 4" xfId="8311" xr:uid="{00000000-0005-0000-0000-00006F000000}"/>
    <cellStyle name="20% - Accent3 3 3" xfId="8312" xr:uid="{00000000-0005-0000-0000-000070000000}"/>
    <cellStyle name="20% - Accent3 3 3 2" xfId="8313" xr:uid="{00000000-0005-0000-0000-000071000000}"/>
    <cellStyle name="20% - Accent3 3 4" xfId="8314" xr:uid="{00000000-0005-0000-0000-000072000000}"/>
    <cellStyle name="20% - Accent3 3 4 2" xfId="8315" xr:uid="{00000000-0005-0000-0000-000073000000}"/>
    <cellStyle name="20% - Accent3 3 5" xfId="8316" xr:uid="{00000000-0005-0000-0000-000074000000}"/>
    <cellStyle name="20% - Accent3 4" xfId="381" xr:uid="{00000000-0005-0000-0000-000075000000}"/>
    <cellStyle name="20% - Accent3 4 2" xfId="382" xr:uid="{00000000-0005-0000-0000-000076000000}"/>
    <cellStyle name="20% - Accent3 4 2 2" xfId="8317" xr:uid="{00000000-0005-0000-0000-000077000000}"/>
    <cellStyle name="20% - Accent3 4 2 2 2" xfId="8318" xr:uid="{00000000-0005-0000-0000-000078000000}"/>
    <cellStyle name="20% - Accent3 4 2 3" xfId="8319" xr:uid="{00000000-0005-0000-0000-000079000000}"/>
    <cellStyle name="20% - Accent3 4 2 3 2" xfId="8320" xr:uid="{00000000-0005-0000-0000-00007A000000}"/>
    <cellStyle name="20% - Accent3 4 2 4" xfId="8321" xr:uid="{00000000-0005-0000-0000-00007B000000}"/>
    <cellStyle name="20% - Accent3 4 3" xfId="8322" xr:uid="{00000000-0005-0000-0000-00007C000000}"/>
    <cellStyle name="20% - Accent3 4 3 2" xfId="8323" xr:uid="{00000000-0005-0000-0000-00007D000000}"/>
    <cellStyle name="20% - Accent3 4 4" xfId="8324" xr:uid="{00000000-0005-0000-0000-00007E000000}"/>
    <cellStyle name="20% - Accent3 4 4 2" xfId="8325" xr:uid="{00000000-0005-0000-0000-00007F000000}"/>
    <cellStyle name="20% - Accent3 4 5" xfId="8326" xr:uid="{00000000-0005-0000-0000-000080000000}"/>
    <cellStyle name="20% - Accent3 5" xfId="383" xr:uid="{00000000-0005-0000-0000-000081000000}"/>
    <cellStyle name="20% - Accent3 5 2" xfId="8327" xr:uid="{00000000-0005-0000-0000-000082000000}"/>
    <cellStyle name="20% - Accent3 5 2 2" xfId="8328" xr:uid="{00000000-0005-0000-0000-000083000000}"/>
    <cellStyle name="20% - Accent3 5 3" xfId="8329" xr:uid="{00000000-0005-0000-0000-000084000000}"/>
    <cellStyle name="20% - Accent3 5 3 2" xfId="8330" xr:uid="{00000000-0005-0000-0000-000085000000}"/>
    <cellStyle name="20% - Accent3 5 4" xfId="8331" xr:uid="{00000000-0005-0000-0000-000086000000}"/>
    <cellStyle name="20% - Accent4 2" xfId="26" xr:uid="{00000000-0005-0000-0000-000087000000}"/>
    <cellStyle name="20% - Accent4 2 2" xfId="251" xr:uid="{00000000-0005-0000-0000-000088000000}"/>
    <cellStyle name="20% - Accent4 2 2 2" xfId="8332" xr:uid="{00000000-0005-0000-0000-000089000000}"/>
    <cellStyle name="20% - Accent4 2 2 2 2" xfId="8333" xr:uid="{00000000-0005-0000-0000-00008A000000}"/>
    <cellStyle name="20% - Accent4 2 2 3" xfId="8334" xr:uid="{00000000-0005-0000-0000-00008B000000}"/>
    <cellStyle name="20% - Accent4 2 2 3 2" xfId="8335" xr:uid="{00000000-0005-0000-0000-00008C000000}"/>
    <cellStyle name="20% - Accent4 2 2 4" xfId="8336" xr:uid="{00000000-0005-0000-0000-00008D000000}"/>
    <cellStyle name="20% - Accent4 2 2 5" xfId="8337" xr:uid="{00000000-0005-0000-0000-00008E000000}"/>
    <cellStyle name="20% - Accent4 2 2 6" xfId="8184" xr:uid="{00000000-0005-0000-0000-00008F000000}"/>
    <cellStyle name="20% - Accent4 2 3" xfId="8338" xr:uid="{00000000-0005-0000-0000-000090000000}"/>
    <cellStyle name="20% - Accent4 2 3 2" xfId="8339" xr:uid="{00000000-0005-0000-0000-000091000000}"/>
    <cellStyle name="20% - Accent4 2 4" xfId="8340" xr:uid="{00000000-0005-0000-0000-000092000000}"/>
    <cellStyle name="20% - Accent4 2 4 2" xfId="8341" xr:uid="{00000000-0005-0000-0000-000093000000}"/>
    <cellStyle name="20% - Accent4 2 5" xfId="8342" xr:uid="{00000000-0005-0000-0000-000094000000}"/>
    <cellStyle name="20% - Accent4 2 5 2" xfId="8343" xr:uid="{00000000-0005-0000-0000-000095000000}"/>
    <cellStyle name="20% - Accent4 2 6" xfId="8183" xr:uid="{00000000-0005-0000-0000-000096000000}"/>
    <cellStyle name="20% - Accent4 3" xfId="252" xr:uid="{00000000-0005-0000-0000-000097000000}"/>
    <cellStyle name="20% - Accent4 3 2" xfId="384" xr:uid="{00000000-0005-0000-0000-000098000000}"/>
    <cellStyle name="20% - Accent4 3 2 2" xfId="8344" xr:uid="{00000000-0005-0000-0000-000099000000}"/>
    <cellStyle name="20% - Accent4 3 2 2 2" xfId="8345" xr:uid="{00000000-0005-0000-0000-00009A000000}"/>
    <cellStyle name="20% - Accent4 3 2 3" xfId="8346" xr:uid="{00000000-0005-0000-0000-00009B000000}"/>
    <cellStyle name="20% - Accent4 3 2 3 2" xfId="8347" xr:uid="{00000000-0005-0000-0000-00009C000000}"/>
    <cellStyle name="20% - Accent4 3 2 4" xfId="8348" xr:uid="{00000000-0005-0000-0000-00009D000000}"/>
    <cellStyle name="20% - Accent4 3 3" xfId="8349" xr:uid="{00000000-0005-0000-0000-00009E000000}"/>
    <cellStyle name="20% - Accent4 3 3 2" xfId="8350" xr:uid="{00000000-0005-0000-0000-00009F000000}"/>
    <cellStyle name="20% - Accent4 3 4" xfId="8351" xr:uid="{00000000-0005-0000-0000-0000A0000000}"/>
    <cellStyle name="20% - Accent4 3 4 2" xfId="8352" xr:uid="{00000000-0005-0000-0000-0000A1000000}"/>
    <cellStyle name="20% - Accent4 3 5" xfId="8353" xr:uid="{00000000-0005-0000-0000-0000A2000000}"/>
    <cellStyle name="20% - Accent4 4" xfId="385" xr:uid="{00000000-0005-0000-0000-0000A3000000}"/>
    <cellStyle name="20% - Accent4 4 2" xfId="386" xr:uid="{00000000-0005-0000-0000-0000A4000000}"/>
    <cellStyle name="20% - Accent4 4 2 2" xfId="8354" xr:uid="{00000000-0005-0000-0000-0000A5000000}"/>
    <cellStyle name="20% - Accent4 4 2 2 2" xfId="8355" xr:uid="{00000000-0005-0000-0000-0000A6000000}"/>
    <cellStyle name="20% - Accent4 4 2 3" xfId="8356" xr:uid="{00000000-0005-0000-0000-0000A7000000}"/>
    <cellStyle name="20% - Accent4 4 2 3 2" xfId="8357" xr:uid="{00000000-0005-0000-0000-0000A8000000}"/>
    <cellStyle name="20% - Accent4 4 2 4" xfId="8358" xr:uid="{00000000-0005-0000-0000-0000A9000000}"/>
    <cellStyle name="20% - Accent4 4 3" xfId="8359" xr:uid="{00000000-0005-0000-0000-0000AA000000}"/>
    <cellStyle name="20% - Accent4 4 3 2" xfId="8360" xr:uid="{00000000-0005-0000-0000-0000AB000000}"/>
    <cellStyle name="20% - Accent4 4 4" xfId="8361" xr:uid="{00000000-0005-0000-0000-0000AC000000}"/>
    <cellStyle name="20% - Accent4 4 4 2" xfId="8362" xr:uid="{00000000-0005-0000-0000-0000AD000000}"/>
    <cellStyle name="20% - Accent4 4 5" xfId="8363" xr:uid="{00000000-0005-0000-0000-0000AE000000}"/>
    <cellStyle name="20% - Accent4 5" xfId="387" xr:uid="{00000000-0005-0000-0000-0000AF000000}"/>
    <cellStyle name="20% - Accent4 5 2" xfId="8364" xr:uid="{00000000-0005-0000-0000-0000B0000000}"/>
    <cellStyle name="20% - Accent4 5 2 2" xfId="8365" xr:uid="{00000000-0005-0000-0000-0000B1000000}"/>
    <cellStyle name="20% - Accent4 5 3" xfId="8366" xr:uid="{00000000-0005-0000-0000-0000B2000000}"/>
    <cellStyle name="20% - Accent4 5 3 2" xfId="8367" xr:uid="{00000000-0005-0000-0000-0000B3000000}"/>
    <cellStyle name="20% - Accent4 5 4" xfId="8368" xr:uid="{00000000-0005-0000-0000-0000B4000000}"/>
    <cellStyle name="20% - Accent5 2" xfId="27" xr:uid="{00000000-0005-0000-0000-0000B5000000}"/>
    <cellStyle name="20% - Accent5 2 2" xfId="388" xr:uid="{00000000-0005-0000-0000-0000B6000000}"/>
    <cellStyle name="20% - Accent5 2 2 2" xfId="8369" xr:uid="{00000000-0005-0000-0000-0000B7000000}"/>
    <cellStyle name="20% - Accent5 2 2 2 2" xfId="8370" xr:uid="{00000000-0005-0000-0000-0000B8000000}"/>
    <cellStyle name="20% - Accent5 2 2 3" xfId="8371" xr:uid="{00000000-0005-0000-0000-0000B9000000}"/>
    <cellStyle name="20% - Accent5 2 2 3 2" xfId="8372" xr:uid="{00000000-0005-0000-0000-0000BA000000}"/>
    <cellStyle name="20% - Accent5 2 2 4" xfId="8373" xr:uid="{00000000-0005-0000-0000-0000BB000000}"/>
    <cellStyle name="20% - Accent5 2 3" xfId="8374" xr:uid="{00000000-0005-0000-0000-0000BC000000}"/>
    <cellStyle name="20% - Accent5 2 3 2" xfId="8375" xr:uid="{00000000-0005-0000-0000-0000BD000000}"/>
    <cellStyle name="20% - Accent5 2 4" xfId="8376" xr:uid="{00000000-0005-0000-0000-0000BE000000}"/>
    <cellStyle name="20% - Accent5 2 4 2" xfId="8377" xr:uid="{00000000-0005-0000-0000-0000BF000000}"/>
    <cellStyle name="20% - Accent5 2 5" xfId="8378" xr:uid="{00000000-0005-0000-0000-0000C0000000}"/>
    <cellStyle name="20% - Accent5 2 5 2" xfId="8379" xr:uid="{00000000-0005-0000-0000-0000C1000000}"/>
    <cellStyle name="20% - Accent5 2 6" xfId="9184" xr:uid="{027CF760-D60E-44BA-A608-1836D1649F1F}"/>
    <cellStyle name="20% - Accent5 3" xfId="253" xr:uid="{00000000-0005-0000-0000-0000C2000000}"/>
    <cellStyle name="20% - Accent5 3 2" xfId="389" xr:uid="{00000000-0005-0000-0000-0000C3000000}"/>
    <cellStyle name="20% - Accent5 3 2 2" xfId="8380" xr:uid="{00000000-0005-0000-0000-0000C4000000}"/>
    <cellStyle name="20% - Accent5 3 2 2 2" xfId="8381" xr:uid="{00000000-0005-0000-0000-0000C5000000}"/>
    <cellStyle name="20% - Accent5 3 2 3" xfId="8382" xr:uid="{00000000-0005-0000-0000-0000C6000000}"/>
    <cellStyle name="20% - Accent5 3 2 3 2" xfId="8383" xr:uid="{00000000-0005-0000-0000-0000C7000000}"/>
    <cellStyle name="20% - Accent5 3 2 4" xfId="8384" xr:uid="{00000000-0005-0000-0000-0000C8000000}"/>
    <cellStyle name="20% - Accent5 3 3" xfId="8385" xr:uid="{00000000-0005-0000-0000-0000C9000000}"/>
    <cellStyle name="20% - Accent5 3 3 2" xfId="8386" xr:uid="{00000000-0005-0000-0000-0000CA000000}"/>
    <cellStyle name="20% - Accent5 3 4" xfId="8387" xr:uid="{00000000-0005-0000-0000-0000CB000000}"/>
    <cellStyle name="20% - Accent5 3 4 2" xfId="8388" xr:uid="{00000000-0005-0000-0000-0000CC000000}"/>
    <cellStyle name="20% - Accent5 3 5" xfId="8389" xr:uid="{00000000-0005-0000-0000-0000CD000000}"/>
    <cellStyle name="20% - Accent5 4" xfId="390" xr:uid="{00000000-0005-0000-0000-0000CE000000}"/>
    <cellStyle name="20% - Accent5 4 2" xfId="391" xr:uid="{00000000-0005-0000-0000-0000CF000000}"/>
    <cellStyle name="20% - Accent5 4 2 2" xfId="8390" xr:uid="{00000000-0005-0000-0000-0000D0000000}"/>
    <cellStyle name="20% - Accent5 4 2 2 2" xfId="8391" xr:uid="{00000000-0005-0000-0000-0000D1000000}"/>
    <cellStyle name="20% - Accent5 4 2 3" xfId="8392" xr:uid="{00000000-0005-0000-0000-0000D2000000}"/>
    <cellStyle name="20% - Accent5 4 2 3 2" xfId="8393" xr:uid="{00000000-0005-0000-0000-0000D3000000}"/>
    <cellStyle name="20% - Accent5 4 2 4" xfId="8394" xr:uid="{00000000-0005-0000-0000-0000D4000000}"/>
    <cellStyle name="20% - Accent5 4 3" xfId="8395" xr:uid="{00000000-0005-0000-0000-0000D5000000}"/>
    <cellStyle name="20% - Accent5 4 3 2" xfId="8396" xr:uid="{00000000-0005-0000-0000-0000D6000000}"/>
    <cellStyle name="20% - Accent5 4 4" xfId="8397" xr:uid="{00000000-0005-0000-0000-0000D7000000}"/>
    <cellStyle name="20% - Accent5 4 4 2" xfId="8398" xr:uid="{00000000-0005-0000-0000-0000D8000000}"/>
    <cellStyle name="20% - Accent5 4 5" xfId="8399" xr:uid="{00000000-0005-0000-0000-0000D9000000}"/>
    <cellStyle name="20% - Accent5 5" xfId="392" xr:uid="{00000000-0005-0000-0000-0000DA000000}"/>
    <cellStyle name="20% - Accent5 5 2" xfId="8400" xr:uid="{00000000-0005-0000-0000-0000DB000000}"/>
    <cellStyle name="20% - Accent5 5 2 2" xfId="8401" xr:uid="{00000000-0005-0000-0000-0000DC000000}"/>
    <cellStyle name="20% - Accent5 5 3" xfId="8402" xr:uid="{00000000-0005-0000-0000-0000DD000000}"/>
    <cellStyle name="20% - Accent5 5 3 2" xfId="8403" xr:uid="{00000000-0005-0000-0000-0000DE000000}"/>
    <cellStyle name="20% - Accent5 5 4" xfId="8404" xr:uid="{00000000-0005-0000-0000-0000DF000000}"/>
    <cellStyle name="20% - Accent6 2" xfId="28" xr:uid="{00000000-0005-0000-0000-0000E0000000}"/>
    <cellStyle name="20% - Accent6 2 2" xfId="393" xr:uid="{00000000-0005-0000-0000-0000E1000000}"/>
    <cellStyle name="20% - Accent6 2 2 2" xfId="8405" xr:uid="{00000000-0005-0000-0000-0000E2000000}"/>
    <cellStyle name="20% - Accent6 2 2 2 2" xfId="8406" xr:uid="{00000000-0005-0000-0000-0000E3000000}"/>
    <cellStyle name="20% - Accent6 2 2 3" xfId="8407" xr:uid="{00000000-0005-0000-0000-0000E4000000}"/>
    <cellStyle name="20% - Accent6 2 2 3 2" xfId="8408" xr:uid="{00000000-0005-0000-0000-0000E5000000}"/>
    <cellStyle name="20% - Accent6 2 2 4" xfId="8409" xr:uid="{00000000-0005-0000-0000-0000E6000000}"/>
    <cellStyle name="20% - Accent6 2 3" xfId="8410" xr:uid="{00000000-0005-0000-0000-0000E7000000}"/>
    <cellStyle name="20% - Accent6 2 3 2" xfId="8411" xr:uid="{00000000-0005-0000-0000-0000E8000000}"/>
    <cellStyle name="20% - Accent6 2 4" xfId="8412" xr:uid="{00000000-0005-0000-0000-0000E9000000}"/>
    <cellStyle name="20% - Accent6 2 4 2" xfId="8413" xr:uid="{00000000-0005-0000-0000-0000EA000000}"/>
    <cellStyle name="20% - Accent6 2 5" xfId="8414" xr:uid="{00000000-0005-0000-0000-0000EB000000}"/>
    <cellStyle name="20% - Accent6 2 5 2" xfId="8415" xr:uid="{00000000-0005-0000-0000-0000EC000000}"/>
    <cellStyle name="20% - Accent6 3" xfId="254" xr:uid="{00000000-0005-0000-0000-0000ED000000}"/>
    <cellStyle name="20% - Accent6 3 2" xfId="394" xr:uid="{00000000-0005-0000-0000-0000EE000000}"/>
    <cellStyle name="20% - Accent6 3 2 2" xfId="8416" xr:uid="{00000000-0005-0000-0000-0000EF000000}"/>
    <cellStyle name="20% - Accent6 3 2 2 2" xfId="8417" xr:uid="{00000000-0005-0000-0000-0000F0000000}"/>
    <cellStyle name="20% - Accent6 3 2 3" xfId="8418" xr:uid="{00000000-0005-0000-0000-0000F1000000}"/>
    <cellStyle name="20% - Accent6 3 2 3 2" xfId="8419" xr:uid="{00000000-0005-0000-0000-0000F2000000}"/>
    <cellStyle name="20% - Accent6 3 2 4" xfId="8420" xr:uid="{00000000-0005-0000-0000-0000F3000000}"/>
    <cellStyle name="20% - Accent6 3 3" xfId="8421" xr:uid="{00000000-0005-0000-0000-0000F4000000}"/>
    <cellStyle name="20% - Accent6 3 3 2" xfId="8422" xr:uid="{00000000-0005-0000-0000-0000F5000000}"/>
    <cellStyle name="20% - Accent6 3 4" xfId="8423" xr:uid="{00000000-0005-0000-0000-0000F6000000}"/>
    <cellStyle name="20% - Accent6 3 4 2" xfId="8424" xr:uid="{00000000-0005-0000-0000-0000F7000000}"/>
    <cellStyle name="20% - Accent6 3 5" xfId="8425" xr:uid="{00000000-0005-0000-0000-0000F8000000}"/>
    <cellStyle name="20% - Accent6 4" xfId="395" xr:uid="{00000000-0005-0000-0000-0000F9000000}"/>
    <cellStyle name="20% - Accent6 4 2" xfId="396" xr:uid="{00000000-0005-0000-0000-0000FA000000}"/>
    <cellStyle name="20% - Accent6 4 2 2" xfId="8426" xr:uid="{00000000-0005-0000-0000-0000FB000000}"/>
    <cellStyle name="20% - Accent6 4 2 2 2" xfId="8427" xr:uid="{00000000-0005-0000-0000-0000FC000000}"/>
    <cellStyle name="20% - Accent6 4 2 3" xfId="8428" xr:uid="{00000000-0005-0000-0000-0000FD000000}"/>
    <cellStyle name="20% - Accent6 4 2 3 2" xfId="8429" xr:uid="{00000000-0005-0000-0000-0000FE000000}"/>
    <cellStyle name="20% - Accent6 4 2 4" xfId="8430" xr:uid="{00000000-0005-0000-0000-0000FF000000}"/>
    <cellStyle name="20% - Accent6 4 3" xfId="8431" xr:uid="{00000000-0005-0000-0000-000000010000}"/>
    <cellStyle name="20% - Accent6 4 3 2" xfId="8432" xr:uid="{00000000-0005-0000-0000-000001010000}"/>
    <cellStyle name="20% - Accent6 4 4" xfId="8433" xr:uid="{00000000-0005-0000-0000-000002010000}"/>
    <cellStyle name="20% - Accent6 4 4 2" xfId="8434" xr:uid="{00000000-0005-0000-0000-000003010000}"/>
    <cellStyle name="20% - Accent6 4 5" xfId="8435" xr:uid="{00000000-0005-0000-0000-000004010000}"/>
    <cellStyle name="20% - Accent6 5" xfId="397" xr:uid="{00000000-0005-0000-0000-000005010000}"/>
    <cellStyle name="20% - Accent6 5 2" xfId="8436" xr:uid="{00000000-0005-0000-0000-000006010000}"/>
    <cellStyle name="20% - Accent6 5 2 2" xfId="8437" xr:uid="{00000000-0005-0000-0000-000007010000}"/>
    <cellStyle name="20% - Accent6 5 3" xfId="8438" xr:uid="{00000000-0005-0000-0000-000008010000}"/>
    <cellStyle name="20% - Accent6 5 3 2" xfId="8439" xr:uid="{00000000-0005-0000-0000-000009010000}"/>
    <cellStyle name="20% - Accent6 5 4" xfId="8440" xr:uid="{00000000-0005-0000-0000-00000A010000}"/>
    <cellStyle name="40% - Accent1 2" xfId="29" xr:uid="{00000000-0005-0000-0000-00000B010000}"/>
    <cellStyle name="40% - Accent1 2 2" xfId="255" xr:uid="{00000000-0005-0000-0000-00000C010000}"/>
    <cellStyle name="40% - Accent1 2 2 2" xfId="8441" xr:uid="{00000000-0005-0000-0000-00000D010000}"/>
    <cellStyle name="40% - Accent1 2 2 2 2" xfId="8442" xr:uid="{00000000-0005-0000-0000-00000E010000}"/>
    <cellStyle name="40% - Accent1 2 2 3" xfId="8443" xr:uid="{00000000-0005-0000-0000-00000F010000}"/>
    <cellStyle name="40% - Accent1 2 2 3 2" xfId="8444" xr:uid="{00000000-0005-0000-0000-000010010000}"/>
    <cellStyle name="40% - Accent1 2 2 4" xfId="8445" xr:uid="{00000000-0005-0000-0000-000011010000}"/>
    <cellStyle name="40% - Accent1 2 2 5" xfId="8446" xr:uid="{00000000-0005-0000-0000-000012010000}"/>
    <cellStyle name="40% - Accent1 2 2 6" xfId="8186" xr:uid="{00000000-0005-0000-0000-000013010000}"/>
    <cellStyle name="40% - Accent1 2 3" xfId="8447" xr:uid="{00000000-0005-0000-0000-000014010000}"/>
    <cellStyle name="40% - Accent1 2 3 2" xfId="8448" xr:uid="{00000000-0005-0000-0000-000015010000}"/>
    <cellStyle name="40% - Accent1 2 4" xfId="8449" xr:uid="{00000000-0005-0000-0000-000016010000}"/>
    <cellStyle name="40% - Accent1 2 4 2" xfId="8450" xr:uid="{00000000-0005-0000-0000-000017010000}"/>
    <cellStyle name="40% - Accent1 2 5" xfId="8451" xr:uid="{00000000-0005-0000-0000-000018010000}"/>
    <cellStyle name="40% - Accent1 2 5 2" xfId="8452" xr:uid="{00000000-0005-0000-0000-000019010000}"/>
    <cellStyle name="40% - Accent1 2 6" xfId="8185" xr:uid="{00000000-0005-0000-0000-00001A010000}"/>
    <cellStyle name="40% - Accent1 3" xfId="256" xr:uid="{00000000-0005-0000-0000-00001B010000}"/>
    <cellStyle name="40% - Accent1 3 2" xfId="398" xr:uid="{00000000-0005-0000-0000-00001C010000}"/>
    <cellStyle name="40% - Accent1 3 2 2" xfId="8453" xr:uid="{00000000-0005-0000-0000-00001D010000}"/>
    <cellStyle name="40% - Accent1 3 2 2 2" xfId="8454" xr:uid="{00000000-0005-0000-0000-00001E010000}"/>
    <cellStyle name="40% - Accent1 3 2 3" xfId="8455" xr:uid="{00000000-0005-0000-0000-00001F010000}"/>
    <cellStyle name="40% - Accent1 3 2 3 2" xfId="8456" xr:uid="{00000000-0005-0000-0000-000020010000}"/>
    <cellStyle name="40% - Accent1 3 2 4" xfId="8457" xr:uid="{00000000-0005-0000-0000-000021010000}"/>
    <cellStyle name="40% - Accent1 3 3" xfId="8458" xr:uid="{00000000-0005-0000-0000-000022010000}"/>
    <cellStyle name="40% - Accent1 3 3 2" xfId="8459" xr:uid="{00000000-0005-0000-0000-000023010000}"/>
    <cellStyle name="40% - Accent1 3 4" xfId="8460" xr:uid="{00000000-0005-0000-0000-000024010000}"/>
    <cellStyle name="40% - Accent1 3 4 2" xfId="8461" xr:uid="{00000000-0005-0000-0000-000025010000}"/>
    <cellStyle name="40% - Accent1 3 5" xfId="8462" xr:uid="{00000000-0005-0000-0000-000026010000}"/>
    <cellStyle name="40% - Accent1 4" xfId="399" xr:uid="{00000000-0005-0000-0000-000027010000}"/>
    <cellStyle name="40% - Accent1 4 2" xfId="400" xr:uid="{00000000-0005-0000-0000-000028010000}"/>
    <cellStyle name="40% - Accent1 4 2 2" xfId="8463" xr:uid="{00000000-0005-0000-0000-000029010000}"/>
    <cellStyle name="40% - Accent1 4 2 2 2" xfId="8464" xr:uid="{00000000-0005-0000-0000-00002A010000}"/>
    <cellStyle name="40% - Accent1 4 2 3" xfId="8465" xr:uid="{00000000-0005-0000-0000-00002B010000}"/>
    <cellStyle name="40% - Accent1 4 2 3 2" xfId="8466" xr:uid="{00000000-0005-0000-0000-00002C010000}"/>
    <cellStyle name="40% - Accent1 4 2 4" xfId="8467" xr:uid="{00000000-0005-0000-0000-00002D010000}"/>
    <cellStyle name="40% - Accent1 4 3" xfId="8468" xr:uid="{00000000-0005-0000-0000-00002E010000}"/>
    <cellStyle name="40% - Accent1 4 3 2" xfId="8469" xr:uid="{00000000-0005-0000-0000-00002F010000}"/>
    <cellStyle name="40% - Accent1 4 4" xfId="8470" xr:uid="{00000000-0005-0000-0000-000030010000}"/>
    <cellStyle name="40% - Accent1 4 4 2" xfId="8471" xr:uid="{00000000-0005-0000-0000-000031010000}"/>
    <cellStyle name="40% - Accent1 4 5" xfId="8472" xr:uid="{00000000-0005-0000-0000-000032010000}"/>
    <cellStyle name="40% - Accent1 5" xfId="401" xr:uid="{00000000-0005-0000-0000-000033010000}"/>
    <cellStyle name="40% - Accent1 5 2" xfId="8473" xr:uid="{00000000-0005-0000-0000-000034010000}"/>
    <cellStyle name="40% - Accent1 5 2 2" xfId="8474" xr:uid="{00000000-0005-0000-0000-000035010000}"/>
    <cellStyle name="40% - Accent1 5 3" xfId="8475" xr:uid="{00000000-0005-0000-0000-000036010000}"/>
    <cellStyle name="40% - Accent1 5 3 2" xfId="8476" xr:uid="{00000000-0005-0000-0000-000037010000}"/>
    <cellStyle name="40% - Accent1 5 4" xfId="8477" xr:uid="{00000000-0005-0000-0000-000038010000}"/>
    <cellStyle name="40% - Accent2 2" xfId="30" xr:uid="{00000000-0005-0000-0000-000039010000}"/>
    <cellStyle name="40% - Accent2 2 2" xfId="257" xr:uid="{00000000-0005-0000-0000-00003A010000}"/>
    <cellStyle name="40% - Accent2 2 2 2" xfId="8478" xr:uid="{00000000-0005-0000-0000-00003B010000}"/>
    <cellStyle name="40% - Accent2 2 2 2 2" xfId="8479" xr:uid="{00000000-0005-0000-0000-00003C010000}"/>
    <cellStyle name="40% - Accent2 2 2 3" xfId="8480" xr:uid="{00000000-0005-0000-0000-00003D010000}"/>
    <cellStyle name="40% - Accent2 2 2 3 2" xfId="8481" xr:uid="{00000000-0005-0000-0000-00003E010000}"/>
    <cellStyle name="40% - Accent2 2 2 4" xfId="8482" xr:uid="{00000000-0005-0000-0000-00003F010000}"/>
    <cellStyle name="40% - Accent2 2 2 5" xfId="8483" xr:uid="{00000000-0005-0000-0000-000040010000}"/>
    <cellStyle name="40% - Accent2 2 2 6" xfId="8188" xr:uid="{00000000-0005-0000-0000-000041010000}"/>
    <cellStyle name="40% - Accent2 2 3" xfId="8484" xr:uid="{00000000-0005-0000-0000-000042010000}"/>
    <cellStyle name="40% - Accent2 2 3 2" xfId="8485" xr:uid="{00000000-0005-0000-0000-000043010000}"/>
    <cellStyle name="40% - Accent2 2 4" xfId="8486" xr:uid="{00000000-0005-0000-0000-000044010000}"/>
    <cellStyle name="40% - Accent2 2 4 2" xfId="8487" xr:uid="{00000000-0005-0000-0000-000045010000}"/>
    <cellStyle name="40% - Accent2 2 5" xfId="8488" xr:uid="{00000000-0005-0000-0000-000046010000}"/>
    <cellStyle name="40% - Accent2 2 5 2" xfId="8489" xr:uid="{00000000-0005-0000-0000-000047010000}"/>
    <cellStyle name="40% - Accent2 2 6" xfId="8187" xr:uid="{00000000-0005-0000-0000-000048010000}"/>
    <cellStyle name="40% - Accent2 3" xfId="258" xr:uid="{00000000-0005-0000-0000-000049010000}"/>
    <cellStyle name="40% - Accent2 3 2" xfId="402" xr:uid="{00000000-0005-0000-0000-00004A010000}"/>
    <cellStyle name="40% - Accent2 3 2 2" xfId="8490" xr:uid="{00000000-0005-0000-0000-00004B010000}"/>
    <cellStyle name="40% - Accent2 3 2 2 2" xfId="8491" xr:uid="{00000000-0005-0000-0000-00004C010000}"/>
    <cellStyle name="40% - Accent2 3 2 3" xfId="8492" xr:uid="{00000000-0005-0000-0000-00004D010000}"/>
    <cellStyle name="40% - Accent2 3 2 3 2" xfId="8493" xr:uid="{00000000-0005-0000-0000-00004E010000}"/>
    <cellStyle name="40% - Accent2 3 2 4" xfId="8494" xr:uid="{00000000-0005-0000-0000-00004F010000}"/>
    <cellStyle name="40% - Accent2 3 3" xfId="8495" xr:uid="{00000000-0005-0000-0000-000050010000}"/>
    <cellStyle name="40% - Accent2 3 3 2" xfId="8496" xr:uid="{00000000-0005-0000-0000-000051010000}"/>
    <cellStyle name="40% - Accent2 3 4" xfId="8497" xr:uid="{00000000-0005-0000-0000-000052010000}"/>
    <cellStyle name="40% - Accent2 3 4 2" xfId="8498" xr:uid="{00000000-0005-0000-0000-000053010000}"/>
    <cellStyle name="40% - Accent2 3 5" xfId="8499" xr:uid="{00000000-0005-0000-0000-000054010000}"/>
    <cellStyle name="40% - Accent2 4" xfId="403" xr:uid="{00000000-0005-0000-0000-000055010000}"/>
    <cellStyle name="40% - Accent2 4 2" xfId="404" xr:uid="{00000000-0005-0000-0000-000056010000}"/>
    <cellStyle name="40% - Accent2 4 2 2" xfId="8500" xr:uid="{00000000-0005-0000-0000-000057010000}"/>
    <cellStyle name="40% - Accent2 4 2 2 2" xfId="8501" xr:uid="{00000000-0005-0000-0000-000058010000}"/>
    <cellStyle name="40% - Accent2 4 2 3" xfId="8502" xr:uid="{00000000-0005-0000-0000-000059010000}"/>
    <cellStyle name="40% - Accent2 4 2 3 2" xfId="8503" xr:uid="{00000000-0005-0000-0000-00005A010000}"/>
    <cellStyle name="40% - Accent2 4 2 4" xfId="8504" xr:uid="{00000000-0005-0000-0000-00005B010000}"/>
    <cellStyle name="40% - Accent2 4 3" xfId="8505" xr:uid="{00000000-0005-0000-0000-00005C010000}"/>
    <cellStyle name="40% - Accent2 4 3 2" xfId="8506" xr:uid="{00000000-0005-0000-0000-00005D010000}"/>
    <cellStyle name="40% - Accent2 4 4" xfId="8507" xr:uid="{00000000-0005-0000-0000-00005E010000}"/>
    <cellStyle name="40% - Accent2 4 4 2" xfId="8508" xr:uid="{00000000-0005-0000-0000-00005F010000}"/>
    <cellStyle name="40% - Accent2 4 5" xfId="8509" xr:uid="{00000000-0005-0000-0000-000060010000}"/>
    <cellStyle name="40% - Accent2 5" xfId="405" xr:uid="{00000000-0005-0000-0000-000061010000}"/>
    <cellStyle name="40% - Accent2 5 2" xfId="8510" xr:uid="{00000000-0005-0000-0000-000062010000}"/>
    <cellStyle name="40% - Accent2 5 2 2" xfId="8511" xr:uid="{00000000-0005-0000-0000-000063010000}"/>
    <cellStyle name="40% - Accent2 5 3" xfId="8512" xr:uid="{00000000-0005-0000-0000-000064010000}"/>
    <cellStyle name="40% - Accent2 5 3 2" xfId="8513" xr:uid="{00000000-0005-0000-0000-000065010000}"/>
    <cellStyle name="40% - Accent2 5 4" xfId="8514" xr:uid="{00000000-0005-0000-0000-000066010000}"/>
    <cellStyle name="40% - Accent3 2" xfId="31" xr:uid="{00000000-0005-0000-0000-000067010000}"/>
    <cellStyle name="40% - Accent3 2 2" xfId="259" xr:uid="{00000000-0005-0000-0000-000068010000}"/>
    <cellStyle name="40% - Accent3 2 2 2" xfId="8515" xr:uid="{00000000-0005-0000-0000-000069010000}"/>
    <cellStyle name="40% - Accent3 2 2 2 2" xfId="8516" xr:uid="{00000000-0005-0000-0000-00006A010000}"/>
    <cellStyle name="40% - Accent3 2 2 3" xfId="8517" xr:uid="{00000000-0005-0000-0000-00006B010000}"/>
    <cellStyle name="40% - Accent3 2 2 3 2" xfId="8518" xr:uid="{00000000-0005-0000-0000-00006C010000}"/>
    <cellStyle name="40% - Accent3 2 2 4" xfId="8519" xr:uid="{00000000-0005-0000-0000-00006D010000}"/>
    <cellStyle name="40% - Accent3 2 2 5" xfId="8520" xr:uid="{00000000-0005-0000-0000-00006E010000}"/>
    <cellStyle name="40% - Accent3 2 2 6" xfId="8190" xr:uid="{00000000-0005-0000-0000-00006F010000}"/>
    <cellStyle name="40% - Accent3 2 3" xfId="8521" xr:uid="{00000000-0005-0000-0000-000070010000}"/>
    <cellStyle name="40% - Accent3 2 3 2" xfId="8522" xr:uid="{00000000-0005-0000-0000-000071010000}"/>
    <cellStyle name="40% - Accent3 2 4" xfId="8523" xr:uid="{00000000-0005-0000-0000-000072010000}"/>
    <cellStyle name="40% - Accent3 2 4 2" xfId="8524" xr:uid="{00000000-0005-0000-0000-000073010000}"/>
    <cellStyle name="40% - Accent3 2 5" xfId="8525" xr:uid="{00000000-0005-0000-0000-000074010000}"/>
    <cellStyle name="40% - Accent3 2 5 2" xfId="8526" xr:uid="{00000000-0005-0000-0000-000075010000}"/>
    <cellStyle name="40% - Accent3 2 6" xfId="8189" xr:uid="{00000000-0005-0000-0000-000076010000}"/>
    <cellStyle name="40% - Accent3 3" xfId="260" xr:uid="{00000000-0005-0000-0000-000077010000}"/>
    <cellStyle name="40% - Accent3 3 2" xfId="406" xr:uid="{00000000-0005-0000-0000-000078010000}"/>
    <cellStyle name="40% - Accent3 3 2 2" xfId="8527" xr:uid="{00000000-0005-0000-0000-000079010000}"/>
    <cellStyle name="40% - Accent3 3 2 2 2" xfId="8528" xr:uid="{00000000-0005-0000-0000-00007A010000}"/>
    <cellStyle name="40% - Accent3 3 2 3" xfId="8529" xr:uid="{00000000-0005-0000-0000-00007B010000}"/>
    <cellStyle name="40% - Accent3 3 2 3 2" xfId="8530" xr:uid="{00000000-0005-0000-0000-00007C010000}"/>
    <cellStyle name="40% - Accent3 3 2 4" xfId="8531" xr:uid="{00000000-0005-0000-0000-00007D010000}"/>
    <cellStyle name="40% - Accent3 3 3" xfId="8532" xr:uid="{00000000-0005-0000-0000-00007E010000}"/>
    <cellStyle name="40% - Accent3 3 3 2" xfId="8533" xr:uid="{00000000-0005-0000-0000-00007F010000}"/>
    <cellStyle name="40% - Accent3 3 4" xfId="8534" xr:uid="{00000000-0005-0000-0000-000080010000}"/>
    <cellStyle name="40% - Accent3 3 4 2" xfId="8535" xr:uid="{00000000-0005-0000-0000-000081010000}"/>
    <cellStyle name="40% - Accent3 3 5" xfId="8536" xr:uid="{00000000-0005-0000-0000-000082010000}"/>
    <cellStyle name="40% - Accent3 4" xfId="407" xr:uid="{00000000-0005-0000-0000-000083010000}"/>
    <cellStyle name="40% - Accent3 4 2" xfId="408" xr:uid="{00000000-0005-0000-0000-000084010000}"/>
    <cellStyle name="40% - Accent3 4 2 2" xfId="8537" xr:uid="{00000000-0005-0000-0000-000085010000}"/>
    <cellStyle name="40% - Accent3 4 2 2 2" xfId="8538" xr:uid="{00000000-0005-0000-0000-000086010000}"/>
    <cellStyle name="40% - Accent3 4 2 3" xfId="8539" xr:uid="{00000000-0005-0000-0000-000087010000}"/>
    <cellStyle name="40% - Accent3 4 2 3 2" xfId="8540" xr:uid="{00000000-0005-0000-0000-000088010000}"/>
    <cellStyle name="40% - Accent3 4 2 4" xfId="8541" xr:uid="{00000000-0005-0000-0000-000089010000}"/>
    <cellStyle name="40% - Accent3 4 3" xfId="8542" xr:uid="{00000000-0005-0000-0000-00008A010000}"/>
    <cellStyle name="40% - Accent3 4 3 2" xfId="8543" xr:uid="{00000000-0005-0000-0000-00008B010000}"/>
    <cellStyle name="40% - Accent3 4 4" xfId="8544" xr:uid="{00000000-0005-0000-0000-00008C010000}"/>
    <cellStyle name="40% - Accent3 4 4 2" xfId="8545" xr:uid="{00000000-0005-0000-0000-00008D010000}"/>
    <cellStyle name="40% - Accent3 4 5" xfId="8546" xr:uid="{00000000-0005-0000-0000-00008E010000}"/>
    <cellStyle name="40% - Accent3 5" xfId="409" xr:uid="{00000000-0005-0000-0000-00008F010000}"/>
    <cellStyle name="40% - Accent3 5 2" xfId="8547" xr:uid="{00000000-0005-0000-0000-000090010000}"/>
    <cellStyle name="40% - Accent3 5 2 2" xfId="8548" xr:uid="{00000000-0005-0000-0000-000091010000}"/>
    <cellStyle name="40% - Accent3 5 3" xfId="8549" xr:uid="{00000000-0005-0000-0000-000092010000}"/>
    <cellStyle name="40% - Accent3 5 3 2" xfId="8550" xr:uid="{00000000-0005-0000-0000-000093010000}"/>
    <cellStyle name="40% - Accent3 5 4" xfId="8551" xr:uid="{00000000-0005-0000-0000-000094010000}"/>
    <cellStyle name="40% - Accent4 2" xfId="32" xr:uid="{00000000-0005-0000-0000-000095010000}"/>
    <cellStyle name="40% - Accent4 2 2" xfId="261" xr:uid="{00000000-0005-0000-0000-000096010000}"/>
    <cellStyle name="40% - Accent4 2 2 2" xfId="8552" xr:uid="{00000000-0005-0000-0000-000097010000}"/>
    <cellStyle name="40% - Accent4 2 2 2 2" xfId="8553" xr:uid="{00000000-0005-0000-0000-000098010000}"/>
    <cellStyle name="40% - Accent4 2 2 3" xfId="8554" xr:uid="{00000000-0005-0000-0000-000099010000}"/>
    <cellStyle name="40% - Accent4 2 2 3 2" xfId="8555" xr:uid="{00000000-0005-0000-0000-00009A010000}"/>
    <cellStyle name="40% - Accent4 2 2 4" xfId="8556" xr:uid="{00000000-0005-0000-0000-00009B010000}"/>
    <cellStyle name="40% - Accent4 2 2 5" xfId="8557" xr:uid="{00000000-0005-0000-0000-00009C010000}"/>
    <cellStyle name="40% - Accent4 2 2 6" xfId="8192" xr:uid="{00000000-0005-0000-0000-00009D010000}"/>
    <cellStyle name="40% - Accent4 2 3" xfId="8558" xr:uid="{00000000-0005-0000-0000-00009E010000}"/>
    <cellStyle name="40% - Accent4 2 3 2" xfId="8559" xr:uid="{00000000-0005-0000-0000-00009F010000}"/>
    <cellStyle name="40% - Accent4 2 4" xfId="8560" xr:uid="{00000000-0005-0000-0000-0000A0010000}"/>
    <cellStyle name="40% - Accent4 2 4 2" xfId="8561" xr:uid="{00000000-0005-0000-0000-0000A1010000}"/>
    <cellStyle name="40% - Accent4 2 5" xfId="8562" xr:uid="{00000000-0005-0000-0000-0000A2010000}"/>
    <cellStyle name="40% - Accent4 2 5 2" xfId="8563" xr:uid="{00000000-0005-0000-0000-0000A3010000}"/>
    <cellStyle name="40% - Accent4 2 6" xfId="8191" xr:uid="{00000000-0005-0000-0000-0000A4010000}"/>
    <cellStyle name="40% - Accent4 3" xfId="262" xr:uid="{00000000-0005-0000-0000-0000A5010000}"/>
    <cellStyle name="40% - Accent4 3 2" xfId="410" xr:uid="{00000000-0005-0000-0000-0000A6010000}"/>
    <cellStyle name="40% - Accent4 3 2 2" xfId="8564" xr:uid="{00000000-0005-0000-0000-0000A7010000}"/>
    <cellStyle name="40% - Accent4 3 2 2 2" xfId="8565" xr:uid="{00000000-0005-0000-0000-0000A8010000}"/>
    <cellStyle name="40% - Accent4 3 2 3" xfId="8566" xr:uid="{00000000-0005-0000-0000-0000A9010000}"/>
    <cellStyle name="40% - Accent4 3 2 3 2" xfId="8567" xr:uid="{00000000-0005-0000-0000-0000AA010000}"/>
    <cellStyle name="40% - Accent4 3 2 4" xfId="8568" xr:uid="{00000000-0005-0000-0000-0000AB010000}"/>
    <cellStyle name="40% - Accent4 3 3" xfId="8569" xr:uid="{00000000-0005-0000-0000-0000AC010000}"/>
    <cellStyle name="40% - Accent4 3 3 2" xfId="8570" xr:uid="{00000000-0005-0000-0000-0000AD010000}"/>
    <cellStyle name="40% - Accent4 3 4" xfId="8571" xr:uid="{00000000-0005-0000-0000-0000AE010000}"/>
    <cellStyle name="40% - Accent4 3 4 2" xfId="8572" xr:uid="{00000000-0005-0000-0000-0000AF010000}"/>
    <cellStyle name="40% - Accent4 3 5" xfId="8573" xr:uid="{00000000-0005-0000-0000-0000B0010000}"/>
    <cellStyle name="40% - Accent4 4" xfId="411" xr:uid="{00000000-0005-0000-0000-0000B1010000}"/>
    <cellStyle name="40% - Accent4 4 2" xfId="412" xr:uid="{00000000-0005-0000-0000-0000B2010000}"/>
    <cellStyle name="40% - Accent4 4 2 2" xfId="8574" xr:uid="{00000000-0005-0000-0000-0000B3010000}"/>
    <cellStyle name="40% - Accent4 4 2 2 2" xfId="8575" xr:uid="{00000000-0005-0000-0000-0000B4010000}"/>
    <cellStyle name="40% - Accent4 4 2 3" xfId="8576" xr:uid="{00000000-0005-0000-0000-0000B5010000}"/>
    <cellStyle name="40% - Accent4 4 2 3 2" xfId="8577" xr:uid="{00000000-0005-0000-0000-0000B6010000}"/>
    <cellStyle name="40% - Accent4 4 2 4" xfId="8578" xr:uid="{00000000-0005-0000-0000-0000B7010000}"/>
    <cellStyle name="40% - Accent4 4 3" xfId="8579" xr:uid="{00000000-0005-0000-0000-0000B8010000}"/>
    <cellStyle name="40% - Accent4 4 3 2" xfId="8580" xr:uid="{00000000-0005-0000-0000-0000B9010000}"/>
    <cellStyle name="40% - Accent4 4 4" xfId="8581" xr:uid="{00000000-0005-0000-0000-0000BA010000}"/>
    <cellStyle name="40% - Accent4 4 4 2" xfId="8582" xr:uid="{00000000-0005-0000-0000-0000BB010000}"/>
    <cellStyle name="40% - Accent4 4 5" xfId="8583" xr:uid="{00000000-0005-0000-0000-0000BC010000}"/>
    <cellStyle name="40% - Accent4 5" xfId="413" xr:uid="{00000000-0005-0000-0000-0000BD010000}"/>
    <cellStyle name="40% - Accent4 5 2" xfId="8584" xr:uid="{00000000-0005-0000-0000-0000BE010000}"/>
    <cellStyle name="40% - Accent4 5 2 2" xfId="8585" xr:uid="{00000000-0005-0000-0000-0000BF010000}"/>
    <cellStyle name="40% - Accent4 5 3" xfId="8586" xr:uid="{00000000-0005-0000-0000-0000C0010000}"/>
    <cellStyle name="40% - Accent4 5 3 2" xfId="8587" xr:uid="{00000000-0005-0000-0000-0000C1010000}"/>
    <cellStyle name="40% - Accent4 5 4" xfId="8588" xr:uid="{00000000-0005-0000-0000-0000C2010000}"/>
    <cellStyle name="40% - Accent5 2" xfId="33" xr:uid="{00000000-0005-0000-0000-0000C3010000}"/>
    <cellStyle name="40% - Accent5 2 2" xfId="414" xr:uid="{00000000-0005-0000-0000-0000C4010000}"/>
    <cellStyle name="40% - Accent5 2 2 2" xfId="8589" xr:uid="{00000000-0005-0000-0000-0000C5010000}"/>
    <cellStyle name="40% - Accent5 2 2 2 2" xfId="8590" xr:uid="{00000000-0005-0000-0000-0000C6010000}"/>
    <cellStyle name="40% - Accent5 2 2 3" xfId="8591" xr:uid="{00000000-0005-0000-0000-0000C7010000}"/>
    <cellStyle name="40% - Accent5 2 2 3 2" xfId="8592" xr:uid="{00000000-0005-0000-0000-0000C8010000}"/>
    <cellStyle name="40% - Accent5 2 2 4" xfId="8593" xr:uid="{00000000-0005-0000-0000-0000C9010000}"/>
    <cellStyle name="40% - Accent5 2 3" xfId="8594" xr:uid="{00000000-0005-0000-0000-0000CA010000}"/>
    <cellStyle name="40% - Accent5 2 3 2" xfId="8595" xr:uid="{00000000-0005-0000-0000-0000CB010000}"/>
    <cellStyle name="40% - Accent5 2 4" xfId="8596" xr:uid="{00000000-0005-0000-0000-0000CC010000}"/>
    <cellStyle name="40% - Accent5 2 4 2" xfId="8597" xr:uid="{00000000-0005-0000-0000-0000CD010000}"/>
    <cellStyle name="40% - Accent5 2 5" xfId="8598" xr:uid="{00000000-0005-0000-0000-0000CE010000}"/>
    <cellStyle name="40% - Accent5 2 5 2" xfId="8599" xr:uid="{00000000-0005-0000-0000-0000CF010000}"/>
    <cellStyle name="40% - Accent5 3" xfId="263" xr:uid="{00000000-0005-0000-0000-0000D0010000}"/>
    <cellStyle name="40% - Accent5 3 2" xfId="415" xr:uid="{00000000-0005-0000-0000-0000D1010000}"/>
    <cellStyle name="40% - Accent5 3 2 2" xfId="8600" xr:uid="{00000000-0005-0000-0000-0000D2010000}"/>
    <cellStyle name="40% - Accent5 3 2 2 2" xfId="8601" xr:uid="{00000000-0005-0000-0000-0000D3010000}"/>
    <cellStyle name="40% - Accent5 3 2 3" xfId="8602" xr:uid="{00000000-0005-0000-0000-0000D4010000}"/>
    <cellStyle name="40% - Accent5 3 2 3 2" xfId="8603" xr:uid="{00000000-0005-0000-0000-0000D5010000}"/>
    <cellStyle name="40% - Accent5 3 2 4" xfId="8604" xr:uid="{00000000-0005-0000-0000-0000D6010000}"/>
    <cellStyle name="40% - Accent5 3 3" xfId="8605" xr:uid="{00000000-0005-0000-0000-0000D7010000}"/>
    <cellStyle name="40% - Accent5 3 3 2" xfId="8606" xr:uid="{00000000-0005-0000-0000-0000D8010000}"/>
    <cellStyle name="40% - Accent5 3 4" xfId="8607" xr:uid="{00000000-0005-0000-0000-0000D9010000}"/>
    <cellStyle name="40% - Accent5 3 4 2" xfId="8608" xr:uid="{00000000-0005-0000-0000-0000DA010000}"/>
    <cellStyle name="40% - Accent5 3 5" xfId="8609" xr:uid="{00000000-0005-0000-0000-0000DB010000}"/>
    <cellStyle name="40% - Accent5 4" xfId="416" xr:uid="{00000000-0005-0000-0000-0000DC010000}"/>
    <cellStyle name="40% - Accent5 4 2" xfId="417" xr:uid="{00000000-0005-0000-0000-0000DD010000}"/>
    <cellStyle name="40% - Accent5 4 2 2" xfId="8610" xr:uid="{00000000-0005-0000-0000-0000DE010000}"/>
    <cellStyle name="40% - Accent5 4 2 2 2" xfId="8611" xr:uid="{00000000-0005-0000-0000-0000DF010000}"/>
    <cellStyle name="40% - Accent5 4 2 3" xfId="8612" xr:uid="{00000000-0005-0000-0000-0000E0010000}"/>
    <cellStyle name="40% - Accent5 4 2 3 2" xfId="8613" xr:uid="{00000000-0005-0000-0000-0000E1010000}"/>
    <cellStyle name="40% - Accent5 4 2 4" xfId="8614" xr:uid="{00000000-0005-0000-0000-0000E2010000}"/>
    <cellStyle name="40% - Accent5 4 3" xfId="8615" xr:uid="{00000000-0005-0000-0000-0000E3010000}"/>
    <cellStyle name="40% - Accent5 4 3 2" xfId="8616" xr:uid="{00000000-0005-0000-0000-0000E4010000}"/>
    <cellStyle name="40% - Accent5 4 4" xfId="8617" xr:uid="{00000000-0005-0000-0000-0000E5010000}"/>
    <cellStyle name="40% - Accent5 4 4 2" xfId="8618" xr:uid="{00000000-0005-0000-0000-0000E6010000}"/>
    <cellStyle name="40% - Accent5 4 5" xfId="8619" xr:uid="{00000000-0005-0000-0000-0000E7010000}"/>
    <cellStyle name="40% - Accent5 5" xfId="418" xr:uid="{00000000-0005-0000-0000-0000E8010000}"/>
    <cellStyle name="40% - Accent5 5 2" xfId="8620" xr:uid="{00000000-0005-0000-0000-0000E9010000}"/>
    <cellStyle name="40% - Accent5 5 2 2" xfId="8621" xr:uid="{00000000-0005-0000-0000-0000EA010000}"/>
    <cellStyle name="40% - Accent5 5 3" xfId="8622" xr:uid="{00000000-0005-0000-0000-0000EB010000}"/>
    <cellStyle name="40% - Accent5 5 3 2" xfId="8623" xr:uid="{00000000-0005-0000-0000-0000EC010000}"/>
    <cellStyle name="40% - Accent5 5 4" xfId="8624" xr:uid="{00000000-0005-0000-0000-0000ED010000}"/>
    <cellStyle name="40% - Accent6 2" xfId="34" xr:uid="{00000000-0005-0000-0000-0000EE010000}"/>
    <cellStyle name="40% - Accent6 2 2" xfId="264" xr:uid="{00000000-0005-0000-0000-0000EF010000}"/>
    <cellStyle name="40% - Accent6 2 2 2" xfId="8625" xr:uid="{00000000-0005-0000-0000-0000F0010000}"/>
    <cellStyle name="40% - Accent6 2 2 2 2" xfId="8626" xr:uid="{00000000-0005-0000-0000-0000F1010000}"/>
    <cellStyle name="40% - Accent6 2 2 3" xfId="8627" xr:uid="{00000000-0005-0000-0000-0000F2010000}"/>
    <cellStyle name="40% - Accent6 2 2 3 2" xfId="8628" xr:uid="{00000000-0005-0000-0000-0000F3010000}"/>
    <cellStyle name="40% - Accent6 2 2 4" xfId="8629" xr:uid="{00000000-0005-0000-0000-0000F4010000}"/>
    <cellStyle name="40% - Accent6 2 2 5" xfId="8630" xr:uid="{00000000-0005-0000-0000-0000F5010000}"/>
    <cellStyle name="40% - Accent6 2 2 6" xfId="8194" xr:uid="{00000000-0005-0000-0000-0000F6010000}"/>
    <cellStyle name="40% - Accent6 2 3" xfId="8631" xr:uid="{00000000-0005-0000-0000-0000F7010000}"/>
    <cellStyle name="40% - Accent6 2 3 2" xfId="8632" xr:uid="{00000000-0005-0000-0000-0000F8010000}"/>
    <cellStyle name="40% - Accent6 2 4" xfId="8633" xr:uid="{00000000-0005-0000-0000-0000F9010000}"/>
    <cellStyle name="40% - Accent6 2 4 2" xfId="8634" xr:uid="{00000000-0005-0000-0000-0000FA010000}"/>
    <cellStyle name="40% - Accent6 2 5" xfId="8635" xr:uid="{00000000-0005-0000-0000-0000FB010000}"/>
    <cellStyle name="40% - Accent6 2 5 2" xfId="8636" xr:uid="{00000000-0005-0000-0000-0000FC010000}"/>
    <cellStyle name="40% - Accent6 2 6" xfId="8193" xr:uid="{00000000-0005-0000-0000-0000FD010000}"/>
    <cellStyle name="40% - Accent6 3" xfId="265" xr:uid="{00000000-0005-0000-0000-0000FE010000}"/>
    <cellStyle name="40% - Accent6 3 2" xfId="419" xr:uid="{00000000-0005-0000-0000-0000FF010000}"/>
    <cellStyle name="40% - Accent6 3 2 2" xfId="8637" xr:uid="{00000000-0005-0000-0000-000000020000}"/>
    <cellStyle name="40% - Accent6 3 2 2 2" xfId="8638" xr:uid="{00000000-0005-0000-0000-000001020000}"/>
    <cellStyle name="40% - Accent6 3 2 3" xfId="8639" xr:uid="{00000000-0005-0000-0000-000002020000}"/>
    <cellStyle name="40% - Accent6 3 2 3 2" xfId="8640" xr:uid="{00000000-0005-0000-0000-000003020000}"/>
    <cellStyle name="40% - Accent6 3 2 4" xfId="8641" xr:uid="{00000000-0005-0000-0000-000004020000}"/>
    <cellStyle name="40% - Accent6 3 3" xfId="8642" xr:uid="{00000000-0005-0000-0000-000005020000}"/>
    <cellStyle name="40% - Accent6 3 3 2" xfId="8643" xr:uid="{00000000-0005-0000-0000-000006020000}"/>
    <cellStyle name="40% - Accent6 3 4" xfId="8644" xr:uid="{00000000-0005-0000-0000-000007020000}"/>
    <cellStyle name="40% - Accent6 3 4 2" xfId="8645" xr:uid="{00000000-0005-0000-0000-000008020000}"/>
    <cellStyle name="40% - Accent6 3 5" xfId="8646" xr:uid="{00000000-0005-0000-0000-000009020000}"/>
    <cellStyle name="40% - Accent6 4" xfId="420" xr:uid="{00000000-0005-0000-0000-00000A020000}"/>
    <cellStyle name="40% - Accent6 4 2" xfId="421" xr:uid="{00000000-0005-0000-0000-00000B020000}"/>
    <cellStyle name="40% - Accent6 4 2 2" xfId="8647" xr:uid="{00000000-0005-0000-0000-00000C020000}"/>
    <cellStyle name="40% - Accent6 4 2 2 2" xfId="8648" xr:uid="{00000000-0005-0000-0000-00000D020000}"/>
    <cellStyle name="40% - Accent6 4 2 3" xfId="8649" xr:uid="{00000000-0005-0000-0000-00000E020000}"/>
    <cellStyle name="40% - Accent6 4 2 3 2" xfId="8650" xr:uid="{00000000-0005-0000-0000-00000F020000}"/>
    <cellStyle name="40% - Accent6 4 2 4" xfId="8651" xr:uid="{00000000-0005-0000-0000-000010020000}"/>
    <cellStyle name="40% - Accent6 4 3" xfId="8652" xr:uid="{00000000-0005-0000-0000-000011020000}"/>
    <cellStyle name="40% - Accent6 4 3 2" xfId="8653" xr:uid="{00000000-0005-0000-0000-000012020000}"/>
    <cellStyle name="40% - Accent6 4 4" xfId="8654" xr:uid="{00000000-0005-0000-0000-000013020000}"/>
    <cellStyle name="40% - Accent6 4 4 2" xfId="8655" xr:uid="{00000000-0005-0000-0000-000014020000}"/>
    <cellStyle name="40% - Accent6 4 5" xfId="8656" xr:uid="{00000000-0005-0000-0000-000015020000}"/>
    <cellStyle name="40% - Accent6 5" xfId="422" xr:uid="{00000000-0005-0000-0000-000016020000}"/>
    <cellStyle name="40% - Accent6 5 2" xfId="8657" xr:uid="{00000000-0005-0000-0000-000017020000}"/>
    <cellStyle name="40% - Accent6 5 2 2" xfId="8658" xr:uid="{00000000-0005-0000-0000-000018020000}"/>
    <cellStyle name="40% - Accent6 5 3" xfId="8659" xr:uid="{00000000-0005-0000-0000-000019020000}"/>
    <cellStyle name="40% - Accent6 5 3 2" xfId="8660" xr:uid="{00000000-0005-0000-0000-00001A020000}"/>
    <cellStyle name="40% - Accent6 5 4" xfId="8661" xr:uid="{00000000-0005-0000-0000-00001B020000}"/>
    <cellStyle name="60% - Accent1 2" xfId="35" xr:uid="{00000000-0005-0000-0000-00001C020000}"/>
    <cellStyle name="60% - Accent1 2 2" xfId="266" xr:uid="{00000000-0005-0000-0000-00001D020000}"/>
    <cellStyle name="60% - Accent1 3" xfId="267" xr:uid="{00000000-0005-0000-0000-00001E020000}"/>
    <cellStyle name="60% - Accent2 2" xfId="36" xr:uid="{00000000-0005-0000-0000-00001F020000}"/>
    <cellStyle name="60% - Accent2 2 2" xfId="268" xr:uid="{00000000-0005-0000-0000-000020020000}"/>
    <cellStyle name="60% - Accent2 3" xfId="269" xr:uid="{00000000-0005-0000-0000-000021020000}"/>
    <cellStyle name="60% - Accent3 2" xfId="37" xr:uid="{00000000-0005-0000-0000-000022020000}"/>
    <cellStyle name="60% - Accent3 2 2" xfId="270" xr:uid="{00000000-0005-0000-0000-000023020000}"/>
    <cellStyle name="60% - Accent3 3" xfId="271" xr:uid="{00000000-0005-0000-0000-000024020000}"/>
    <cellStyle name="60% - Accent4 2" xfId="38" xr:uid="{00000000-0005-0000-0000-000025020000}"/>
    <cellStyle name="60% - Accent4 2 2" xfId="272" xr:uid="{00000000-0005-0000-0000-000026020000}"/>
    <cellStyle name="60% - Accent4 3" xfId="273" xr:uid="{00000000-0005-0000-0000-000027020000}"/>
    <cellStyle name="60% - Accent5 2" xfId="39" xr:uid="{00000000-0005-0000-0000-000028020000}"/>
    <cellStyle name="60% - Accent5 3" xfId="274" xr:uid="{00000000-0005-0000-0000-000029020000}"/>
    <cellStyle name="60% - Accent6 2" xfId="40" xr:uid="{00000000-0005-0000-0000-00002A020000}"/>
    <cellStyle name="60% - Accent6 2 2" xfId="275" xr:uid="{00000000-0005-0000-0000-00002B020000}"/>
    <cellStyle name="60% - Accent6 3" xfId="276" xr:uid="{00000000-0005-0000-0000-00002C020000}"/>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7" xr:uid="{00000000-0005-0000-0000-000031020000}"/>
    <cellStyle name="Accent1 3" xfId="278" xr:uid="{00000000-0005-0000-0000-000032020000}"/>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3" xfId="279" xr:uid="{00000000-0005-0000-0000-000037020000}"/>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80" xr:uid="{00000000-0005-0000-0000-00003C020000}"/>
    <cellStyle name="Accent3 3" xfId="281" xr:uid="{00000000-0005-0000-0000-00003D020000}"/>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82" xr:uid="{00000000-0005-0000-0000-000042020000}"/>
    <cellStyle name="Accent4 3" xfId="283" xr:uid="{00000000-0005-0000-0000-000043020000}"/>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4"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3" xfId="285" xr:uid="{00000000-0005-0000-0000-00004D020000}"/>
    <cellStyle name="Bad" xfId="9180" builtinId="27"/>
    <cellStyle name="Bad 2" xfId="65" xr:uid="{00000000-0005-0000-0000-00004F020000}"/>
    <cellStyle name="Bad 2 2" xfId="286" xr:uid="{00000000-0005-0000-0000-000050020000}"/>
    <cellStyle name="Bad 3" xfId="287" xr:uid="{00000000-0005-0000-0000-000051020000}"/>
    <cellStyle name="Calculated but Overridable" xfId="9185" xr:uid="{67E7686F-C947-4636-8762-188D8CCBA66B}"/>
    <cellStyle name="Calculated Cell" xfId="9186" xr:uid="{B79D51CA-D129-4EC5-9583-D954A99E0058}"/>
    <cellStyle name="Calculation 2" xfId="66" xr:uid="{00000000-0005-0000-0000-000052020000}"/>
    <cellStyle name="Calculation 2 2" xfId="288" xr:uid="{00000000-0005-0000-0000-000053020000}"/>
    <cellStyle name="Calculation 2 2 2" xfId="8218" xr:uid="{00000000-0005-0000-0000-000054020000}"/>
    <cellStyle name="Calculation 2 2 3" xfId="9167" xr:uid="{00000000-0005-0000-0000-000055020000}"/>
    <cellStyle name="Calculation 2 3" xfId="8215" xr:uid="{00000000-0005-0000-0000-000056020000}"/>
    <cellStyle name="Calculation 2 4" xfId="9113" xr:uid="{00000000-0005-0000-0000-000057020000}"/>
    <cellStyle name="Calculation 2 5" xfId="9188" xr:uid="{F117BF46-C61A-4897-B4FA-A7B70473DBE5}"/>
    <cellStyle name="Calculation 3" xfId="289" xr:uid="{00000000-0005-0000-0000-000058020000}"/>
    <cellStyle name="Calculation 3 2" xfId="8219" xr:uid="{00000000-0005-0000-0000-000059020000}"/>
    <cellStyle name="Calculation 3 3" xfId="9168" xr:uid="{00000000-0005-0000-0000-00005A020000}"/>
    <cellStyle name="Calculation 3 4" xfId="9187" xr:uid="{C65BDE18-B858-4136-B19B-7DA97BE2E5B7}"/>
    <cellStyle name="Calculation 4" xfId="423" xr:uid="{00000000-0005-0000-0000-00005B020000}"/>
    <cellStyle name="Check Cell 2" xfId="67" xr:uid="{00000000-0005-0000-0000-00005C020000}"/>
    <cellStyle name="Check Cell 3" xfId="290" xr:uid="{00000000-0005-0000-0000-00005D020000}"/>
    <cellStyle name="Comma" xfId="1" builtinId="3"/>
    <cellStyle name="Comma [0] 2" xfId="68" xr:uid="{00000000-0005-0000-0000-00005F020000}"/>
    <cellStyle name="Comma 10" xfId="14" xr:uid="{00000000-0005-0000-0000-000060020000}"/>
    <cellStyle name="Comma 10 2" xfId="8662" xr:uid="{00000000-0005-0000-0000-000061020000}"/>
    <cellStyle name="Comma 11" xfId="424" xr:uid="{00000000-0005-0000-0000-000062020000}"/>
    <cellStyle name="Comma 11 2" xfId="8663" xr:uid="{00000000-0005-0000-0000-000063020000}"/>
    <cellStyle name="Comma 12" xfId="6" xr:uid="{00000000-0005-0000-0000-000064020000}"/>
    <cellStyle name="Comma 12 2" xfId="8664" xr:uid="{00000000-0005-0000-0000-000065020000}"/>
    <cellStyle name="Comma 13" xfId="8156" xr:uid="{00000000-0005-0000-0000-000066020000}"/>
    <cellStyle name="Comma 14" xfId="8158" xr:uid="{00000000-0005-0000-0000-000067020000}"/>
    <cellStyle name="Comma 15" xfId="8164" xr:uid="{00000000-0005-0000-0000-000068020000}"/>
    <cellStyle name="Comma 16" xfId="8160" xr:uid="{00000000-0005-0000-0000-000069020000}"/>
    <cellStyle name="Comma 17" xfId="8221" xr:uid="{00000000-0005-0000-0000-00006A020000}"/>
    <cellStyle name="Comma 18" xfId="8217" xr:uid="{00000000-0005-0000-0000-00006B020000}"/>
    <cellStyle name="Comma 19" xfId="9103" xr:uid="{00000000-0005-0000-0000-00006C020000}"/>
    <cellStyle name="Comma 2" xfId="69" xr:uid="{00000000-0005-0000-0000-00006D020000}"/>
    <cellStyle name="Comma 2 2" xfId="70" xr:uid="{00000000-0005-0000-0000-00006E020000}"/>
    <cellStyle name="Comma 2 2 10" xfId="9191" xr:uid="{53EE840C-6AAA-4C82-A505-5882E449A3B2}"/>
    <cellStyle name="Comma 2 2 2" xfId="71" xr:uid="{00000000-0005-0000-0000-00006F020000}"/>
    <cellStyle name="Comma 2 2 2 2" xfId="8665" xr:uid="{00000000-0005-0000-0000-000070020000}"/>
    <cellStyle name="Comma 2 2 3" xfId="291" xr:uid="{00000000-0005-0000-0000-000071020000}"/>
    <cellStyle name="Comma 2 2 3 2" xfId="425" xr:uid="{00000000-0005-0000-0000-000072020000}"/>
    <cellStyle name="Comma 2 2 3 2 2" xfId="8666" xr:uid="{00000000-0005-0000-0000-000073020000}"/>
    <cellStyle name="Comma 2 2 3 2 2 2" xfId="8667" xr:uid="{00000000-0005-0000-0000-000074020000}"/>
    <cellStyle name="Comma 2 2 3 2 3" xfId="8668" xr:uid="{00000000-0005-0000-0000-000075020000}"/>
    <cellStyle name="Comma 2 2 3 2 3 2" xfId="8669" xr:uid="{00000000-0005-0000-0000-000076020000}"/>
    <cellStyle name="Comma 2 2 3 2 4" xfId="8670" xr:uid="{00000000-0005-0000-0000-000077020000}"/>
    <cellStyle name="Comma 2 2 3 3" xfId="8671" xr:uid="{00000000-0005-0000-0000-000078020000}"/>
    <cellStyle name="Comma 2 2 3 3 2" xfId="8672" xr:uid="{00000000-0005-0000-0000-000079020000}"/>
    <cellStyle name="Comma 2 2 3 4" xfId="8673" xr:uid="{00000000-0005-0000-0000-00007A020000}"/>
    <cellStyle name="Comma 2 2 3 4 2" xfId="8674" xr:uid="{00000000-0005-0000-0000-00007B020000}"/>
    <cellStyle name="Comma 2 2 3 5" xfId="8675" xr:uid="{00000000-0005-0000-0000-00007C020000}"/>
    <cellStyle name="Comma 2 2 3 6" xfId="8676" xr:uid="{00000000-0005-0000-0000-00007D020000}"/>
    <cellStyle name="Comma 2 2 4" xfId="426" xr:uid="{00000000-0005-0000-0000-00007E020000}"/>
    <cellStyle name="Comma 2 2 4 2" xfId="427" xr:uid="{00000000-0005-0000-0000-00007F020000}"/>
    <cellStyle name="Comma 2 2 4 2 2" xfId="8677" xr:uid="{00000000-0005-0000-0000-000080020000}"/>
    <cellStyle name="Comma 2 2 4 2 2 2" xfId="8678" xr:uid="{00000000-0005-0000-0000-000081020000}"/>
    <cellStyle name="Comma 2 2 4 2 3" xfId="8679" xr:uid="{00000000-0005-0000-0000-000082020000}"/>
    <cellStyle name="Comma 2 2 4 2 3 2" xfId="8680" xr:uid="{00000000-0005-0000-0000-000083020000}"/>
    <cellStyle name="Comma 2 2 4 2 4" xfId="8681" xr:uid="{00000000-0005-0000-0000-000084020000}"/>
    <cellStyle name="Comma 2 2 4 3" xfId="8682" xr:uid="{00000000-0005-0000-0000-000085020000}"/>
    <cellStyle name="Comma 2 2 4 3 2" xfId="8683" xr:uid="{00000000-0005-0000-0000-000086020000}"/>
    <cellStyle name="Comma 2 2 4 4" xfId="8684" xr:uid="{00000000-0005-0000-0000-000087020000}"/>
    <cellStyle name="Comma 2 2 4 4 2" xfId="8685" xr:uid="{00000000-0005-0000-0000-000088020000}"/>
    <cellStyle name="Comma 2 2 4 5" xfId="8686" xr:uid="{00000000-0005-0000-0000-000089020000}"/>
    <cellStyle name="Comma 2 2 5" xfId="428" xr:uid="{00000000-0005-0000-0000-00008A020000}"/>
    <cellStyle name="Comma 2 2 5 2" xfId="429" xr:uid="{00000000-0005-0000-0000-00008B020000}"/>
    <cellStyle name="Comma 2 2 5 2 2" xfId="8687" xr:uid="{00000000-0005-0000-0000-00008C020000}"/>
    <cellStyle name="Comma 2 2 5 2 2 2" xfId="8688" xr:uid="{00000000-0005-0000-0000-00008D020000}"/>
    <cellStyle name="Comma 2 2 5 2 3" xfId="8689" xr:uid="{00000000-0005-0000-0000-00008E020000}"/>
    <cellStyle name="Comma 2 2 5 2 3 2" xfId="8690" xr:uid="{00000000-0005-0000-0000-00008F020000}"/>
    <cellStyle name="Comma 2 2 5 2 4" xfId="8691" xr:uid="{00000000-0005-0000-0000-000090020000}"/>
    <cellStyle name="Comma 2 2 5 3" xfId="8692" xr:uid="{00000000-0005-0000-0000-000091020000}"/>
    <cellStyle name="Comma 2 2 5 3 2" xfId="8693" xr:uid="{00000000-0005-0000-0000-000092020000}"/>
    <cellStyle name="Comma 2 2 5 4" xfId="8694" xr:uid="{00000000-0005-0000-0000-000093020000}"/>
    <cellStyle name="Comma 2 2 5 4 2" xfId="8695" xr:uid="{00000000-0005-0000-0000-000094020000}"/>
    <cellStyle name="Comma 2 2 5 5" xfId="8696" xr:uid="{00000000-0005-0000-0000-000095020000}"/>
    <cellStyle name="Comma 2 2 6" xfId="430" xr:uid="{00000000-0005-0000-0000-000096020000}"/>
    <cellStyle name="Comma 2 2 6 2" xfId="431" xr:uid="{00000000-0005-0000-0000-000097020000}"/>
    <cellStyle name="Comma 2 2 6 2 2" xfId="8697" xr:uid="{00000000-0005-0000-0000-000098020000}"/>
    <cellStyle name="Comma 2 2 6 2 2 2" xfId="8698" xr:uid="{00000000-0005-0000-0000-000099020000}"/>
    <cellStyle name="Comma 2 2 6 2 3" xfId="8699" xr:uid="{00000000-0005-0000-0000-00009A020000}"/>
    <cellStyle name="Comma 2 2 6 2 3 2" xfId="8700" xr:uid="{00000000-0005-0000-0000-00009B020000}"/>
    <cellStyle name="Comma 2 2 6 2 4" xfId="8701" xr:uid="{00000000-0005-0000-0000-00009C020000}"/>
    <cellStyle name="Comma 2 2 6 3" xfId="8702" xr:uid="{00000000-0005-0000-0000-00009D020000}"/>
    <cellStyle name="Comma 2 2 6 3 2" xfId="8703" xr:uid="{00000000-0005-0000-0000-00009E020000}"/>
    <cellStyle name="Comma 2 2 6 4" xfId="8704" xr:uid="{00000000-0005-0000-0000-00009F020000}"/>
    <cellStyle name="Comma 2 2 6 4 2" xfId="8705" xr:uid="{00000000-0005-0000-0000-0000A0020000}"/>
    <cellStyle name="Comma 2 2 6 5" xfId="8706" xr:uid="{00000000-0005-0000-0000-0000A1020000}"/>
    <cellStyle name="Comma 2 2 7" xfId="432" xr:uid="{00000000-0005-0000-0000-0000A2020000}"/>
    <cellStyle name="Comma 2 2 7 2" xfId="8707" xr:uid="{00000000-0005-0000-0000-0000A3020000}"/>
    <cellStyle name="Comma 2 2 7 2 2" xfId="8708" xr:uid="{00000000-0005-0000-0000-0000A4020000}"/>
    <cellStyle name="Comma 2 2 7 3" xfId="8709" xr:uid="{00000000-0005-0000-0000-0000A5020000}"/>
    <cellStyle name="Comma 2 2 7 3 2" xfId="8710" xr:uid="{00000000-0005-0000-0000-0000A6020000}"/>
    <cellStyle name="Comma 2 2 7 4" xfId="8711" xr:uid="{00000000-0005-0000-0000-0000A7020000}"/>
    <cellStyle name="Comma 2 2 8" xfId="433" xr:uid="{00000000-0005-0000-0000-0000A8020000}"/>
    <cellStyle name="Comma 2 2 9" xfId="8712" xr:uid="{00000000-0005-0000-0000-0000A9020000}"/>
    <cellStyle name="Comma 2 3" xfId="72" xr:uid="{00000000-0005-0000-0000-0000AA020000}"/>
    <cellStyle name="Comma 2 3 2" xfId="434" xr:uid="{00000000-0005-0000-0000-0000AB020000}"/>
    <cellStyle name="Comma 2 3 2 2" xfId="9161" xr:uid="{00000000-0005-0000-0000-0000AC020000}"/>
    <cellStyle name="Comma 2 3 3" xfId="9140" xr:uid="{00000000-0005-0000-0000-0000AD020000}"/>
    <cellStyle name="Comma 2 4" xfId="292" xr:uid="{00000000-0005-0000-0000-0000AE020000}"/>
    <cellStyle name="Comma 2 4 2" xfId="435" xr:uid="{00000000-0005-0000-0000-0000AF020000}"/>
    <cellStyle name="Comma 2 5" xfId="293" xr:uid="{00000000-0005-0000-0000-0000B0020000}"/>
    <cellStyle name="Comma 2 5 2" xfId="8195" xr:uid="{00000000-0005-0000-0000-0000B1020000}"/>
    <cellStyle name="Comma 2 6" xfId="9190" xr:uid="{B4BFB17E-12BB-4AFC-BE56-D61B4FEE5D72}"/>
    <cellStyle name="Comma 20" xfId="8212" xr:uid="{00000000-0005-0000-0000-0000B2020000}"/>
    <cellStyle name="Comma 21" xfId="9102" xr:uid="{00000000-0005-0000-0000-0000B3020000}"/>
    <cellStyle name="Comma 22" xfId="9101" xr:uid="{00000000-0005-0000-0000-0000B4020000}"/>
    <cellStyle name="Comma 23" xfId="9118" xr:uid="{00000000-0005-0000-0000-0000B5020000}"/>
    <cellStyle name="Comma 24" xfId="9175" xr:uid="{00000000-0005-0000-0000-0000B6020000}"/>
    <cellStyle name="Comma 3" xfId="73" xr:uid="{00000000-0005-0000-0000-0000B7020000}"/>
    <cellStyle name="Comma 3 10" xfId="436" xr:uid="{00000000-0005-0000-0000-0000B8020000}"/>
    <cellStyle name="Comma 3 11" xfId="8713" xr:uid="{00000000-0005-0000-0000-0000B9020000}"/>
    <cellStyle name="Comma 3 2" xfId="74" xr:uid="{00000000-0005-0000-0000-0000BA020000}"/>
    <cellStyle name="Comma 3 2 2" xfId="75" xr:uid="{00000000-0005-0000-0000-0000BB020000}"/>
    <cellStyle name="Comma 3 2 2 2" xfId="8714" xr:uid="{00000000-0005-0000-0000-0000BC020000}"/>
    <cellStyle name="Comma 3 2 2 3" xfId="9193" xr:uid="{12A8D5E8-D47E-4DB0-89DA-895C183670F3}"/>
    <cellStyle name="Comma 3 2 3" xfId="294" xr:uid="{00000000-0005-0000-0000-0000BD020000}"/>
    <cellStyle name="Comma 3 2 4" xfId="437" xr:uid="{00000000-0005-0000-0000-0000BE020000}"/>
    <cellStyle name="Comma 3 2 5" xfId="9192" xr:uid="{B40E0F93-7EC5-4A51-B3BF-2C923FD763EB}"/>
    <cellStyle name="Comma 3 3" xfId="76" xr:uid="{00000000-0005-0000-0000-0000BF020000}"/>
    <cellStyle name="Comma 3 3 2" xfId="77" xr:uid="{00000000-0005-0000-0000-0000C0020000}"/>
    <cellStyle name="Comma 3 3 2 2" xfId="8715" xr:uid="{00000000-0005-0000-0000-0000C1020000}"/>
    <cellStyle name="Comma 3 3 2 2 2" xfId="8716" xr:uid="{00000000-0005-0000-0000-0000C2020000}"/>
    <cellStyle name="Comma 3 3 2 3" xfId="8717" xr:uid="{00000000-0005-0000-0000-0000C3020000}"/>
    <cellStyle name="Comma 3 3 2 3 2" xfId="8718" xr:uid="{00000000-0005-0000-0000-0000C4020000}"/>
    <cellStyle name="Comma 3 3 2 4" xfId="8719" xr:uid="{00000000-0005-0000-0000-0000C5020000}"/>
    <cellStyle name="Comma 3 3 2 5" xfId="8720" xr:uid="{00000000-0005-0000-0000-0000C6020000}"/>
    <cellStyle name="Comma 3 3 2 6" xfId="8197" xr:uid="{00000000-0005-0000-0000-0000C7020000}"/>
    <cellStyle name="Comma 3 3 3" xfId="78" xr:uid="{00000000-0005-0000-0000-0000C8020000}"/>
    <cellStyle name="Comma 3 3 3 2" xfId="8721" xr:uid="{00000000-0005-0000-0000-0000C9020000}"/>
    <cellStyle name="Comma 3 3 3 2 2" xfId="8722" xr:uid="{00000000-0005-0000-0000-0000CA020000}"/>
    <cellStyle name="Comma 3 3 3 3" xfId="8723" xr:uid="{00000000-0005-0000-0000-0000CB020000}"/>
    <cellStyle name="Comma 3 3 3 3 2" xfId="8724" xr:uid="{00000000-0005-0000-0000-0000CC020000}"/>
    <cellStyle name="Comma 3 3 3 4" xfId="8725" xr:uid="{00000000-0005-0000-0000-0000CD020000}"/>
    <cellStyle name="Comma 3 3 4" xfId="79" xr:uid="{00000000-0005-0000-0000-0000CE020000}"/>
    <cellStyle name="Comma 3 3 5" xfId="8196" xr:uid="{00000000-0005-0000-0000-0000CF020000}"/>
    <cellStyle name="Comma 3 4" xfId="295" xr:uid="{00000000-0005-0000-0000-0000D0020000}"/>
    <cellStyle name="Comma 3 4 2" xfId="438" xr:uid="{00000000-0005-0000-0000-0000D1020000}"/>
    <cellStyle name="Comma 3 4 2 2" xfId="8726" xr:uid="{00000000-0005-0000-0000-0000D2020000}"/>
    <cellStyle name="Comma 3 4 2 2 2" xfId="8727" xr:uid="{00000000-0005-0000-0000-0000D3020000}"/>
    <cellStyle name="Comma 3 4 2 3" xfId="8728" xr:uid="{00000000-0005-0000-0000-0000D4020000}"/>
    <cellStyle name="Comma 3 4 2 3 2" xfId="8729" xr:uid="{00000000-0005-0000-0000-0000D5020000}"/>
    <cellStyle name="Comma 3 4 2 4" xfId="8730" xr:uid="{00000000-0005-0000-0000-0000D6020000}"/>
    <cellStyle name="Comma 3 4 3" xfId="8731" xr:uid="{00000000-0005-0000-0000-0000D7020000}"/>
    <cellStyle name="Comma 3 4 3 2" xfId="8732" xr:uid="{00000000-0005-0000-0000-0000D8020000}"/>
    <cellStyle name="Comma 3 4 4" xfId="8733" xr:uid="{00000000-0005-0000-0000-0000D9020000}"/>
    <cellStyle name="Comma 3 4 4 2" xfId="8734" xr:uid="{00000000-0005-0000-0000-0000DA020000}"/>
    <cellStyle name="Comma 3 4 5" xfId="8735" xr:uid="{00000000-0005-0000-0000-0000DB020000}"/>
    <cellStyle name="Comma 3 4 6" xfId="8736" xr:uid="{00000000-0005-0000-0000-0000DC020000}"/>
    <cellStyle name="Comma 3 5" xfId="439" xr:uid="{00000000-0005-0000-0000-0000DD020000}"/>
    <cellStyle name="Comma 3 5 2" xfId="440" xr:uid="{00000000-0005-0000-0000-0000DE020000}"/>
    <cellStyle name="Comma 3 5 2 2" xfId="8737" xr:uid="{00000000-0005-0000-0000-0000DF020000}"/>
    <cellStyle name="Comma 3 5 2 2 2" xfId="8738" xr:uid="{00000000-0005-0000-0000-0000E0020000}"/>
    <cellStyle name="Comma 3 5 2 3" xfId="8739" xr:uid="{00000000-0005-0000-0000-0000E1020000}"/>
    <cellStyle name="Comma 3 5 2 3 2" xfId="8740" xr:uid="{00000000-0005-0000-0000-0000E2020000}"/>
    <cellStyle name="Comma 3 5 2 4" xfId="8741" xr:uid="{00000000-0005-0000-0000-0000E3020000}"/>
    <cellStyle name="Comma 3 5 3" xfId="8742" xr:uid="{00000000-0005-0000-0000-0000E4020000}"/>
    <cellStyle name="Comma 3 5 3 2" xfId="8743" xr:uid="{00000000-0005-0000-0000-0000E5020000}"/>
    <cellStyle name="Comma 3 5 4" xfId="8744" xr:uid="{00000000-0005-0000-0000-0000E6020000}"/>
    <cellStyle name="Comma 3 5 4 2" xfId="8745" xr:uid="{00000000-0005-0000-0000-0000E7020000}"/>
    <cellStyle name="Comma 3 5 5" xfId="8746" xr:uid="{00000000-0005-0000-0000-0000E8020000}"/>
    <cellStyle name="Comma 3 6" xfId="441" xr:uid="{00000000-0005-0000-0000-0000E9020000}"/>
    <cellStyle name="Comma 3 6 2" xfId="442" xr:uid="{00000000-0005-0000-0000-0000EA020000}"/>
    <cellStyle name="Comma 3 6 2 2" xfId="8747" xr:uid="{00000000-0005-0000-0000-0000EB020000}"/>
    <cellStyle name="Comma 3 6 2 2 2" xfId="8748" xr:uid="{00000000-0005-0000-0000-0000EC020000}"/>
    <cellStyle name="Comma 3 6 2 3" xfId="8749" xr:uid="{00000000-0005-0000-0000-0000ED020000}"/>
    <cellStyle name="Comma 3 6 2 3 2" xfId="8750" xr:uid="{00000000-0005-0000-0000-0000EE020000}"/>
    <cellStyle name="Comma 3 6 2 4" xfId="8751" xr:uid="{00000000-0005-0000-0000-0000EF020000}"/>
    <cellStyle name="Comma 3 6 3" xfId="8752" xr:uid="{00000000-0005-0000-0000-0000F0020000}"/>
    <cellStyle name="Comma 3 6 3 2" xfId="8753" xr:uid="{00000000-0005-0000-0000-0000F1020000}"/>
    <cellStyle name="Comma 3 6 4" xfId="8754" xr:uid="{00000000-0005-0000-0000-0000F2020000}"/>
    <cellStyle name="Comma 3 6 4 2" xfId="8755" xr:uid="{00000000-0005-0000-0000-0000F3020000}"/>
    <cellStyle name="Comma 3 6 5" xfId="8756" xr:uid="{00000000-0005-0000-0000-0000F4020000}"/>
    <cellStyle name="Comma 3 7" xfId="443" xr:uid="{00000000-0005-0000-0000-0000F5020000}"/>
    <cellStyle name="Comma 3 8" xfId="444" xr:uid="{00000000-0005-0000-0000-0000F6020000}"/>
    <cellStyle name="Comma 3 8 2" xfId="8757" xr:uid="{00000000-0005-0000-0000-0000F7020000}"/>
    <cellStyle name="Comma 3 8 2 2" xfId="8758" xr:uid="{00000000-0005-0000-0000-0000F8020000}"/>
    <cellStyle name="Comma 3 8 3" xfId="8759" xr:uid="{00000000-0005-0000-0000-0000F9020000}"/>
    <cellStyle name="Comma 3 8 3 2" xfId="8760" xr:uid="{00000000-0005-0000-0000-0000FA020000}"/>
    <cellStyle name="Comma 3 8 4" xfId="8761" xr:uid="{00000000-0005-0000-0000-0000FB020000}"/>
    <cellStyle name="Comma 3 9" xfId="445" xr:uid="{00000000-0005-0000-0000-0000FC020000}"/>
    <cellStyle name="Comma 4" xfId="80" xr:uid="{00000000-0005-0000-0000-0000FD020000}"/>
    <cellStyle name="Comma 4 2" xfId="81" xr:uid="{00000000-0005-0000-0000-0000FE020000}"/>
    <cellStyle name="Comma 4 2 2" xfId="82" xr:uid="{00000000-0005-0000-0000-0000FF020000}"/>
    <cellStyle name="Comma 4 2 3" xfId="9195" xr:uid="{08AB43EE-C609-4C86-9532-5902A1359A05}"/>
    <cellStyle name="Comma 4 3" xfId="83" xr:uid="{00000000-0005-0000-0000-000000030000}"/>
    <cellStyle name="Comma 4 4" xfId="9194" xr:uid="{AB4550B8-847E-4CA3-AC86-C5D0D531F2C4}"/>
    <cellStyle name="Comma 5" xfId="84" xr:uid="{00000000-0005-0000-0000-000001030000}"/>
    <cellStyle name="Comma 5 2" xfId="85" xr:uid="{00000000-0005-0000-0000-000002030000}"/>
    <cellStyle name="Comma 5 3" xfId="86" xr:uid="{00000000-0005-0000-0000-000003030000}"/>
    <cellStyle name="Comma 5 4" xfId="9196" xr:uid="{B21969C4-DA3A-4154-905F-E241EA5EF9DE}"/>
    <cellStyle name="Comma 6" xfId="87" xr:uid="{00000000-0005-0000-0000-000004030000}"/>
    <cellStyle name="Comma 6 2" xfId="8198" xr:uid="{00000000-0005-0000-0000-000005030000}"/>
    <cellStyle name="Comma 6 3" xfId="9189" xr:uid="{A9AC5466-29AB-459C-8F21-77288FA2BB5F}"/>
    <cellStyle name="Comma 7" xfId="88" xr:uid="{00000000-0005-0000-0000-000006030000}"/>
    <cellStyle name="Comma 7 2" xfId="8199" xr:uid="{00000000-0005-0000-0000-000007030000}"/>
    <cellStyle name="Comma 8" xfId="89" xr:uid="{00000000-0005-0000-0000-000008030000}"/>
    <cellStyle name="Comma 8 2" xfId="8200" xr:uid="{00000000-0005-0000-0000-000009030000}"/>
    <cellStyle name="Comma 9" xfId="446" xr:uid="{00000000-0005-0000-0000-00000A030000}"/>
    <cellStyle name="Currency" xfId="9181" builtinId="4"/>
    <cellStyle name="Currency 2" xfId="15" xr:uid="{00000000-0005-0000-0000-00000B030000}"/>
    <cellStyle name="Currency 2 2" xfId="90" xr:uid="{00000000-0005-0000-0000-00000C030000}"/>
    <cellStyle name="Currency 2 2 2" xfId="91" xr:uid="{00000000-0005-0000-0000-00000D030000}"/>
    <cellStyle name="Currency 2 2 2 2" xfId="8762" xr:uid="{00000000-0005-0000-0000-00000E030000}"/>
    <cellStyle name="Currency 2 2 3" xfId="296" xr:uid="{00000000-0005-0000-0000-00000F030000}"/>
    <cellStyle name="Currency 2 2 4" xfId="447" xr:uid="{00000000-0005-0000-0000-000010030000}"/>
    <cellStyle name="Currency 2 2 5" xfId="9198" xr:uid="{374C6290-01C5-49BE-A7D0-B8BF0F8947CB}"/>
    <cellStyle name="Currency 2 3" xfId="92" xr:uid="{00000000-0005-0000-0000-000011030000}"/>
    <cellStyle name="Currency 2 3 2" xfId="448" xr:uid="{00000000-0005-0000-0000-000012030000}"/>
    <cellStyle name="Currency 2 3 2 2" xfId="8763" xr:uid="{00000000-0005-0000-0000-000013030000}"/>
    <cellStyle name="Currency 2 4" xfId="297" xr:uid="{00000000-0005-0000-0000-000014030000}"/>
    <cellStyle name="Currency 2 5" xfId="298" xr:uid="{00000000-0005-0000-0000-000015030000}"/>
    <cellStyle name="Currency 2 5 2" xfId="8201" xr:uid="{00000000-0005-0000-0000-000016030000}"/>
    <cellStyle name="Currency 2 6" xfId="449" xr:uid="{00000000-0005-0000-0000-000017030000}"/>
    <cellStyle name="Currency 2 7" xfId="9124" xr:uid="{00000000-0005-0000-0000-000018030000}"/>
    <cellStyle name="Currency 20" xfId="9109"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64" xr:uid="{00000000-0005-0000-0000-00001D030000}"/>
    <cellStyle name="Currency 3 2 3" xfId="299" xr:uid="{00000000-0005-0000-0000-00001E030000}"/>
    <cellStyle name="Currency 3 2 4" xfId="450" xr:uid="{00000000-0005-0000-0000-00001F030000}"/>
    <cellStyle name="Currency 3 3" xfId="96" xr:uid="{00000000-0005-0000-0000-000020030000}"/>
    <cellStyle name="Currency 3 3 2" xfId="8765" xr:uid="{00000000-0005-0000-0000-000021030000}"/>
    <cellStyle name="Currency 3 4" xfId="300" xr:uid="{00000000-0005-0000-0000-000022030000}"/>
    <cellStyle name="Currency 3 4 2" xfId="451" xr:uid="{00000000-0005-0000-0000-000023030000}"/>
    <cellStyle name="Currency 3 5" xfId="452" xr:uid="{00000000-0005-0000-0000-000024030000}"/>
    <cellStyle name="Currency 3 6" xfId="8766" xr:uid="{00000000-0005-0000-0000-000025030000}"/>
    <cellStyle name="Currency 3 7" xfId="9199" xr:uid="{718AC805-AA31-46A0-B1E7-3530D6CDE11E}"/>
    <cellStyle name="Currency 4" xfId="97" xr:uid="{00000000-0005-0000-0000-000026030000}"/>
    <cellStyle name="Currency 4 2" xfId="453" xr:uid="{00000000-0005-0000-0000-000027030000}"/>
    <cellStyle name="Currency 4 3" xfId="454" xr:uid="{00000000-0005-0000-0000-000028030000}"/>
    <cellStyle name="Currency 4 4" xfId="9197" xr:uid="{99DB3381-C3A3-4044-AE2B-5A6A362A4014}"/>
    <cellStyle name="Currency 5" xfId="98" xr:uid="{00000000-0005-0000-0000-000029030000}"/>
    <cellStyle name="Currency 5 2" xfId="99" xr:uid="{00000000-0005-0000-0000-00002A030000}"/>
    <cellStyle name="Currency 5 2 2" xfId="100" xr:uid="{00000000-0005-0000-0000-00002B030000}"/>
    <cellStyle name="Currency 5 2 2 2" xfId="8767" xr:uid="{00000000-0005-0000-0000-00002C030000}"/>
    <cellStyle name="Currency 5 2 3" xfId="8768" xr:uid="{00000000-0005-0000-0000-00002D030000}"/>
    <cellStyle name="Currency 5 2 3 2" xfId="8769" xr:uid="{00000000-0005-0000-0000-00002E030000}"/>
    <cellStyle name="Currency 5 2 4" xfId="8770" xr:uid="{00000000-0005-0000-0000-00002F030000}"/>
    <cellStyle name="Currency 5 2 5" xfId="8771" xr:uid="{00000000-0005-0000-0000-000030030000}"/>
    <cellStyle name="Currency 5 3" xfId="101" xr:uid="{00000000-0005-0000-0000-000031030000}"/>
    <cellStyle name="Currency 5 3 2" xfId="8772" xr:uid="{00000000-0005-0000-0000-000032030000}"/>
    <cellStyle name="Currency 5 4" xfId="8773" xr:uid="{00000000-0005-0000-0000-000033030000}"/>
    <cellStyle name="Currency 5 4 2" xfId="8774" xr:uid="{00000000-0005-0000-0000-000034030000}"/>
    <cellStyle name="Currency 5 5" xfId="8775" xr:uid="{00000000-0005-0000-0000-000035030000}"/>
    <cellStyle name="Currency 5 6" xfId="8776" xr:uid="{00000000-0005-0000-0000-000036030000}"/>
    <cellStyle name="Currency 6" xfId="102" xr:uid="{00000000-0005-0000-0000-000037030000}"/>
    <cellStyle name="Currency 6 2" xfId="103" xr:uid="{00000000-0005-0000-0000-000038030000}"/>
    <cellStyle name="Currency 6 3" xfId="8202" xr:uid="{00000000-0005-0000-0000-000039030000}"/>
    <cellStyle name="Currency 7" xfId="104" xr:uid="{00000000-0005-0000-0000-00003A030000}"/>
    <cellStyle name="Currency 7 2" xfId="105" xr:uid="{00000000-0005-0000-0000-00003B030000}"/>
    <cellStyle name="Currency 7 3" xfId="8203" xr:uid="{00000000-0005-0000-0000-00003C030000}"/>
    <cellStyle name="Currency 8" xfId="106" xr:uid="{00000000-0005-0000-0000-00003D030000}"/>
    <cellStyle name="Current_Gen" xfId="9106" xr:uid="{00000000-0005-0000-0000-00003E030000}"/>
    <cellStyle name="CurrentYrInput" xfId="8161" xr:uid="{00000000-0005-0000-0000-00003F030000}"/>
    <cellStyle name="Data Entry" xfId="9200" xr:uid="{61F91D0F-8154-4BC8-9FF3-735F858EE9D1}"/>
    <cellStyle name="Data Entry $$$" xfId="9201" xr:uid="{ABF0F754-6F48-4252-97DA-4BCEEBB5F96A}"/>
    <cellStyle name="Data Entry Smaller" xfId="9202" xr:uid="{5D652E31-BDE0-4594-B56C-959EAEE088AF}"/>
    <cellStyle name="Data Entry_BPAControls" xfId="9203"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7" xr:uid="{00000000-0005-0000-0000-000043030000}"/>
    <cellStyle name="Data Field 2 3" xfId="301" xr:uid="{00000000-0005-0000-0000-000044030000}"/>
    <cellStyle name="Data Field 2 4" xfId="455" xr:uid="{00000000-0005-0000-0000-000045030000}"/>
    <cellStyle name="Data Field 3" xfId="109" xr:uid="{00000000-0005-0000-0000-000046030000}"/>
    <cellStyle name="Data Field 3 2" xfId="8778" xr:uid="{00000000-0005-0000-0000-000047030000}"/>
    <cellStyle name="Data Field 4" xfId="302" xr:uid="{00000000-0005-0000-0000-000048030000}"/>
    <cellStyle name="Data Field 4 2" xfId="456" xr:uid="{00000000-0005-0000-0000-000049030000}"/>
    <cellStyle name="Data Field 5" xfId="457" xr:uid="{00000000-0005-0000-0000-00004A030000}"/>
    <cellStyle name="Data Field 6" xfId="8779" xr:uid="{00000000-0005-0000-0000-00004B030000}"/>
    <cellStyle name="Data Name" xfId="17" xr:uid="{00000000-0005-0000-0000-00004C030000}"/>
    <cellStyle name="Data Name 2" xfId="458" xr:uid="{00000000-0005-0000-0000-00004D030000}"/>
    <cellStyle name="Data Name 2 2" xfId="459" xr:uid="{00000000-0005-0000-0000-00004E030000}"/>
    <cellStyle name="Data Name 2 3" xfId="460" xr:uid="{00000000-0005-0000-0000-00004F030000}"/>
    <cellStyle name="Data Name 3" xfId="461" xr:uid="{00000000-0005-0000-0000-000050030000}"/>
    <cellStyle name="Data Name 4" xfId="462" xr:uid="{00000000-0005-0000-0000-000051030000}"/>
    <cellStyle name="Date/Time" xfId="18" xr:uid="{00000000-0005-0000-0000-000052030000}"/>
    <cellStyle name="Date/Time 2" xfId="9204" xr:uid="{4ABB800C-8E73-4DB1-8176-9084F8F4C7B5}"/>
    <cellStyle name="Decimal" xfId="9205" xr:uid="{B060F8EC-5BAC-453D-9536-72F6BADC747B}"/>
    <cellStyle name="Emphasis 1" xfId="110" xr:uid="{00000000-0005-0000-0000-000053030000}"/>
    <cellStyle name="Emphasis 2" xfId="111" xr:uid="{00000000-0005-0000-0000-000054030000}"/>
    <cellStyle name="Emphasis 3" xfId="112" xr:uid="{00000000-0005-0000-0000-000055030000}"/>
    <cellStyle name="Explanatory Text 2" xfId="113" xr:uid="{00000000-0005-0000-0000-000056030000}"/>
    <cellStyle name="Explanatory Text 3" xfId="303" xr:uid="{00000000-0005-0000-0000-000057030000}"/>
    <cellStyle name="Field Name" xfId="9206" xr:uid="{4AAF8FE0-DB6D-42CD-B4DD-CBCC8EC60ED5}"/>
    <cellStyle name="Field Name - Lighting Details" xfId="9207" xr:uid="{D87FAD7C-F0D2-4352-BDE9-EFB6F2F47C03}"/>
    <cellStyle name="Field Name_BPAControls" xfId="9208" xr:uid="{A4442DA0-7F74-4C30-B2D7-B37387A32B39}"/>
    <cellStyle name="Good" xfId="4" builtinId="26"/>
    <cellStyle name="Good 2" xfId="114" xr:uid="{00000000-0005-0000-0000-000059030000}"/>
    <cellStyle name="Good 3" xfId="304" xr:uid="{00000000-0005-0000-0000-00005A030000}"/>
    <cellStyle name="Heading" xfId="19" xr:uid="{00000000-0005-0000-0000-00005B030000}"/>
    <cellStyle name="Heading 1 2" xfId="115" xr:uid="{00000000-0005-0000-0000-00005D030000}"/>
    <cellStyle name="Heading 1 2 2" xfId="305" xr:uid="{00000000-0005-0000-0000-00005E030000}"/>
    <cellStyle name="Heading 1 3" xfId="306" xr:uid="{00000000-0005-0000-0000-00005F030000}"/>
    <cellStyle name="Heading 2" xfId="3" builtinId="17"/>
    <cellStyle name="Heading 2 2" xfId="116" xr:uid="{00000000-0005-0000-0000-000061030000}"/>
    <cellStyle name="Heading 2 2 2" xfId="463" xr:uid="{00000000-0005-0000-0000-000062030000}"/>
    <cellStyle name="Heading 2 2 2 2" xfId="8780" xr:uid="{00000000-0005-0000-0000-000063030000}"/>
    <cellStyle name="Heading 2 2 2 3" xfId="9176" xr:uid="{00000000-0005-0000-0000-000064030000}"/>
    <cellStyle name="Heading 2 2 3" xfId="8204" xr:uid="{00000000-0005-0000-0000-000065030000}"/>
    <cellStyle name="Heading 2 2 4" xfId="9110" xr:uid="{00000000-0005-0000-0000-000066030000}"/>
    <cellStyle name="Heading 2 2 5" xfId="9210" xr:uid="{4420F904-428C-4320-B747-39FBCC4C8929}"/>
    <cellStyle name="Heading 2 3" xfId="117" xr:uid="{00000000-0005-0000-0000-000067030000}"/>
    <cellStyle name="Heading 2 3 2" xfId="8781" xr:uid="{00000000-0005-0000-0000-000068030000}"/>
    <cellStyle name="Heading 2 3 3" xfId="9209" xr:uid="{0B04396A-B24E-4AF4-B446-8315ADF432FE}"/>
    <cellStyle name="Heading 2 4" xfId="464" xr:uid="{00000000-0005-0000-0000-000069030000}"/>
    <cellStyle name="Heading 3 2" xfId="118" xr:uid="{00000000-0005-0000-0000-00006A030000}"/>
    <cellStyle name="Heading 3 2 2" xfId="307" xr:uid="{00000000-0005-0000-0000-00006B030000}"/>
    <cellStyle name="Heading 3 3" xfId="308" xr:uid="{00000000-0005-0000-0000-00006C030000}"/>
    <cellStyle name="Heading 4 2" xfId="119" xr:uid="{00000000-0005-0000-0000-00006D030000}"/>
    <cellStyle name="Heading 4 2 2" xfId="309" xr:uid="{00000000-0005-0000-0000-00006E030000}"/>
    <cellStyle name="Heading 4 3" xfId="310" xr:uid="{00000000-0005-0000-0000-00006F030000}"/>
    <cellStyle name="Hyperlink" xfId="9108" builtinId="8"/>
    <cellStyle name="Hyperlink 10" xfId="8157" xr:uid="{00000000-0005-0000-0000-000071030000}"/>
    <cellStyle name="Hyperlink 11" xfId="9119" xr:uid="{00000000-0005-0000-0000-000072030000}"/>
    <cellStyle name="Hyperlink 12" xfId="9211" xr:uid="{D684B36E-F1DA-447A-983F-558615630909}"/>
    <cellStyle name="Hyperlink 2" xfId="120" xr:uid="{00000000-0005-0000-0000-000073030000}"/>
    <cellStyle name="Hyperlink 2 2" xfId="121" xr:uid="{00000000-0005-0000-0000-000074030000}"/>
    <cellStyle name="Hyperlink 2 2 2" xfId="122" xr:uid="{00000000-0005-0000-0000-000075030000}"/>
    <cellStyle name="Hyperlink 2 2 2 2" xfId="8205" xr:uid="{00000000-0005-0000-0000-000076030000}"/>
    <cellStyle name="Hyperlink 2 2 3" xfId="9125" xr:uid="{00000000-0005-0000-0000-000077030000}"/>
    <cellStyle name="Hyperlink 2 3" xfId="465" xr:uid="{00000000-0005-0000-0000-000078030000}"/>
    <cellStyle name="Hyperlink 2 3 2" xfId="9139" xr:uid="{00000000-0005-0000-0000-000079030000}"/>
    <cellStyle name="Hyperlink 2 4" xfId="9121" xr:uid="{00000000-0005-0000-0000-00007A030000}"/>
    <cellStyle name="Hyperlink 2 5" xfId="9212" xr:uid="{1AA857A4-19F7-43FD-BAA0-D9A89180B71B}"/>
    <cellStyle name="Hyperlink 2_ResWXMF_FY10v2_0" xfId="123" xr:uid="{00000000-0005-0000-0000-00007B030000}"/>
    <cellStyle name="Hyperlink 3" xfId="124" xr:uid="{00000000-0005-0000-0000-00007C030000}"/>
    <cellStyle name="Hyperlink 3 2" xfId="125" xr:uid="{00000000-0005-0000-0000-00007D030000}"/>
    <cellStyle name="Hyperlink 3 2 2" xfId="126" xr:uid="{00000000-0005-0000-0000-00007E030000}"/>
    <cellStyle name="Hyperlink 3 3" xfId="8782" xr:uid="{00000000-0005-0000-0000-00007F030000}"/>
    <cellStyle name="Hyperlink 4" xfId="127" xr:uid="{00000000-0005-0000-0000-000080030000}"/>
    <cellStyle name="Hyperlink 4 2" xfId="8783" xr:uid="{00000000-0005-0000-0000-000081030000}"/>
    <cellStyle name="Hyperlink 4 2 2" xfId="8784" xr:uid="{00000000-0005-0000-0000-000082030000}"/>
    <cellStyle name="Hyperlink 4 3" xfId="8785" xr:uid="{00000000-0005-0000-0000-000083030000}"/>
    <cellStyle name="Hyperlink 4 4" xfId="8786" xr:uid="{00000000-0005-0000-0000-000084030000}"/>
    <cellStyle name="Hyperlink 4 5" xfId="9100" xr:uid="{00000000-0005-0000-0000-000085030000}"/>
    <cellStyle name="Hyperlink 5" xfId="128" xr:uid="{00000000-0005-0000-0000-000086030000}"/>
    <cellStyle name="Hyperlink 6" xfId="129" xr:uid="{00000000-0005-0000-0000-000087030000}"/>
    <cellStyle name="Hyperlink 7" xfId="130" xr:uid="{00000000-0005-0000-0000-000088030000}"/>
    <cellStyle name="Hyperlink 8" xfId="131" xr:uid="{00000000-0005-0000-0000-000089030000}"/>
    <cellStyle name="Hyperlink 9" xfId="245" xr:uid="{00000000-0005-0000-0000-00008A030000}"/>
    <cellStyle name="Input 2" xfId="132" xr:uid="{00000000-0005-0000-0000-00008B030000}"/>
    <cellStyle name="Input 2 2" xfId="8216" xr:uid="{00000000-0005-0000-0000-00008C030000}"/>
    <cellStyle name="Input 2 3" xfId="9114" xr:uid="{00000000-0005-0000-0000-00008D030000}"/>
    <cellStyle name="Input 2 4" xfId="9213" xr:uid="{C3B170AA-85D9-4909-A529-8D4832D9FC2B}"/>
    <cellStyle name="Input 3" xfId="311" xr:uid="{00000000-0005-0000-0000-00008E030000}"/>
    <cellStyle name="Input 3 2" xfId="8220" xr:uid="{00000000-0005-0000-0000-00008F030000}"/>
    <cellStyle name="Input 3 3" xfId="9141" xr:uid="{00000000-0005-0000-0000-000090030000}"/>
    <cellStyle name="Input 3 4" xfId="9169" xr:uid="{00000000-0005-0000-0000-000091030000}"/>
    <cellStyle name="Integer" xfId="9214" xr:uid="{BDD2239F-889D-4CCD-80A0-57563623BEA3}"/>
    <cellStyle name="Linked Cell" xfId="9105" builtinId="24"/>
    <cellStyle name="Linked Cell 2" xfId="133" xr:uid="{00000000-0005-0000-0000-000093030000}"/>
    <cellStyle name="Linked Cell 3" xfId="312" xr:uid="{00000000-0005-0000-0000-000094030000}"/>
    <cellStyle name="Neutral 2" xfId="134" xr:uid="{00000000-0005-0000-0000-000095030000}"/>
    <cellStyle name="Neutral 3" xfId="313" xr:uid="{00000000-0005-0000-0000-000096030000}"/>
    <cellStyle name="Next_Gen" xfId="9107" xr:uid="{00000000-0005-0000-0000-000097030000}"/>
    <cellStyle name="Normal" xfId="0" builtinId="0"/>
    <cellStyle name="Normal 10" xfId="135" xr:uid="{00000000-0005-0000-0000-000099030000}"/>
    <cellStyle name="Normal 10 2" xfId="136" xr:uid="{00000000-0005-0000-0000-00009A030000}"/>
    <cellStyle name="Normal 10 2 2" xfId="8787" xr:uid="{00000000-0005-0000-0000-00009B030000}"/>
    <cellStyle name="Normal 10 2 3" xfId="8206" xr:uid="{00000000-0005-0000-0000-00009C030000}"/>
    <cellStyle name="Normal 10 2 4" xfId="9156" xr:uid="{00000000-0005-0000-0000-00009D030000}"/>
    <cellStyle name="Normal 10 3" xfId="466" xr:uid="{00000000-0005-0000-0000-00009E030000}"/>
    <cellStyle name="Normal 10 3 2" xfId="467" xr:uid="{00000000-0005-0000-0000-00009F030000}"/>
    <cellStyle name="Normal 10 4" xfId="468" xr:uid="{00000000-0005-0000-0000-0000A0030000}"/>
    <cellStyle name="Normal 10 5" xfId="469" xr:uid="{00000000-0005-0000-0000-0000A1030000}"/>
    <cellStyle name="Normal 10 6" xfId="9134" xr:uid="{00000000-0005-0000-0000-0000A2030000}"/>
    <cellStyle name="Normal 11" xfId="137" xr:uid="{00000000-0005-0000-0000-0000A3030000}"/>
    <cellStyle name="Normal 11 2" xfId="470" xr:uid="{00000000-0005-0000-0000-0000A4030000}"/>
    <cellStyle name="Normal 11 2 2" xfId="9159" xr:uid="{00000000-0005-0000-0000-0000A5030000}"/>
    <cellStyle name="Normal 11 3" xfId="9137" xr:uid="{00000000-0005-0000-0000-0000A6030000}"/>
    <cellStyle name="Normal 11 4" xfId="9215" xr:uid="{ACB998EA-5172-4342-A038-DD5CC90E8946}"/>
    <cellStyle name="Normal 12" xfId="138" xr:uid="{00000000-0005-0000-0000-0000A7030000}"/>
    <cellStyle name="Normal 12 2" xfId="471" xr:uid="{00000000-0005-0000-0000-0000A8030000}"/>
    <cellStyle name="Normal 12 2 2" xfId="9160" xr:uid="{00000000-0005-0000-0000-0000A9030000}"/>
    <cellStyle name="Normal 12 3" xfId="9138" xr:uid="{00000000-0005-0000-0000-0000AA030000}"/>
    <cellStyle name="Normal 13" xfId="11" xr:uid="{00000000-0005-0000-0000-0000AB030000}"/>
    <cellStyle name="Normal 13 2" xfId="139" xr:uid="{00000000-0005-0000-0000-0000AC030000}"/>
    <cellStyle name="Normal 13 2 2" xfId="8788" xr:uid="{00000000-0005-0000-0000-0000AD030000}"/>
    <cellStyle name="Normal 13 2 2 2" xfId="8789" xr:uid="{00000000-0005-0000-0000-0000AE030000}"/>
    <cellStyle name="Normal 13 2 3" xfId="8207" xr:uid="{00000000-0005-0000-0000-0000AF030000}"/>
    <cellStyle name="Normal 13 3" xfId="140" xr:uid="{00000000-0005-0000-0000-0000B0030000}"/>
    <cellStyle name="Normal 13 3 2" xfId="8790" xr:uid="{00000000-0005-0000-0000-0000B1030000}"/>
    <cellStyle name="Normal 14" xfId="141" xr:uid="{00000000-0005-0000-0000-0000B2030000}"/>
    <cellStyle name="Normal 14 2" xfId="21" xr:uid="{00000000-0005-0000-0000-0000B3030000}"/>
    <cellStyle name="Normal 14 2 2" xfId="142" xr:uid="{00000000-0005-0000-0000-0000B4030000}"/>
    <cellStyle name="Normal 14 2 2 2" xfId="8791" xr:uid="{00000000-0005-0000-0000-0000B5030000}"/>
    <cellStyle name="Normal 14 2 3" xfId="8792" xr:uid="{00000000-0005-0000-0000-0000B6030000}"/>
    <cellStyle name="Normal 14 2 3 2" xfId="8793" xr:uid="{00000000-0005-0000-0000-0000B7030000}"/>
    <cellStyle name="Normal 14 2 4" xfId="8794" xr:uid="{00000000-0005-0000-0000-0000B8030000}"/>
    <cellStyle name="Normal 14 2 5" xfId="8795" xr:uid="{00000000-0005-0000-0000-0000B9030000}"/>
    <cellStyle name="Normal 14 2 6" xfId="9163" xr:uid="{00000000-0005-0000-0000-0000BA030000}"/>
    <cellStyle name="Normal 14 3" xfId="5" xr:uid="{00000000-0005-0000-0000-0000BB030000}"/>
    <cellStyle name="Normal 14 3 2" xfId="244" xr:uid="{00000000-0005-0000-0000-0000BC030000}"/>
    <cellStyle name="Normal 14 3 3" xfId="9165" xr:uid="{00000000-0005-0000-0000-0000BD030000}"/>
    <cellStyle name="Normal 14 4" xfId="314" xr:uid="{00000000-0005-0000-0000-0000BE030000}"/>
    <cellStyle name="Normal 14 4 2" xfId="9099" xr:uid="{00000000-0005-0000-0000-0000BF030000}"/>
    <cellStyle name="Normal 14 5" xfId="472" xr:uid="{00000000-0005-0000-0000-0000C0030000}"/>
    <cellStyle name="Normal 14 5 2" xfId="8170" xr:uid="{00000000-0005-0000-0000-0000C1030000}"/>
    <cellStyle name="Normal 15" xfId="143" xr:uid="{00000000-0005-0000-0000-0000C2030000}"/>
    <cellStyle name="Normal 15 2" xfId="22" xr:uid="{00000000-0005-0000-0000-0000C3030000}"/>
    <cellStyle name="Normal 15 2 2" xfId="243" xr:uid="{00000000-0005-0000-0000-0000C4030000}"/>
    <cellStyle name="Normal 15 2 2 2" xfId="8796" xr:uid="{00000000-0005-0000-0000-0000C5030000}"/>
    <cellStyle name="Normal 15 2 3" xfId="8797" xr:uid="{00000000-0005-0000-0000-0000C6030000}"/>
    <cellStyle name="Normal 15 2 3 2" xfId="8798" xr:uid="{00000000-0005-0000-0000-0000C7030000}"/>
    <cellStyle name="Normal 15 2 4" xfId="8799" xr:uid="{00000000-0005-0000-0000-0000C8030000}"/>
    <cellStyle name="Normal 15 2 5" xfId="8800" xr:uid="{00000000-0005-0000-0000-0000C9030000}"/>
    <cellStyle name="Normal 15 2 6" xfId="9164" xr:uid="{00000000-0005-0000-0000-0000CA030000}"/>
    <cellStyle name="Normal 15 3" xfId="144" xr:uid="{00000000-0005-0000-0000-0000CB030000}"/>
    <cellStyle name="Normal 15 3 2" xfId="8801" xr:uid="{00000000-0005-0000-0000-0000CC030000}"/>
    <cellStyle name="Normal 15 4" xfId="145" xr:uid="{00000000-0005-0000-0000-0000CD030000}"/>
    <cellStyle name="Normal 15 4 2" xfId="8802" xr:uid="{00000000-0005-0000-0000-0000CE030000}"/>
    <cellStyle name="Normal 15 5" xfId="473" xr:uid="{00000000-0005-0000-0000-0000CF030000}"/>
    <cellStyle name="Normal 15 5 2" xfId="8803" xr:uid="{00000000-0005-0000-0000-0000D0030000}"/>
    <cellStyle name="Normal 15 6" xfId="8804" xr:uid="{00000000-0005-0000-0000-0000D1030000}"/>
    <cellStyle name="Normal 15 7" xfId="8805" xr:uid="{00000000-0005-0000-0000-0000D2030000}"/>
    <cellStyle name="Normal 15 8" xfId="8178" xr:uid="{00000000-0005-0000-0000-0000D3030000}"/>
    <cellStyle name="Normal 16" xfId="146" xr:uid="{00000000-0005-0000-0000-0000D4030000}"/>
    <cellStyle name="Normal 16 2" xfId="147" xr:uid="{00000000-0005-0000-0000-0000D5030000}"/>
    <cellStyle name="Normal 16 2 2" xfId="8806" xr:uid="{00000000-0005-0000-0000-0000D6030000}"/>
    <cellStyle name="Normal 16 3" xfId="148" xr:uid="{00000000-0005-0000-0000-0000D7030000}"/>
    <cellStyle name="Normal 16 4" xfId="474" xr:uid="{00000000-0005-0000-0000-0000D8030000}"/>
    <cellStyle name="Normal 17" xfId="149" xr:uid="{00000000-0005-0000-0000-0000D9030000}"/>
    <cellStyle name="Normal 17 2" xfId="150" xr:uid="{00000000-0005-0000-0000-0000DA030000}"/>
    <cellStyle name="Normal 17 3" xfId="475" xr:uid="{00000000-0005-0000-0000-0000DB030000}"/>
    <cellStyle name="Normal 17 3 2" xfId="8807" xr:uid="{00000000-0005-0000-0000-0000DC030000}"/>
    <cellStyle name="Normal 17 4" xfId="8808" xr:uid="{00000000-0005-0000-0000-0000DD030000}"/>
    <cellStyle name="Normal 18" xfId="151" xr:uid="{00000000-0005-0000-0000-0000DE030000}"/>
    <cellStyle name="Normal 18 2" xfId="476" xr:uid="{00000000-0005-0000-0000-0000DF030000}"/>
    <cellStyle name="Normal 18 2 2" xfId="8809" xr:uid="{00000000-0005-0000-0000-0000E0030000}"/>
    <cellStyle name="Normal 18 3" xfId="8208" xr:uid="{00000000-0005-0000-0000-0000E1030000}"/>
    <cellStyle name="Normal 19" xfId="13" xr:uid="{00000000-0005-0000-0000-0000E2030000}"/>
    <cellStyle name="Normal 19 2" xfId="477" xr:uid="{00000000-0005-0000-0000-0000E3030000}"/>
    <cellStyle name="Normal 2" xfId="152" xr:uid="{00000000-0005-0000-0000-0000E4030000}"/>
    <cellStyle name="Normal 2 10" xfId="478" xr:uid="{00000000-0005-0000-0000-0000E5030000}"/>
    <cellStyle name="Normal 2 10 10" xfId="479" xr:uid="{00000000-0005-0000-0000-0000E6030000}"/>
    <cellStyle name="Normal 2 10 10 2" xfId="480" xr:uid="{00000000-0005-0000-0000-0000E7030000}"/>
    <cellStyle name="Normal 2 10 10 2 2" xfId="481" xr:uid="{00000000-0005-0000-0000-0000E8030000}"/>
    <cellStyle name="Normal 2 10 10 3" xfId="482" xr:uid="{00000000-0005-0000-0000-0000E9030000}"/>
    <cellStyle name="Normal 2 10 11" xfId="483" xr:uid="{00000000-0005-0000-0000-0000EA030000}"/>
    <cellStyle name="Normal 2 10 11 2" xfId="484" xr:uid="{00000000-0005-0000-0000-0000EB030000}"/>
    <cellStyle name="Normal 2 10 11 2 2" xfId="485" xr:uid="{00000000-0005-0000-0000-0000EC030000}"/>
    <cellStyle name="Normal 2 10 11 3" xfId="486" xr:uid="{00000000-0005-0000-0000-0000ED030000}"/>
    <cellStyle name="Normal 2 10 12" xfId="487" xr:uid="{00000000-0005-0000-0000-0000EE030000}"/>
    <cellStyle name="Normal 2 10 12 2" xfId="488" xr:uid="{00000000-0005-0000-0000-0000EF030000}"/>
    <cellStyle name="Normal 2 10 12 2 2" xfId="489" xr:uid="{00000000-0005-0000-0000-0000F0030000}"/>
    <cellStyle name="Normal 2 10 12 3" xfId="490" xr:uid="{00000000-0005-0000-0000-0000F1030000}"/>
    <cellStyle name="Normal 2 10 13" xfId="491" xr:uid="{00000000-0005-0000-0000-0000F2030000}"/>
    <cellStyle name="Normal 2 10 13 2" xfId="492" xr:uid="{00000000-0005-0000-0000-0000F3030000}"/>
    <cellStyle name="Normal 2 10 13 2 2" xfId="493" xr:uid="{00000000-0005-0000-0000-0000F4030000}"/>
    <cellStyle name="Normal 2 10 13 3" xfId="494" xr:uid="{00000000-0005-0000-0000-0000F5030000}"/>
    <cellStyle name="Normal 2 10 14" xfId="495" xr:uid="{00000000-0005-0000-0000-0000F6030000}"/>
    <cellStyle name="Normal 2 10 14 2" xfId="496" xr:uid="{00000000-0005-0000-0000-0000F7030000}"/>
    <cellStyle name="Normal 2 10 14 2 2" xfId="497" xr:uid="{00000000-0005-0000-0000-0000F8030000}"/>
    <cellStyle name="Normal 2 10 14 3" xfId="498" xr:uid="{00000000-0005-0000-0000-0000F9030000}"/>
    <cellStyle name="Normal 2 10 15" xfId="499" xr:uid="{00000000-0005-0000-0000-0000FA030000}"/>
    <cellStyle name="Normal 2 10 15 2" xfId="500" xr:uid="{00000000-0005-0000-0000-0000FB030000}"/>
    <cellStyle name="Normal 2 10 15 2 2" xfId="501" xr:uid="{00000000-0005-0000-0000-0000FC030000}"/>
    <cellStyle name="Normal 2 10 15 3" xfId="502" xr:uid="{00000000-0005-0000-0000-0000FD030000}"/>
    <cellStyle name="Normal 2 10 16" xfId="503" xr:uid="{00000000-0005-0000-0000-0000FE030000}"/>
    <cellStyle name="Normal 2 10 16 2" xfId="504" xr:uid="{00000000-0005-0000-0000-0000FF030000}"/>
    <cellStyle name="Normal 2 10 16 2 2" xfId="505" xr:uid="{00000000-0005-0000-0000-000000040000}"/>
    <cellStyle name="Normal 2 10 16 3" xfId="506" xr:uid="{00000000-0005-0000-0000-000001040000}"/>
    <cellStyle name="Normal 2 10 17" xfId="507" xr:uid="{00000000-0005-0000-0000-000002040000}"/>
    <cellStyle name="Normal 2 10 17 2" xfId="508" xr:uid="{00000000-0005-0000-0000-000003040000}"/>
    <cellStyle name="Normal 2 10 17 2 2" xfId="509" xr:uid="{00000000-0005-0000-0000-000004040000}"/>
    <cellStyle name="Normal 2 10 17 3" xfId="510" xr:uid="{00000000-0005-0000-0000-000005040000}"/>
    <cellStyle name="Normal 2 10 18" xfId="511" xr:uid="{00000000-0005-0000-0000-000006040000}"/>
    <cellStyle name="Normal 2 10 18 2" xfId="512" xr:uid="{00000000-0005-0000-0000-000007040000}"/>
    <cellStyle name="Normal 2 10 18 2 2" xfId="513" xr:uid="{00000000-0005-0000-0000-000008040000}"/>
    <cellStyle name="Normal 2 10 18 3" xfId="514" xr:uid="{00000000-0005-0000-0000-000009040000}"/>
    <cellStyle name="Normal 2 10 19" xfId="515" xr:uid="{00000000-0005-0000-0000-00000A040000}"/>
    <cellStyle name="Normal 2 10 19 2" xfId="516" xr:uid="{00000000-0005-0000-0000-00000B040000}"/>
    <cellStyle name="Normal 2 10 19 2 2" xfId="517" xr:uid="{00000000-0005-0000-0000-00000C040000}"/>
    <cellStyle name="Normal 2 10 19 3" xfId="518" xr:uid="{00000000-0005-0000-0000-00000D040000}"/>
    <cellStyle name="Normal 2 10 2" xfId="519" xr:uid="{00000000-0005-0000-0000-00000E040000}"/>
    <cellStyle name="Normal 2 10 2 2" xfId="520" xr:uid="{00000000-0005-0000-0000-00000F040000}"/>
    <cellStyle name="Normal 2 10 2 2 2" xfId="521" xr:uid="{00000000-0005-0000-0000-000010040000}"/>
    <cellStyle name="Normal 2 10 2 2 3" xfId="8811" xr:uid="{00000000-0005-0000-0000-000011040000}"/>
    <cellStyle name="Normal 2 10 2 3" xfId="522" xr:uid="{00000000-0005-0000-0000-000012040000}"/>
    <cellStyle name="Normal 2 10 2 4" xfId="8810" xr:uid="{00000000-0005-0000-0000-000013040000}"/>
    <cellStyle name="Normal 2 10 20" xfId="523" xr:uid="{00000000-0005-0000-0000-000014040000}"/>
    <cellStyle name="Normal 2 10 20 2" xfId="524" xr:uid="{00000000-0005-0000-0000-000015040000}"/>
    <cellStyle name="Normal 2 10 20 2 2" xfId="525" xr:uid="{00000000-0005-0000-0000-000016040000}"/>
    <cellStyle name="Normal 2 10 20 3" xfId="526" xr:uid="{00000000-0005-0000-0000-000017040000}"/>
    <cellStyle name="Normal 2 10 21" xfId="527" xr:uid="{00000000-0005-0000-0000-000018040000}"/>
    <cellStyle name="Normal 2 10 21 2" xfId="528" xr:uid="{00000000-0005-0000-0000-000019040000}"/>
    <cellStyle name="Normal 2 10 21 2 2" xfId="529" xr:uid="{00000000-0005-0000-0000-00001A040000}"/>
    <cellStyle name="Normal 2 10 21 3" xfId="530" xr:uid="{00000000-0005-0000-0000-00001B040000}"/>
    <cellStyle name="Normal 2 10 22" xfId="531" xr:uid="{00000000-0005-0000-0000-00001C040000}"/>
    <cellStyle name="Normal 2 10 22 2" xfId="532" xr:uid="{00000000-0005-0000-0000-00001D040000}"/>
    <cellStyle name="Normal 2 10 22 2 2" xfId="533" xr:uid="{00000000-0005-0000-0000-00001E040000}"/>
    <cellStyle name="Normal 2 10 22 3" xfId="534" xr:uid="{00000000-0005-0000-0000-00001F040000}"/>
    <cellStyle name="Normal 2 10 23" xfId="535" xr:uid="{00000000-0005-0000-0000-000020040000}"/>
    <cellStyle name="Normal 2 10 23 2" xfId="536" xr:uid="{00000000-0005-0000-0000-000021040000}"/>
    <cellStyle name="Normal 2 10 23 2 2" xfId="537" xr:uid="{00000000-0005-0000-0000-000022040000}"/>
    <cellStyle name="Normal 2 10 23 3" xfId="538" xr:uid="{00000000-0005-0000-0000-000023040000}"/>
    <cellStyle name="Normal 2 10 24" xfId="539" xr:uid="{00000000-0005-0000-0000-000024040000}"/>
    <cellStyle name="Normal 2 10 24 2" xfId="540" xr:uid="{00000000-0005-0000-0000-000025040000}"/>
    <cellStyle name="Normal 2 10 25" xfId="541" xr:uid="{00000000-0005-0000-0000-000026040000}"/>
    <cellStyle name="Normal 2 10 3" xfId="542" xr:uid="{00000000-0005-0000-0000-000027040000}"/>
    <cellStyle name="Normal 2 10 3 2" xfId="543" xr:uid="{00000000-0005-0000-0000-000028040000}"/>
    <cellStyle name="Normal 2 10 3 2 2" xfId="544" xr:uid="{00000000-0005-0000-0000-000029040000}"/>
    <cellStyle name="Normal 2 10 3 2 3" xfId="8813" xr:uid="{00000000-0005-0000-0000-00002A040000}"/>
    <cellStyle name="Normal 2 10 3 3" xfId="545" xr:uid="{00000000-0005-0000-0000-00002B040000}"/>
    <cellStyle name="Normal 2 10 3 4" xfId="8812" xr:uid="{00000000-0005-0000-0000-00002C040000}"/>
    <cellStyle name="Normal 2 10 4" xfId="546" xr:uid="{00000000-0005-0000-0000-00002D040000}"/>
    <cellStyle name="Normal 2 10 4 2" xfId="547" xr:uid="{00000000-0005-0000-0000-00002E040000}"/>
    <cellStyle name="Normal 2 10 4 2 2" xfId="548" xr:uid="{00000000-0005-0000-0000-00002F040000}"/>
    <cellStyle name="Normal 2 10 4 3" xfId="549" xr:uid="{00000000-0005-0000-0000-000030040000}"/>
    <cellStyle name="Normal 2 10 4 4" xfId="8814" xr:uid="{00000000-0005-0000-0000-000031040000}"/>
    <cellStyle name="Normal 2 10 5" xfId="550" xr:uid="{00000000-0005-0000-0000-000032040000}"/>
    <cellStyle name="Normal 2 10 5 2" xfId="551" xr:uid="{00000000-0005-0000-0000-000033040000}"/>
    <cellStyle name="Normal 2 10 5 2 2" xfId="552" xr:uid="{00000000-0005-0000-0000-000034040000}"/>
    <cellStyle name="Normal 2 10 5 3" xfId="553" xr:uid="{00000000-0005-0000-0000-000035040000}"/>
    <cellStyle name="Normal 2 10 6" xfId="554" xr:uid="{00000000-0005-0000-0000-000036040000}"/>
    <cellStyle name="Normal 2 10 6 2" xfId="555" xr:uid="{00000000-0005-0000-0000-000037040000}"/>
    <cellStyle name="Normal 2 10 6 2 2" xfId="556" xr:uid="{00000000-0005-0000-0000-000038040000}"/>
    <cellStyle name="Normal 2 10 6 3" xfId="557" xr:uid="{00000000-0005-0000-0000-000039040000}"/>
    <cellStyle name="Normal 2 10 7" xfId="558" xr:uid="{00000000-0005-0000-0000-00003A040000}"/>
    <cellStyle name="Normal 2 10 7 2" xfId="559" xr:uid="{00000000-0005-0000-0000-00003B040000}"/>
    <cellStyle name="Normal 2 10 7 2 2" xfId="560" xr:uid="{00000000-0005-0000-0000-00003C040000}"/>
    <cellStyle name="Normal 2 10 7 3" xfId="561" xr:uid="{00000000-0005-0000-0000-00003D040000}"/>
    <cellStyle name="Normal 2 10 8" xfId="562" xr:uid="{00000000-0005-0000-0000-00003E040000}"/>
    <cellStyle name="Normal 2 10 8 2" xfId="563" xr:uid="{00000000-0005-0000-0000-00003F040000}"/>
    <cellStyle name="Normal 2 10 8 2 2" xfId="564" xr:uid="{00000000-0005-0000-0000-000040040000}"/>
    <cellStyle name="Normal 2 10 8 3" xfId="565" xr:uid="{00000000-0005-0000-0000-000041040000}"/>
    <cellStyle name="Normal 2 10 9" xfId="566" xr:uid="{00000000-0005-0000-0000-000042040000}"/>
    <cellStyle name="Normal 2 10 9 2" xfId="567" xr:uid="{00000000-0005-0000-0000-000043040000}"/>
    <cellStyle name="Normal 2 10 9 2 2" xfId="568" xr:uid="{00000000-0005-0000-0000-000044040000}"/>
    <cellStyle name="Normal 2 10 9 3" xfId="569" xr:uid="{00000000-0005-0000-0000-000045040000}"/>
    <cellStyle name="Normal 2 100" xfId="570" xr:uid="{00000000-0005-0000-0000-000046040000}"/>
    <cellStyle name="Normal 2 100 2" xfId="571" xr:uid="{00000000-0005-0000-0000-000047040000}"/>
    <cellStyle name="Normal 2 100 3" xfId="572" xr:uid="{00000000-0005-0000-0000-000048040000}"/>
    <cellStyle name="Normal 2 101" xfId="573" xr:uid="{00000000-0005-0000-0000-000049040000}"/>
    <cellStyle name="Normal 2 101 2" xfId="574" xr:uid="{00000000-0005-0000-0000-00004A040000}"/>
    <cellStyle name="Normal 2 101 3" xfId="575" xr:uid="{00000000-0005-0000-0000-00004B040000}"/>
    <cellStyle name="Normal 2 102" xfId="576" xr:uid="{00000000-0005-0000-0000-00004C040000}"/>
    <cellStyle name="Normal 2 103" xfId="577" xr:uid="{00000000-0005-0000-0000-00004D040000}"/>
    <cellStyle name="Normal 2 104" xfId="578" xr:uid="{00000000-0005-0000-0000-00004E040000}"/>
    <cellStyle name="Normal 2 105" xfId="579" xr:uid="{00000000-0005-0000-0000-00004F040000}"/>
    <cellStyle name="Normal 2 106" xfId="580" xr:uid="{00000000-0005-0000-0000-000050040000}"/>
    <cellStyle name="Normal 2 107" xfId="581" xr:uid="{00000000-0005-0000-0000-000051040000}"/>
    <cellStyle name="Normal 2 108" xfId="582" xr:uid="{00000000-0005-0000-0000-000052040000}"/>
    <cellStyle name="Normal 2 109" xfId="583" xr:uid="{00000000-0005-0000-0000-000053040000}"/>
    <cellStyle name="Normal 2 11" xfId="584" xr:uid="{00000000-0005-0000-0000-000054040000}"/>
    <cellStyle name="Normal 2 11 10" xfId="585" xr:uid="{00000000-0005-0000-0000-000055040000}"/>
    <cellStyle name="Normal 2 11 10 2" xfId="586" xr:uid="{00000000-0005-0000-0000-000056040000}"/>
    <cellStyle name="Normal 2 11 10 2 2" xfId="587" xr:uid="{00000000-0005-0000-0000-000057040000}"/>
    <cellStyle name="Normal 2 11 10 3" xfId="588" xr:uid="{00000000-0005-0000-0000-000058040000}"/>
    <cellStyle name="Normal 2 11 11" xfId="589" xr:uid="{00000000-0005-0000-0000-000059040000}"/>
    <cellStyle name="Normal 2 11 11 2" xfId="590" xr:uid="{00000000-0005-0000-0000-00005A040000}"/>
    <cellStyle name="Normal 2 11 11 2 2" xfId="591" xr:uid="{00000000-0005-0000-0000-00005B040000}"/>
    <cellStyle name="Normal 2 11 11 3" xfId="592" xr:uid="{00000000-0005-0000-0000-00005C040000}"/>
    <cellStyle name="Normal 2 11 12" xfId="593" xr:uid="{00000000-0005-0000-0000-00005D040000}"/>
    <cellStyle name="Normal 2 11 12 2" xfId="594" xr:uid="{00000000-0005-0000-0000-00005E040000}"/>
    <cellStyle name="Normal 2 11 12 2 2" xfId="595" xr:uid="{00000000-0005-0000-0000-00005F040000}"/>
    <cellStyle name="Normal 2 11 12 3" xfId="596" xr:uid="{00000000-0005-0000-0000-000060040000}"/>
    <cellStyle name="Normal 2 11 13" xfId="597" xr:uid="{00000000-0005-0000-0000-000061040000}"/>
    <cellStyle name="Normal 2 11 13 2" xfId="598" xr:uid="{00000000-0005-0000-0000-000062040000}"/>
    <cellStyle name="Normal 2 11 13 2 2" xfId="599" xr:uid="{00000000-0005-0000-0000-000063040000}"/>
    <cellStyle name="Normal 2 11 13 3" xfId="600" xr:uid="{00000000-0005-0000-0000-000064040000}"/>
    <cellStyle name="Normal 2 11 14" xfId="601" xr:uid="{00000000-0005-0000-0000-000065040000}"/>
    <cellStyle name="Normal 2 11 14 2" xfId="602" xr:uid="{00000000-0005-0000-0000-000066040000}"/>
    <cellStyle name="Normal 2 11 14 2 2" xfId="603" xr:uid="{00000000-0005-0000-0000-000067040000}"/>
    <cellStyle name="Normal 2 11 14 3" xfId="604" xr:uid="{00000000-0005-0000-0000-000068040000}"/>
    <cellStyle name="Normal 2 11 15" xfId="605" xr:uid="{00000000-0005-0000-0000-000069040000}"/>
    <cellStyle name="Normal 2 11 15 2" xfId="606" xr:uid="{00000000-0005-0000-0000-00006A040000}"/>
    <cellStyle name="Normal 2 11 15 2 2" xfId="607" xr:uid="{00000000-0005-0000-0000-00006B040000}"/>
    <cellStyle name="Normal 2 11 15 3" xfId="608" xr:uid="{00000000-0005-0000-0000-00006C040000}"/>
    <cellStyle name="Normal 2 11 16" xfId="609" xr:uid="{00000000-0005-0000-0000-00006D040000}"/>
    <cellStyle name="Normal 2 11 16 2" xfId="610" xr:uid="{00000000-0005-0000-0000-00006E040000}"/>
    <cellStyle name="Normal 2 11 16 2 2" xfId="611" xr:uid="{00000000-0005-0000-0000-00006F040000}"/>
    <cellStyle name="Normal 2 11 16 3" xfId="612" xr:uid="{00000000-0005-0000-0000-000070040000}"/>
    <cellStyle name="Normal 2 11 17" xfId="613" xr:uid="{00000000-0005-0000-0000-000071040000}"/>
    <cellStyle name="Normal 2 11 17 2" xfId="614" xr:uid="{00000000-0005-0000-0000-000072040000}"/>
    <cellStyle name="Normal 2 11 17 2 2" xfId="615" xr:uid="{00000000-0005-0000-0000-000073040000}"/>
    <cellStyle name="Normal 2 11 17 3" xfId="616" xr:uid="{00000000-0005-0000-0000-000074040000}"/>
    <cellStyle name="Normal 2 11 18" xfId="617" xr:uid="{00000000-0005-0000-0000-000075040000}"/>
    <cellStyle name="Normal 2 11 18 2" xfId="618" xr:uid="{00000000-0005-0000-0000-000076040000}"/>
    <cellStyle name="Normal 2 11 18 2 2" xfId="619" xr:uid="{00000000-0005-0000-0000-000077040000}"/>
    <cellStyle name="Normal 2 11 18 3" xfId="620" xr:uid="{00000000-0005-0000-0000-000078040000}"/>
    <cellStyle name="Normal 2 11 19" xfId="621" xr:uid="{00000000-0005-0000-0000-000079040000}"/>
    <cellStyle name="Normal 2 11 19 2" xfId="622" xr:uid="{00000000-0005-0000-0000-00007A040000}"/>
    <cellStyle name="Normal 2 11 19 2 2" xfId="623" xr:uid="{00000000-0005-0000-0000-00007B040000}"/>
    <cellStyle name="Normal 2 11 19 3" xfId="624" xr:uid="{00000000-0005-0000-0000-00007C040000}"/>
    <cellStyle name="Normal 2 11 2" xfId="625" xr:uid="{00000000-0005-0000-0000-00007D040000}"/>
    <cellStyle name="Normal 2 11 2 2" xfId="626" xr:uid="{00000000-0005-0000-0000-00007E040000}"/>
    <cellStyle name="Normal 2 11 2 2 2" xfId="627" xr:uid="{00000000-0005-0000-0000-00007F040000}"/>
    <cellStyle name="Normal 2 11 2 3" xfId="628" xr:uid="{00000000-0005-0000-0000-000080040000}"/>
    <cellStyle name="Normal 2 11 20" xfId="629" xr:uid="{00000000-0005-0000-0000-000081040000}"/>
    <cellStyle name="Normal 2 11 20 2" xfId="630" xr:uid="{00000000-0005-0000-0000-000082040000}"/>
    <cellStyle name="Normal 2 11 20 2 2" xfId="631" xr:uid="{00000000-0005-0000-0000-000083040000}"/>
    <cellStyle name="Normal 2 11 20 3" xfId="632" xr:uid="{00000000-0005-0000-0000-000084040000}"/>
    <cellStyle name="Normal 2 11 21" xfId="633" xr:uid="{00000000-0005-0000-0000-000085040000}"/>
    <cellStyle name="Normal 2 11 21 2" xfId="634" xr:uid="{00000000-0005-0000-0000-000086040000}"/>
    <cellStyle name="Normal 2 11 21 2 2" xfId="635" xr:uid="{00000000-0005-0000-0000-000087040000}"/>
    <cellStyle name="Normal 2 11 21 3" xfId="636" xr:uid="{00000000-0005-0000-0000-000088040000}"/>
    <cellStyle name="Normal 2 11 22" xfId="637" xr:uid="{00000000-0005-0000-0000-000089040000}"/>
    <cellStyle name="Normal 2 11 22 2" xfId="638" xr:uid="{00000000-0005-0000-0000-00008A040000}"/>
    <cellStyle name="Normal 2 11 22 2 2" xfId="639" xr:uid="{00000000-0005-0000-0000-00008B040000}"/>
    <cellStyle name="Normal 2 11 22 3" xfId="640" xr:uid="{00000000-0005-0000-0000-00008C040000}"/>
    <cellStyle name="Normal 2 11 23" xfId="641" xr:uid="{00000000-0005-0000-0000-00008D040000}"/>
    <cellStyle name="Normal 2 11 23 2" xfId="642" xr:uid="{00000000-0005-0000-0000-00008E040000}"/>
    <cellStyle name="Normal 2 11 23 2 2" xfId="643" xr:uid="{00000000-0005-0000-0000-00008F040000}"/>
    <cellStyle name="Normal 2 11 23 3" xfId="644" xr:uid="{00000000-0005-0000-0000-000090040000}"/>
    <cellStyle name="Normal 2 11 24" xfId="645" xr:uid="{00000000-0005-0000-0000-000091040000}"/>
    <cellStyle name="Normal 2 11 24 2" xfId="646" xr:uid="{00000000-0005-0000-0000-000092040000}"/>
    <cellStyle name="Normal 2 11 25" xfId="647" xr:uid="{00000000-0005-0000-0000-000093040000}"/>
    <cellStyle name="Normal 2 11 3" xfId="648" xr:uid="{00000000-0005-0000-0000-000094040000}"/>
    <cellStyle name="Normal 2 11 3 2" xfId="649" xr:uid="{00000000-0005-0000-0000-000095040000}"/>
    <cellStyle name="Normal 2 11 3 2 2" xfId="650" xr:uid="{00000000-0005-0000-0000-000096040000}"/>
    <cellStyle name="Normal 2 11 3 3" xfId="651" xr:uid="{00000000-0005-0000-0000-000097040000}"/>
    <cellStyle name="Normal 2 11 4" xfId="652" xr:uid="{00000000-0005-0000-0000-000098040000}"/>
    <cellStyle name="Normal 2 11 4 2" xfId="653" xr:uid="{00000000-0005-0000-0000-000099040000}"/>
    <cellStyle name="Normal 2 11 4 2 2" xfId="654" xr:uid="{00000000-0005-0000-0000-00009A040000}"/>
    <cellStyle name="Normal 2 11 4 3" xfId="655" xr:uid="{00000000-0005-0000-0000-00009B040000}"/>
    <cellStyle name="Normal 2 11 5" xfId="656" xr:uid="{00000000-0005-0000-0000-00009C040000}"/>
    <cellStyle name="Normal 2 11 5 2" xfId="657" xr:uid="{00000000-0005-0000-0000-00009D040000}"/>
    <cellStyle name="Normal 2 11 5 2 2" xfId="658" xr:uid="{00000000-0005-0000-0000-00009E040000}"/>
    <cellStyle name="Normal 2 11 5 3" xfId="659" xr:uid="{00000000-0005-0000-0000-00009F040000}"/>
    <cellStyle name="Normal 2 11 6" xfId="660" xr:uid="{00000000-0005-0000-0000-0000A0040000}"/>
    <cellStyle name="Normal 2 11 6 2" xfId="661" xr:uid="{00000000-0005-0000-0000-0000A1040000}"/>
    <cellStyle name="Normal 2 11 6 2 2" xfId="662" xr:uid="{00000000-0005-0000-0000-0000A2040000}"/>
    <cellStyle name="Normal 2 11 6 3" xfId="663" xr:uid="{00000000-0005-0000-0000-0000A3040000}"/>
    <cellStyle name="Normal 2 11 7" xfId="664" xr:uid="{00000000-0005-0000-0000-0000A4040000}"/>
    <cellStyle name="Normal 2 11 7 2" xfId="665" xr:uid="{00000000-0005-0000-0000-0000A5040000}"/>
    <cellStyle name="Normal 2 11 7 2 2" xfId="666" xr:uid="{00000000-0005-0000-0000-0000A6040000}"/>
    <cellStyle name="Normal 2 11 7 3" xfId="667" xr:uid="{00000000-0005-0000-0000-0000A7040000}"/>
    <cellStyle name="Normal 2 11 8" xfId="668" xr:uid="{00000000-0005-0000-0000-0000A8040000}"/>
    <cellStyle name="Normal 2 11 8 2" xfId="669" xr:uid="{00000000-0005-0000-0000-0000A9040000}"/>
    <cellStyle name="Normal 2 11 8 2 2" xfId="670" xr:uid="{00000000-0005-0000-0000-0000AA040000}"/>
    <cellStyle name="Normal 2 11 8 3" xfId="671" xr:uid="{00000000-0005-0000-0000-0000AB040000}"/>
    <cellStyle name="Normal 2 11 9" xfId="672" xr:uid="{00000000-0005-0000-0000-0000AC040000}"/>
    <cellStyle name="Normal 2 11 9 2" xfId="673" xr:uid="{00000000-0005-0000-0000-0000AD040000}"/>
    <cellStyle name="Normal 2 11 9 2 2" xfId="674" xr:uid="{00000000-0005-0000-0000-0000AE040000}"/>
    <cellStyle name="Normal 2 11 9 3" xfId="675" xr:uid="{00000000-0005-0000-0000-0000AF040000}"/>
    <cellStyle name="Normal 2 110" xfId="9120" xr:uid="{00000000-0005-0000-0000-0000B0040000}"/>
    <cellStyle name="Normal 2 12" xfId="676" xr:uid="{00000000-0005-0000-0000-0000B1040000}"/>
    <cellStyle name="Normal 2 12 10" xfId="677" xr:uid="{00000000-0005-0000-0000-0000B2040000}"/>
    <cellStyle name="Normal 2 12 10 2" xfId="678" xr:uid="{00000000-0005-0000-0000-0000B3040000}"/>
    <cellStyle name="Normal 2 12 10 2 2" xfId="679" xr:uid="{00000000-0005-0000-0000-0000B4040000}"/>
    <cellStyle name="Normal 2 12 10 3" xfId="680" xr:uid="{00000000-0005-0000-0000-0000B5040000}"/>
    <cellStyle name="Normal 2 12 11" xfId="681" xr:uid="{00000000-0005-0000-0000-0000B6040000}"/>
    <cellStyle name="Normal 2 12 11 2" xfId="682" xr:uid="{00000000-0005-0000-0000-0000B7040000}"/>
    <cellStyle name="Normal 2 12 11 2 2" xfId="683" xr:uid="{00000000-0005-0000-0000-0000B8040000}"/>
    <cellStyle name="Normal 2 12 11 3" xfId="684" xr:uid="{00000000-0005-0000-0000-0000B9040000}"/>
    <cellStyle name="Normal 2 12 12" xfId="685" xr:uid="{00000000-0005-0000-0000-0000BA040000}"/>
    <cellStyle name="Normal 2 12 12 2" xfId="686" xr:uid="{00000000-0005-0000-0000-0000BB040000}"/>
    <cellStyle name="Normal 2 12 12 2 2" xfId="687" xr:uid="{00000000-0005-0000-0000-0000BC040000}"/>
    <cellStyle name="Normal 2 12 12 3" xfId="688" xr:uid="{00000000-0005-0000-0000-0000BD040000}"/>
    <cellStyle name="Normal 2 12 13" xfId="689" xr:uid="{00000000-0005-0000-0000-0000BE040000}"/>
    <cellStyle name="Normal 2 12 13 2" xfId="690" xr:uid="{00000000-0005-0000-0000-0000BF040000}"/>
    <cellStyle name="Normal 2 12 13 2 2" xfId="691" xr:uid="{00000000-0005-0000-0000-0000C0040000}"/>
    <cellStyle name="Normal 2 12 13 3" xfId="692" xr:uid="{00000000-0005-0000-0000-0000C1040000}"/>
    <cellStyle name="Normal 2 12 14" xfId="693" xr:uid="{00000000-0005-0000-0000-0000C2040000}"/>
    <cellStyle name="Normal 2 12 14 2" xfId="694" xr:uid="{00000000-0005-0000-0000-0000C3040000}"/>
    <cellStyle name="Normal 2 12 14 2 2" xfId="695" xr:uid="{00000000-0005-0000-0000-0000C4040000}"/>
    <cellStyle name="Normal 2 12 14 3" xfId="696" xr:uid="{00000000-0005-0000-0000-0000C5040000}"/>
    <cellStyle name="Normal 2 12 15" xfId="697" xr:uid="{00000000-0005-0000-0000-0000C6040000}"/>
    <cellStyle name="Normal 2 12 15 2" xfId="698" xr:uid="{00000000-0005-0000-0000-0000C7040000}"/>
    <cellStyle name="Normal 2 12 15 2 2" xfId="699" xr:uid="{00000000-0005-0000-0000-0000C8040000}"/>
    <cellStyle name="Normal 2 12 15 3" xfId="700" xr:uid="{00000000-0005-0000-0000-0000C9040000}"/>
    <cellStyle name="Normal 2 12 16" xfId="701" xr:uid="{00000000-0005-0000-0000-0000CA040000}"/>
    <cellStyle name="Normal 2 12 16 2" xfId="702" xr:uid="{00000000-0005-0000-0000-0000CB040000}"/>
    <cellStyle name="Normal 2 12 16 2 2" xfId="703" xr:uid="{00000000-0005-0000-0000-0000CC040000}"/>
    <cellStyle name="Normal 2 12 16 3" xfId="704" xr:uid="{00000000-0005-0000-0000-0000CD040000}"/>
    <cellStyle name="Normal 2 12 17" xfId="705" xr:uid="{00000000-0005-0000-0000-0000CE040000}"/>
    <cellStyle name="Normal 2 12 17 2" xfId="706" xr:uid="{00000000-0005-0000-0000-0000CF040000}"/>
    <cellStyle name="Normal 2 12 17 2 2" xfId="707" xr:uid="{00000000-0005-0000-0000-0000D0040000}"/>
    <cellStyle name="Normal 2 12 17 3" xfId="708" xr:uid="{00000000-0005-0000-0000-0000D1040000}"/>
    <cellStyle name="Normal 2 12 18" xfId="709" xr:uid="{00000000-0005-0000-0000-0000D2040000}"/>
    <cellStyle name="Normal 2 12 18 2" xfId="710" xr:uid="{00000000-0005-0000-0000-0000D3040000}"/>
    <cellStyle name="Normal 2 12 18 2 2" xfId="711" xr:uid="{00000000-0005-0000-0000-0000D4040000}"/>
    <cellStyle name="Normal 2 12 18 3" xfId="712" xr:uid="{00000000-0005-0000-0000-0000D5040000}"/>
    <cellStyle name="Normal 2 12 19" xfId="713" xr:uid="{00000000-0005-0000-0000-0000D6040000}"/>
    <cellStyle name="Normal 2 12 19 2" xfId="714" xr:uid="{00000000-0005-0000-0000-0000D7040000}"/>
    <cellStyle name="Normal 2 12 19 2 2" xfId="715" xr:uid="{00000000-0005-0000-0000-0000D8040000}"/>
    <cellStyle name="Normal 2 12 19 3" xfId="716" xr:uid="{00000000-0005-0000-0000-0000D9040000}"/>
    <cellStyle name="Normal 2 12 2" xfId="717" xr:uid="{00000000-0005-0000-0000-0000DA040000}"/>
    <cellStyle name="Normal 2 12 2 2" xfId="718" xr:uid="{00000000-0005-0000-0000-0000DB040000}"/>
    <cellStyle name="Normal 2 12 2 2 2" xfId="719" xr:uid="{00000000-0005-0000-0000-0000DC040000}"/>
    <cellStyle name="Normal 2 12 2 2 3" xfId="8816" xr:uid="{00000000-0005-0000-0000-0000DD040000}"/>
    <cellStyle name="Normal 2 12 2 3" xfId="720" xr:uid="{00000000-0005-0000-0000-0000DE040000}"/>
    <cellStyle name="Normal 2 12 2 4" xfId="8815" xr:uid="{00000000-0005-0000-0000-0000DF040000}"/>
    <cellStyle name="Normal 2 12 20" xfId="721" xr:uid="{00000000-0005-0000-0000-0000E0040000}"/>
    <cellStyle name="Normal 2 12 20 2" xfId="722" xr:uid="{00000000-0005-0000-0000-0000E1040000}"/>
    <cellStyle name="Normal 2 12 20 2 2" xfId="723" xr:uid="{00000000-0005-0000-0000-0000E2040000}"/>
    <cellStyle name="Normal 2 12 20 3" xfId="724" xr:uid="{00000000-0005-0000-0000-0000E3040000}"/>
    <cellStyle name="Normal 2 12 21" xfId="725" xr:uid="{00000000-0005-0000-0000-0000E4040000}"/>
    <cellStyle name="Normal 2 12 21 2" xfId="726" xr:uid="{00000000-0005-0000-0000-0000E5040000}"/>
    <cellStyle name="Normal 2 12 21 2 2" xfId="727" xr:uid="{00000000-0005-0000-0000-0000E6040000}"/>
    <cellStyle name="Normal 2 12 21 3" xfId="728" xr:uid="{00000000-0005-0000-0000-0000E7040000}"/>
    <cellStyle name="Normal 2 12 22" xfId="729" xr:uid="{00000000-0005-0000-0000-0000E8040000}"/>
    <cellStyle name="Normal 2 12 22 2" xfId="730" xr:uid="{00000000-0005-0000-0000-0000E9040000}"/>
    <cellStyle name="Normal 2 12 22 2 2" xfId="731" xr:uid="{00000000-0005-0000-0000-0000EA040000}"/>
    <cellStyle name="Normal 2 12 22 3" xfId="732" xr:uid="{00000000-0005-0000-0000-0000EB040000}"/>
    <cellStyle name="Normal 2 12 23" xfId="733" xr:uid="{00000000-0005-0000-0000-0000EC040000}"/>
    <cellStyle name="Normal 2 12 23 2" xfId="734" xr:uid="{00000000-0005-0000-0000-0000ED040000}"/>
    <cellStyle name="Normal 2 12 23 2 2" xfId="735" xr:uid="{00000000-0005-0000-0000-0000EE040000}"/>
    <cellStyle name="Normal 2 12 23 3" xfId="736" xr:uid="{00000000-0005-0000-0000-0000EF040000}"/>
    <cellStyle name="Normal 2 12 24" xfId="737" xr:uid="{00000000-0005-0000-0000-0000F0040000}"/>
    <cellStyle name="Normal 2 12 24 2" xfId="738" xr:uid="{00000000-0005-0000-0000-0000F1040000}"/>
    <cellStyle name="Normal 2 12 25" xfId="739" xr:uid="{00000000-0005-0000-0000-0000F2040000}"/>
    <cellStyle name="Normal 2 12 3" xfId="740" xr:uid="{00000000-0005-0000-0000-0000F3040000}"/>
    <cellStyle name="Normal 2 12 3 2" xfId="741" xr:uid="{00000000-0005-0000-0000-0000F4040000}"/>
    <cellStyle name="Normal 2 12 3 2 2" xfId="742" xr:uid="{00000000-0005-0000-0000-0000F5040000}"/>
    <cellStyle name="Normal 2 12 3 2 3" xfId="8818" xr:uid="{00000000-0005-0000-0000-0000F6040000}"/>
    <cellStyle name="Normal 2 12 3 3" xfId="743" xr:uid="{00000000-0005-0000-0000-0000F7040000}"/>
    <cellStyle name="Normal 2 12 3 4" xfId="8817" xr:uid="{00000000-0005-0000-0000-0000F8040000}"/>
    <cellStyle name="Normal 2 12 4" xfId="744" xr:uid="{00000000-0005-0000-0000-0000F9040000}"/>
    <cellStyle name="Normal 2 12 4 2" xfId="745" xr:uid="{00000000-0005-0000-0000-0000FA040000}"/>
    <cellStyle name="Normal 2 12 4 2 2" xfId="746" xr:uid="{00000000-0005-0000-0000-0000FB040000}"/>
    <cellStyle name="Normal 2 12 4 3" xfId="747" xr:uid="{00000000-0005-0000-0000-0000FC040000}"/>
    <cellStyle name="Normal 2 12 4 4" xfId="8819" xr:uid="{00000000-0005-0000-0000-0000FD040000}"/>
    <cellStyle name="Normal 2 12 5" xfId="748" xr:uid="{00000000-0005-0000-0000-0000FE040000}"/>
    <cellStyle name="Normal 2 12 5 2" xfId="749" xr:uid="{00000000-0005-0000-0000-0000FF040000}"/>
    <cellStyle name="Normal 2 12 5 2 2" xfId="750" xr:uid="{00000000-0005-0000-0000-000000050000}"/>
    <cellStyle name="Normal 2 12 5 3" xfId="751" xr:uid="{00000000-0005-0000-0000-000001050000}"/>
    <cellStyle name="Normal 2 12 6" xfId="752" xr:uid="{00000000-0005-0000-0000-000002050000}"/>
    <cellStyle name="Normal 2 12 6 2" xfId="753" xr:uid="{00000000-0005-0000-0000-000003050000}"/>
    <cellStyle name="Normal 2 12 6 2 2" xfId="754" xr:uid="{00000000-0005-0000-0000-000004050000}"/>
    <cellStyle name="Normal 2 12 6 3" xfId="755" xr:uid="{00000000-0005-0000-0000-000005050000}"/>
    <cellStyle name="Normal 2 12 7" xfId="756" xr:uid="{00000000-0005-0000-0000-000006050000}"/>
    <cellStyle name="Normal 2 12 7 2" xfId="757" xr:uid="{00000000-0005-0000-0000-000007050000}"/>
    <cellStyle name="Normal 2 12 7 2 2" xfId="758" xr:uid="{00000000-0005-0000-0000-000008050000}"/>
    <cellStyle name="Normal 2 12 7 3" xfId="759" xr:uid="{00000000-0005-0000-0000-000009050000}"/>
    <cellStyle name="Normal 2 12 8" xfId="760" xr:uid="{00000000-0005-0000-0000-00000A050000}"/>
    <cellStyle name="Normal 2 12 8 2" xfId="761" xr:uid="{00000000-0005-0000-0000-00000B050000}"/>
    <cellStyle name="Normal 2 12 8 2 2" xfId="762" xr:uid="{00000000-0005-0000-0000-00000C050000}"/>
    <cellStyle name="Normal 2 12 8 3" xfId="763" xr:uid="{00000000-0005-0000-0000-00000D050000}"/>
    <cellStyle name="Normal 2 12 9" xfId="764" xr:uid="{00000000-0005-0000-0000-00000E050000}"/>
    <cellStyle name="Normal 2 12 9 2" xfId="765" xr:uid="{00000000-0005-0000-0000-00000F050000}"/>
    <cellStyle name="Normal 2 12 9 2 2" xfId="766" xr:uid="{00000000-0005-0000-0000-000010050000}"/>
    <cellStyle name="Normal 2 12 9 3" xfId="767" xr:uid="{00000000-0005-0000-0000-000011050000}"/>
    <cellStyle name="Normal 2 13" xfId="768" xr:uid="{00000000-0005-0000-0000-000012050000}"/>
    <cellStyle name="Normal 2 13 10" xfId="769" xr:uid="{00000000-0005-0000-0000-000013050000}"/>
    <cellStyle name="Normal 2 13 10 2" xfId="770" xr:uid="{00000000-0005-0000-0000-000014050000}"/>
    <cellStyle name="Normal 2 13 10 2 2" xfId="771" xr:uid="{00000000-0005-0000-0000-000015050000}"/>
    <cellStyle name="Normal 2 13 10 3" xfId="772" xr:uid="{00000000-0005-0000-0000-000016050000}"/>
    <cellStyle name="Normal 2 13 11" xfId="773" xr:uid="{00000000-0005-0000-0000-000017050000}"/>
    <cellStyle name="Normal 2 13 11 2" xfId="774" xr:uid="{00000000-0005-0000-0000-000018050000}"/>
    <cellStyle name="Normal 2 13 11 2 2" xfId="775" xr:uid="{00000000-0005-0000-0000-000019050000}"/>
    <cellStyle name="Normal 2 13 11 3" xfId="776" xr:uid="{00000000-0005-0000-0000-00001A050000}"/>
    <cellStyle name="Normal 2 13 12" xfId="777" xr:uid="{00000000-0005-0000-0000-00001B050000}"/>
    <cellStyle name="Normal 2 13 12 2" xfId="778" xr:uid="{00000000-0005-0000-0000-00001C050000}"/>
    <cellStyle name="Normal 2 13 12 2 2" xfId="779" xr:uid="{00000000-0005-0000-0000-00001D050000}"/>
    <cellStyle name="Normal 2 13 12 3" xfId="780" xr:uid="{00000000-0005-0000-0000-00001E050000}"/>
    <cellStyle name="Normal 2 13 13" xfId="781" xr:uid="{00000000-0005-0000-0000-00001F050000}"/>
    <cellStyle name="Normal 2 13 13 2" xfId="782" xr:uid="{00000000-0005-0000-0000-000020050000}"/>
    <cellStyle name="Normal 2 13 13 2 2" xfId="783" xr:uid="{00000000-0005-0000-0000-000021050000}"/>
    <cellStyle name="Normal 2 13 13 3" xfId="784" xr:uid="{00000000-0005-0000-0000-000022050000}"/>
    <cellStyle name="Normal 2 13 14" xfId="785" xr:uid="{00000000-0005-0000-0000-000023050000}"/>
    <cellStyle name="Normal 2 13 14 2" xfId="786" xr:uid="{00000000-0005-0000-0000-000024050000}"/>
    <cellStyle name="Normal 2 13 14 2 2" xfId="787" xr:uid="{00000000-0005-0000-0000-000025050000}"/>
    <cellStyle name="Normal 2 13 14 3" xfId="788" xr:uid="{00000000-0005-0000-0000-000026050000}"/>
    <cellStyle name="Normal 2 13 15" xfId="789" xr:uid="{00000000-0005-0000-0000-000027050000}"/>
    <cellStyle name="Normal 2 13 15 2" xfId="790" xr:uid="{00000000-0005-0000-0000-000028050000}"/>
    <cellStyle name="Normal 2 13 15 2 2" xfId="791" xr:uid="{00000000-0005-0000-0000-000029050000}"/>
    <cellStyle name="Normal 2 13 15 3" xfId="792" xr:uid="{00000000-0005-0000-0000-00002A050000}"/>
    <cellStyle name="Normal 2 13 16" xfId="793" xr:uid="{00000000-0005-0000-0000-00002B050000}"/>
    <cellStyle name="Normal 2 13 16 2" xfId="794" xr:uid="{00000000-0005-0000-0000-00002C050000}"/>
    <cellStyle name="Normal 2 13 16 2 2" xfId="795" xr:uid="{00000000-0005-0000-0000-00002D050000}"/>
    <cellStyle name="Normal 2 13 16 3" xfId="796" xr:uid="{00000000-0005-0000-0000-00002E050000}"/>
    <cellStyle name="Normal 2 13 17" xfId="797" xr:uid="{00000000-0005-0000-0000-00002F050000}"/>
    <cellStyle name="Normal 2 13 17 2" xfId="798" xr:uid="{00000000-0005-0000-0000-000030050000}"/>
    <cellStyle name="Normal 2 13 17 2 2" xfId="799" xr:uid="{00000000-0005-0000-0000-000031050000}"/>
    <cellStyle name="Normal 2 13 17 3" xfId="800" xr:uid="{00000000-0005-0000-0000-000032050000}"/>
    <cellStyle name="Normal 2 13 18" xfId="801" xr:uid="{00000000-0005-0000-0000-000033050000}"/>
    <cellStyle name="Normal 2 13 18 2" xfId="802" xr:uid="{00000000-0005-0000-0000-000034050000}"/>
    <cellStyle name="Normal 2 13 18 2 2" xfId="803" xr:uid="{00000000-0005-0000-0000-000035050000}"/>
    <cellStyle name="Normal 2 13 18 3" xfId="804" xr:uid="{00000000-0005-0000-0000-000036050000}"/>
    <cellStyle name="Normal 2 13 19" xfId="805" xr:uid="{00000000-0005-0000-0000-000037050000}"/>
    <cellStyle name="Normal 2 13 19 2" xfId="806" xr:uid="{00000000-0005-0000-0000-000038050000}"/>
    <cellStyle name="Normal 2 13 19 2 2" xfId="807" xr:uid="{00000000-0005-0000-0000-000039050000}"/>
    <cellStyle name="Normal 2 13 19 3" xfId="808" xr:uid="{00000000-0005-0000-0000-00003A050000}"/>
    <cellStyle name="Normal 2 13 2" xfId="809" xr:uid="{00000000-0005-0000-0000-00003B050000}"/>
    <cellStyle name="Normal 2 13 2 2" xfId="810" xr:uid="{00000000-0005-0000-0000-00003C050000}"/>
    <cellStyle name="Normal 2 13 2 2 2" xfId="811" xr:uid="{00000000-0005-0000-0000-00003D050000}"/>
    <cellStyle name="Normal 2 13 2 3" xfId="812" xr:uid="{00000000-0005-0000-0000-00003E050000}"/>
    <cellStyle name="Normal 2 13 20" xfId="813" xr:uid="{00000000-0005-0000-0000-00003F050000}"/>
    <cellStyle name="Normal 2 13 20 2" xfId="814" xr:uid="{00000000-0005-0000-0000-000040050000}"/>
    <cellStyle name="Normal 2 13 20 2 2" xfId="815" xr:uid="{00000000-0005-0000-0000-000041050000}"/>
    <cellStyle name="Normal 2 13 20 3" xfId="816" xr:uid="{00000000-0005-0000-0000-000042050000}"/>
    <cellStyle name="Normal 2 13 21" xfId="817" xr:uid="{00000000-0005-0000-0000-000043050000}"/>
    <cellStyle name="Normal 2 13 21 2" xfId="818" xr:uid="{00000000-0005-0000-0000-000044050000}"/>
    <cellStyle name="Normal 2 13 21 2 2" xfId="819" xr:uid="{00000000-0005-0000-0000-000045050000}"/>
    <cellStyle name="Normal 2 13 21 3" xfId="820" xr:uid="{00000000-0005-0000-0000-000046050000}"/>
    <cellStyle name="Normal 2 13 22" xfId="821" xr:uid="{00000000-0005-0000-0000-000047050000}"/>
    <cellStyle name="Normal 2 13 22 2" xfId="822" xr:uid="{00000000-0005-0000-0000-000048050000}"/>
    <cellStyle name="Normal 2 13 22 2 2" xfId="823" xr:uid="{00000000-0005-0000-0000-000049050000}"/>
    <cellStyle name="Normal 2 13 22 3" xfId="824" xr:uid="{00000000-0005-0000-0000-00004A050000}"/>
    <cellStyle name="Normal 2 13 23" xfId="825" xr:uid="{00000000-0005-0000-0000-00004B050000}"/>
    <cellStyle name="Normal 2 13 23 2" xfId="826" xr:uid="{00000000-0005-0000-0000-00004C050000}"/>
    <cellStyle name="Normal 2 13 23 2 2" xfId="827" xr:uid="{00000000-0005-0000-0000-00004D050000}"/>
    <cellStyle name="Normal 2 13 23 3" xfId="828" xr:uid="{00000000-0005-0000-0000-00004E050000}"/>
    <cellStyle name="Normal 2 13 24" xfId="829" xr:uid="{00000000-0005-0000-0000-00004F050000}"/>
    <cellStyle name="Normal 2 13 24 2" xfId="830" xr:uid="{00000000-0005-0000-0000-000050050000}"/>
    <cellStyle name="Normal 2 13 25" xfId="831" xr:uid="{00000000-0005-0000-0000-000051050000}"/>
    <cellStyle name="Normal 2 13 3" xfId="832" xr:uid="{00000000-0005-0000-0000-000052050000}"/>
    <cellStyle name="Normal 2 13 3 2" xfId="833" xr:uid="{00000000-0005-0000-0000-000053050000}"/>
    <cellStyle name="Normal 2 13 3 2 2" xfId="834" xr:uid="{00000000-0005-0000-0000-000054050000}"/>
    <cellStyle name="Normal 2 13 3 3" xfId="835" xr:uid="{00000000-0005-0000-0000-000055050000}"/>
    <cellStyle name="Normal 2 13 4" xfId="836" xr:uid="{00000000-0005-0000-0000-000056050000}"/>
    <cellStyle name="Normal 2 13 4 2" xfId="837" xr:uid="{00000000-0005-0000-0000-000057050000}"/>
    <cellStyle name="Normal 2 13 4 2 2" xfId="838" xr:uid="{00000000-0005-0000-0000-000058050000}"/>
    <cellStyle name="Normal 2 13 4 3" xfId="839" xr:uid="{00000000-0005-0000-0000-000059050000}"/>
    <cellStyle name="Normal 2 13 5" xfId="840" xr:uid="{00000000-0005-0000-0000-00005A050000}"/>
    <cellStyle name="Normal 2 13 5 2" xfId="841" xr:uid="{00000000-0005-0000-0000-00005B050000}"/>
    <cellStyle name="Normal 2 13 5 2 2" xfId="842" xr:uid="{00000000-0005-0000-0000-00005C050000}"/>
    <cellStyle name="Normal 2 13 5 3" xfId="843" xr:uid="{00000000-0005-0000-0000-00005D050000}"/>
    <cellStyle name="Normal 2 13 6" xfId="844" xr:uid="{00000000-0005-0000-0000-00005E050000}"/>
    <cellStyle name="Normal 2 13 6 2" xfId="845" xr:uid="{00000000-0005-0000-0000-00005F050000}"/>
    <cellStyle name="Normal 2 13 6 2 2" xfId="846" xr:uid="{00000000-0005-0000-0000-000060050000}"/>
    <cellStyle name="Normal 2 13 6 3" xfId="847" xr:uid="{00000000-0005-0000-0000-000061050000}"/>
    <cellStyle name="Normal 2 13 7" xfId="848" xr:uid="{00000000-0005-0000-0000-000062050000}"/>
    <cellStyle name="Normal 2 13 7 2" xfId="849" xr:uid="{00000000-0005-0000-0000-000063050000}"/>
    <cellStyle name="Normal 2 13 7 2 2" xfId="850" xr:uid="{00000000-0005-0000-0000-000064050000}"/>
    <cellStyle name="Normal 2 13 7 3" xfId="851" xr:uid="{00000000-0005-0000-0000-000065050000}"/>
    <cellStyle name="Normal 2 13 8" xfId="852" xr:uid="{00000000-0005-0000-0000-000066050000}"/>
    <cellStyle name="Normal 2 13 8 2" xfId="853" xr:uid="{00000000-0005-0000-0000-000067050000}"/>
    <cellStyle name="Normal 2 13 8 2 2" xfId="854" xr:uid="{00000000-0005-0000-0000-000068050000}"/>
    <cellStyle name="Normal 2 13 8 3" xfId="855" xr:uid="{00000000-0005-0000-0000-000069050000}"/>
    <cellStyle name="Normal 2 13 9" xfId="856" xr:uid="{00000000-0005-0000-0000-00006A050000}"/>
    <cellStyle name="Normal 2 13 9 2" xfId="857" xr:uid="{00000000-0005-0000-0000-00006B050000}"/>
    <cellStyle name="Normal 2 13 9 2 2" xfId="858" xr:uid="{00000000-0005-0000-0000-00006C050000}"/>
    <cellStyle name="Normal 2 13 9 3" xfId="859" xr:uid="{00000000-0005-0000-0000-00006D050000}"/>
    <cellStyle name="Normal 2 14" xfId="860" xr:uid="{00000000-0005-0000-0000-00006E050000}"/>
    <cellStyle name="Normal 2 14 10" xfId="861" xr:uid="{00000000-0005-0000-0000-00006F050000}"/>
    <cellStyle name="Normal 2 14 10 2" xfId="862" xr:uid="{00000000-0005-0000-0000-000070050000}"/>
    <cellStyle name="Normal 2 14 10 2 2" xfId="863" xr:uid="{00000000-0005-0000-0000-000071050000}"/>
    <cellStyle name="Normal 2 14 10 3" xfId="864" xr:uid="{00000000-0005-0000-0000-000072050000}"/>
    <cellStyle name="Normal 2 14 11" xfId="865" xr:uid="{00000000-0005-0000-0000-000073050000}"/>
    <cellStyle name="Normal 2 14 11 2" xfId="866" xr:uid="{00000000-0005-0000-0000-000074050000}"/>
    <cellStyle name="Normal 2 14 11 2 2" xfId="867" xr:uid="{00000000-0005-0000-0000-000075050000}"/>
    <cellStyle name="Normal 2 14 11 3" xfId="868" xr:uid="{00000000-0005-0000-0000-000076050000}"/>
    <cellStyle name="Normal 2 14 12" xfId="869" xr:uid="{00000000-0005-0000-0000-000077050000}"/>
    <cellStyle name="Normal 2 14 12 2" xfId="870" xr:uid="{00000000-0005-0000-0000-000078050000}"/>
    <cellStyle name="Normal 2 14 12 2 2" xfId="871" xr:uid="{00000000-0005-0000-0000-000079050000}"/>
    <cellStyle name="Normal 2 14 12 3" xfId="872" xr:uid="{00000000-0005-0000-0000-00007A050000}"/>
    <cellStyle name="Normal 2 14 13" xfId="873" xr:uid="{00000000-0005-0000-0000-00007B050000}"/>
    <cellStyle name="Normal 2 14 13 2" xfId="874" xr:uid="{00000000-0005-0000-0000-00007C050000}"/>
    <cellStyle name="Normal 2 14 13 2 2" xfId="875" xr:uid="{00000000-0005-0000-0000-00007D050000}"/>
    <cellStyle name="Normal 2 14 13 3" xfId="876" xr:uid="{00000000-0005-0000-0000-00007E050000}"/>
    <cellStyle name="Normal 2 14 14" xfId="877" xr:uid="{00000000-0005-0000-0000-00007F050000}"/>
    <cellStyle name="Normal 2 14 14 2" xfId="878" xr:uid="{00000000-0005-0000-0000-000080050000}"/>
    <cellStyle name="Normal 2 14 14 2 2" xfId="879" xr:uid="{00000000-0005-0000-0000-000081050000}"/>
    <cellStyle name="Normal 2 14 14 3" xfId="880" xr:uid="{00000000-0005-0000-0000-000082050000}"/>
    <cellStyle name="Normal 2 14 15" xfId="881" xr:uid="{00000000-0005-0000-0000-000083050000}"/>
    <cellStyle name="Normal 2 14 15 2" xfId="882" xr:uid="{00000000-0005-0000-0000-000084050000}"/>
    <cellStyle name="Normal 2 14 15 2 2" xfId="883" xr:uid="{00000000-0005-0000-0000-000085050000}"/>
    <cellStyle name="Normal 2 14 15 3" xfId="884" xr:uid="{00000000-0005-0000-0000-000086050000}"/>
    <cellStyle name="Normal 2 14 16" xfId="885" xr:uid="{00000000-0005-0000-0000-000087050000}"/>
    <cellStyle name="Normal 2 14 16 2" xfId="886" xr:uid="{00000000-0005-0000-0000-000088050000}"/>
    <cellStyle name="Normal 2 14 16 2 2" xfId="887" xr:uid="{00000000-0005-0000-0000-000089050000}"/>
    <cellStyle name="Normal 2 14 16 3" xfId="888" xr:uid="{00000000-0005-0000-0000-00008A050000}"/>
    <cellStyle name="Normal 2 14 17" xfId="889" xr:uid="{00000000-0005-0000-0000-00008B050000}"/>
    <cellStyle name="Normal 2 14 17 2" xfId="890" xr:uid="{00000000-0005-0000-0000-00008C050000}"/>
    <cellStyle name="Normal 2 14 17 2 2" xfId="891" xr:uid="{00000000-0005-0000-0000-00008D050000}"/>
    <cellStyle name="Normal 2 14 17 3" xfId="892" xr:uid="{00000000-0005-0000-0000-00008E050000}"/>
    <cellStyle name="Normal 2 14 18" xfId="893" xr:uid="{00000000-0005-0000-0000-00008F050000}"/>
    <cellStyle name="Normal 2 14 18 2" xfId="894" xr:uid="{00000000-0005-0000-0000-000090050000}"/>
    <cellStyle name="Normal 2 14 18 2 2" xfId="895" xr:uid="{00000000-0005-0000-0000-000091050000}"/>
    <cellStyle name="Normal 2 14 18 3" xfId="896" xr:uid="{00000000-0005-0000-0000-000092050000}"/>
    <cellStyle name="Normal 2 14 19" xfId="897" xr:uid="{00000000-0005-0000-0000-000093050000}"/>
    <cellStyle name="Normal 2 14 19 2" xfId="898" xr:uid="{00000000-0005-0000-0000-000094050000}"/>
    <cellStyle name="Normal 2 14 19 2 2" xfId="899" xr:uid="{00000000-0005-0000-0000-000095050000}"/>
    <cellStyle name="Normal 2 14 19 3" xfId="900" xr:uid="{00000000-0005-0000-0000-000096050000}"/>
    <cellStyle name="Normal 2 14 2" xfId="901" xr:uid="{00000000-0005-0000-0000-000097050000}"/>
    <cellStyle name="Normal 2 14 2 2" xfId="902" xr:uid="{00000000-0005-0000-0000-000098050000}"/>
    <cellStyle name="Normal 2 14 2 2 2" xfId="903" xr:uid="{00000000-0005-0000-0000-000099050000}"/>
    <cellStyle name="Normal 2 14 2 3" xfId="904" xr:uid="{00000000-0005-0000-0000-00009A050000}"/>
    <cellStyle name="Normal 2 14 20" xfId="905" xr:uid="{00000000-0005-0000-0000-00009B050000}"/>
    <cellStyle name="Normal 2 14 20 2" xfId="906" xr:uid="{00000000-0005-0000-0000-00009C050000}"/>
    <cellStyle name="Normal 2 14 20 2 2" xfId="907" xr:uid="{00000000-0005-0000-0000-00009D050000}"/>
    <cellStyle name="Normal 2 14 20 3" xfId="908" xr:uid="{00000000-0005-0000-0000-00009E050000}"/>
    <cellStyle name="Normal 2 14 21" xfId="909" xr:uid="{00000000-0005-0000-0000-00009F050000}"/>
    <cellStyle name="Normal 2 14 21 2" xfId="910" xr:uid="{00000000-0005-0000-0000-0000A0050000}"/>
    <cellStyle name="Normal 2 14 21 2 2" xfId="911" xr:uid="{00000000-0005-0000-0000-0000A1050000}"/>
    <cellStyle name="Normal 2 14 21 3" xfId="912" xr:uid="{00000000-0005-0000-0000-0000A2050000}"/>
    <cellStyle name="Normal 2 14 22" xfId="913" xr:uid="{00000000-0005-0000-0000-0000A3050000}"/>
    <cellStyle name="Normal 2 14 22 2" xfId="914" xr:uid="{00000000-0005-0000-0000-0000A4050000}"/>
    <cellStyle name="Normal 2 14 22 2 2" xfId="915" xr:uid="{00000000-0005-0000-0000-0000A5050000}"/>
    <cellStyle name="Normal 2 14 22 3" xfId="916" xr:uid="{00000000-0005-0000-0000-0000A6050000}"/>
    <cellStyle name="Normal 2 14 23" xfId="917" xr:uid="{00000000-0005-0000-0000-0000A7050000}"/>
    <cellStyle name="Normal 2 14 23 2" xfId="918" xr:uid="{00000000-0005-0000-0000-0000A8050000}"/>
    <cellStyle name="Normal 2 14 23 2 2" xfId="919" xr:uid="{00000000-0005-0000-0000-0000A9050000}"/>
    <cellStyle name="Normal 2 14 23 3" xfId="920" xr:uid="{00000000-0005-0000-0000-0000AA050000}"/>
    <cellStyle name="Normal 2 14 24" xfId="921" xr:uid="{00000000-0005-0000-0000-0000AB050000}"/>
    <cellStyle name="Normal 2 14 24 2" xfId="922" xr:uid="{00000000-0005-0000-0000-0000AC050000}"/>
    <cellStyle name="Normal 2 14 25" xfId="923" xr:uid="{00000000-0005-0000-0000-0000AD050000}"/>
    <cellStyle name="Normal 2 14 3" xfId="924" xr:uid="{00000000-0005-0000-0000-0000AE050000}"/>
    <cellStyle name="Normal 2 14 3 2" xfId="925" xr:uid="{00000000-0005-0000-0000-0000AF050000}"/>
    <cellStyle name="Normal 2 14 3 2 2" xfId="926" xr:uid="{00000000-0005-0000-0000-0000B0050000}"/>
    <cellStyle name="Normal 2 14 3 3" xfId="927" xr:uid="{00000000-0005-0000-0000-0000B1050000}"/>
    <cellStyle name="Normal 2 14 4" xfId="928" xr:uid="{00000000-0005-0000-0000-0000B2050000}"/>
    <cellStyle name="Normal 2 14 4 2" xfId="929" xr:uid="{00000000-0005-0000-0000-0000B3050000}"/>
    <cellStyle name="Normal 2 14 4 2 2" xfId="930" xr:uid="{00000000-0005-0000-0000-0000B4050000}"/>
    <cellStyle name="Normal 2 14 4 3" xfId="931" xr:uid="{00000000-0005-0000-0000-0000B5050000}"/>
    <cellStyle name="Normal 2 14 5" xfId="932" xr:uid="{00000000-0005-0000-0000-0000B6050000}"/>
    <cellStyle name="Normal 2 14 5 2" xfId="933" xr:uid="{00000000-0005-0000-0000-0000B7050000}"/>
    <cellStyle name="Normal 2 14 5 2 2" xfId="934" xr:uid="{00000000-0005-0000-0000-0000B8050000}"/>
    <cellStyle name="Normal 2 14 5 3" xfId="935" xr:uid="{00000000-0005-0000-0000-0000B9050000}"/>
    <cellStyle name="Normal 2 14 6" xfId="936" xr:uid="{00000000-0005-0000-0000-0000BA050000}"/>
    <cellStyle name="Normal 2 14 6 2" xfId="937" xr:uid="{00000000-0005-0000-0000-0000BB050000}"/>
    <cellStyle name="Normal 2 14 6 2 2" xfId="938" xr:uid="{00000000-0005-0000-0000-0000BC050000}"/>
    <cellStyle name="Normal 2 14 6 3" xfId="939" xr:uid="{00000000-0005-0000-0000-0000BD050000}"/>
    <cellStyle name="Normal 2 14 7" xfId="940" xr:uid="{00000000-0005-0000-0000-0000BE050000}"/>
    <cellStyle name="Normal 2 14 7 2" xfId="941" xr:uid="{00000000-0005-0000-0000-0000BF050000}"/>
    <cellStyle name="Normal 2 14 7 2 2" xfId="942" xr:uid="{00000000-0005-0000-0000-0000C0050000}"/>
    <cellStyle name="Normal 2 14 7 3" xfId="943" xr:uid="{00000000-0005-0000-0000-0000C1050000}"/>
    <cellStyle name="Normal 2 14 8" xfId="944" xr:uid="{00000000-0005-0000-0000-0000C2050000}"/>
    <cellStyle name="Normal 2 14 8 2" xfId="945" xr:uid="{00000000-0005-0000-0000-0000C3050000}"/>
    <cellStyle name="Normal 2 14 8 2 2" xfId="946" xr:uid="{00000000-0005-0000-0000-0000C4050000}"/>
    <cellStyle name="Normal 2 14 8 3" xfId="947" xr:uid="{00000000-0005-0000-0000-0000C5050000}"/>
    <cellStyle name="Normal 2 14 9" xfId="948" xr:uid="{00000000-0005-0000-0000-0000C6050000}"/>
    <cellStyle name="Normal 2 14 9 2" xfId="949" xr:uid="{00000000-0005-0000-0000-0000C7050000}"/>
    <cellStyle name="Normal 2 14 9 2 2" xfId="950" xr:uid="{00000000-0005-0000-0000-0000C8050000}"/>
    <cellStyle name="Normal 2 14 9 3" xfId="951" xr:uid="{00000000-0005-0000-0000-0000C9050000}"/>
    <cellStyle name="Normal 2 15" xfId="952" xr:uid="{00000000-0005-0000-0000-0000CA050000}"/>
    <cellStyle name="Normal 2 15 10" xfId="953" xr:uid="{00000000-0005-0000-0000-0000CB050000}"/>
    <cellStyle name="Normal 2 15 10 2" xfId="954" xr:uid="{00000000-0005-0000-0000-0000CC050000}"/>
    <cellStyle name="Normal 2 15 10 2 2" xfId="955" xr:uid="{00000000-0005-0000-0000-0000CD050000}"/>
    <cellStyle name="Normal 2 15 10 3" xfId="956" xr:uid="{00000000-0005-0000-0000-0000CE050000}"/>
    <cellStyle name="Normal 2 15 11" xfId="957" xr:uid="{00000000-0005-0000-0000-0000CF050000}"/>
    <cellStyle name="Normal 2 15 11 2" xfId="958" xr:uid="{00000000-0005-0000-0000-0000D0050000}"/>
    <cellStyle name="Normal 2 15 11 2 2" xfId="959" xr:uid="{00000000-0005-0000-0000-0000D1050000}"/>
    <cellStyle name="Normal 2 15 11 3" xfId="960" xr:uid="{00000000-0005-0000-0000-0000D2050000}"/>
    <cellStyle name="Normal 2 15 12" xfId="961" xr:uid="{00000000-0005-0000-0000-0000D3050000}"/>
    <cellStyle name="Normal 2 15 12 2" xfId="962" xr:uid="{00000000-0005-0000-0000-0000D4050000}"/>
    <cellStyle name="Normal 2 15 12 2 2" xfId="963" xr:uid="{00000000-0005-0000-0000-0000D5050000}"/>
    <cellStyle name="Normal 2 15 12 3" xfId="964" xr:uid="{00000000-0005-0000-0000-0000D6050000}"/>
    <cellStyle name="Normal 2 15 13" xfId="965" xr:uid="{00000000-0005-0000-0000-0000D7050000}"/>
    <cellStyle name="Normal 2 15 13 2" xfId="966" xr:uid="{00000000-0005-0000-0000-0000D8050000}"/>
    <cellStyle name="Normal 2 15 13 2 2" xfId="967" xr:uid="{00000000-0005-0000-0000-0000D9050000}"/>
    <cellStyle name="Normal 2 15 13 3" xfId="968" xr:uid="{00000000-0005-0000-0000-0000DA050000}"/>
    <cellStyle name="Normal 2 15 14" xfId="969" xr:uid="{00000000-0005-0000-0000-0000DB050000}"/>
    <cellStyle name="Normal 2 15 14 2" xfId="970" xr:uid="{00000000-0005-0000-0000-0000DC050000}"/>
    <cellStyle name="Normal 2 15 14 2 2" xfId="971" xr:uid="{00000000-0005-0000-0000-0000DD050000}"/>
    <cellStyle name="Normal 2 15 14 3" xfId="972" xr:uid="{00000000-0005-0000-0000-0000DE050000}"/>
    <cellStyle name="Normal 2 15 15" xfId="973" xr:uid="{00000000-0005-0000-0000-0000DF050000}"/>
    <cellStyle name="Normal 2 15 15 2" xfId="974" xr:uid="{00000000-0005-0000-0000-0000E0050000}"/>
    <cellStyle name="Normal 2 15 15 2 2" xfId="975" xr:uid="{00000000-0005-0000-0000-0000E1050000}"/>
    <cellStyle name="Normal 2 15 15 3" xfId="976" xr:uid="{00000000-0005-0000-0000-0000E2050000}"/>
    <cellStyle name="Normal 2 15 16" xfId="977" xr:uid="{00000000-0005-0000-0000-0000E3050000}"/>
    <cellStyle name="Normal 2 15 16 2" xfId="978" xr:uid="{00000000-0005-0000-0000-0000E4050000}"/>
    <cellStyle name="Normal 2 15 16 2 2" xfId="979" xr:uid="{00000000-0005-0000-0000-0000E5050000}"/>
    <cellStyle name="Normal 2 15 16 3" xfId="980" xr:uid="{00000000-0005-0000-0000-0000E6050000}"/>
    <cellStyle name="Normal 2 15 17" xfId="981" xr:uid="{00000000-0005-0000-0000-0000E7050000}"/>
    <cellStyle name="Normal 2 15 17 2" xfId="982" xr:uid="{00000000-0005-0000-0000-0000E8050000}"/>
    <cellStyle name="Normal 2 15 17 2 2" xfId="983" xr:uid="{00000000-0005-0000-0000-0000E9050000}"/>
    <cellStyle name="Normal 2 15 17 3" xfId="984" xr:uid="{00000000-0005-0000-0000-0000EA050000}"/>
    <cellStyle name="Normal 2 15 18" xfId="985" xr:uid="{00000000-0005-0000-0000-0000EB050000}"/>
    <cellStyle name="Normal 2 15 18 2" xfId="986" xr:uid="{00000000-0005-0000-0000-0000EC050000}"/>
    <cellStyle name="Normal 2 15 18 2 2" xfId="987" xr:uid="{00000000-0005-0000-0000-0000ED050000}"/>
    <cellStyle name="Normal 2 15 18 3" xfId="988" xr:uid="{00000000-0005-0000-0000-0000EE050000}"/>
    <cellStyle name="Normal 2 15 19" xfId="989" xr:uid="{00000000-0005-0000-0000-0000EF050000}"/>
    <cellStyle name="Normal 2 15 19 2" xfId="990" xr:uid="{00000000-0005-0000-0000-0000F0050000}"/>
    <cellStyle name="Normal 2 15 19 2 2" xfId="991" xr:uid="{00000000-0005-0000-0000-0000F1050000}"/>
    <cellStyle name="Normal 2 15 19 3" xfId="992" xr:uid="{00000000-0005-0000-0000-0000F2050000}"/>
    <cellStyle name="Normal 2 15 2" xfId="993" xr:uid="{00000000-0005-0000-0000-0000F3050000}"/>
    <cellStyle name="Normal 2 15 2 2" xfId="994" xr:uid="{00000000-0005-0000-0000-0000F4050000}"/>
    <cellStyle name="Normal 2 15 2 2 2" xfId="995" xr:uid="{00000000-0005-0000-0000-0000F5050000}"/>
    <cellStyle name="Normal 2 15 2 3" xfId="996" xr:uid="{00000000-0005-0000-0000-0000F6050000}"/>
    <cellStyle name="Normal 2 15 20" xfId="997" xr:uid="{00000000-0005-0000-0000-0000F7050000}"/>
    <cellStyle name="Normal 2 15 20 2" xfId="998" xr:uid="{00000000-0005-0000-0000-0000F8050000}"/>
    <cellStyle name="Normal 2 15 20 2 2" xfId="999" xr:uid="{00000000-0005-0000-0000-0000F9050000}"/>
    <cellStyle name="Normal 2 15 20 3" xfId="1000" xr:uid="{00000000-0005-0000-0000-0000FA050000}"/>
    <cellStyle name="Normal 2 15 21" xfId="1001" xr:uid="{00000000-0005-0000-0000-0000FB050000}"/>
    <cellStyle name="Normal 2 15 21 2" xfId="1002" xr:uid="{00000000-0005-0000-0000-0000FC050000}"/>
    <cellStyle name="Normal 2 15 21 2 2" xfId="1003" xr:uid="{00000000-0005-0000-0000-0000FD050000}"/>
    <cellStyle name="Normal 2 15 21 3" xfId="1004" xr:uid="{00000000-0005-0000-0000-0000FE050000}"/>
    <cellStyle name="Normal 2 15 22" xfId="1005" xr:uid="{00000000-0005-0000-0000-0000FF050000}"/>
    <cellStyle name="Normal 2 15 22 2" xfId="1006" xr:uid="{00000000-0005-0000-0000-000000060000}"/>
    <cellStyle name="Normal 2 15 22 2 2" xfId="1007" xr:uid="{00000000-0005-0000-0000-000001060000}"/>
    <cellStyle name="Normal 2 15 22 3" xfId="1008" xr:uid="{00000000-0005-0000-0000-000002060000}"/>
    <cellStyle name="Normal 2 15 23" xfId="1009" xr:uid="{00000000-0005-0000-0000-000003060000}"/>
    <cellStyle name="Normal 2 15 23 2" xfId="1010" xr:uid="{00000000-0005-0000-0000-000004060000}"/>
    <cellStyle name="Normal 2 15 23 2 2" xfId="1011" xr:uid="{00000000-0005-0000-0000-000005060000}"/>
    <cellStyle name="Normal 2 15 23 3" xfId="1012" xr:uid="{00000000-0005-0000-0000-000006060000}"/>
    <cellStyle name="Normal 2 15 24" xfId="1013" xr:uid="{00000000-0005-0000-0000-000007060000}"/>
    <cellStyle name="Normal 2 15 24 2" xfId="1014" xr:uid="{00000000-0005-0000-0000-000008060000}"/>
    <cellStyle name="Normal 2 15 25" xfId="1015" xr:uid="{00000000-0005-0000-0000-000009060000}"/>
    <cellStyle name="Normal 2 15 3" xfId="1016" xr:uid="{00000000-0005-0000-0000-00000A060000}"/>
    <cellStyle name="Normal 2 15 3 2" xfId="1017" xr:uid="{00000000-0005-0000-0000-00000B060000}"/>
    <cellStyle name="Normal 2 15 3 2 2" xfId="1018" xr:uid="{00000000-0005-0000-0000-00000C060000}"/>
    <cellStyle name="Normal 2 15 3 3" xfId="1019" xr:uid="{00000000-0005-0000-0000-00000D060000}"/>
    <cellStyle name="Normal 2 15 4" xfId="1020" xr:uid="{00000000-0005-0000-0000-00000E060000}"/>
    <cellStyle name="Normal 2 15 4 2" xfId="1021" xr:uid="{00000000-0005-0000-0000-00000F060000}"/>
    <cellStyle name="Normal 2 15 4 2 2" xfId="1022" xr:uid="{00000000-0005-0000-0000-000010060000}"/>
    <cellStyle name="Normal 2 15 4 3" xfId="1023" xr:uid="{00000000-0005-0000-0000-000011060000}"/>
    <cellStyle name="Normal 2 15 5" xfId="1024" xr:uid="{00000000-0005-0000-0000-000012060000}"/>
    <cellStyle name="Normal 2 15 5 2" xfId="1025" xr:uid="{00000000-0005-0000-0000-000013060000}"/>
    <cellStyle name="Normal 2 15 5 2 2" xfId="1026" xr:uid="{00000000-0005-0000-0000-000014060000}"/>
    <cellStyle name="Normal 2 15 5 3" xfId="1027" xr:uid="{00000000-0005-0000-0000-000015060000}"/>
    <cellStyle name="Normal 2 15 6" xfId="1028" xr:uid="{00000000-0005-0000-0000-000016060000}"/>
    <cellStyle name="Normal 2 15 6 2" xfId="1029" xr:uid="{00000000-0005-0000-0000-000017060000}"/>
    <cellStyle name="Normal 2 15 6 2 2" xfId="1030" xr:uid="{00000000-0005-0000-0000-000018060000}"/>
    <cellStyle name="Normal 2 15 6 3" xfId="1031" xr:uid="{00000000-0005-0000-0000-000019060000}"/>
    <cellStyle name="Normal 2 15 7" xfId="1032" xr:uid="{00000000-0005-0000-0000-00001A060000}"/>
    <cellStyle name="Normal 2 15 7 2" xfId="1033" xr:uid="{00000000-0005-0000-0000-00001B060000}"/>
    <cellStyle name="Normal 2 15 7 2 2" xfId="1034" xr:uid="{00000000-0005-0000-0000-00001C060000}"/>
    <cellStyle name="Normal 2 15 7 3" xfId="1035" xr:uid="{00000000-0005-0000-0000-00001D060000}"/>
    <cellStyle name="Normal 2 15 8" xfId="1036" xr:uid="{00000000-0005-0000-0000-00001E060000}"/>
    <cellStyle name="Normal 2 15 8 2" xfId="1037" xr:uid="{00000000-0005-0000-0000-00001F060000}"/>
    <cellStyle name="Normal 2 15 8 2 2" xfId="1038" xr:uid="{00000000-0005-0000-0000-000020060000}"/>
    <cellStyle name="Normal 2 15 8 3" xfId="1039" xr:uid="{00000000-0005-0000-0000-000021060000}"/>
    <cellStyle name="Normal 2 15 9" xfId="1040" xr:uid="{00000000-0005-0000-0000-000022060000}"/>
    <cellStyle name="Normal 2 15 9 2" xfId="1041" xr:uid="{00000000-0005-0000-0000-000023060000}"/>
    <cellStyle name="Normal 2 15 9 2 2" xfId="1042" xr:uid="{00000000-0005-0000-0000-000024060000}"/>
    <cellStyle name="Normal 2 15 9 3" xfId="1043" xr:uid="{00000000-0005-0000-0000-000025060000}"/>
    <cellStyle name="Normal 2 16" xfId="1044" xr:uid="{00000000-0005-0000-0000-000026060000}"/>
    <cellStyle name="Normal 2 16 10" xfId="1045" xr:uid="{00000000-0005-0000-0000-000027060000}"/>
    <cellStyle name="Normal 2 16 10 2" xfId="1046" xr:uid="{00000000-0005-0000-0000-000028060000}"/>
    <cellStyle name="Normal 2 16 10 2 2" xfId="1047" xr:uid="{00000000-0005-0000-0000-000029060000}"/>
    <cellStyle name="Normal 2 16 10 3" xfId="1048" xr:uid="{00000000-0005-0000-0000-00002A060000}"/>
    <cellStyle name="Normal 2 16 11" xfId="1049" xr:uid="{00000000-0005-0000-0000-00002B060000}"/>
    <cellStyle name="Normal 2 16 11 2" xfId="1050" xr:uid="{00000000-0005-0000-0000-00002C060000}"/>
    <cellStyle name="Normal 2 16 11 2 2" xfId="1051" xr:uid="{00000000-0005-0000-0000-00002D060000}"/>
    <cellStyle name="Normal 2 16 11 3" xfId="1052" xr:uid="{00000000-0005-0000-0000-00002E060000}"/>
    <cellStyle name="Normal 2 16 12" xfId="1053" xr:uid="{00000000-0005-0000-0000-00002F060000}"/>
    <cellStyle name="Normal 2 16 12 2" xfId="1054" xr:uid="{00000000-0005-0000-0000-000030060000}"/>
    <cellStyle name="Normal 2 16 12 2 2" xfId="1055" xr:uid="{00000000-0005-0000-0000-000031060000}"/>
    <cellStyle name="Normal 2 16 12 3" xfId="1056" xr:uid="{00000000-0005-0000-0000-000032060000}"/>
    <cellStyle name="Normal 2 16 13" xfId="1057" xr:uid="{00000000-0005-0000-0000-000033060000}"/>
    <cellStyle name="Normal 2 16 13 2" xfId="1058" xr:uid="{00000000-0005-0000-0000-000034060000}"/>
    <cellStyle name="Normal 2 16 13 2 2" xfId="1059" xr:uid="{00000000-0005-0000-0000-000035060000}"/>
    <cellStyle name="Normal 2 16 13 3" xfId="1060" xr:uid="{00000000-0005-0000-0000-000036060000}"/>
    <cellStyle name="Normal 2 16 14" xfId="1061" xr:uid="{00000000-0005-0000-0000-000037060000}"/>
    <cellStyle name="Normal 2 16 14 2" xfId="1062" xr:uid="{00000000-0005-0000-0000-000038060000}"/>
    <cellStyle name="Normal 2 16 14 2 2" xfId="1063" xr:uid="{00000000-0005-0000-0000-000039060000}"/>
    <cellStyle name="Normal 2 16 14 3" xfId="1064" xr:uid="{00000000-0005-0000-0000-00003A060000}"/>
    <cellStyle name="Normal 2 16 15" xfId="1065" xr:uid="{00000000-0005-0000-0000-00003B060000}"/>
    <cellStyle name="Normal 2 16 15 2" xfId="1066" xr:uid="{00000000-0005-0000-0000-00003C060000}"/>
    <cellStyle name="Normal 2 16 15 2 2" xfId="1067" xr:uid="{00000000-0005-0000-0000-00003D060000}"/>
    <cellStyle name="Normal 2 16 15 3" xfId="1068" xr:uid="{00000000-0005-0000-0000-00003E060000}"/>
    <cellStyle name="Normal 2 16 16" xfId="1069" xr:uid="{00000000-0005-0000-0000-00003F060000}"/>
    <cellStyle name="Normal 2 16 16 2" xfId="1070" xr:uid="{00000000-0005-0000-0000-000040060000}"/>
    <cellStyle name="Normal 2 16 16 2 2" xfId="1071" xr:uid="{00000000-0005-0000-0000-000041060000}"/>
    <cellStyle name="Normal 2 16 16 3" xfId="1072" xr:uid="{00000000-0005-0000-0000-000042060000}"/>
    <cellStyle name="Normal 2 16 17" xfId="1073" xr:uid="{00000000-0005-0000-0000-000043060000}"/>
    <cellStyle name="Normal 2 16 17 2" xfId="1074" xr:uid="{00000000-0005-0000-0000-000044060000}"/>
    <cellStyle name="Normal 2 16 17 2 2" xfId="1075" xr:uid="{00000000-0005-0000-0000-000045060000}"/>
    <cellStyle name="Normal 2 16 17 3" xfId="1076" xr:uid="{00000000-0005-0000-0000-000046060000}"/>
    <cellStyle name="Normal 2 16 18" xfId="1077" xr:uid="{00000000-0005-0000-0000-000047060000}"/>
    <cellStyle name="Normal 2 16 18 2" xfId="1078" xr:uid="{00000000-0005-0000-0000-000048060000}"/>
    <cellStyle name="Normal 2 16 18 2 2" xfId="1079" xr:uid="{00000000-0005-0000-0000-000049060000}"/>
    <cellStyle name="Normal 2 16 18 3" xfId="1080" xr:uid="{00000000-0005-0000-0000-00004A060000}"/>
    <cellStyle name="Normal 2 16 19" xfId="1081" xr:uid="{00000000-0005-0000-0000-00004B060000}"/>
    <cellStyle name="Normal 2 16 19 2" xfId="1082" xr:uid="{00000000-0005-0000-0000-00004C060000}"/>
    <cellStyle name="Normal 2 16 19 2 2" xfId="1083" xr:uid="{00000000-0005-0000-0000-00004D060000}"/>
    <cellStyle name="Normal 2 16 19 3" xfId="1084" xr:uid="{00000000-0005-0000-0000-00004E060000}"/>
    <cellStyle name="Normal 2 16 2" xfId="1085" xr:uid="{00000000-0005-0000-0000-00004F060000}"/>
    <cellStyle name="Normal 2 16 2 2" xfId="1086" xr:uid="{00000000-0005-0000-0000-000050060000}"/>
    <cellStyle name="Normal 2 16 2 2 2" xfId="1087" xr:uid="{00000000-0005-0000-0000-000051060000}"/>
    <cellStyle name="Normal 2 16 2 3" xfId="1088" xr:uid="{00000000-0005-0000-0000-000052060000}"/>
    <cellStyle name="Normal 2 16 20" xfId="1089" xr:uid="{00000000-0005-0000-0000-000053060000}"/>
    <cellStyle name="Normal 2 16 20 2" xfId="1090" xr:uid="{00000000-0005-0000-0000-000054060000}"/>
    <cellStyle name="Normal 2 16 20 2 2" xfId="1091" xr:uid="{00000000-0005-0000-0000-000055060000}"/>
    <cellStyle name="Normal 2 16 20 3" xfId="1092" xr:uid="{00000000-0005-0000-0000-000056060000}"/>
    <cellStyle name="Normal 2 16 21" xfId="1093" xr:uid="{00000000-0005-0000-0000-000057060000}"/>
    <cellStyle name="Normal 2 16 21 2" xfId="1094" xr:uid="{00000000-0005-0000-0000-000058060000}"/>
    <cellStyle name="Normal 2 16 21 2 2" xfId="1095" xr:uid="{00000000-0005-0000-0000-000059060000}"/>
    <cellStyle name="Normal 2 16 21 3" xfId="1096" xr:uid="{00000000-0005-0000-0000-00005A060000}"/>
    <cellStyle name="Normal 2 16 22" xfId="1097" xr:uid="{00000000-0005-0000-0000-00005B060000}"/>
    <cellStyle name="Normal 2 16 22 2" xfId="1098" xr:uid="{00000000-0005-0000-0000-00005C060000}"/>
    <cellStyle name="Normal 2 16 22 2 2" xfId="1099" xr:uid="{00000000-0005-0000-0000-00005D060000}"/>
    <cellStyle name="Normal 2 16 22 3" xfId="1100" xr:uid="{00000000-0005-0000-0000-00005E060000}"/>
    <cellStyle name="Normal 2 16 23" xfId="1101" xr:uid="{00000000-0005-0000-0000-00005F060000}"/>
    <cellStyle name="Normal 2 16 23 2" xfId="1102" xr:uid="{00000000-0005-0000-0000-000060060000}"/>
    <cellStyle name="Normal 2 16 23 2 2" xfId="1103" xr:uid="{00000000-0005-0000-0000-000061060000}"/>
    <cellStyle name="Normal 2 16 23 3" xfId="1104" xr:uid="{00000000-0005-0000-0000-000062060000}"/>
    <cellStyle name="Normal 2 16 24" xfId="1105" xr:uid="{00000000-0005-0000-0000-000063060000}"/>
    <cellStyle name="Normal 2 16 24 2" xfId="1106" xr:uid="{00000000-0005-0000-0000-000064060000}"/>
    <cellStyle name="Normal 2 16 25" xfId="1107" xr:uid="{00000000-0005-0000-0000-000065060000}"/>
    <cellStyle name="Normal 2 16 3" xfId="1108" xr:uid="{00000000-0005-0000-0000-000066060000}"/>
    <cellStyle name="Normal 2 16 3 2" xfId="1109" xr:uid="{00000000-0005-0000-0000-000067060000}"/>
    <cellStyle name="Normal 2 16 3 2 2" xfId="1110" xr:uid="{00000000-0005-0000-0000-000068060000}"/>
    <cellStyle name="Normal 2 16 3 3" xfId="1111" xr:uid="{00000000-0005-0000-0000-000069060000}"/>
    <cellStyle name="Normal 2 16 4" xfId="1112" xr:uid="{00000000-0005-0000-0000-00006A060000}"/>
    <cellStyle name="Normal 2 16 4 2" xfId="1113" xr:uid="{00000000-0005-0000-0000-00006B060000}"/>
    <cellStyle name="Normal 2 16 4 2 2" xfId="1114" xr:uid="{00000000-0005-0000-0000-00006C060000}"/>
    <cellStyle name="Normal 2 16 4 3" xfId="1115" xr:uid="{00000000-0005-0000-0000-00006D060000}"/>
    <cellStyle name="Normal 2 16 5" xfId="1116" xr:uid="{00000000-0005-0000-0000-00006E060000}"/>
    <cellStyle name="Normal 2 16 5 2" xfId="1117" xr:uid="{00000000-0005-0000-0000-00006F060000}"/>
    <cellStyle name="Normal 2 16 5 2 2" xfId="1118" xr:uid="{00000000-0005-0000-0000-000070060000}"/>
    <cellStyle name="Normal 2 16 5 3" xfId="1119" xr:uid="{00000000-0005-0000-0000-000071060000}"/>
    <cellStyle name="Normal 2 16 6" xfId="1120" xr:uid="{00000000-0005-0000-0000-000072060000}"/>
    <cellStyle name="Normal 2 16 6 2" xfId="1121" xr:uid="{00000000-0005-0000-0000-000073060000}"/>
    <cellStyle name="Normal 2 16 6 2 2" xfId="1122" xr:uid="{00000000-0005-0000-0000-000074060000}"/>
    <cellStyle name="Normal 2 16 6 3" xfId="1123" xr:uid="{00000000-0005-0000-0000-000075060000}"/>
    <cellStyle name="Normal 2 16 7" xfId="1124" xr:uid="{00000000-0005-0000-0000-000076060000}"/>
    <cellStyle name="Normal 2 16 7 2" xfId="1125" xr:uid="{00000000-0005-0000-0000-000077060000}"/>
    <cellStyle name="Normal 2 16 7 2 2" xfId="1126" xr:uid="{00000000-0005-0000-0000-000078060000}"/>
    <cellStyle name="Normal 2 16 7 3" xfId="1127" xr:uid="{00000000-0005-0000-0000-000079060000}"/>
    <cellStyle name="Normal 2 16 8" xfId="1128" xr:uid="{00000000-0005-0000-0000-00007A060000}"/>
    <cellStyle name="Normal 2 16 8 2" xfId="1129" xr:uid="{00000000-0005-0000-0000-00007B060000}"/>
    <cellStyle name="Normal 2 16 8 2 2" xfId="1130" xr:uid="{00000000-0005-0000-0000-00007C060000}"/>
    <cellStyle name="Normal 2 16 8 3" xfId="1131" xr:uid="{00000000-0005-0000-0000-00007D060000}"/>
    <cellStyle name="Normal 2 16 9" xfId="1132" xr:uid="{00000000-0005-0000-0000-00007E060000}"/>
    <cellStyle name="Normal 2 16 9 2" xfId="1133" xr:uid="{00000000-0005-0000-0000-00007F060000}"/>
    <cellStyle name="Normal 2 16 9 2 2" xfId="1134" xr:uid="{00000000-0005-0000-0000-000080060000}"/>
    <cellStyle name="Normal 2 16 9 3" xfId="1135" xr:uid="{00000000-0005-0000-0000-000081060000}"/>
    <cellStyle name="Normal 2 17" xfId="1136" xr:uid="{00000000-0005-0000-0000-000082060000}"/>
    <cellStyle name="Normal 2 17 10" xfId="1137" xr:uid="{00000000-0005-0000-0000-000083060000}"/>
    <cellStyle name="Normal 2 17 10 2" xfId="1138" xr:uid="{00000000-0005-0000-0000-000084060000}"/>
    <cellStyle name="Normal 2 17 10 2 2" xfId="1139" xr:uid="{00000000-0005-0000-0000-000085060000}"/>
    <cellStyle name="Normal 2 17 10 3" xfId="1140" xr:uid="{00000000-0005-0000-0000-000086060000}"/>
    <cellStyle name="Normal 2 17 11" xfId="1141" xr:uid="{00000000-0005-0000-0000-000087060000}"/>
    <cellStyle name="Normal 2 17 11 2" xfId="1142" xr:uid="{00000000-0005-0000-0000-000088060000}"/>
    <cellStyle name="Normal 2 17 11 2 2" xfId="1143" xr:uid="{00000000-0005-0000-0000-000089060000}"/>
    <cellStyle name="Normal 2 17 11 3" xfId="1144" xr:uid="{00000000-0005-0000-0000-00008A060000}"/>
    <cellStyle name="Normal 2 17 12" xfId="1145" xr:uid="{00000000-0005-0000-0000-00008B060000}"/>
    <cellStyle name="Normal 2 17 12 2" xfId="1146" xr:uid="{00000000-0005-0000-0000-00008C060000}"/>
    <cellStyle name="Normal 2 17 12 2 2" xfId="1147" xr:uid="{00000000-0005-0000-0000-00008D060000}"/>
    <cellStyle name="Normal 2 17 12 3" xfId="1148" xr:uid="{00000000-0005-0000-0000-00008E060000}"/>
    <cellStyle name="Normal 2 17 13" xfId="1149" xr:uid="{00000000-0005-0000-0000-00008F060000}"/>
    <cellStyle name="Normal 2 17 13 2" xfId="1150" xr:uid="{00000000-0005-0000-0000-000090060000}"/>
    <cellStyle name="Normal 2 17 13 2 2" xfId="1151" xr:uid="{00000000-0005-0000-0000-000091060000}"/>
    <cellStyle name="Normal 2 17 13 3" xfId="1152" xr:uid="{00000000-0005-0000-0000-000092060000}"/>
    <cellStyle name="Normal 2 17 14" xfId="1153" xr:uid="{00000000-0005-0000-0000-000093060000}"/>
    <cellStyle name="Normal 2 17 14 2" xfId="1154" xr:uid="{00000000-0005-0000-0000-000094060000}"/>
    <cellStyle name="Normal 2 17 14 2 2" xfId="1155" xr:uid="{00000000-0005-0000-0000-000095060000}"/>
    <cellStyle name="Normal 2 17 14 3" xfId="1156" xr:uid="{00000000-0005-0000-0000-000096060000}"/>
    <cellStyle name="Normal 2 17 15" xfId="1157" xr:uid="{00000000-0005-0000-0000-000097060000}"/>
    <cellStyle name="Normal 2 17 15 2" xfId="1158" xr:uid="{00000000-0005-0000-0000-000098060000}"/>
    <cellStyle name="Normal 2 17 15 2 2" xfId="1159" xr:uid="{00000000-0005-0000-0000-000099060000}"/>
    <cellStyle name="Normal 2 17 15 3" xfId="1160" xr:uid="{00000000-0005-0000-0000-00009A060000}"/>
    <cellStyle name="Normal 2 17 16" xfId="1161" xr:uid="{00000000-0005-0000-0000-00009B060000}"/>
    <cellStyle name="Normal 2 17 16 2" xfId="1162" xr:uid="{00000000-0005-0000-0000-00009C060000}"/>
    <cellStyle name="Normal 2 17 16 2 2" xfId="1163" xr:uid="{00000000-0005-0000-0000-00009D060000}"/>
    <cellStyle name="Normal 2 17 16 3" xfId="1164" xr:uid="{00000000-0005-0000-0000-00009E060000}"/>
    <cellStyle name="Normal 2 17 17" xfId="1165" xr:uid="{00000000-0005-0000-0000-00009F060000}"/>
    <cellStyle name="Normal 2 17 17 2" xfId="1166" xr:uid="{00000000-0005-0000-0000-0000A0060000}"/>
    <cellStyle name="Normal 2 17 17 2 2" xfId="1167" xr:uid="{00000000-0005-0000-0000-0000A1060000}"/>
    <cellStyle name="Normal 2 17 17 3" xfId="1168" xr:uid="{00000000-0005-0000-0000-0000A2060000}"/>
    <cellStyle name="Normal 2 17 18" xfId="1169" xr:uid="{00000000-0005-0000-0000-0000A3060000}"/>
    <cellStyle name="Normal 2 17 18 2" xfId="1170" xr:uid="{00000000-0005-0000-0000-0000A4060000}"/>
    <cellStyle name="Normal 2 17 18 2 2" xfId="1171" xr:uid="{00000000-0005-0000-0000-0000A5060000}"/>
    <cellStyle name="Normal 2 17 18 3" xfId="1172" xr:uid="{00000000-0005-0000-0000-0000A6060000}"/>
    <cellStyle name="Normal 2 17 19" xfId="1173" xr:uid="{00000000-0005-0000-0000-0000A7060000}"/>
    <cellStyle name="Normal 2 17 19 2" xfId="1174" xr:uid="{00000000-0005-0000-0000-0000A8060000}"/>
    <cellStyle name="Normal 2 17 19 2 2" xfId="1175" xr:uid="{00000000-0005-0000-0000-0000A9060000}"/>
    <cellStyle name="Normal 2 17 19 3" xfId="1176" xr:uid="{00000000-0005-0000-0000-0000AA060000}"/>
    <cellStyle name="Normal 2 17 2" xfId="1177" xr:uid="{00000000-0005-0000-0000-0000AB060000}"/>
    <cellStyle name="Normal 2 17 2 2" xfId="1178" xr:uid="{00000000-0005-0000-0000-0000AC060000}"/>
    <cellStyle name="Normal 2 17 2 2 2" xfId="1179" xr:uid="{00000000-0005-0000-0000-0000AD060000}"/>
    <cellStyle name="Normal 2 17 2 3" xfId="1180" xr:uid="{00000000-0005-0000-0000-0000AE060000}"/>
    <cellStyle name="Normal 2 17 20" xfId="1181" xr:uid="{00000000-0005-0000-0000-0000AF060000}"/>
    <cellStyle name="Normal 2 17 20 2" xfId="1182" xr:uid="{00000000-0005-0000-0000-0000B0060000}"/>
    <cellStyle name="Normal 2 17 20 2 2" xfId="1183" xr:uid="{00000000-0005-0000-0000-0000B1060000}"/>
    <cellStyle name="Normal 2 17 20 3" xfId="1184" xr:uid="{00000000-0005-0000-0000-0000B2060000}"/>
    <cellStyle name="Normal 2 17 21" xfId="1185" xr:uid="{00000000-0005-0000-0000-0000B3060000}"/>
    <cellStyle name="Normal 2 17 21 2" xfId="1186" xr:uid="{00000000-0005-0000-0000-0000B4060000}"/>
    <cellStyle name="Normal 2 17 21 2 2" xfId="1187" xr:uid="{00000000-0005-0000-0000-0000B5060000}"/>
    <cellStyle name="Normal 2 17 21 3" xfId="1188" xr:uid="{00000000-0005-0000-0000-0000B6060000}"/>
    <cellStyle name="Normal 2 17 22" xfId="1189" xr:uid="{00000000-0005-0000-0000-0000B7060000}"/>
    <cellStyle name="Normal 2 17 22 2" xfId="1190" xr:uid="{00000000-0005-0000-0000-0000B8060000}"/>
    <cellStyle name="Normal 2 17 22 2 2" xfId="1191" xr:uid="{00000000-0005-0000-0000-0000B9060000}"/>
    <cellStyle name="Normal 2 17 22 3" xfId="1192" xr:uid="{00000000-0005-0000-0000-0000BA060000}"/>
    <cellStyle name="Normal 2 17 23" xfId="1193" xr:uid="{00000000-0005-0000-0000-0000BB060000}"/>
    <cellStyle name="Normal 2 17 23 2" xfId="1194" xr:uid="{00000000-0005-0000-0000-0000BC060000}"/>
    <cellStyle name="Normal 2 17 23 2 2" xfId="1195" xr:uid="{00000000-0005-0000-0000-0000BD060000}"/>
    <cellStyle name="Normal 2 17 23 3" xfId="1196" xr:uid="{00000000-0005-0000-0000-0000BE060000}"/>
    <cellStyle name="Normal 2 17 24" xfId="1197" xr:uid="{00000000-0005-0000-0000-0000BF060000}"/>
    <cellStyle name="Normal 2 17 24 2" xfId="1198" xr:uid="{00000000-0005-0000-0000-0000C0060000}"/>
    <cellStyle name="Normal 2 17 25" xfId="1199" xr:uid="{00000000-0005-0000-0000-0000C1060000}"/>
    <cellStyle name="Normal 2 17 3" xfId="1200" xr:uid="{00000000-0005-0000-0000-0000C2060000}"/>
    <cellStyle name="Normal 2 17 3 2" xfId="1201" xr:uid="{00000000-0005-0000-0000-0000C3060000}"/>
    <cellStyle name="Normal 2 17 3 2 2" xfId="1202" xr:uid="{00000000-0005-0000-0000-0000C4060000}"/>
    <cellStyle name="Normal 2 17 3 3" xfId="1203" xr:uid="{00000000-0005-0000-0000-0000C5060000}"/>
    <cellStyle name="Normal 2 17 4" xfId="1204" xr:uid="{00000000-0005-0000-0000-0000C6060000}"/>
    <cellStyle name="Normal 2 17 4 2" xfId="1205" xr:uid="{00000000-0005-0000-0000-0000C7060000}"/>
    <cellStyle name="Normal 2 17 4 2 2" xfId="1206" xr:uid="{00000000-0005-0000-0000-0000C8060000}"/>
    <cellStyle name="Normal 2 17 4 3" xfId="1207" xr:uid="{00000000-0005-0000-0000-0000C9060000}"/>
    <cellStyle name="Normal 2 17 5" xfId="1208" xr:uid="{00000000-0005-0000-0000-0000CA060000}"/>
    <cellStyle name="Normal 2 17 5 2" xfId="1209" xr:uid="{00000000-0005-0000-0000-0000CB060000}"/>
    <cellStyle name="Normal 2 17 5 2 2" xfId="1210" xr:uid="{00000000-0005-0000-0000-0000CC060000}"/>
    <cellStyle name="Normal 2 17 5 3" xfId="1211" xr:uid="{00000000-0005-0000-0000-0000CD060000}"/>
    <cellStyle name="Normal 2 17 6" xfId="1212" xr:uid="{00000000-0005-0000-0000-0000CE060000}"/>
    <cellStyle name="Normal 2 17 6 2" xfId="1213" xr:uid="{00000000-0005-0000-0000-0000CF060000}"/>
    <cellStyle name="Normal 2 17 6 2 2" xfId="1214" xr:uid="{00000000-0005-0000-0000-0000D0060000}"/>
    <cellStyle name="Normal 2 17 6 3" xfId="1215" xr:uid="{00000000-0005-0000-0000-0000D1060000}"/>
    <cellStyle name="Normal 2 17 7" xfId="1216" xr:uid="{00000000-0005-0000-0000-0000D2060000}"/>
    <cellStyle name="Normal 2 17 7 2" xfId="1217" xr:uid="{00000000-0005-0000-0000-0000D3060000}"/>
    <cellStyle name="Normal 2 17 7 2 2" xfId="1218" xr:uid="{00000000-0005-0000-0000-0000D4060000}"/>
    <cellStyle name="Normal 2 17 7 3" xfId="1219" xr:uid="{00000000-0005-0000-0000-0000D5060000}"/>
    <cellStyle name="Normal 2 17 8" xfId="1220" xr:uid="{00000000-0005-0000-0000-0000D6060000}"/>
    <cellStyle name="Normal 2 17 8 2" xfId="1221" xr:uid="{00000000-0005-0000-0000-0000D7060000}"/>
    <cellStyle name="Normal 2 17 8 2 2" xfId="1222" xr:uid="{00000000-0005-0000-0000-0000D8060000}"/>
    <cellStyle name="Normal 2 17 8 3" xfId="1223" xr:uid="{00000000-0005-0000-0000-0000D9060000}"/>
    <cellStyle name="Normal 2 17 9" xfId="1224" xr:uid="{00000000-0005-0000-0000-0000DA060000}"/>
    <cellStyle name="Normal 2 17 9 2" xfId="1225" xr:uid="{00000000-0005-0000-0000-0000DB060000}"/>
    <cellStyle name="Normal 2 17 9 2 2" xfId="1226" xr:uid="{00000000-0005-0000-0000-0000DC060000}"/>
    <cellStyle name="Normal 2 17 9 3" xfId="1227" xr:uid="{00000000-0005-0000-0000-0000DD060000}"/>
    <cellStyle name="Normal 2 18" xfId="1228" xr:uid="{00000000-0005-0000-0000-0000DE060000}"/>
    <cellStyle name="Normal 2 18 10" xfId="1229" xr:uid="{00000000-0005-0000-0000-0000DF060000}"/>
    <cellStyle name="Normal 2 18 10 2" xfId="1230" xr:uid="{00000000-0005-0000-0000-0000E0060000}"/>
    <cellStyle name="Normal 2 18 10 2 2" xfId="1231" xr:uid="{00000000-0005-0000-0000-0000E1060000}"/>
    <cellStyle name="Normal 2 18 10 3" xfId="1232" xr:uid="{00000000-0005-0000-0000-0000E2060000}"/>
    <cellStyle name="Normal 2 18 11" xfId="1233" xr:uid="{00000000-0005-0000-0000-0000E3060000}"/>
    <cellStyle name="Normal 2 18 11 2" xfId="1234" xr:uid="{00000000-0005-0000-0000-0000E4060000}"/>
    <cellStyle name="Normal 2 18 11 2 2" xfId="1235" xr:uid="{00000000-0005-0000-0000-0000E5060000}"/>
    <cellStyle name="Normal 2 18 11 3" xfId="1236" xr:uid="{00000000-0005-0000-0000-0000E6060000}"/>
    <cellStyle name="Normal 2 18 12" xfId="1237" xr:uid="{00000000-0005-0000-0000-0000E7060000}"/>
    <cellStyle name="Normal 2 18 12 2" xfId="1238" xr:uid="{00000000-0005-0000-0000-0000E8060000}"/>
    <cellStyle name="Normal 2 18 12 2 2" xfId="1239" xr:uid="{00000000-0005-0000-0000-0000E9060000}"/>
    <cellStyle name="Normal 2 18 12 3" xfId="1240" xr:uid="{00000000-0005-0000-0000-0000EA060000}"/>
    <cellStyle name="Normal 2 18 13" xfId="1241" xr:uid="{00000000-0005-0000-0000-0000EB060000}"/>
    <cellStyle name="Normal 2 18 13 2" xfId="1242" xr:uid="{00000000-0005-0000-0000-0000EC060000}"/>
    <cellStyle name="Normal 2 18 13 2 2" xfId="1243" xr:uid="{00000000-0005-0000-0000-0000ED060000}"/>
    <cellStyle name="Normal 2 18 13 3" xfId="1244" xr:uid="{00000000-0005-0000-0000-0000EE060000}"/>
    <cellStyle name="Normal 2 18 14" xfId="1245" xr:uid="{00000000-0005-0000-0000-0000EF060000}"/>
    <cellStyle name="Normal 2 18 14 2" xfId="1246" xr:uid="{00000000-0005-0000-0000-0000F0060000}"/>
    <cellStyle name="Normal 2 18 14 2 2" xfId="1247" xr:uid="{00000000-0005-0000-0000-0000F1060000}"/>
    <cellStyle name="Normal 2 18 14 3" xfId="1248" xr:uid="{00000000-0005-0000-0000-0000F2060000}"/>
    <cellStyle name="Normal 2 18 15" xfId="1249" xr:uid="{00000000-0005-0000-0000-0000F3060000}"/>
    <cellStyle name="Normal 2 18 15 2" xfId="1250" xr:uid="{00000000-0005-0000-0000-0000F4060000}"/>
    <cellStyle name="Normal 2 18 15 2 2" xfId="1251" xr:uid="{00000000-0005-0000-0000-0000F5060000}"/>
    <cellStyle name="Normal 2 18 15 3" xfId="1252" xr:uid="{00000000-0005-0000-0000-0000F6060000}"/>
    <cellStyle name="Normal 2 18 16" xfId="1253" xr:uid="{00000000-0005-0000-0000-0000F7060000}"/>
    <cellStyle name="Normal 2 18 16 2" xfId="1254" xr:uid="{00000000-0005-0000-0000-0000F8060000}"/>
    <cellStyle name="Normal 2 18 16 2 2" xfId="1255" xr:uid="{00000000-0005-0000-0000-0000F9060000}"/>
    <cellStyle name="Normal 2 18 16 3" xfId="1256" xr:uid="{00000000-0005-0000-0000-0000FA060000}"/>
    <cellStyle name="Normal 2 18 17" xfId="1257" xr:uid="{00000000-0005-0000-0000-0000FB060000}"/>
    <cellStyle name="Normal 2 18 17 2" xfId="1258" xr:uid="{00000000-0005-0000-0000-0000FC060000}"/>
    <cellStyle name="Normal 2 18 17 2 2" xfId="1259" xr:uid="{00000000-0005-0000-0000-0000FD060000}"/>
    <cellStyle name="Normal 2 18 17 3" xfId="1260" xr:uid="{00000000-0005-0000-0000-0000FE060000}"/>
    <cellStyle name="Normal 2 18 18" xfId="1261" xr:uid="{00000000-0005-0000-0000-0000FF060000}"/>
    <cellStyle name="Normal 2 18 18 2" xfId="1262" xr:uid="{00000000-0005-0000-0000-000000070000}"/>
    <cellStyle name="Normal 2 18 18 2 2" xfId="1263" xr:uid="{00000000-0005-0000-0000-000001070000}"/>
    <cellStyle name="Normal 2 18 18 3" xfId="1264" xr:uid="{00000000-0005-0000-0000-000002070000}"/>
    <cellStyle name="Normal 2 18 19" xfId="1265" xr:uid="{00000000-0005-0000-0000-000003070000}"/>
    <cellStyle name="Normal 2 18 19 2" xfId="1266" xr:uid="{00000000-0005-0000-0000-000004070000}"/>
    <cellStyle name="Normal 2 18 19 2 2" xfId="1267" xr:uid="{00000000-0005-0000-0000-000005070000}"/>
    <cellStyle name="Normal 2 18 19 3" xfId="1268" xr:uid="{00000000-0005-0000-0000-000006070000}"/>
    <cellStyle name="Normal 2 18 2" xfId="1269" xr:uid="{00000000-0005-0000-0000-000007070000}"/>
    <cellStyle name="Normal 2 18 2 2" xfId="1270" xr:uid="{00000000-0005-0000-0000-000008070000}"/>
    <cellStyle name="Normal 2 18 2 2 2" xfId="1271" xr:uid="{00000000-0005-0000-0000-000009070000}"/>
    <cellStyle name="Normal 2 18 2 3" xfId="1272" xr:uid="{00000000-0005-0000-0000-00000A070000}"/>
    <cellStyle name="Normal 2 18 20" xfId="1273" xr:uid="{00000000-0005-0000-0000-00000B070000}"/>
    <cellStyle name="Normal 2 18 20 2" xfId="1274" xr:uid="{00000000-0005-0000-0000-00000C070000}"/>
    <cellStyle name="Normal 2 18 20 2 2" xfId="1275" xr:uid="{00000000-0005-0000-0000-00000D070000}"/>
    <cellStyle name="Normal 2 18 20 3" xfId="1276" xr:uid="{00000000-0005-0000-0000-00000E070000}"/>
    <cellStyle name="Normal 2 18 21" xfId="1277" xr:uid="{00000000-0005-0000-0000-00000F070000}"/>
    <cellStyle name="Normal 2 18 21 2" xfId="1278" xr:uid="{00000000-0005-0000-0000-000010070000}"/>
    <cellStyle name="Normal 2 18 21 2 2" xfId="1279" xr:uid="{00000000-0005-0000-0000-000011070000}"/>
    <cellStyle name="Normal 2 18 21 3" xfId="1280" xr:uid="{00000000-0005-0000-0000-000012070000}"/>
    <cellStyle name="Normal 2 18 22" xfId="1281" xr:uid="{00000000-0005-0000-0000-000013070000}"/>
    <cellStyle name="Normal 2 18 22 2" xfId="1282" xr:uid="{00000000-0005-0000-0000-000014070000}"/>
    <cellStyle name="Normal 2 18 22 2 2" xfId="1283" xr:uid="{00000000-0005-0000-0000-000015070000}"/>
    <cellStyle name="Normal 2 18 22 3" xfId="1284" xr:uid="{00000000-0005-0000-0000-000016070000}"/>
    <cellStyle name="Normal 2 18 23" xfId="1285" xr:uid="{00000000-0005-0000-0000-000017070000}"/>
    <cellStyle name="Normal 2 18 23 2" xfId="1286" xr:uid="{00000000-0005-0000-0000-000018070000}"/>
    <cellStyle name="Normal 2 18 23 2 2" xfId="1287" xr:uid="{00000000-0005-0000-0000-000019070000}"/>
    <cellStyle name="Normal 2 18 23 3" xfId="1288" xr:uid="{00000000-0005-0000-0000-00001A070000}"/>
    <cellStyle name="Normal 2 18 24" xfId="1289" xr:uid="{00000000-0005-0000-0000-00001B070000}"/>
    <cellStyle name="Normal 2 18 24 2" xfId="1290" xr:uid="{00000000-0005-0000-0000-00001C070000}"/>
    <cellStyle name="Normal 2 18 25" xfId="1291" xr:uid="{00000000-0005-0000-0000-00001D070000}"/>
    <cellStyle name="Normal 2 18 3" xfId="1292" xr:uid="{00000000-0005-0000-0000-00001E070000}"/>
    <cellStyle name="Normal 2 18 3 2" xfId="1293" xr:uid="{00000000-0005-0000-0000-00001F070000}"/>
    <cellStyle name="Normal 2 18 3 2 2" xfId="1294" xr:uid="{00000000-0005-0000-0000-000020070000}"/>
    <cellStyle name="Normal 2 18 3 3" xfId="1295" xr:uid="{00000000-0005-0000-0000-000021070000}"/>
    <cellStyle name="Normal 2 18 4" xfId="1296" xr:uid="{00000000-0005-0000-0000-000022070000}"/>
    <cellStyle name="Normal 2 18 4 2" xfId="1297" xr:uid="{00000000-0005-0000-0000-000023070000}"/>
    <cellStyle name="Normal 2 18 4 2 2" xfId="1298" xr:uid="{00000000-0005-0000-0000-000024070000}"/>
    <cellStyle name="Normal 2 18 4 3" xfId="1299" xr:uid="{00000000-0005-0000-0000-000025070000}"/>
    <cellStyle name="Normal 2 18 5" xfId="1300" xr:uid="{00000000-0005-0000-0000-000026070000}"/>
    <cellStyle name="Normal 2 18 5 2" xfId="1301" xr:uid="{00000000-0005-0000-0000-000027070000}"/>
    <cellStyle name="Normal 2 18 5 2 2" xfId="1302" xr:uid="{00000000-0005-0000-0000-000028070000}"/>
    <cellStyle name="Normal 2 18 5 3" xfId="1303" xr:uid="{00000000-0005-0000-0000-000029070000}"/>
    <cellStyle name="Normal 2 18 6" xfId="1304" xr:uid="{00000000-0005-0000-0000-00002A070000}"/>
    <cellStyle name="Normal 2 18 6 2" xfId="1305" xr:uid="{00000000-0005-0000-0000-00002B070000}"/>
    <cellStyle name="Normal 2 18 6 2 2" xfId="1306" xr:uid="{00000000-0005-0000-0000-00002C070000}"/>
    <cellStyle name="Normal 2 18 6 3" xfId="1307" xr:uid="{00000000-0005-0000-0000-00002D070000}"/>
    <cellStyle name="Normal 2 18 7" xfId="1308" xr:uid="{00000000-0005-0000-0000-00002E070000}"/>
    <cellStyle name="Normal 2 18 7 2" xfId="1309" xr:uid="{00000000-0005-0000-0000-00002F070000}"/>
    <cellStyle name="Normal 2 18 7 2 2" xfId="1310" xr:uid="{00000000-0005-0000-0000-000030070000}"/>
    <cellStyle name="Normal 2 18 7 3" xfId="1311" xr:uid="{00000000-0005-0000-0000-000031070000}"/>
    <cellStyle name="Normal 2 18 8" xfId="1312" xr:uid="{00000000-0005-0000-0000-000032070000}"/>
    <cellStyle name="Normal 2 18 8 2" xfId="1313" xr:uid="{00000000-0005-0000-0000-000033070000}"/>
    <cellStyle name="Normal 2 18 8 2 2" xfId="1314" xr:uid="{00000000-0005-0000-0000-000034070000}"/>
    <cellStyle name="Normal 2 18 8 3" xfId="1315" xr:uid="{00000000-0005-0000-0000-000035070000}"/>
    <cellStyle name="Normal 2 18 9" xfId="1316" xr:uid="{00000000-0005-0000-0000-000036070000}"/>
    <cellStyle name="Normal 2 18 9 2" xfId="1317" xr:uid="{00000000-0005-0000-0000-000037070000}"/>
    <cellStyle name="Normal 2 18 9 2 2" xfId="1318" xr:uid="{00000000-0005-0000-0000-000038070000}"/>
    <cellStyle name="Normal 2 18 9 3" xfId="1319" xr:uid="{00000000-0005-0000-0000-000039070000}"/>
    <cellStyle name="Normal 2 19" xfId="1320" xr:uid="{00000000-0005-0000-0000-00003A070000}"/>
    <cellStyle name="Normal 2 19 10" xfId="1321" xr:uid="{00000000-0005-0000-0000-00003B070000}"/>
    <cellStyle name="Normal 2 19 10 2" xfId="1322" xr:uid="{00000000-0005-0000-0000-00003C070000}"/>
    <cellStyle name="Normal 2 19 10 2 2" xfId="1323" xr:uid="{00000000-0005-0000-0000-00003D070000}"/>
    <cellStyle name="Normal 2 19 10 3" xfId="1324" xr:uid="{00000000-0005-0000-0000-00003E070000}"/>
    <cellStyle name="Normal 2 19 11" xfId="1325" xr:uid="{00000000-0005-0000-0000-00003F070000}"/>
    <cellStyle name="Normal 2 19 11 2" xfId="1326" xr:uid="{00000000-0005-0000-0000-000040070000}"/>
    <cellStyle name="Normal 2 19 11 2 2" xfId="1327" xr:uid="{00000000-0005-0000-0000-000041070000}"/>
    <cellStyle name="Normal 2 19 11 3" xfId="1328" xr:uid="{00000000-0005-0000-0000-000042070000}"/>
    <cellStyle name="Normal 2 19 12" xfId="1329" xr:uid="{00000000-0005-0000-0000-000043070000}"/>
    <cellStyle name="Normal 2 19 12 2" xfId="1330" xr:uid="{00000000-0005-0000-0000-000044070000}"/>
    <cellStyle name="Normal 2 19 12 2 2" xfId="1331" xr:uid="{00000000-0005-0000-0000-000045070000}"/>
    <cellStyle name="Normal 2 19 12 3" xfId="1332" xr:uid="{00000000-0005-0000-0000-000046070000}"/>
    <cellStyle name="Normal 2 19 13" xfId="1333" xr:uid="{00000000-0005-0000-0000-000047070000}"/>
    <cellStyle name="Normal 2 19 13 2" xfId="1334" xr:uid="{00000000-0005-0000-0000-000048070000}"/>
    <cellStyle name="Normal 2 19 13 2 2" xfId="1335" xr:uid="{00000000-0005-0000-0000-000049070000}"/>
    <cellStyle name="Normal 2 19 13 3" xfId="1336" xr:uid="{00000000-0005-0000-0000-00004A070000}"/>
    <cellStyle name="Normal 2 19 14" xfId="1337" xr:uid="{00000000-0005-0000-0000-00004B070000}"/>
    <cellStyle name="Normal 2 19 14 2" xfId="1338" xr:uid="{00000000-0005-0000-0000-00004C070000}"/>
    <cellStyle name="Normal 2 19 14 2 2" xfId="1339" xr:uid="{00000000-0005-0000-0000-00004D070000}"/>
    <cellStyle name="Normal 2 19 14 3" xfId="1340" xr:uid="{00000000-0005-0000-0000-00004E070000}"/>
    <cellStyle name="Normal 2 19 15" xfId="1341" xr:uid="{00000000-0005-0000-0000-00004F070000}"/>
    <cellStyle name="Normal 2 19 15 2" xfId="1342" xr:uid="{00000000-0005-0000-0000-000050070000}"/>
    <cellStyle name="Normal 2 19 15 2 2" xfId="1343" xr:uid="{00000000-0005-0000-0000-000051070000}"/>
    <cellStyle name="Normal 2 19 15 3" xfId="1344" xr:uid="{00000000-0005-0000-0000-000052070000}"/>
    <cellStyle name="Normal 2 19 16" xfId="1345" xr:uid="{00000000-0005-0000-0000-000053070000}"/>
    <cellStyle name="Normal 2 19 16 2" xfId="1346" xr:uid="{00000000-0005-0000-0000-000054070000}"/>
    <cellStyle name="Normal 2 19 16 2 2" xfId="1347" xr:uid="{00000000-0005-0000-0000-000055070000}"/>
    <cellStyle name="Normal 2 19 16 3" xfId="1348" xr:uid="{00000000-0005-0000-0000-000056070000}"/>
    <cellStyle name="Normal 2 19 17" xfId="1349" xr:uid="{00000000-0005-0000-0000-000057070000}"/>
    <cellStyle name="Normal 2 19 17 2" xfId="1350" xr:uid="{00000000-0005-0000-0000-000058070000}"/>
    <cellStyle name="Normal 2 19 17 2 2" xfId="1351" xr:uid="{00000000-0005-0000-0000-000059070000}"/>
    <cellStyle name="Normal 2 19 17 3" xfId="1352" xr:uid="{00000000-0005-0000-0000-00005A070000}"/>
    <cellStyle name="Normal 2 19 18" xfId="1353" xr:uid="{00000000-0005-0000-0000-00005B070000}"/>
    <cellStyle name="Normal 2 19 18 2" xfId="1354" xr:uid="{00000000-0005-0000-0000-00005C070000}"/>
    <cellStyle name="Normal 2 19 18 2 2" xfId="1355" xr:uid="{00000000-0005-0000-0000-00005D070000}"/>
    <cellStyle name="Normal 2 19 18 3" xfId="1356" xr:uid="{00000000-0005-0000-0000-00005E070000}"/>
    <cellStyle name="Normal 2 19 19" xfId="1357" xr:uid="{00000000-0005-0000-0000-00005F070000}"/>
    <cellStyle name="Normal 2 19 19 2" xfId="1358" xr:uid="{00000000-0005-0000-0000-000060070000}"/>
    <cellStyle name="Normal 2 19 19 2 2" xfId="1359" xr:uid="{00000000-0005-0000-0000-000061070000}"/>
    <cellStyle name="Normal 2 19 19 3" xfId="1360" xr:uid="{00000000-0005-0000-0000-000062070000}"/>
    <cellStyle name="Normal 2 19 2" xfId="1361" xr:uid="{00000000-0005-0000-0000-000063070000}"/>
    <cellStyle name="Normal 2 19 2 2" xfId="1362" xr:uid="{00000000-0005-0000-0000-000064070000}"/>
    <cellStyle name="Normal 2 19 2 2 2" xfId="1363" xr:uid="{00000000-0005-0000-0000-000065070000}"/>
    <cellStyle name="Normal 2 19 2 3" xfId="1364" xr:uid="{00000000-0005-0000-0000-000066070000}"/>
    <cellStyle name="Normal 2 19 20" xfId="1365" xr:uid="{00000000-0005-0000-0000-000067070000}"/>
    <cellStyle name="Normal 2 19 20 2" xfId="1366" xr:uid="{00000000-0005-0000-0000-000068070000}"/>
    <cellStyle name="Normal 2 19 20 2 2" xfId="1367" xr:uid="{00000000-0005-0000-0000-000069070000}"/>
    <cellStyle name="Normal 2 19 20 3" xfId="1368" xr:uid="{00000000-0005-0000-0000-00006A070000}"/>
    <cellStyle name="Normal 2 19 21" xfId="1369" xr:uid="{00000000-0005-0000-0000-00006B070000}"/>
    <cellStyle name="Normal 2 19 21 2" xfId="1370" xr:uid="{00000000-0005-0000-0000-00006C070000}"/>
    <cellStyle name="Normal 2 19 21 2 2" xfId="1371" xr:uid="{00000000-0005-0000-0000-00006D070000}"/>
    <cellStyle name="Normal 2 19 21 3" xfId="1372" xr:uid="{00000000-0005-0000-0000-00006E070000}"/>
    <cellStyle name="Normal 2 19 22" xfId="1373" xr:uid="{00000000-0005-0000-0000-00006F070000}"/>
    <cellStyle name="Normal 2 19 22 2" xfId="1374" xr:uid="{00000000-0005-0000-0000-000070070000}"/>
    <cellStyle name="Normal 2 19 22 2 2" xfId="1375" xr:uid="{00000000-0005-0000-0000-000071070000}"/>
    <cellStyle name="Normal 2 19 22 3" xfId="1376" xr:uid="{00000000-0005-0000-0000-000072070000}"/>
    <cellStyle name="Normal 2 19 23" xfId="1377" xr:uid="{00000000-0005-0000-0000-000073070000}"/>
    <cellStyle name="Normal 2 19 23 2" xfId="1378" xr:uid="{00000000-0005-0000-0000-000074070000}"/>
    <cellStyle name="Normal 2 19 23 2 2" xfId="1379" xr:uid="{00000000-0005-0000-0000-000075070000}"/>
    <cellStyle name="Normal 2 19 23 3" xfId="1380" xr:uid="{00000000-0005-0000-0000-000076070000}"/>
    <cellStyle name="Normal 2 19 24" xfId="1381" xr:uid="{00000000-0005-0000-0000-000077070000}"/>
    <cellStyle name="Normal 2 19 24 2" xfId="1382" xr:uid="{00000000-0005-0000-0000-000078070000}"/>
    <cellStyle name="Normal 2 19 25" xfId="1383" xr:uid="{00000000-0005-0000-0000-000079070000}"/>
    <cellStyle name="Normal 2 19 3" xfId="1384" xr:uid="{00000000-0005-0000-0000-00007A070000}"/>
    <cellStyle name="Normal 2 19 3 2" xfId="1385" xr:uid="{00000000-0005-0000-0000-00007B070000}"/>
    <cellStyle name="Normal 2 19 3 2 2" xfId="1386" xr:uid="{00000000-0005-0000-0000-00007C070000}"/>
    <cellStyle name="Normal 2 19 3 3" xfId="1387" xr:uid="{00000000-0005-0000-0000-00007D070000}"/>
    <cellStyle name="Normal 2 19 4" xfId="1388" xr:uid="{00000000-0005-0000-0000-00007E070000}"/>
    <cellStyle name="Normal 2 19 4 2" xfId="1389" xr:uid="{00000000-0005-0000-0000-00007F070000}"/>
    <cellStyle name="Normal 2 19 4 2 2" xfId="1390" xr:uid="{00000000-0005-0000-0000-000080070000}"/>
    <cellStyle name="Normal 2 19 4 3" xfId="1391" xr:uid="{00000000-0005-0000-0000-000081070000}"/>
    <cellStyle name="Normal 2 19 5" xfId="1392" xr:uid="{00000000-0005-0000-0000-000082070000}"/>
    <cellStyle name="Normal 2 19 5 2" xfId="1393" xr:uid="{00000000-0005-0000-0000-000083070000}"/>
    <cellStyle name="Normal 2 19 5 2 2" xfId="1394" xr:uid="{00000000-0005-0000-0000-000084070000}"/>
    <cellStyle name="Normal 2 19 5 3" xfId="1395" xr:uid="{00000000-0005-0000-0000-000085070000}"/>
    <cellStyle name="Normal 2 19 6" xfId="1396" xr:uid="{00000000-0005-0000-0000-000086070000}"/>
    <cellStyle name="Normal 2 19 6 2" xfId="1397" xr:uid="{00000000-0005-0000-0000-000087070000}"/>
    <cellStyle name="Normal 2 19 6 2 2" xfId="1398" xr:uid="{00000000-0005-0000-0000-000088070000}"/>
    <cellStyle name="Normal 2 19 6 3" xfId="1399" xr:uid="{00000000-0005-0000-0000-000089070000}"/>
    <cellStyle name="Normal 2 19 7" xfId="1400" xr:uid="{00000000-0005-0000-0000-00008A070000}"/>
    <cellStyle name="Normal 2 19 7 2" xfId="1401" xr:uid="{00000000-0005-0000-0000-00008B070000}"/>
    <cellStyle name="Normal 2 19 7 2 2" xfId="1402" xr:uid="{00000000-0005-0000-0000-00008C070000}"/>
    <cellStyle name="Normal 2 19 7 3" xfId="1403" xr:uid="{00000000-0005-0000-0000-00008D070000}"/>
    <cellStyle name="Normal 2 19 8" xfId="1404" xr:uid="{00000000-0005-0000-0000-00008E070000}"/>
    <cellStyle name="Normal 2 19 8 2" xfId="1405" xr:uid="{00000000-0005-0000-0000-00008F070000}"/>
    <cellStyle name="Normal 2 19 8 2 2" xfId="1406" xr:uid="{00000000-0005-0000-0000-000090070000}"/>
    <cellStyle name="Normal 2 19 8 3" xfId="1407" xr:uid="{00000000-0005-0000-0000-000091070000}"/>
    <cellStyle name="Normal 2 19 9" xfId="1408" xr:uid="{00000000-0005-0000-0000-000092070000}"/>
    <cellStyle name="Normal 2 19 9 2" xfId="1409" xr:uid="{00000000-0005-0000-0000-000093070000}"/>
    <cellStyle name="Normal 2 19 9 2 2" xfId="1410" xr:uid="{00000000-0005-0000-0000-000094070000}"/>
    <cellStyle name="Normal 2 19 9 3" xfId="1411" xr:uid="{00000000-0005-0000-0000-000095070000}"/>
    <cellStyle name="Normal 2 2" xfId="153" xr:uid="{00000000-0005-0000-0000-000096070000}"/>
    <cellStyle name="Normal 2 2 2" xfId="154" xr:uid="{00000000-0005-0000-0000-000097070000}"/>
    <cellStyle name="Normal 2 2 2 2" xfId="155" xr:uid="{00000000-0005-0000-0000-000098070000}"/>
    <cellStyle name="Normal 2 2 2 2 2" xfId="8820" xr:uid="{00000000-0005-0000-0000-000099070000}"/>
    <cellStyle name="Normal 2 2 2 3" xfId="315" xr:uid="{00000000-0005-0000-0000-00009A070000}"/>
    <cellStyle name="Normal 2 2 2 4" xfId="1412" xr:uid="{00000000-0005-0000-0000-00009B070000}"/>
    <cellStyle name="Normal 2 2 2 5" xfId="9218" xr:uid="{3FA9DBE6-6D96-4E39-BD58-2CDF3C2897E1}"/>
    <cellStyle name="Normal 2 2 3" xfId="156" xr:uid="{00000000-0005-0000-0000-00009C070000}"/>
    <cellStyle name="Normal 2 2 3 2" xfId="157" xr:uid="{00000000-0005-0000-0000-00009D070000}"/>
    <cellStyle name="Normal 2 2 3 2 2" xfId="8821" xr:uid="{00000000-0005-0000-0000-00009E070000}"/>
    <cellStyle name="Normal 2 2 3 2 3" xfId="8209" xr:uid="{00000000-0005-0000-0000-00009F070000}"/>
    <cellStyle name="Normal 2 2 3 3" xfId="158" xr:uid="{00000000-0005-0000-0000-0000A0070000}"/>
    <cellStyle name="Normal 2 2 3 4" xfId="9142" xr:uid="{00000000-0005-0000-0000-0000A1070000}"/>
    <cellStyle name="Normal 2 2 4" xfId="316" xr:uid="{00000000-0005-0000-0000-0000A2070000}"/>
    <cellStyle name="Normal 2 2 4 2" xfId="1413" xr:uid="{00000000-0005-0000-0000-0000A3070000}"/>
    <cellStyle name="Normal 2 2 4 3" xfId="9143" xr:uid="{00000000-0005-0000-0000-0000A4070000}"/>
    <cellStyle name="Normal 2 2 5" xfId="1414" xr:uid="{00000000-0005-0000-0000-0000A5070000}"/>
    <cellStyle name="Normal 2 2 5 2" xfId="9144" xr:uid="{00000000-0005-0000-0000-0000A6070000}"/>
    <cellStyle name="Normal 2 2 6" xfId="1415" xr:uid="{00000000-0005-0000-0000-0000A7070000}"/>
    <cellStyle name="Normal 2 2 6 2" xfId="8171" xr:uid="{00000000-0005-0000-0000-0000A8070000}"/>
    <cellStyle name="Normal 2 2 7" xfId="1416" xr:uid="{00000000-0005-0000-0000-0000A9070000}"/>
    <cellStyle name="Normal 2 2 8" xfId="1417" xr:uid="{00000000-0005-0000-0000-0000AA070000}"/>
    <cellStyle name="Normal 2 2 9" xfId="9217" xr:uid="{DD562F06-3BB6-48C5-8201-6A9BC4C6AA74}"/>
    <cellStyle name="Normal 2 2_BPAControls" xfId="9219" xr:uid="{C9D99B7D-4C43-44E9-8356-BC627467B12B}"/>
    <cellStyle name="Normal 2 20" xfId="1418" xr:uid="{00000000-0005-0000-0000-0000AB070000}"/>
    <cellStyle name="Normal 2 20 10" xfId="1419" xr:uid="{00000000-0005-0000-0000-0000AC070000}"/>
    <cellStyle name="Normal 2 20 10 2" xfId="1420" xr:uid="{00000000-0005-0000-0000-0000AD070000}"/>
    <cellStyle name="Normal 2 20 10 2 2" xfId="1421" xr:uid="{00000000-0005-0000-0000-0000AE070000}"/>
    <cellStyle name="Normal 2 20 10 3" xfId="1422" xr:uid="{00000000-0005-0000-0000-0000AF070000}"/>
    <cellStyle name="Normal 2 20 11" xfId="1423" xr:uid="{00000000-0005-0000-0000-0000B0070000}"/>
    <cellStyle name="Normal 2 20 11 2" xfId="1424" xr:uid="{00000000-0005-0000-0000-0000B1070000}"/>
    <cellStyle name="Normal 2 20 11 2 2" xfId="1425" xr:uid="{00000000-0005-0000-0000-0000B2070000}"/>
    <cellStyle name="Normal 2 20 11 3" xfId="1426" xr:uid="{00000000-0005-0000-0000-0000B3070000}"/>
    <cellStyle name="Normal 2 20 12" xfId="1427" xr:uid="{00000000-0005-0000-0000-0000B4070000}"/>
    <cellStyle name="Normal 2 20 12 2" xfId="1428" xr:uid="{00000000-0005-0000-0000-0000B5070000}"/>
    <cellStyle name="Normal 2 20 12 2 2" xfId="1429" xr:uid="{00000000-0005-0000-0000-0000B6070000}"/>
    <cellStyle name="Normal 2 20 12 3" xfId="1430" xr:uid="{00000000-0005-0000-0000-0000B7070000}"/>
    <cellStyle name="Normal 2 20 13" xfId="1431" xr:uid="{00000000-0005-0000-0000-0000B8070000}"/>
    <cellStyle name="Normal 2 20 13 2" xfId="1432" xr:uid="{00000000-0005-0000-0000-0000B9070000}"/>
    <cellStyle name="Normal 2 20 13 2 2" xfId="1433" xr:uid="{00000000-0005-0000-0000-0000BA070000}"/>
    <cellStyle name="Normal 2 20 13 3" xfId="1434" xr:uid="{00000000-0005-0000-0000-0000BB070000}"/>
    <cellStyle name="Normal 2 20 14" xfId="1435" xr:uid="{00000000-0005-0000-0000-0000BC070000}"/>
    <cellStyle name="Normal 2 20 14 2" xfId="1436" xr:uid="{00000000-0005-0000-0000-0000BD070000}"/>
    <cellStyle name="Normal 2 20 14 2 2" xfId="1437" xr:uid="{00000000-0005-0000-0000-0000BE070000}"/>
    <cellStyle name="Normal 2 20 14 3" xfId="1438" xr:uid="{00000000-0005-0000-0000-0000BF070000}"/>
    <cellStyle name="Normal 2 20 15" xfId="1439" xr:uid="{00000000-0005-0000-0000-0000C0070000}"/>
    <cellStyle name="Normal 2 20 15 2" xfId="1440" xr:uid="{00000000-0005-0000-0000-0000C1070000}"/>
    <cellStyle name="Normal 2 20 15 2 2" xfId="1441" xr:uid="{00000000-0005-0000-0000-0000C2070000}"/>
    <cellStyle name="Normal 2 20 15 3" xfId="1442" xr:uid="{00000000-0005-0000-0000-0000C3070000}"/>
    <cellStyle name="Normal 2 20 16" xfId="1443" xr:uid="{00000000-0005-0000-0000-0000C4070000}"/>
    <cellStyle name="Normal 2 20 16 2" xfId="1444" xr:uid="{00000000-0005-0000-0000-0000C5070000}"/>
    <cellStyle name="Normal 2 20 16 2 2" xfId="1445" xr:uid="{00000000-0005-0000-0000-0000C6070000}"/>
    <cellStyle name="Normal 2 20 16 3" xfId="1446" xr:uid="{00000000-0005-0000-0000-0000C7070000}"/>
    <cellStyle name="Normal 2 20 17" xfId="1447" xr:uid="{00000000-0005-0000-0000-0000C8070000}"/>
    <cellStyle name="Normal 2 20 17 2" xfId="1448" xr:uid="{00000000-0005-0000-0000-0000C9070000}"/>
    <cellStyle name="Normal 2 20 17 2 2" xfId="1449" xr:uid="{00000000-0005-0000-0000-0000CA070000}"/>
    <cellStyle name="Normal 2 20 17 3" xfId="1450" xr:uid="{00000000-0005-0000-0000-0000CB070000}"/>
    <cellStyle name="Normal 2 20 18" xfId="1451" xr:uid="{00000000-0005-0000-0000-0000CC070000}"/>
    <cellStyle name="Normal 2 20 18 2" xfId="1452" xr:uid="{00000000-0005-0000-0000-0000CD070000}"/>
    <cellStyle name="Normal 2 20 18 2 2" xfId="1453" xr:uid="{00000000-0005-0000-0000-0000CE070000}"/>
    <cellStyle name="Normal 2 20 18 3" xfId="1454" xr:uid="{00000000-0005-0000-0000-0000CF070000}"/>
    <cellStyle name="Normal 2 20 19" xfId="1455" xr:uid="{00000000-0005-0000-0000-0000D0070000}"/>
    <cellStyle name="Normal 2 20 19 2" xfId="1456" xr:uid="{00000000-0005-0000-0000-0000D1070000}"/>
    <cellStyle name="Normal 2 20 19 2 2" xfId="1457" xr:uid="{00000000-0005-0000-0000-0000D2070000}"/>
    <cellStyle name="Normal 2 20 19 3" xfId="1458" xr:uid="{00000000-0005-0000-0000-0000D3070000}"/>
    <cellStyle name="Normal 2 20 2" xfId="1459" xr:uid="{00000000-0005-0000-0000-0000D4070000}"/>
    <cellStyle name="Normal 2 20 2 2" xfId="1460" xr:uid="{00000000-0005-0000-0000-0000D5070000}"/>
    <cellStyle name="Normal 2 20 2 2 2" xfId="1461" xr:uid="{00000000-0005-0000-0000-0000D6070000}"/>
    <cellStyle name="Normal 2 20 2 3" xfId="1462" xr:uid="{00000000-0005-0000-0000-0000D7070000}"/>
    <cellStyle name="Normal 2 20 20" xfId="1463" xr:uid="{00000000-0005-0000-0000-0000D8070000}"/>
    <cellStyle name="Normal 2 20 20 2" xfId="1464" xr:uid="{00000000-0005-0000-0000-0000D9070000}"/>
    <cellStyle name="Normal 2 20 20 2 2" xfId="1465" xr:uid="{00000000-0005-0000-0000-0000DA070000}"/>
    <cellStyle name="Normal 2 20 20 3" xfId="1466" xr:uid="{00000000-0005-0000-0000-0000DB070000}"/>
    <cellStyle name="Normal 2 20 21" xfId="1467" xr:uid="{00000000-0005-0000-0000-0000DC070000}"/>
    <cellStyle name="Normal 2 20 21 2" xfId="1468" xr:uid="{00000000-0005-0000-0000-0000DD070000}"/>
    <cellStyle name="Normal 2 20 21 2 2" xfId="1469" xr:uid="{00000000-0005-0000-0000-0000DE070000}"/>
    <cellStyle name="Normal 2 20 21 3" xfId="1470" xr:uid="{00000000-0005-0000-0000-0000DF070000}"/>
    <cellStyle name="Normal 2 20 22" xfId="1471" xr:uid="{00000000-0005-0000-0000-0000E0070000}"/>
    <cellStyle name="Normal 2 20 22 2" xfId="1472" xr:uid="{00000000-0005-0000-0000-0000E1070000}"/>
    <cellStyle name="Normal 2 20 22 2 2" xfId="1473" xr:uid="{00000000-0005-0000-0000-0000E2070000}"/>
    <cellStyle name="Normal 2 20 22 3" xfId="1474" xr:uid="{00000000-0005-0000-0000-0000E3070000}"/>
    <cellStyle name="Normal 2 20 23" xfId="1475" xr:uid="{00000000-0005-0000-0000-0000E4070000}"/>
    <cellStyle name="Normal 2 20 23 2" xfId="1476" xr:uid="{00000000-0005-0000-0000-0000E5070000}"/>
    <cellStyle name="Normal 2 20 23 2 2" xfId="1477" xr:uid="{00000000-0005-0000-0000-0000E6070000}"/>
    <cellStyle name="Normal 2 20 23 3" xfId="1478" xr:uid="{00000000-0005-0000-0000-0000E7070000}"/>
    <cellStyle name="Normal 2 20 24" xfId="1479" xr:uid="{00000000-0005-0000-0000-0000E8070000}"/>
    <cellStyle name="Normal 2 20 24 2" xfId="1480" xr:uid="{00000000-0005-0000-0000-0000E9070000}"/>
    <cellStyle name="Normal 2 20 25" xfId="1481" xr:uid="{00000000-0005-0000-0000-0000EA070000}"/>
    <cellStyle name="Normal 2 20 3" xfId="1482" xr:uid="{00000000-0005-0000-0000-0000EB070000}"/>
    <cellStyle name="Normal 2 20 3 2" xfId="1483" xr:uid="{00000000-0005-0000-0000-0000EC070000}"/>
    <cellStyle name="Normal 2 20 3 2 2" xfId="1484" xr:uid="{00000000-0005-0000-0000-0000ED070000}"/>
    <cellStyle name="Normal 2 20 3 3" xfId="1485" xr:uid="{00000000-0005-0000-0000-0000EE070000}"/>
    <cellStyle name="Normal 2 20 4" xfId="1486" xr:uid="{00000000-0005-0000-0000-0000EF070000}"/>
    <cellStyle name="Normal 2 20 4 2" xfId="1487" xr:uid="{00000000-0005-0000-0000-0000F0070000}"/>
    <cellStyle name="Normal 2 20 4 2 2" xfId="1488" xr:uid="{00000000-0005-0000-0000-0000F1070000}"/>
    <cellStyle name="Normal 2 20 4 3" xfId="1489" xr:uid="{00000000-0005-0000-0000-0000F2070000}"/>
    <cellStyle name="Normal 2 20 5" xfId="1490" xr:uid="{00000000-0005-0000-0000-0000F3070000}"/>
    <cellStyle name="Normal 2 20 5 2" xfId="1491" xr:uid="{00000000-0005-0000-0000-0000F4070000}"/>
    <cellStyle name="Normal 2 20 5 2 2" xfId="1492" xr:uid="{00000000-0005-0000-0000-0000F5070000}"/>
    <cellStyle name="Normal 2 20 5 3" xfId="1493" xr:uid="{00000000-0005-0000-0000-0000F6070000}"/>
    <cellStyle name="Normal 2 20 6" xfId="1494" xr:uid="{00000000-0005-0000-0000-0000F7070000}"/>
    <cellStyle name="Normal 2 20 6 2" xfId="1495" xr:uid="{00000000-0005-0000-0000-0000F8070000}"/>
    <cellStyle name="Normal 2 20 6 2 2" xfId="1496" xr:uid="{00000000-0005-0000-0000-0000F9070000}"/>
    <cellStyle name="Normal 2 20 6 3" xfId="1497" xr:uid="{00000000-0005-0000-0000-0000FA070000}"/>
    <cellStyle name="Normal 2 20 7" xfId="1498" xr:uid="{00000000-0005-0000-0000-0000FB070000}"/>
    <cellStyle name="Normal 2 20 7 2" xfId="1499" xr:uid="{00000000-0005-0000-0000-0000FC070000}"/>
    <cellStyle name="Normal 2 20 7 2 2" xfId="1500" xr:uid="{00000000-0005-0000-0000-0000FD070000}"/>
    <cellStyle name="Normal 2 20 7 3" xfId="1501" xr:uid="{00000000-0005-0000-0000-0000FE070000}"/>
    <cellStyle name="Normal 2 20 8" xfId="1502" xr:uid="{00000000-0005-0000-0000-0000FF070000}"/>
    <cellStyle name="Normal 2 20 8 2" xfId="1503" xr:uid="{00000000-0005-0000-0000-000000080000}"/>
    <cellStyle name="Normal 2 20 8 2 2" xfId="1504" xr:uid="{00000000-0005-0000-0000-000001080000}"/>
    <cellStyle name="Normal 2 20 8 3" xfId="1505" xr:uid="{00000000-0005-0000-0000-000002080000}"/>
    <cellStyle name="Normal 2 20 9" xfId="1506" xr:uid="{00000000-0005-0000-0000-000003080000}"/>
    <cellStyle name="Normal 2 20 9 2" xfId="1507" xr:uid="{00000000-0005-0000-0000-000004080000}"/>
    <cellStyle name="Normal 2 20 9 2 2" xfId="1508" xr:uid="{00000000-0005-0000-0000-000005080000}"/>
    <cellStyle name="Normal 2 20 9 3" xfId="1509" xr:uid="{00000000-0005-0000-0000-000006080000}"/>
    <cellStyle name="Normal 2 21" xfId="1510" xr:uid="{00000000-0005-0000-0000-000007080000}"/>
    <cellStyle name="Normal 2 21 10" xfId="1511" xr:uid="{00000000-0005-0000-0000-000008080000}"/>
    <cellStyle name="Normal 2 21 10 2" xfId="1512" xr:uid="{00000000-0005-0000-0000-000009080000}"/>
    <cellStyle name="Normal 2 21 10 2 2" xfId="1513" xr:uid="{00000000-0005-0000-0000-00000A080000}"/>
    <cellStyle name="Normal 2 21 10 3" xfId="1514" xr:uid="{00000000-0005-0000-0000-00000B080000}"/>
    <cellStyle name="Normal 2 21 11" xfId="1515" xr:uid="{00000000-0005-0000-0000-00000C080000}"/>
    <cellStyle name="Normal 2 21 11 2" xfId="1516" xr:uid="{00000000-0005-0000-0000-00000D080000}"/>
    <cellStyle name="Normal 2 21 11 2 2" xfId="1517" xr:uid="{00000000-0005-0000-0000-00000E080000}"/>
    <cellStyle name="Normal 2 21 11 3" xfId="1518" xr:uid="{00000000-0005-0000-0000-00000F080000}"/>
    <cellStyle name="Normal 2 21 12" xfId="1519" xr:uid="{00000000-0005-0000-0000-000010080000}"/>
    <cellStyle name="Normal 2 21 12 2" xfId="1520" xr:uid="{00000000-0005-0000-0000-000011080000}"/>
    <cellStyle name="Normal 2 21 12 2 2" xfId="1521" xr:uid="{00000000-0005-0000-0000-000012080000}"/>
    <cellStyle name="Normal 2 21 12 3" xfId="1522" xr:uid="{00000000-0005-0000-0000-000013080000}"/>
    <cellStyle name="Normal 2 21 13" xfId="1523" xr:uid="{00000000-0005-0000-0000-000014080000}"/>
    <cellStyle name="Normal 2 21 13 2" xfId="1524" xr:uid="{00000000-0005-0000-0000-000015080000}"/>
    <cellStyle name="Normal 2 21 13 2 2" xfId="1525" xr:uid="{00000000-0005-0000-0000-000016080000}"/>
    <cellStyle name="Normal 2 21 13 3" xfId="1526" xr:uid="{00000000-0005-0000-0000-000017080000}"/>
    <cellStyle name="Normal 2 21 14" xfId="1527" xr:uid="{00000000-0005-0000-0000-000018080000}"/>
    <cellStyle name="Normal 2 21 14 2" xfId="1528" xr:uid="{00000000-0005-0000-0000-000019080000}"/>
    <cellStyle name="Normal 2 21 14 2 2" xfId="1529" xr:uid="{00000000-0005-0000-0000-00001A080000}"/>
    <cellStyle name="Normal 2 21 14 3" xfId="1530" xr:uid="{00000000-0005-0000-0000-00001B080000}"/>
    <cellStyle name="Normal 2 21 15" xfId="1531" xr:uid="{00000000-0005-0000-0000-00001C080000}"/>
    <cellStyle name="Normal 2 21 15 2" xfId="1532" xr:uid="{00000000-0005-0000-0000-00001D080000}"/>
    <cellStyle name="Normal 2 21 15 2 2" xfId="1533" xr:uid="{00000000-0005-0000-0000-00001E080000}"/>
    <cellStyle name="Normal 2 21 15 3" xfId="1534" xr:uid="{00000000-0005-0000-0000-00001F080000}"/>
    <cellStyle name="Normal 2 21 16" xfId="1535" xr:uid="{00000000-0005-0000-0000-000020080000}"/>
    <cellStyle name="Normal 2 21 16 2" xfId="1536" xr:uid="{00000000-0005-0000-0000-000021080000}"/>
    <cellStyle name="Normal 2 21 16 2 2" xfId="1537" xr:uid="{00000000-0005-0000-0000-000022080000}"/>
    <cellStyle name="Normal 2 21 16 3" xfId="1538" xr:uid="{00000000-0005-0000-0000-000023080000}"/>
    <cellStyle name="Normal 2 21 17" xfId="1539" xr:uid="{00000000-0005-0000-0000-000024080000}"/>
    <cellStyle name="Normal 2 21 17 2" xfId="1540" xr:uid="{00000000-0005-0000-0000-000025080000}"/>
    <cellStyle name="Normal 2 21 17 2 2" xfId="1541" xr:uid="{00000000-0005-0000-0000-000026080000}"/>
    <cellStyle name="Normal 2 21 17 3" xfId="1542" xr:uid="{00000000-0005-0000-0000-000027080000}"/>
    <cellStyle name="Normal 2 21 18" xfId="1543" xr:uid="{00000000-0005-0000-0000-000028080000}"/>
    <cellStyle name="Normal 2 21 18 2" xfId="1544" xr:uid="{00000000-0005-0000-0000-000029080000}"/>
    <cellStyle name="Normal 2 21 18 2 2" xfId="1545" xr:uid="{00000000-0005-0000-0000-00002A080000}"/>
    <cellStyle name="Normal 2 21 18 3" xfId="1546" xr:uid="{00000000-0005-0000-0000-00002B080000}"/>
    <cellStyle name="Normal 2 21 19" xfId="1547" xr:uid="{00000000-0005-0000-0000-00002C080000}"/>
    <cellStyle name="Normal 2 21 19 2" xfId="1548" xr:uid="{00000000-0005-0000-0000-00002D080000}"/>
    <cellStyle name="Normal 2 21 19 2 2" xfId="1549" xr:uid="{00000000-0005-0000-0000-00002E080000}"/>
    <cellStyle name="Normal 2 21 19 3" xfId="1550" xr:uid="{00000000-0005-0000-0000-00002F080000}"/>
    <cellStyle name="Normal 2 21 2" xfId="1551" xr:uid="{00000000-0005-0000-0000-000030080000}"/>
    <cellStyle name="Normal 2 21 2 2" xfId="1552" xr:uid="{00000000-0005-0000-0000-000031080000}"/>
    <cellStyle name="Normal 2 21 2 2 2" xfId="1553" xr:uid="{00000000-0005-0000-0000-000032080000}"/>
    <cellStyle name="Normal 2 21 2 3" xfId="1554" xr:uid="{00000000-0005-0000-0000-000033080000}"/>
    <cellStyle name="Normal 2 21 20" xfId="1555" xr:uid="{00000000-0005-0000-0000-000034080000}"/>
    <cellStyle name="Normal 2 21 20 2" xfId="1556" xr:uid="{00000000-0005-0000-0000-000035080000}"/>
    <cellStyle name="Normal 2 21 20 2 2" xfId="1557" xr:uid="{00000000-0005-0000-0000-000036080000}"/>
    <cellStyle name="Normal 2 21 20 3" xfId="1558" xr:uid="{00000000-0005-0000-0000-000037080000}"/>
    <cellStyle name="Normal 2 21 21" xfId="1559" xr:uid="{00000000-0005-0000-0000-000038080000}"/>
    <cellStyle name="Normal 2 21 21 2" xfId="1560" xr:uid="{00000000-0005-0000-0000-000039080000}"/>
    <cellStyle name="Normal 2 21 21 2 2" xfId="1561" xr:uid="{00000000-0005-0000-0000-00003A080000}"/>
    <cellStyle name="Normal 2 21 21 3" xfId="1562" xr:uid="{00000000-0005-0000-0000-00003B080000}"/>
    <cellStyle name="Normal 2 21 22" xfId="1563" xr:uid="{00000000-0005-0000-0000-00003C080000}"/>
    <cellStyle name="Normal 2 21 22 2" xfId="1564" xr:uid="{00000000-0005-0000-0000-00003D080000}"/>
    <cellStyle name="Normal 2 21 22 2 2" xfId="1565" xr:uid="{00000000-0005-0000-0000-00003E080000}"/>
    <cellStyle name="Normal 2 21 22 3" xfId="1566" xr:uid="{00000000-0005-0000-0000-00003F080000}"/>
    <cellStyle name="Normal 2 21 23" xfId="1567" xr:uid="{00000000-0005-0000-0000-000040080000}"/>
    <cellStyle name="Normal 2 21 23 2" xfId="1568" xr:uid="{00000000-0005-0000-0000-000041080000}"/>
    <cellStyle name="Normal 2 21 23 2 2" xfId="1569" xr:uid="{00000000-0005-0000-0000-000042080000}"/>
    <cellStyle name="Normal 2 21 23 3" xfId="1570" xr:uid="{00000000-0005-0000-0000-000043080000}"/>
    <cellStyle name="Normal 2 21 24" xfId="1571" xr:uid="{00000000-0005-0000-0000-000044080000}"/>
    <cellStyle name="Normal 2 21 24 2" xfId="1572" xr:uid="{00000000-0005-0000-0000-000045080000}"/>
    <cellStyle name="Normal 2 21 25" xfId="1573" xr:uid="{00000000-0005-0000-0000-000046080000}"/>
    <cellStyle name="Normal 2 21 3" xfId="1574" xr:uid="{00000000-0005-0000-0000-000047080000}"/>
    <cellStyle name="Normal 2 21 3 2" xfId="1575" xr:uid="{00000000-0005-0000-0000-000048080000}"/>
    <cellStyle name="Normal 2 21 3 2 2" xfId="1576" xr:uid="{00000000-0005-0000-0000-000049080000}"/>
    <cellStyle name="Normal 2 21 3 3" xfId="1577" xr:uid="{00000000-0005-0000-0000-00004A080000}"/>
    <cellStyle name="Normal 2 21 4" xfId="1578" xr:uid="{00000000-0005-0000-0000-00004B080000}"/>
    <cellStyle name="Normal 2 21 4 2" xfId="1579" xr:uid="{00000000-0005-0000-0000-00004C080000}"/>
    <cellStyle name="Normal 2 21 4 2 2" xfId="1580" xr:uid="{00000000-0005-0000-0000-00004D080000}"/>
    <cellStyle name="Normal 2 21 4 3" xfId="1581" xr:uid="{00000000-0005-0000-0000-00004E080000}"/>
    <cellStyle name="Normal 2 21 5" xfId="1582" xr:uid="{00000000-0005-0000-0000-00004F080000}"/>
    <cellStyle name="Normal 2 21 5 2" xfId="1583" xr:uid="{00000000-0005-0000-0000-000050080000}"/>
    <cellStyle name="Normal 2 21 5 2 2" xfId="1584" xr:uid="{00000000-0005-0000-0000-000051080000}"/>
    <cellStyle name="Normal 2 21 5 3" xfId="1585" xr:uid="{00000000-0005-0000-0000-000052080000}"/>
    <cellStyle name="Normal 2 21 6" xfId="1586" xr:uid="{00000000-0005-0000-0000-000053080000}"/>
    <cellStyle name="Normal 2 21 6 2" xfId="1587" xr:uid="{00000000-0005-0000-0000-000054080000}"/>
    <cellStyle name="Normal 2 21 6 2 2" xfId="1588" xr:uid="{00000000-0005-0000-0000-000055080000}"/>
    <cellStyle name="Normal 2 21 6 3" xfId="1589" xr:uid="{00000000-0005-0000-0000-000056080000}"/>
    <cellStyle name="Normal 2 21 7" xfId="1590" xr:uid="{00000000-0005-0000-0000-000057080000}"/>
    <cellStyle name="Normal 2 21 7 2" xfId="1591" xr:uid="{00000000-0005-0000-0000-000058080000}"/>
    <cellStyle name="Normal 2 21 7 2 2" xfId="1592" xr:uid="{00000000-0005-0000-0000-000059080000}"/>
    <cellStyle name="Normal 2 21 7 3" xfId="1593" xr:uid="{00000000-0005-0000-0000-00005A080000}"/>
    <cellStyle name="Normal 2 21 8" xfId="1594" xr:uid="{00000000-0005-0000-0000-00005B080000}"/>
    <cellStyle name="Normal 2 21 8 2" xfId="1595" xr:uid="{00000000-0005-0000-0000-00005C080000}"/>
    <cellStyle name="Normal 2 21 8 2 2" xfId="1596" xr:uid="{00000000-0005-0000-0000-00005D080000}"/>
    <cellStyle name="Normal 2 21 8 3" xfId="1597" xr:uid="{00000000-0005-0000-0000-00005E080000}"/>
    <cellStyle name="Normal 2 21 9" xfId="1598" xr:uid="{00000000-0005-0000-0000-00005F080000}"/>
    <cellStyle name="Normal 2 21 9 2" xfId="1599" xr:uid="{00000000-0005-0000-0000-000060080000}"/>
    <cellStyle name="Normal 2 21 9 2 2" xfId="1600" xr:uid="{00000000-0005-0000-0000-000061080000}"/>
    <cellStyle name="Normal 2 21 9 3" xfId="1601" xr:uid="{00000000-0005-0000-0000-000062080000}"/>
    <cellStyle name="Normal 2 22" xfId="1602" xr:uid="{00000000-0005-0000-0000-000063080000}"/>
    <cellStyle name="Normal 2 22 10" xfId="1603" xr:uid="{00000000-0005-0000-0000-000064080000}"/>
    <cellStyle name="Normal 2 22 10 2" xfId="1604" xr:uid="{00000000-0005-0000-0000-000065080000}"/>
    <cellStyle name="Normal 2 22 10 2 2" xfId="1605" xr:uid="{00000000-0005-0000-0000-000066080000}"/>
    <cellStyle name="Normal 2 22 10 3" xfId="1606" xr:uid="{00000000-0005-0000-0000-000067080000}"/>
    <cellStyle name="Normal 2 22 11" xfId="1607" xr:uid="{00000000-0005-0000-0000-000068080000}"/>
    <cellStyle name="Normal 2 22 11 2" xfId="1608" xr:uid="{00000000-0005-0000-0000-000069080000}"/>
    <cellStyle name="Normal 2 22 11 2 2" xfId="1609" xr:uid="{00000000-0005-0000-0000-00006A080000}"/>
    <cellStyle name="Normal 2 22 11 3" xfId="1610" xr:uid="{00000000-0005-0000-0000-00006B080000}"/>
    <cellStyle name="Normal 2 22 12" xfId="1611" xr:uid="{00000000-0005-0000-0000-00006C080000}"/>
    <cellStyle name="Normal 2 22 12 2" xfId="1612" xr:uid="{00000000-0005-0000-0000-00006D080000}"/>
    <cellStyle name="Normal 2 22 12 2 2" xfId="1613" xr:uid="{00000000-0005-0000-0000-00006E080000}"/>
    <cellStyle name="Normal 2 22 12 3" xfId="1614" xr:uid="{00000000-0005-0000-0000-00006F080000}"/>
    <cellStyle name="Normal 2 22 13" xfId="1615" xr:uid="{00000000-0005-0000-0000-000070080000}"/>
    <cellStyle name="Normal 2 22 13 2" xfId="1616" xr:uid="{00000000-0005-0000-0000-000071080000}"/>
    <cellStyle name="Normal 2 22 13 2 2" xfId="1617" xr:uid="{00000000-0005-0000-0000-000072080000}"/>
    <cellStyle name="Normal 2 22 13 3" xfId="1618" xr:uid="{00000000-0005-0000-0000-000073080000}"/>
    <cellStyle name="Normal 2 22 14" xfId="1619" xr:uid="{00000000-0005-0000-0000-000074080000}"/>
    <cellStyle name="Normal 2 22 14 2" xfId="1620" xr:uid="{00000000-0005-0000-0000-000075080000}"/>
    <cellStyle name="Normal 2 22 14 2 2" xfId="1621" xr:uid="{00000000-0005-0000-0000-000076080000}"/>
    <cellStyle name="Normal 2 22 14 3" xfId="1622" xr:uid="{00000000-0005-0000-0000-000077080000}"/>
    <cellStyle name="Normal 2 22 15" xfId="1623" xr:uid="{00000000-0005-0000-0000-000078080000}"/>
    <cellStyle name="Normal 2 22 15 2" xfId="1624" xr:uid="{00000000-0005-0000-0000-000079080000}"/>
    <cellStyle name="Normal 2 22 15 2 2" xfId="1625" xr:uid="{00000000-0005-0000-0000-00007A080000}"/>
    <cellStyle name="Normal 2 22 15 3" xfId="1626" xr:uid="{00000000-0005-0000-0000-00007B080000}"/>
    <cellStyle name="Normal 2 22 16" xfId="1627" xr:uid="{00000000-0005-0000-0000-00007C080000}"/>
    <cellStyle name="Normal 2 22 16 2" xfId="1628" xr:uid="{00000000-0005-0000-0000-00007D080000}"/>
    <cellStyle name="Normal 2 22 16 2 2" xfId="1629" xr:uid="{00000000-0005-0000-0000-00007E080000}"/>
    <cellStyle name="Normal 2 22 16 3" xfId="1630" xr:uid="{00000000-0005-0000-0000-00007F080000}"/>
    <cellStyle name="Normal 2 22 17" xfId="1631" xr:uid="{00000000-0005-0000-0000-000080080000}"/>
    <cellStyle name="Normal 2 22 17 2" xfId="1632" xr:uid="{00000000-0005-0000-0000-000081080000}"/>
    <cellStyle name="Normal 2 22 17 2 2" xfId="1633" xr:uid="{00000000-0005-0000-0000-000082080000}"/>
    <cellStyle name="Normal 2 22 17 3" xfId="1634" xr:uid="{00000000-0005-0000-0000-000083080000}"/>
    <cellStyle name="Normal 2 22 18" xfId="1635" xr:uid="{00000000-0005-0000-0000-000084080000}"/>
    <cellStyle name="Normal 2 22 18 2" xfId="1636" xr:uid="{00000000-0005-0000-0000-000085080000}"/>
    <cellStyle name="Normal 2 22 18 2 2" xfId="1637" xr:uid="{00000000-0005-0000-0000-000086080000}"/>
    <cellStyle name="Normal 2 22 18 3" xfId="1638" xr:uid="{00000000-0005-0000-0000-000087080000}"/>
    <cellStyle name="Normal 2 22 19" xfId="1639" xr:uid="{00000000-0005-0000-0000-000088080000}"/>
    <cellStyle name="Normal 2 22 19 2" xfId="1640" xr:uid="{00000000-0005-0000-0000-000089080000}"/>
    <cellStyle name="Normal 2 22 19 2 2" xfId="1641" xr:uid="{00000000-0005-0000-0000-00008A080000}"/>
    <cellStyle name="Normal 2 22 19 3" xfId="1642" xr:uid="{00000000-0005-0000-0000-00008B080000}"/>
    <cellStyle name="Normal 2 22 2" xfId="1643" xr:uid="{00000000-0005-0000-0000-00008C080000}"/>
    <cellStyle name="Normal 2 22 2 2" xfId="1644" xr:uid="{00000000-0005-0000-0000-00008D080000}"/>
    <cellStyle name="Normal 2 22 2 2 2" xfId="1645" xr:uid="{00000000-0005-0000-0000-00008E080000}"/>
    <cellStyle name="Normal 2 22 2 3" xfId="1646" xr:uid="{00000000-0005-0000-0000-00008F080000}"/>
    <cellStyle name="Normal 2 22 20" xfId="1647" xr:uid="{00000000-0005-0000-0000-000090080000}"/>
    <cellStyle name="Normal 2 22 20 2" xfId="1648" xr:uid="{00000000-0005-0000-0000-000091080000}"/>
    <cellStyle name="Normal 2 22 20 2 2" xfId="1649" xr:uid="{00000000-0005-0000-0000-000092080000}"/>
    <cellStyle name="Normal 2 22 20 3" xfId="1650" xr:uid="{00000000-0005-0000-0000-000093080000}"/>
    <cellStyle name="Normal 2 22 21" xfId="1651" xr:uid="{00000000-0005-0000-0000-000094080000}"/>
    <cellStyle name="Normal 2 22 21 2" xfId="1652" xr:uid="{00000000-0005-0000-0000-000095080000}"/>
    <cellStyle name="Normal 2 22 21 2 2" xfId="1653" xr:uid="{00000000-0005-0000-0000-000096080000}"/>
    <cellStyle name="Normal 2 22 21 3" xfId="1654" xr:uid="{00000000-0005-0000-0000-000097080000}"/>
    <cellStyle name="Normal 2 22 22" xfId="1655" xr:uid="{00000000-0005-0000-0000-000098080000}"/>
    <cellStyle name="Normal 2 22 22 2" xfId="1656" xr:uid="{00000000-0005-0000-0000-000099080000}"/>
    <cellStyle name="Normal 2 22 22 2 2" xfId="1657" xr:uid="{00000000-0005-0000-0000-00009A080000}"/>
    <cellStyle name="Normal 2 22 22 3" xfId="1658" xr:uid="{00000000-0005-0000-0000-00009B080000}"/>
    <cellStyle name="Normal 2 22 23" xfId="1659" xr:uid="{00000000-0005-0000-0000-00009C080000}"/>
    <cellStyle name="Normal 2 22 23 2" xfId="1660" xr:uid="{00000000-0005-0000-0000-00009D080000}"/>
    <cellStyle name="Normal 2 22 23 2 2" xfId="1661" xr:uid="{00000000-0005-0000-0000-00009E080000}"/>
    <cellStyle name="Normal 2 22 23 3" xfId="1662" xr:uid="{00000000-0005-0000-0000-00009F080000}"/>
    <cellStyle name="Normal 2 22 24" xfId="1663" xr:uid="{00000000-0005-0000-0000-0000A0080000}"/>
    <cellStyle name="Normal 2 22 24 2" xfId="1664" xr:uid="{00000000-0005-0000-0000-0000A1080000}"/>
    <cellStyle name="Normal 2 22 25" xfId="1665" xr:uid="{00000000-0005-0000-0000-0000A2080000}"/>
    <cellStyle name="Normal 2 22 3" xfId="1666" xr:uid="{00000000-0005-0000-0000-0000A3080000}"/>
    <cellStyle name="Normal 2 22 3 2" xfId="1667" xr:uid="{00000000-0005-0000-0000-0000A4080000}"/>
    <cellStyle name="Normal 2 22 3 2 2" xfId="1668" xr:uid="{00000000-0005-0000-0000-0000A5080000}"/>
    <cellStyle name="Normal 2 22 3 3" xfId="1669" xr:uid="{00000000-0005-0000-0000-0000A6080000}"/>
    <cellStyle name="Normal 2 22 4" xfId="1670" xr:uid="{00000000-0005-0000-0000-0000A7080000}"/>
    <cellStyle name="Normal 2 22 4 2" xfId="1671" xr:uid="{00000000-0005-0000-0000-0000A8080000}"/>
    <cellStyle name="Normal 2 22 4 2 2" xfId="1672" xr:uid="{00000000-0005-0000-0000-0000A9080000}"/>
    <cellStyle name="Normal 2 22 4 3" xfId="1673" xr:uid="{00000000-0005-0000-0000-0000AA080000}"/>
    <cellStyle name="Normal 2 22 5" xfId="1674" xr:uid="{00000000-0005-0000-0000-0000AB080000}"/>
    <cellStyle name="Normal 2 22 5 2" xfId="1675" xr:uid="{00000000-0005-0000-0000-0000AC080000}"/>
    <cellStyle name="Normal 2 22 5 2 2" xfId="1676" xr:uid="{00000000-0005-0000-0000-0000AD080000}"/>
    <cellStyle name="Normal 2 22 5 3" xfId="1677" xr:uid="{00000000-0005-0000-0000-0000AE080000}"/>
    <cellStyle name="Normal 2 22 6" xfId="1678" xr:uid="{00000000-0005-0000-0000-0000AF080000}"/>
    <cellStyle name="Normal 2 22 6 2" xfId="1679" xr:uid="{00000000-0005-0000-0000-0000B0080000}"/>
    <cellStyle name="Normal 2 22 6 2 2" xfId="1680" xr:uid="{00000000-0005-0000-0000-0000B1080000}"/>
    <cellStyle name="Normal 2 22 6 3" xfId="1681" xr:uid="{00000000-0005-0000-0000-0000B2080000}"/>
    <cellStyle name="Normal 2 22 7" xfId="1682" xr:uid="{00000000-0005-0000-0000-0000B3080000}"/>
    <cellStyle name="Normal 2 22 7 2" xfId="1683" xr:uid="{00000000-0005-0000-0000-0000B4080000}"/>
    <cellStyle name="Normal 2 22 7 2 2" xfId="1684" xr:uid="{00000000-0005-0000-0000-0000B5080000}"/>
    <cellStyle name="Normal 2 22 7 3" xfId="1685" xr:uid="{00000000-0005-0000-0000-0000B6080000}"/>
    <cellStyle name="Normal 2 22 8" xfId="1686" xr:uid="{00000000-0005-0000-0000-0000B7080000}"/>
    <cellStyle name="Normal 2 22 8 2" xfId="1687" xr:uid="{00000000-0005-0000-0000-0000B8080000}"/>
    <cellStyle name="Normal 2 22 8 2 2" xfId="1688" xr:uid="{00000000-0005-0000-0000-0000B9080000}"/>
    <cellStyle name="Normal 2 22 8 3" xfId="1689" xr:uid="{00000000-0005-0000-0000-0000BA080000}"/>
    <cellStyle name="Normal 2 22 9" xfId="1690" xr:uid="{00000000-0005-0000-0000-0000BB080000}"/>
    <cellStyle name="Normal 2 22 9 2" xfId="1691" xr:uid="{00000000-0005-0000-0000-0000BC080000}"/>
    <cellStyle name="Normal 2 22 9 2 2" xfId="1692" xr:uid="{00000000-0005-0000-0000-0000BD080000}"/>
    <cellStyle name="Normal 2 22 9 3" xfId="1693" xr:uid="{00000000-0005-0000-0000-0000BE080000}"/>
    <cellStyle name="Normal 2 23" xfId="1694" xr:uid="{00000000-0005-0000-0000-0000BF080000}"/>
    <cellStyle name="Normal 2 23 10" xfId="1695" xr:uid="{00000000-0005-0000-0000-0000C0080000}"/>
    <cellStyle name="Normal 2 23 10 2" xfId="1696" xr:uid="{00000000-0005-0000-0000-0000C1080000}"/>
    <cellStyle name="Normal 2 23 10 2 2" xfId="1697" xr:uid="{00000000-0005-0000-0000-0000C2080000}"/>
    <cellStyle name="Normal 2 23 10 3" xfId="1698" xr:uid="{00000000-0005-0000-0000-0000C3080000}"/>
    <cellStyle name="Normal 2 23 11" xfId="1699" xr:uid="{00000000-0005-0000-0000-0000C4080000}"/>
    <cellStyle name="Normal 2 23 11 2" xfId="1700" xr:uid="{00000000-0005-0000-0000-0000C5080000}"/>
    <cellStyle name="Normal 2 23 11 2 2" xfId="1701" xr:uid="{00000000-0005-0000-0000-0000C6080000}"/>
    <cellStyle name="Normal 2 23 11 3" xfId="1702" xr:uid="{00000000-0005-0000-0000-0000C7080000}"/>
    <cellStyle name="Normal 2 23 12" xfId="1703" xr:uid="{00000000-0005-0000-0000-0000C8080000}"/>
    <cellStyle name="Normal 2 23 12 2" xfId="1704" xr:uid="{00000000-0005-0000-0000-0000C9080000}"/>
    <cellStyle name="Normal 2 23 12 2 2" xfId="1705" xr:uid="{00000000-0005-0000-0000-0000CA080000}"/>
    <cellStyle name="Normal 2 23 12 3" xfId="1706" xr:uid="{00000000-0005-0000-0000-0000CB080000}"/>
    <cellStyle name="Normal 2 23 13" xfId="1707" xr:uid="{00000000-0005-0000-0000-0000CC080000}"/>
    <cellStyle name="Normal 2 23 13 2" xfId="1708" xr:uid="{00000000-0005-0000-0000-0000CD080000}"/>
    <cellStyle name="Normal 2 23 13 2 2" xfId="1709" xr:uid="{00000000-0005-0000-0000-0000CE080000}"/>
    <cellStyle name="Normal 2 23 13 3" xfId="1710" xr:uid="{00000000-0005-0000-0000-0000CF080000}"/>
    <cellStyle name="Normal 2 23 14" xfId="1711" xr:uid="{00000000-0005-0000-0000-0000D0080000}"/>
    <cellStyle name="Normal 2 23 14 2" xfId="1712" xr:uid="{00000000-0005-0000-0000-0000D1080000}"/>
    <cellStyle name="Normal 2 23 14 2 2" xfId="1713" xr:uid="{00000000-0005-0000-0000-0000D2080000}"/>
    <cellStyle name="Normal 2 23 14 3" xfId="1714" xr:uid="{00000000-0005-0000-0000-0000D3080000}"/>
    <cellStyle name="Normal 2 23 15" xfId="1715" xr:uid="{00000000-0005-0000-0000-0000D4080000}"/>
    <cellStyle name="Normal 2 23 15 2" xfId="1716" xr:uid="{00000000-0005-0000-0000-0000D5080000}"/>
    <cellStyle name="Normal 2 23 15 2 2" xfId="1717" xr:uid="{00000000-0005-0000-0000-0000D6080000}"/>
    <cellStyle name="Normal 2 23 15 3" xfId="1718" xr:uid="{00000000-0005-0000-0000-0000D7080000}"/>
    <cellStyle name="Normal 2 23 16" xfId="1719" xr:uid="{00000000-0005-0000-0000-0000D8080000}"/>
    <cellStyle name="Normal 2 23 16 2" xfId="1720" xr:uid="{00000000-0005-0000-0000-0000D9080000}"/>
    <cellStyle name="Normal 2 23 16 2 2" xfId="1721" xr:uid="{00000000-0005-0000-0000-0000DA080000}"/>
    <cellStyle name="Normal 2 23 16 3" xfId="1722" xr:uid="{00000000-0005-0000-0000-0000DB080000}"/>
    <cellStyle name="Normal 2 23 17" xfId="1723" xr:uid="{00000000-0005-0000-0000-0000DC080000}"/>
    <cellStyle name="Normal 2 23 17 2" xfId="1724" xr:uid="{00000000-0005-0000-0000-0000DD080000}"/>
    <cellStyle name="Normal 2 23 17 2 2" xfId="1725" xr:uid="{00000000-0005-0000-0000-0000DE080000}"/>
    <cellStyle name="Normal 2 23 17 3" xfId="1726" xr:uid="{00000000-0005-0000-0000-0000DF080000}"/>
    <cellStyle name="Normal 2 23 18" xfId="1727" xr:uid="{00000000-0005-0000-0000-0000E0080000}"/>
    <cellStyle name="Normal 2 23 18 2" xfId="1728" xr:uid="{00000000-0005-0000-0000-0000E1080000}"/>
    <cellStyle name="Normal 2 23 18 2 2" xfId="1729" xr:uid="{00000000-0005-0000-0000-0000E2080000}"/>
    <cellStyle name="Normal 2 23 18 3" xfId="1730" xr:uid="{00000000-0005-0000-0000-0000E3080000}"/>
    <cellStyle name="Normal 2 23 19" xfId="1731" xr:uid="{00000000-0005-0000-0000-0000E4080000}"/>
    <cellStyle name="Normal 2 23 19 2" xfId="1732" xr:uid="{00000000-0005-0000-0000-0000E5080000}"/>
    <cellStyle name="Normal 2 23 19 2 2" xfId="1733" xr:uid="{00000000-0005-0000-0000-0000E6080000}"/>
    <cellStyle name="Normal 2 23 19 3" xfId="1734" xr:uid="{00000000-0005-0000-0000-0000E7080000}"/>
    <cellStyle name="Normal 2 23 2" xfId="1735" xr:uid="{00000000-0005-0000-0000-0000E8080000}"/>
    <cellStyle name="Normal 2 23 2 2" xfId="1736" xr:uid="{00000000-0005-0000-0000-0000E9080000}"/>
    <cellStyle name="Normal 2 23 2 2 2" xfId="1737" xr:uid="{00000000-0005-0000-0000-0000EA080000}"/>
    <cellStyle name="Normal 2 23 2 3" xfId="1738" xr:uid="{00000000-0005-0000-0000-0000EB080000}"/>
    <cellStyle name="Normal 2 23 20" xfId="1739" xr:uid="{00000000-0005-0000-0000-0000EC080000}"/>
    <cellStyle name="Normal 2 23 20 2" xfId="1740" xr:uid="{00000000-0005-0000-0000-0000ED080000}"/>
    <cellStyle name="Normal 2 23 20 2 2" xfId="1741" xr:uid="{00000000-0005-0000-0000-0000EE080000}"/>
    <cellStyle name="Normal 2 23 20 3" xfId="1742" xr:uid="{00000000-0005-0000-0000-0000EF080000}"/>
    <cellStyle name="Normal 2 23 21" xfId="1743" xr:uid="{00000000-0005-0000-0000-0000F0080000}"/>
    <cellStyle name="Normal 2 23 21 2" xfId="1744" xr:uid="{00000000-0005-0000-0000-0000F1080000}"/>
    <cellStyle name="Normal 2 23 21 2 2" xfId="1745" xr:uid="{00000000-0005-0000-0000-0000F2080000}"/>
    <cellStyle name="Normal 2 23 21 3" xfId="1746" xr:uid="{00000000-0005-0000-0000-0000F3080000}"/>
    <cellStyle name="Normal 2 23 22" xfId="1747" xr:uid="{00000000-0005-0000-0000-0000F4080000}"/>
    <cellStyle name="Normal 2 23 22 2" xfId="1748" xr:uid="{00000000-0005-0000-0000-0000F5080000}"/>
    <cellStyle name="Normal 2 23 22 2 2" xfId="1749" xr:uid="{00000000-0005-0000-0000-0000F6080000}"/>
    <cellStyle name="Normal 2 23 22 3" xfId="1750" xr:uid="{00000000-0005-0000-0000-0000F7080000}"/>
    <cellStyle name="Normal 2 23 23" xfId="1751" xr:uid="{00000000-0005-0000-0000-0000F8080000}"/>
    <cellStyle name="Normal 2 23 23 2" xfId="1752" xr:uid="{00000000-0005-0000-0000-0000F9080000}"/>
    <cellStyle name="Normal 2 23 23 2 2" xfId="1753" xr:uid="{00000000-0005-0000-0000-0000FA080000}"/>
    <cellStyle name="Normal 2 23 23 3" xfId="1754" xr:uid="{00000000-0005-0000-0000-0000FB080000}"/>
    <cellStyle name="Normal 2 23 24" xfId="1755" xr:uid="{00000000-0005-0000-0000-0000FC080000}"/>
    <cellStyle name="Normal 2 23 24 2" xfId="1756" xr:uid="{00000000-0005-0000-0000-0000FD080000}"/>
    <cellStyle name="Normal 2 23 25" xfId="1757" xr:uid="{00000000-0005-0000-0000-0000FE080000}"/>
    <cellStyle name="Normal 2 23 3" xfId="1758" xr:uid="{00000000-0005-0000-0000-0000FF080000}"/>
    <cellStyle name="Normal 2 23 3 2" xfId="1759" xr:uid="{00000000-0005-0000-0000-000000090000}"/>
    <cellStyle name="Normal 2 23 3 2 2" xfId="1760" xr:uid="{00000000-0005-0000-0000-000001090000}"/>
    <cellStyle name="Normal 2 23 3 3" xfId="1761" xr:uid="{00000000-0005-0000-0000-000002090000}"/>
    <cellStyle name="Normal 2 23 4" xfId="1762" xr:uid="{00000000-0005-0000-0000-000003090000}"/>
    <cellStyle name="Normal 2 23 4 2" xfId="1763" xr:uid="{00000000-0005-0000-0000-000004090000}"/>
    <cellStyle name="Normal 2 23 4 2 2" xfId="1764" xr:uid="{00000000-0005-0000-0000-000005090000}"/>
    <cellStyle name="Normal 2 23 4 3" xfId="1765" xr:uid="{00000000-0005-0000-0000-000006090000}"/>
    <cellStyle name="Normal 2 23 5" xfId="1766" xr:uid="{00000000-0005-0000-0000-000007090000}"/>
    <cellStyle name="Normal 2 23 5 2" xfId="1767" xr:uid="{00000000-0005-0000-0000-000008090000}"/>
    <cellStyle name="Normal 2 23 5 2 2" xfId="1768" xr:uid="{00000000-0005-0000-0000-000009090000}"/>
    <cellStyle name="Normal 2 23 5 3" xfId="1769" xr:uid="{00000000-0005-0000-0000-00000A090000}"/>
    <cellStyle name="Normal 2 23 6" xfId="1770" xr:uid="{00000000-0005-0000-0000-00000B090000}"/>
    <cellStyle name="Normal 2 23 6 2" xfId="1771" xr:uid="{00000000-0005-0000-0000-00000C090000}"/>
    <cellStyle name="Normal 2 23 6 2 2" xfId="1772" xr:uid="{00000000-0005-0000-0000-00000D090000}"/>
    <cellStyle name="Normal 2 23 6 3" xfId="1773" xr:uid="{00000000-0005-0000-0000-00000E090000}"/>
    <cellStyle name="Normal 2 23 7" xfId="1774" xr:uid="{00000000-0005-0000-0000-00000F090000}"/>
    <cellStyle name="Normal 2 23 7 2" xfId="1775" xr:uid="{00000000-0005-0000-0000-000010090000}"/>
    <cellStyle name="Normal 2 23 7 2 2" xfId="1776" xr:uid="{00000000-0005-0000-0000-000011090000}"/>
    <cellStyle name="Normal 2 23 7 3" xfId="1777" xr:uid="{00000000-0005-0000-0000-000012090000}"/>
    <cellStyle name="Normal 2 23 8" xfId="1778" xr:uid="{00000000-0005-0000-0000-000013090000}"/>
    <cellStyle name="Normal 2 23 8 2" xfId="1779" xr:uid="{00000000-0005-0000-0000-000014090000}"/>
    <cellStyle name="Normal 2 23 8 2 2" xfId="1780" xr:uid="{00000000-0005-0000-0000-000015090000}"/>
    <cellStyle name="Normal 2 23 8 3" xfId="1781" xr:uid="{00000000-0005-0000-0000-000016090000}"/>
    <cellStyle name="Normal 2 23 9" xfId="1782" xr:uid="{00000000-0005-0000-0000-000017090000}"/>
    <cellStyle name="Normal 2 23 9 2" xfId="1783" xr:uid="{00000000-0005-0000-0000-000018090000}"/>
    <cellStyle name="Normal 2 23 9 2 2" xfId="1784" xr:uid="{00000000-0005-0000-0000-000019090000}"/>
    <cellStyle name="Normal 2 23 9 3" xfId="1785" xr:uid="{00000000-0005-0000-0000-00001A090000}"/>
    <cellStyle name="Normal 2 24" xfId="1786" xr:uid="{00000000-0005-0000-0000-00001B090000}"/>
    <cellStyle name="Normal 2 24 10" xfId="1787" xr:uid="{00000000-0005-0000-0000-00001C090000}"/>
    <cellStyle name="Normal 2 24 10 2" xfId="1788" xr:uid="{00000000-0005-0000-0000-00001D090000}"/>
    <cellStyle name="Normal 2 24 10 2 2" xfId="1789" xr:uid="{00000000-0005-0000-0000-00001E090000}"/>
    <cellStyle name="Normal 2 24 10 3" xfId="1790" xr:uid="{00000000-0005-0000-0000-00001F090000}"/>
    <cellStyle name="Normal 2 24 11" xfId="1791" xr:uid="{00000000-0005-0000-0000-000020090000}"/>
    <cellStyle name="Normal 2 24 11 2" xfId="1792" xr:uid="{00000000-0005-0000-0000-000021090000}"/>
    <cellStyle name="Normal 2 24 11 2 2" xfId="1793" xr:uid="{00000000-0005-0000-0000-000022090000}"/>
    <cellStyle name="Normal 2 24 11 3" xfId="1794" xr:uid="{00000000-0005-0000-0000-000023090000}"/>
    <cellStyle name="Normal 2 24 12" xfId="1795" xr:uid="{00000000-0005-0000-0000-000024090000}"/>
    <cellStyle name="Normal 2 24 12 2" xfId="1796" xr:uid="{00000000-0005-0000-0000-000025090000}"/>
    <cellStyle name="Normal 2 24 12 2 2" xfId="1797" xr:uid="{00000000-0005-0000-0000-000026090000}"/>
    <cellStyle name="Normal 2 24 12 3" xfId="1798" xr:uid="{00000000-0005-0000-0000-000027090000}"/>
    <cellStyle name="Normal 2 24 13" xfId="1799" xr:uid="{00000000-0005-0000-0000-000028090000}"/>
    <cellStyle name="Normal 2 24 13 2" xfId="1800" xr:uid="{00000000-0005-0000-0000-000029090000}"/>
    <cellStyle name="Normal 2 24 13 2 2" xfId="1801" xr:uid="{00000000-0005-0000-0000-00002A090000}"/>
    <cellStyle name="Normal 2 24 13 3" xfId="1802" xr:uid="{00000000-0005-0000-0000-00002B090000}"/>
    <cellStyle name="Normal 2 24 14" xfId="1803" xr:uid="{00000000-0005-0000-0000-00002C090000}"/>
    <cellStyle name="Normal 2 24 14 2" xfId="1804" xr:uid="{00000000-0005-0000-0000-00002D090000}"/>
    <cellStyle name="Normal 2 24 14 2 2" xfId="1805" xr:uid="{00000000-0005-0000-0000-00002E090000}"/>
    <cellStyle name="Normal 2 24 14 3" xfId="1806" xr:uid="{00000000-0005-0000-0000-00002F090000}"/>
    <cellStyle name="Normal 2 24 15" xfId="1807" xr:uid="{00000000-0005-0000-0000-000030090000}"/>
    <cellStyle name="Normal 2 24 15 2" xfId="1808" xr:uid="{00000000-0005-0000-0000-000031090000}"/>
    <cellStyle name="Normal 2 24 15 2 2" xfId="1809" xr:uid="{00000000-0005-0000-0000-000032090000}"/>
    <cellStyle name="Normal 2 24 15 3" xfId="1810" xr:uid="{00000000-0005-0000-0000-000033090000}"/>
    <cellStyle name="Normal 2 24 16" xfId="1811" xr:uid="{00000000-0005-0000-0000-000034090000}"/>
    <cellStyle name="Normal 2 24 16 2" xfId="1812" xr:uid="{00000000-0005-0000-0000-000035090000}"/>
    <cellStyle name="Normal 2 24 16 2 2" xfId="1813" xr:uid="{00000000-0005-0000-0000-000036090000}"/>
    <cellStyle name="Normal 2 24 16 3" xfId="1814" xr:uid="{00000000-0005-0000-0000-000037090000}"/>
    <cellStyle name="Normal 2 24 17" xfId="1815" xr:uid="{00000000-0005-0000-0000-000038090000}"/>
    <cellStyle name="Normal 2 24 17 2" xfId="1816" xr:uid="{00000000-0005-0000-0000-000039090000}"/>
    <cellStyle name="Normal 2 24 17 2 2" xfId="1817" xr:uid="{00000000-0005-0000-0000-00003A090000}"/>
    <cellStyle name="Normal 2 24 17 3" xfId="1818" xr:uid="{00000000-0005-0000-0000-00003B090000}"/>
    <cellStyle name="Normal 2 24 18" xfId="1819" xr:uid="{00000000-0005-0000-0000-00003C090000}"/>
    <cellStyle name="Normal 2 24 18 2" xfId="1820" xr:uid="{00000000-0005-0000-0000-00003D090000}"/>
    <cellStyle name="Normal 2 24 18 2 2" xfId="1821" xr:uid="{00000000-0005-0000-0000-00003E090000}"/>
    <cellStyle name="Normal 2 24 18 3" xfId="1822" xr:uid="{00000000-0005-0000-0000-00003F090000}"/>
    <cellStyle name="Normal 2 24 19" xfId="1823" xr:uid="{00000000-0005-0000-0000-000040090000}"/>
    <cellStyle name="Normal 2 24 19 2" xfId="1824" xr:uid="{00000000-0005-0000-0000-000041090000}"/>
    <cellStyle name="Normal 2 24 19 2 2" xfId="1825" xr:uid="{00000000-0005-0000-0000-000042090000}"/>
    <cellStyle name="Normal 2 24 19 3" xfId="1826" xr:uid="{00000000-0005-0000-0000-000043090000}"/>
    <cellStyle name="Normal 2 24 2" xfId="1827" xr:uid="{00000000-0005-0000-0000-000044090000}"/>
    <cellStyle name="Normal 2 24 2 2" xfId="1828" xr:uid="{00000000-0005-0000-0000-000045090000}"/>
    <cellStyle name="Normal 2 24 2 2 2" xfId="1829" xr:uid="{00000000-0005-0000-0000-000046090000}"/>
    <cellStyle name="Normal 2 24 2 3" xfId="1830" xr:uid="{00000000-0005-0000-0000-000047090000}"/>
    <cellStyle name="Normal 2 24 20" xfId="1831" xr:uid="{00000000-0005-0000-0000-000048090000}"/>
    <cellStyle name="Normal 2 24 20 2" xfId="1832" xr:uid="{00000000-0005-0000-0000-000049090000}"/>
    <cellStyle name="Normal 2 24 20 2 2" xfId="1833" xr:uid="{00000000-0005-0000-0000-00004A090000}"/>
    <cellStyle name="Normal 2 24 20 3" xfId="1834" xr:uid="{00000000-0005-0000-0000-00004B090000}"/>
    <cellStyle name="Normal 2 24 21" xfId="1835" xr:uid="{00000000-0005-0000-0000-00004C090000}"/>
    <cellStyle name="Normal 2 24 21 2" xfId="1836" xr:uid="{00000000-0005-0000-0000-00004D090000}"/>
    <cellStyle name="Normal 2 24 21 2 2" xfId="1837" xr:uid="{00000000-0005-0000-0000-00004E090000}"/>
    <cellStyle name="Normal 2 24 21 3" xfId="1838" xr:uid="{00000000-0005-0000-0000-00004F090000}"/>
    <cellStyle name="Normal 2 24 22" xfId="1839" xr:uid="{00000000-0005-0000-0000-000050090000}"/>
    <cellStyle name="Normal 2 24 22 2" xfId="1840" xr:uid="{00000000-0005-0000-0000-000051090000}"/>
    <cellStyle name="Normal 2 24 22 2 2" xfId="1841" xr:uid="{00000000-0005-0000-0000-000052090000}"/>
    <cellStyle name="Normal 2 24 22 3" xfId="1842" xr:uid="{00000000-0005-0000-0000-000053090000}"/>
    <cellStyle name="Normal 2 24 23" xfId="1843" xr:uid="{00000000-0005-0000-0000-000054090000}"/>
    <cellStyle name="Normal 2 24 23 2" xfId="1844" xr:uid="{00000000-0005-0000-0000-000055090000}"/>
    <cellStyle name="Normal 2 24 23 2 2" xfId="1845" xr:uid="{00000000-0005-0000-0000-000056090000}"/>
    <cellStyle name="Normal 2 24 23 3" xfId="1846" xr:uid="{00000000-0005-0000-0000-000057090000}"/>
    <cellStyle name="Normal 2 24 24" xfId="1847" xr:uid="{00000000-0005-0000-0000-000058090000}"/>
    <cellStyle name="Normal 2 24 24 2" xfId="1848" xr:uid="{00000000-0005-0000-0000-000059090000}"/>
    <cellStyle name="Normal 2 24 25" xfId="1849" xr:uid="{00000000-0005-0000-0000-00005A090000}"/>
    <cellStyle name="Normal 2 24 3" xfId="1850" xr:uid="{00000000-0005-0000-0000-00005B090000}"/>
    <cellStyle name="Normal 2 24 3 2" xfId="1851" xr:uid="{00000000-0005-0000-0000-00005C090000}"/>
    <cellStyle name="Normal 2 24 3 2 2" xfId="1852" xr:uid="{00000000-0005-0000-0000-00005D090000}"/>
    <cellStyle name="Normal 2 24 3 3" xfId="1853" xr:uid="{00000000-0005-0000-0000-00005E090000}"/>
    <cellStyle name="Normal 2 24 4" xfId="1854" xr:uid="{00000000-0005-0000-0000-00005F090000}"/>
    <cellStyle name="Normal 2 24 4 2" xfId="1855" xr:uid="{00000000-0005-0000-0000-000060090000}"/>
    <cellStyle name="Normal 2 24 4 2 2" xfId="1856" xr:uid="{00000000-0005-0000-0000-000061090000}"/>
    <cellStyle name="Normal 2 24 4 3" xfId="1857" xr:uid="{00000000-0005-0000-0000-000062090000}"/>
    <cellStyle name="Normal 2 24 5" xfId="1858" xr:uid="{00000000-0005-0000-0000-000063090000}"/>
    <cellStyle name="Normal 2 24 5 2" xfId="1859" xr:uid="{00000000-0005-0000-0000-000064090000}"/>
    <cellStyle name="Normal 2 24 5 2 2" xfId="1860" xr:uid="{00000000-0005-0000-0000-000065090000}"/>
    <cellStyle name="Normal 2 24 5 3" xfId="1861" xr:uid="{00000000-0005-0000-0000-000066090000}"/>
    <cellStyle name="Normal 2 24 6" xfId="1862" xr:uid="{00000000-0005-0000-0000-000067090000}"/>
    <cellStyle name="Normal 2 24 6 2" xfId="1863" xr:uid="{00000000-0005-0000-0000-000068090000}"/>
    <cellStyle name="Normal 2 24 6 2 2" xfId="1864" xr:uid="{00000000-0005-0000-0000-000069090000}"/>
    <cellStyle name="Normal 2 24 6 3" xfId="1865" xr:uid="{00000000-0005-0000-0000-00006A090000}"/>
    <cellStyle name="Normal 2 24 7" xfId="1866" xr:uid="{00000000-0005-0000-0000-00006B090000}"/>
    <cellStyle name="Normal 2 24 7 2" xfId="1867" xr:uid="{00000000-0005-0000-0000-00006C090000}"/>
    <cellStyle name="Normal 2 24 7 2 2" xfId="1868" xr:uid="{00000000-0005-0000-0000-00006D090000}"/>
    <cellStyle name="Normal 2 24 7 3" xfId="1869" xr:uid="{00000000-0005-0000-0000-00006E090000}"/>
    <cellStyle name="Normal 2 24 8" xfId="1870" xr:uid="{00000000-0005-0000-0000-00006F090000}"/>
    <cellStyle name="Normal 2 24 8 2" xfId="1871" xr:uid="{00000000-0005-0000-0000-000070090000}"/>
    <cellStyle name="Normal 2 24 8 2 2" xfId="1872" xr:uid="{00000000-0005-0000-0000-000071090000}"/>
    <cellStyle name="Normal 2 24 8 3" xfId="1873" xr:uid="{00000000-0005-0000-0000-000072090000}"/>
    <cellStyle name="Normal 2 24 9" xfId="1874" xr:uid="{00000000-0005-0000-0000-000073090000}"/>
    <cellStyle name="Normal 2 24 9 2" xfId="1875" xr:uid="{00000000-0005-0000-0000-000074090000}"/>
    <cellStyle name="Normal 2 24 9 2 2" xfId="1876" xr:uid="{00000000-0005-0000-0000-000075090000}"/>
    <cellStyle name="Normal 2 24 9 3" xfId="1877" xr:uid="{00000000-0005-0000-0000-000076090000}"/>
    <cellStyle name="Normal 2 25" xfId="1878" xr:uid="{00000000-0005-0000-0000-000077090000}"/>
    <cellStyle name="Normal 2 25 10" xfId="1879" xr:uid="{00000000-0005-0000-0000-000078090000}"/>
    <cellStyle name="Normal 2 25 10 2" xfId="1880" xr:uid="{00000000-0005-0000-0000-000079090000}"/>
    <cellStyle name="Normal 2 25 10 2 2" xfId="1881" xr:uid="{00000000-0005-0000-0000-00007A090000}"/>
    <cellStyle name="Normal 2 25 10 3" xfId="1882" xr:uid="{00000000-0005-0000-0000-00007B090000}"/>
    <cellStyle name="Normal 2 25 11" xfId="1883" xr:uid="{00000000-0005-0000-0000-00007C090000}"/>
    <cellStyle name="Normal 2 25 11 2" xfId="1884" xr:uid="{00000000-0005-0000-0000-00007D090000}"/>
    <cellStyle name="Normal 2 25 11 2 2" xfId="1885" xr:uid="{00000000-0005-0000-0000-00007E090000}"/>
    <cellStyle name="Normal 2 25 11 3" xfId="1886" xr:uid="{00000000-0005-0000-0000-00007F090000}"/>
    <cellStyle name="Normal 2 25 12" xfId="1887" xr:uid="{00000000-0005-0000-0000-000080090000}"/>
    <cellStyle name="Normal 2 25 12 2" xfId="1888" xr:uid="{00000000-0005-0000-0000-000081090000}"/>
    <cellStyle name="Normal 2 25 12 2 2" xfId="1889" xr:uid="{00000000-0005-0000-0000-000082090000}"/>
    <cellStyle name="Normal 2 25 12 3" xfId="1890" xr:uid="{00000000-0005-0000-0000-000083090000}"/>
    <cellStyle name="Normal 2 25 13" xfId="1891" xr:uid="{00000000-0005-0000-0000-000084090000}"/>
    <cellStyle name="Normal 2 25 13 2" xfId="1892" xr:uid="{00000000-0005-0000-0000-000085090000}"/>
    <cellStyle name="Normal 2 25 13 2 2" xfId="1893" xr:uid="{00000000-0005-0000-0000-000086090000}"/>
    <cellStyle name="Normal 2 25 13 3" xfId="1894" xr:uid="{00000000-0005-0000-0000-000087090000}"/>
    <cellStyle name="Normal 2 25 14" xfId="1895" xr:uid="{00000000-0005-0000-0000-000088090000}"/>
    <cellStyle name="Normal 2 25 14 2" xfId="1896" xr:uid="{00000000-0005-0000-0000-000089090000}"/>
    <cellStyle name="Normal 2 25 14 2 2" xfId="1897" xr:uid="{00000000-0005-0000-0000-00008A090000}"/>
    <cellStyle name="Normal 2 25 14 3" xfId="1898" xr:uid="{00000000-0005-0000-0000-00008B090000}"/>
    <cellStyle name="Normal 2 25 15" xfId="1899" xr:uid="{00000000-0005-0000-0000-00008C090000}"/>
    <cellStyle name="Normal 2 25 15 2" xfId="1900" xr:uid="{00000000-0005-0000-0000-00008D090000}"/>
    <cellStyle name="Normal 2 25 15 2 2" xfId="1901" xr:uid="{00000000-0005-0000-0000-00008E090000}"/>
    <cellStyle name="Normal 2 25 15 3" xfId="1902" xr:uid="{00000000-0005-0000-0000-00008F090000}"/>
    <cellStyle name="Normal 2 25 16" xfId="1903" xr:uid="{00000000-0005-0000-0000-000090090000}"/>
    <cellStyle name="Normal 2 25 16 2" xfId="1904" xr:uid="{00000000-0005-0000-0000-000091090000}"/>
    <cellStyle name="Normal 2 25 16 2 2" xfId="1905" xr:uid="{00000000-0005-0000-0000-000092090000}"/>
    <cellStyle name="Normal 2 25 16 3" xfId="1906" xr:uid="{00000000-0005-0000-0000-000093090000}"/>
    <cellStyle name="Normal 2 25 17" xfId="1907" xr:uid="{00000000-0005-0000-0000-000094090000}"/>
    <cellStyle name="Normal 2 25 17 2" xfId="1908" xr:uid="{00000000-0005-0000-0000-000095090000}"/>
    <cellStyle name="Normal 2 25 17 2 2" xfId="1909" xr:uid="{00000000-0005-0000-0000-000096090000}"/>
    <cellStyle name="Normal 2 25 17 3" xfId="1910" xr:uid="{00000000-0005-0000-0000-000097090000}"/>
    <cellStyle name="Normal 2 25 18" xfId="1911" xr:uid="{00000000-0005-0000-0000-000098090000}"/>
    <cellStyle name="Normal 2 25 18 2" xfId="1912" xr:uid="{00000000-0005-0000-0000-000099090000}"/>
    <cellStyle name="Normal 2 25 18 2 2" xfId="1913" xr:uid="{00000000-0005-0000-0000-00009A090000}"/>
    <cellStyle name="Normal 2 25 18 3" xfId="1914" xr:uid="{00000000-0005-0000-0000-00009B090000}"/>
    <cellStyle name="Normal 2 25 19" xfId="1915" xr:uid="{00000000-0005-0000-0000-00009C090000}"/>
    <cellStyle name="Normal 2 25 19 2" xfId="1916" xr:uid="{00000000-0005-0000-0000-00009D090000}"/>
    <cellStyle name="Normal 2 25 19 2 2" xfId="1917" xr:uid="{00000000-0005-0000-0000-00009E090000}"/>
    <cellStyle name="Normal 2 25 19 3" xfId="1918" xr:uid="{00000000-0005-0000-0000-00009F090000}"/>
    <cellStyle name="Normal 2 25 2" xfId="1919" xr:uid="{00000000-0005-0000-0000-0000A0090000}"/>
    <cellStyle name="Normal 2 25 2 2" xfId="1920" xr:uid="{00000000-0005-0000-0000-0000A1090000}"/>
    <cellStyle name="Normal 2 25 2 2 2" xfId="1921" xr:uid="{00000000-0005-0000-0000-0000A2090000}"/>
    <cellStyle name="Normal 2 25 2 3" xfId="1922" xr:uid="{00000000-0005-0000-0000-0000A3090000}"/>
    <cellStyle name="Normal 2 25 20" xfId="1923" xr:uid="{00000000-0005-0000-0000-0000A4090000}"/>
    <cellStyle name="Normal 2 25 20 2" xfId="1924" xr:uid="{00000000-0005-0000-0000-0000A5090000}"/>
    <cellStyle name="Normal 2 25 20 2 2" xfId="1925" xr:uid="{00000000-0005-0000-0000-0000A6090000}"/>
    <cellStyle name="Normal 2 25 20 3" xfId="1926" xr:uid="{00000000-0005-0000-0000-0000A7090000}"/>
    <cellStyle name="Normal 2 25 21" xfId="1927" xr:uid="{00000000-0005-0000-0000-0000A8090000}"/>
    <cellStyle name="Normal 2 25 21 2" xfId="1928" xr:uid="{00000000-0005-0000-0000-0000A9090000}"/>
    <cellStyle name="Normal 2 25 21 2 2" xfId="1929" xr:uid="{00000000-0005-0000-0000-0000AA090000}"/>
    <cellStyle name="Normal 2 25 21 3" xfId="1930" xr:uid="{00000000-0005-0000-0000-0000AB090000}"/>
    <cellStyle name="Normal 2 25 22" xfId="1931" xr:uid="{00000000-0005-0000-0000-0000AC090000}"/>
    <cellStyle name="Normal 2 25 22 2" xfId="1932" xr:uid="{00000000-0005-0000-0000-0000AD090000}"/>
    <cellStyle name="Normal 2 25 22 2 2" xfId="1933" xr:uid="{00000000-0005-0000-0000-0000AE090000}"/>
    <cellStyle name="Normal 2 25 22 3" xfId="1934" xr:uid="{00000000-0005-0000-0000-0000AF090000}"/>
    <cellStyle name="Normal 2 25 23" xfId="1935" xr:uid="{00000000-0005-0000-0000-0000B0090000}"/>
    <cellStyle name="Normal 2 25 23 2" xfId="1936" xr:uid="{00000000-0005-0000-0000-0000B1090000}"/>
    <cellStyle name="Normal 2 25 23 2 2" xfId="1937" xr:uid="{00000000-0005-0000-0000-0000B2090000}"/>
    <cellStyle name="Normal 2 25 23 3" xfId="1938" xr:uid="{00000000-0005-0000-0000-0000B3090000}"/>
    <cellStyle name="Normal 2 25 24" xfId="1939" xr:uid="{00000000-0005-0000-0000-0000B4090000}"/>
    <cellStyle name="Normal 2 25 24 2" xfId="1940" xr:uid="{00000000-0005-0000-0000-0000B5090000}"/>
    <cellStyle name="Normal 2 25 25" xfId="1941" xr:uid="{00000000-0005-0000-0000-0000B6090000}"/>
    <cellStyle name="Normal 2 25 3" xfId="1942" xr:uid="{00000000-0005-0000-0000-0000B7090000}"/>
    <cellStyle name="Normal 2 25 3 2" xfId="1943" xr:uid="{00000000-0005-0000-0000-0000B8090000}"/>
    <cellStyle name="Normal 2 25 3 2 2" xfId="1944" xr:uid="{00000000-0005-0000-0000-0000B9090000}"/>
    <cellStyle name="Normal 2 25 3 3" xfId="1945" xr:uid="{00000000-0005-0000-0000-0000BA090000}"/>
    <cellStyle name="Normal 2 25 4" xfId="1946" xr:uid="{00000000-0005-0000-0000-0000BB090000}"/>
    <cellStyle name="Normal 2 25 4 2" xfId="1947" xr:uid="{00000000-0005-0000-0000-0000BC090000}"/>
    <cellStyle name="Normal 2 25 4 2 2" xfId="1948" xr:uid="{00000000-0005-0000-0000-0000BD090000}"/>
    <cellStyle name="Normal 2 25 4 3" xfId="1949" xr:uid="{00000000-0005-0000-0000-0000BE090000}"/>
    <cellStyle name="Normal 2 25 5" xfId="1950" xr:uid="{00000000-0005-0000-0000-0000BF090000}"/>
    <cellStyle name="Normal 2 25 5 2" xfId="1951" xr:uid="{00000000-0005-0000-0000-0000C0090000}"/>
    <cellStyle name="Normal 2 25 5 2 2" xfId="1952" xr:uid="{00000000-0005-0000-0000-0000C1090000}"/>
    <cellStyle name="Normal 2 25 5 3" xfId="1953" xr:uid="{00000000-0005-0000-0000-0000C2090000}"/>
    <cellStyle name="Normal 2 25 6" xfId="1954" xr:uid="{00000000-0005-0000-0000-0000C3090000}"/>
    <cellStyle name="Normal 2 25 6 2" xfId="1955" xr:uid="{00000000-0005-0000-0000-0000C4090000}"/>
    <cellStyle name="Normal 2 25 6 2 2" xfId="1956" xr:uid="{00000000-0005-0000-0000-0000C5090000}"/>
    <cellStyle name="Normal 2 25 6 3" xfId="1957" xr:uid="{00000000-0005-0000-0000-0000C6090000}"/>
    <cellStyle name="Normal 2 25 7" xfId="1958" xr:uid="{00000000-0005-0000-0000-0000C7090000}"/>
    <cellStyle name="Normal 2 25 7 2" xfId="1959" xr:uid="{00000000-0005-0000-0000-0000C8090000}"/>
    <cellStyle name="Normal 2 25 7 2 2" xfId="1960" xr:uid="{00000000-0005-0000-0000-0000C9090000}"/>
    <cellStyle name="Normal 2 25 7 3" xfId="1961" xr:uid="{00000000-0005-0000-0000-0000CA090000}"/>
    <cellStyle name="Normal 2 25 8" xfId="1962" xr:uid="{00000000-0005-0000-0000-0000CB090000}"/>
    <cellStyle name="Normal 2 25 8 2" xfId="1963" xr:uid="{00000000-0005-0000-0000-0000CC090000}"/>
    <cellStyle name="Normal 2 25 8 2 2" xfId="1964" xr:uid="{00000000-0005-0000-0000-0000CD090000}"/>
    <cellStyle name="Normal 2 25 8 3" xfId="1965" xr:uid="{00000000-0005-0000-0000-0000CE090000}"/>
    <cellStyle name="Normal 2 25 9" xfId="1966" xr:uid="{00000000-0005-0000-0000-0000CF090000}"/>
    <cellStyle name="Normal 2 25 9 2" xfId="1967" xr:uid="{00000000-0005-0000-0000-0000D0090000}"/>
    <cellStyle name="Normal 2 25 9 2 2" xfId="1968" xr:uid="{00000000-0005-0000-0000-0000D1090000}"/>
    <cellStyle name="Normal 2 25 9 3" xfId="1969" xr:uid="{00000000-0005-0000-0000-0000D2090000}"/>
    <cellStyle name="Normal 2 26" xfId="1970" xr:uid="{00000000-0005-0000-0000-0000D3090000}"/>
    <cellStyle name="Normal 2 26 10" xfId="1971" xr:uid="{00000000-0005-0000-0000-0000D4090000}"/>
    <cellStyle name="Normal 2 26 10 2" xfId="1972" xr:uid="{00000000-0005-0000-0000-0000D5090000}"/>
    <cellStyle name="Normal 2 26 10 2 2" xfId="1973" xr:uid="{00000000-0005-0000-0000-0000D6090000}"/>
    <cellStyle name="Normal 2 26 10 3" xfId="1974" xr:uid="{00000000-0005-0000-0000-0000D7090000}"/>
    <cellStyle name="Normal 2 26 11" xfId="1975" xr:uid="{00000000-0005-0000-0000-0000D8090000}"/>
    <cellStyle name="Normal 2 26 11 2" xfId="1976" xr:uid="{00000000-0005-0000-0000-0000D9090000}"/>
    <cellStyle name="Normal 2 26 11 2 2" xfId="1977" xr:uid="{00000000-0005-0000-0000-0000DA090000}"/>
    <cellStyle name="Normal 2 26 11 3" xfId="1978" xr:uid="{00000000-0005-0000-0000-0000DB090000}"/>
    <cellStyle name="Normal 2 26 12" xfId="1979" xr:uid="{00000000-0005-0000-0000-0000DC090000}"/>
    <cellStyle name="Normal 2 26 12 2" xfId="1980" xr:uid="{00000000-0005-0000-0000-0000DD090000}"/>
    <cellStyle name="Normal 2 26 12 2 2" xfId="1981" xr:uid="{00000000-0005-0000-0000-0000DE090000}"/>
    <cellStyle name="Normal 2 26 12 3" xfId="1982" xr:uid="{00000000-0005-0000-0000-0000DF090000}"/>
    <cellStyle name="Normal 2 26 13" xfId="1983" xr:uid="{00000000-0005-0000-0000-0000E0090000}"/>
    <cellStyle name="Normal 2 26 13 2" xfId="1984" xr:uid="{00000000-0005-0000-0000-0000E1090000}"/>
    <cellStyle name="Normal 2 26 13 2 2" xfId="1985" xr:uid="{00000000-0005-0000-0000-0000E2090000}"/>
    <cellStyle name="Normal 2 26 13 3" xfId="1986" xr:uid="{00000000-0005-0000-0000-0000E3090000}"/>
    <cellStyle name="Normal 2 26 14" xfId="1987" xr:uid="{00000000-0005-0000-0000-0000E4090000}"/>
    <cellStyle name="Normal 2 26 14 2" xfId="1988" xr:uid="{00000000-0005-0000-0000-0000E5090000}"/>
    <cellStyle name="Normal 2 26 14 2 2" xfId="1989" xr:uid="{00000000-0005-0000-0000-0000E6090000}"/>
    <cellStyle name="Normal 2 26 14 3" xfId="1990" xr:uid="{00000000-0005-0000-0000-0000E7090000}"/>
    <cellStyle name="Normal 2 26 15" xfId="1991" xr:uid="{00000000-0005-0000-0000-0000E8090000}"/>
    <cellStyle name="Normal 2 26 15 2" xfId="1992" xr:uid="{00000000-0005-0000-0000-0000E9090000}"/>
    <cellStyle name="Normal 2 26 15 2 2" xfId="1993" xr:uid="{00000000-0005-0000-0000-0000EA090000}"/>
    <cellStyle name="Normal 2 26 15 3" xfId="1994" xr:uid="{00000000-0005-0000-0000-0000EB090000}"/>
    <cellStyle name="Normal 2 26 16" xfId="1995" xr:uid="{00000000-0005-0000-0000-0000EC090000}"/>
    <cellStyle name="Normal 2 26 16 2" xfId="1996" xr:uid="{00000000-0005-0000-0000-0000ED090000}"/>
    <cellStyle name="Normal 2 26 16 2 2" xfId="1997" xr:uid="{00000000-0005-0000-0000-0000EE090000}"/>
    <cellStyle name="Normal 2 26 16 3" xfId="1998" xr:uid="{00000000-0005-0000-0000-0000EF090000}"/>
    <cellStyle name="Normal 2 26 17" xfId="1999" xr:uid="{00000000-0005-0000-0000-0000F0090000}"/>
    <cellStyle name="Normal 2 26 17 2" xfId="2000" xr:uid="{00000000-0005-0000-0000-0000F1090000}"/>
    <cellStyle name="Normal 2 26 17 2 2" xfId="2001" xr:uid="{00000000-0005-0000-0000-0000F2090000}"/>
    <cellStyle name="Normal 2 26 17 3" xfId="2002" xr:uid="{00000000-0005-0000-0000-0000F3090000}"/>
    <cellStyle name="Normal 2 26 18" xfId="2003" xr:uid="{00000000-0005-0000-0000-0000F4090000}"/>
    <cellStyle name="Normal 2 26 18 2" xfId="2004" xr:uid="{00000000-0005-0000-0000-0000F5090000}"/>
    <cellStyle name="Normal 2 26 18 2 2" xfId="2005" xr:uid="{00000000-0005-0000-0000-0000F6090000}"/>
    <cellStyle name="Normal 2 26 18 3" xfId="2006" xr:uid="{00000000-0005-0000-0000-0000F7090000}"/>
    <cellStyle name="Normal 2 26 19" xfId="2007" xr:uid="{00000000-0005-0000-0000-0000F8090000}"/>
    <cellStyle name="Normal 2 26 19 2" xfId="2008" xr:uid="{00000000-0005-0000-0000-0000F9090000}"/>
    <cellStyle name="Normal 2 26 19 2 2" xfId="2009" xr:uid="{00000000-0005-0000-0000-0000FA090000}"/>
    <cellStyle name="Normal 2 26 19 3" xfId="2010" xr:uid="{00000000-0005-0000-0000-0000FB090000}"/>
    <cellStyle name="Normal 2 26 2" xfId="2011" xr:uid="{00000000-0005-0000-0000-0000FC090000}"/>
    <cellStyle name="Normal 2 26 2 2" xfId="2012" xr:uid="{00000000-0005-0000-0000-0000FD090000}"/>
    <cellStyle name="Normal 2 26 2 2 2" xfId="2013" xr:uid="{00000000-0005-0000-0000-0000FE090000}"/>
    <cellStyle name="Normal 2 26 2 3" xfId="2014" xr:uid="{00000000-0005-0000-0000-0000FF090000}"/>
    <cellStyle name="Normal 2 26 20" xfId="2015" xr:uid="{00000000-0005-0000-0000-0000000A0000}"/>
    <cellStyle name="Normal 2 26 20 2" xfId="2016" xr:uid="{00000000-0005-0000-0000-0000010A0000}"/>
    <cellStyle name="Normal 2 26 20 2 2" xfId="2017" xr:uid="{00000000-0005-0000-0000-0000020A0000}"/>
    <cellStyle name="Normal 2 26 20 3" xfId="2018" xr:uid="{00000000-0005-0000-0000-0000030A0000}"/>
    <cellStyle name="Normal 2 26 21" xfId="2019" xr:uid="{00000000-0005-0000-0000-0000040A0000}"/>
    <cellStyle name="Normal 2 26 21 2" xfId="2020" xr:uid="{00000000-0005-0000-0000-0000050A0000}"/>
    <cellStyle name="Normal 2 26 21 2 2" xfId="2021" xr:uid="{00000000-0005-0000-0000-0000060A0000}"/>
    <cellStyle name="Normal 2 26 21 3" xfId="2022" xr:uid="{00000000-0005-0000-0000-0000070A0000}"/>
    <cellStyle name="Normal 2 26 22" xfId="2023" xr:uid="{00000000-0005-0000-0000-0000080A0000}"/>
    <cellStyle name="Normal 2 26 22 2" xfId="2024" xr:uid="{00000000-0005-0000-0000-0000090A0000}"/>
    <cellStyle name="Normal 2 26 22 2 2" xfId="2025" xr:uid="{00000000-0005-0000-0000-00000A0A0000}"/>
    <cellStyle name="Normal 2 26 22 3" xfId="2026" xr:uid="{00000000-0005-0000-0000-00000B0A0000}"/>
    <cellStyle name="Normal 2 26 23" xfId="2027" xr:uid="{00000000-0005-0000-0000-00000C0A0000}"/>
    <cellStyle name="Normal 2 26 23 2" xfId="2028" xr:uid="{00000000-0005-0000-0000-00000D0A0000}"/>
    <cellStyle name="Normal 2 26 23 2 2" xfId="2029" xr:uid="{00000000-0005-0000-0000-00000E0A0000}"/>
    <cellStyle name="Normal 2 26 23 3" xfId="2030" xr:uid="{00000000-0005-0000-0000-00000F0A0000}"/>
    <cellStyle name="Normal 2 26 24" xfId="2031" xr:uid="{00000000-0005-0000-0000-0000100A0000}"/>
    <cellStyle name="Normal 2 26 24 2" xfId="2032" xr:uid="{00000000-0005-0000-0000-0000110A0000}"/>
    <cellStyle name="Normal 2 26 25" xfId="2033" xr:uid="{00000000-0005-0000-0000-0000120A0000}"/>
    <cellStyle name="Normal 2 26 3" xfId="2034" xr:uid="{00000000-0005-0000-0000-0000130A0000}"/>
    <cellStyle name="Normal 2 26 3 2" xfId="2035" xr:uid="{00000000-0005-0000-0000-0000140A0000}"/>
    <cellStyle name="Normal 2 26 3 2 2" xfId="2036" xr:uid="{00000000-0005-0000-0000-0000150A0000}"/>
    <cellStyle name="Normal 2 26 3 3" xfId="2037" xr:uid="{00000000-0005-0000-0000-0000160A0000}"/>
    <cellStyle name="Normal 2 26 4" xfId="2038" xr:uid="{00000000-0005-0000-0000-0000170A0000}"/>
    <cellStyle name="Normal 2 26 4 2" xfId="2039" xr:uid="{00000000-0005-0000-0000-0000180A0000}"/>
    <cellStyle name="Normal 2 26 4 2 2" xfId="2040" xr:uid="{00000000-0005-0000-0000-0000190A0000}"/>
    <cellStyle name="Normal 2 26 4 3" xfId="2041" xr:uid="{00000000-0005-0000-0000-00001A0A0000}"/>
    <cellStyle name="Normal 2 26 5" xfId="2042" xr:uid="{00000000-0005-0000-0000-00001B0A0000}"/>
    <cellStyle name="Normal 2 26 5 2" xfId="2043" xr:uid="{00000000-0005-0000-0000-00001C0A0000}"/>
    <cellStyle name="Normal 2 26 5 2 2" xfId="2044" xr:uid="{00000000-0005-0000-0000-00001D0A0000}"/>
    <cellStyle name="Normal 2 26 5 3" xfId="2045" xr:uid="{00000000-0005-0000-0000-00001E0A0000}"/>
    <cellStyle name="Normal 2 26 6" xfId="2046" xr:uid="{00000000-0005-0000-0000-00001F0A0000}"/>
    <cellStyle name="Normal 2 26 6 2" xfId="2047" xr:uid="{00000000-0005-0000-0000-0000200A0000}"/>
    <cellStyle name="Normal 2 26 6 2 2" xfId="2048" xr:uid="{00000000-0005-0000-0000-0000210A0000}"/>
    <cellStyle name="Normal 2 26 6 3" xfId="2049" xr:uid="{00000000-0005-0000-0000-0000220A0000}"/>
    <cellStyle name="Normal 2 26 7" xfId="2050" xr:uid="{00000000-0005-0000-0000-0000230A0000}"/>
    <cellStyle name="Normal 2 26 7 2" xfId="2051" xr:uid="{00000000-0005-0000-0000-0000240A0000}"/>
    <cellStyle name="Normal 2 26 7 2 2" xfId="2052" xr:uid="{00000000-0005-0000-0000-0000250A0000}"/>
    <cellStyle name="Normal 2 26 7 3" xfId="2053" xr:uid="{00000000-0005-0000-0000-0000260A0000}"/>
    <cellStyle name="Normal 2 26 8" xfId="2054" xr:uid="{00000000-0005-0000-0000-0000270A0000}"/>
    <cellStyle name="Normal 2 26 8 2" xfId="2055" xr:uid="{00000000-0005-0000-0000-0000280A0000}"/>
    <cellStyle name="Normal 2 26 8 2 2" xfId="2056" xr:uid="{00000000-0005-0000-0000-0000290A0000}"/>
    <cellStyle name="Normal 2 26 8 3" xfId="2057" xr:uid="{00000000-0005-0000-0000-00002A0A0000}"/>
    <cellStyle name="Normal 2 26 9" xfId="2058" xr:uid="{00000000-0005-0000-0000-00002B0A0000}"/>
    <cellStyle name="Normal 2 26 9 2" xfId="2059" xr:uid="{00000000-0005-0000-0000-00002C0A0000}"/>
    <cellStyle name="Normal 2 26 9 2 2" xfId="2060" xr:uid="{00000000-0005-0000-0000-00002D0A0000}"/>
    <cellStyle name="Normal 2 26 9 3" xfId="2061" xr:uid="{00000000-0005-0000-0000-00002E0A0000}"/>
    <cellStyle name="Normal 2 27" xfId="2062" xr:uid="{00000000-0005-0000-0000-00002F0A0000}"/>
    <cellStyle name="Normal 2 27 10" xfId="2063" xr:uid="{00000000-0005-0000-0000-0000300A0000}"/>
    <cellStyle name="Normal 2 27 10 2" xfId="2064" xr:uid="{00000000-0005-0000-0000-0000310A0000}"/>
    <cellStyle name="Normal 2 27 10 2 2" xfId="2065" xr:uid="{00000000-0005-0000-0000-0000320A0000}"/>
    <cellStyle name="Normal 2 27 10 3" xfId="2066" xr:uid="{00000000-0005-0000-0000-0000330A0000}"/>
    <cellStyle name="Normal 2 27 11" xfId="2067" xr:uid="{00000000-0005-0000-0000-0000340A0000}"/>
    <cellStyle name="Normal 2 27 11 2" xfId="2068" xr:uid="{00000000-0005-0000-0000-0000350A0000}"/>
    <cellStyle name="Normal 2 27 11 2 2" xfId="2069" xr:uid="{00000000-0005-0000-0000-0000360A0000}"/>
    <cellStyle name="Normal 2 27 11 3" xfId="2070" xr:uid="{00000000-0005-0000-0000-0000370A0000}"/>
    <cellStyle name="Normal 2 27 12" xfId="2071" xr:uid="{00000000-0005-0000-0000-0000380A0000}"/>
    <cellStyle name="Normal 2 27 12 2" xfId="2072" xr:uid="{00000000-0005-0000-0000-0000390A0000}"/>
    <cellStyle name="Normal 2 27 12 2 2" xfId="2073" xr:uid="{00000000-0005-0000-0000-00003A0A0000}"/>
    <cellStyle name="Normal 2 27 12 3" xfId="2074" xr:uid="{00000000-0005-0000-0000-00003B0A0000}"/>
    <cellStyle name="Normal 2 27 13" xfId="2075" xr:uid="{00000000-0005-0000-0000-00003C0A0000}"/>
    <cellStyle name="Normal 2 27 13 2" xfId="2076" xr:uid="{00000000-0005-0000-0000-00003D0A0000}"/>
    <cellStyle name="Normal 2 27 13 2 2" xfId="2077" xr:uid="{00000000-0005-0000-0000-00003E0A0000}"/>
    <cellStyle name="Normal 2 27 13 3" xfId="2078" xr:uid="{00000000-0005-0000-0000-00003F0A0000}"/>
    <cellStyle name="Normal 2 27 14" xfId="2079" xr:uid="{00000000-0005-0000-0000-0000400A0000}"/>
    <cellStyle name="Normal 2 27 14 2" xfId="2080" xr:uid="{00000000-0005-0000-0000-0000410A0000}"/>
    <cellStyle name="Normal 2 27 14 2 2" xfId="2081" xr:uid="{00000000-0005-0000-0000-0000420A0000}"/>
    <cellStyle name="Normal 2 27 14 3" xfId="2082" xr:uid="{00000000-0005-0000-0000-0000430A0000}"/>
    <cellStyle name="Normal 2 27 15" xfId="2083" xr:uid="{00000000-0005-0000-0000-0000440A0000}"/>
    <cellStyle name="Normal 2 27 15 2" xfId="2084" xr:uid="{00000000-0005-0000-0000-0000450A0000}"/>
    <cellStyle name="Normal 2 27 15 2 2" xfId="2085" xr:uid="{00000000-0005-0000-0000-0000460A0000}"/>
    <cellStyle name="Normal 2 27 15 3" xfId="2086" xr:uid="{00000000-0005-0000-0000-0000470A0000}"/>
    <cellStyle name="Normal 2 27 16" xfId="2087" xr:uid="{00000000-0005-0000-0000-0000480A0000}"/>
    <cellStyle name="Normal 2 27 16 2" xfId="2088" xr:uid="{00000000-0005-0000-0000-0000490A0000}"/>
    <cellStyle name="Normal 2 27 16 2 2" xfId="2089" xr:uid="{00000000-0005-0000-0000-00004A0A0000}"/>
    <cellStyle name="Normal 2 27 16 3" xfId="2090" xr:uid="{00000000-0005-0000-0000-00004B0A0000}"/>
    <cellStyle name="Normal 2 27 17" xfId="2091" xr:uid="{00000000-0005-0000-0000-00004C0A0000}"/>
    <cellStyle name="Normal 2 27 17 2" xfId="2092" xr:uid="{00000000-0005-0000-0000-00004D0A0000}"/>
    <cellStyle name="Normal 2 27 17 2 2" xfId="2093" xr:uid="{00000000-0005-0000-0000-00004E0A0000}"/>
    <cellStyle name="Normal 2 27 17 3" xfId="2094" xr:uid="{00000000-0005-0000-0000-00004F0A0000}"/>
    <cellStyle name="Normal 2 27 18" xfId="2095" xr:uid="{00000000-0005-0000-0000-0000500A0000}"/>
    <cellStyle name="Normal 2 27 18 2" xfId="2096" xr:uid="{00000000-0005-0000-0000-0000510A0000}"/>
    <cellStyle name="Normal 2 27 18 2 2" xfId="2097" xr:uid="{00000000-0005-0000-0000-0000520A0000}"/>
    <cellStyle name="Normal 2 27 18 3" xfId="2098" xr:uid="{00000000-0005-0000-0000-0000530A0000}"/>
    <cellStyle name="Normal 2 27 19" xfId="2099" xr:uid="{00000000-0005-0000-0000-0000540A0000}"/>
    <cellStyle name="Normal 2 27 19 2" xfId="2100" xr:uid="{00000000-0005-0000-0000-0000550A0000}"/>
    <cellStyle name="Normal 2 27 19 2 2" xfId="2101" xr:uid="{00000000-0005-0000-0000-0000560A0000}"/>
    <cellStyle name="Normal 2 27 19 3" xfId="2102" xr:uid="{00000000-0005-0000-0000-0000570A0000}"/>
    <cellStyle name="Normal 2 27 2" xfId="2103" xr:uid="{00000000-0005-0000-0000-0000580A0000}"/>
    <cellStyle name="Normal 2 27 2 2" xfId="2104" xr:uid="{00000000-0005-0000-0000-0000590A0000}"/>
    <cellStyle name="Normal 2 27 2 2 2" xfId="2105" xr:uid="{00000000-0005-0000-0000-00005A0A0000}"/>
    <cellStyle name="Normal 2 27 2 3" xfId="2106" xr:uid="{00000000-0005-0000-0000-00005B0A0000}"/>
    <cellStyle name="Normal 2 27 20" xfId="2107" xr:uid="{00000000-0005-0000-0000-00005C0A0000}"/>
    <cellStyle name="Normal 2 27 20 2" xfId="2108" xr:uid="{00000000-0005-0000-0000-00005D0A0000}"/>
    <cellStyle name="Normal 2 27 20 2 2" xfId="2109" xr:uid="{00000000-0005-0000-0000-00005E0A0000}"/>
    <cellStyle name="Normal 2 27 20 3" xfId="2110" xr:uid="{00000000-0005-0000-0000-00005F0A0000}"/>
    <cellStyle name="Normal 2 27 21" xfId="2111" xr:uid="{00000000-0005-0000-0000-0000600A0000}"/>
    <cellStyle name="Normal 2 27 21 2" xfId="2112" xr:uid="{00000000-0005-0000-0000-0000610A0000}"/>
    <cellStyle name="Normal 2 27 21 2 2" xfId="2113" xr:uid="{00000000-0005-0000-0000-0000620A0000}"/>
    <cellStyle name="Normal 2 27 21 3" xfId="2114" xr:uid="{00000000-0005-0000-0000-0000630A0000}"/>
    <cellStyle name="Normal 2 27 22" xfId="2115" xr:uid="{00000000-0005-0000-0000-0000640A0000}"/>
    <cellStyle name="Normal 2 27 22 2" xfId="2116" xr:uid="{00000000-0005-0000-0000-0000650A0000}"/>
    <cellStyle name="Normal 2 27 22 2 2" xfId="2117" xr:uid="{00000000-0005-0000-0000-0000660A0000}"/>
    <cellStyle name="Normal 2 27 22 3" xfId="2118" xr:uid="{00000000-0005-0000-0000-0000670A0000}"/>
    <cellStyle name="Normal 2 27 23" xfId="2119" xr:uid="{00000000-0005-0000-0000-0000680A0000}"/>
    <cellStyle name="Normal 2 27 23 2" xfId="2120" xr:uid="{00000000-0005-0000-0000-0000690A0000}"/>
    <cellStyle name="Normal 2 27 23 2 2" xfId="2121" xr:uid="{00000000-0005-0000-0000-00006A0A0000}"/>
    <cellStyle name="Normal 2 27 23 3" xfId="2122" xr:uid="{00000000-0005-0000-0000-00006B0A0000}"/>
    <cellStyle name="Normal 2 27 24" xfId="2123" xr:uid="{00000000-0005-0000-0000-00006C0A0000}"/>
    <cellStyle name="Normal 2 27 24 2" xfId="2124" xr:uid="{00000000-0005-0000-0000-00006D0A0000}"/>
    <cellStyle name="Normal 2 27 25" xfId="2125" xr:uid="{00000000-0005-0000-0000-00006E0A0000}"/>
    <cellStyle name="Normal 2 27 3" xfId="2126" xr:uid="{00000000-0005-0000-0000-00006F0A0000}"/>
    <cellStyle name="Normal 2 27 3 2" xfId="2127" xr:uid="{00000000-0005-0000-0000-0000700A0000}"/>
    <cellStyle name="Normal 2 27 3 2 2" xfId="2128" xr:uid="{00000000-0005-0000-0000-0000710A0000}"/>
    <cellStyle name="Normal 2 27 3 3" xfId="2129" xr:uid="{00000000-0005-0000-0000-0000720A0000}"/>
    <cellStyle name="Normal 2 27 4" xfId="2130" xr:uid="{00000000-0005-0000-0000-0000730A0000}"/>
    <cellStyle name="Normal 2 27 4 2" xfId="2131" xr:uid="{00000000-0005-0000-0000-0000740A0000}"/>
    <cellStyle name="Normal 2 27 4 2 2" xfId="2132" xr:uid="{00000000-0005-0000-0000-0000750A0000}"/>
    <cellStyle name="Normal 2 27 4 3" xfId="2133" xr:uid="{00000000-0005-0000-0000-0000760A0000}"/>
    <cellStyle name="Normal 2 27 5" xfId="2134" xr:uid="{00000000-0005-0000-0000-0000770A0000}"/>
    <cellStyle name="Normal 2 27 5 2" xfId="2135" xr:uid="{00000000-0005-0000-0000-0000780A0000}"/>
    <cellStyle name="Normal 2 27 5 2 2" xfId="2136" xr:uid="{00000000-0005-0000-0000-0000790A0000}"/>
    <cellStyle name="Normal 2 27 5 3" xfId="2137" xr:uid="{00000000-0005-0000-0000-00007A0A0000}"/>
    <cellStyle name="Normal 2 27 6" xfId="2138" xr:uid="{00000000-0005-0000-0000-00007B0A0000}"/>
    <cellStyle name="Normal 2 27 6 2" xfId="2139" xr:uid="{00000000-0005-0000-0000-00007C0A0000}"/>
    <cellStyle name="Normal 2 27 6 2 2" xfId="2140" xr:uid="{00000000-0005-0000-0000-00007D0A0000}"/>
    <cellStyle name="Normal 2 27 6 3" xfId="2141" xr:uid="{00000000-0005-0000-0000-00007E0A0000}"/>
    <cellStyle name="Normal 2 27 7" xfId="2142" xr:uid="{00000000-0005-0000-0000-00007F0A0000}"/>
    <cellStyle name="Normal 2 27 7 2" xfId="2143" xr:uid="{00000000-0005-0000-0000-0000800A0000}"/>
    <cellStyle name="Normal 2 27 7 2 2" xfId="2144" xr:uid="{00000000-0005-0000-0000-0000810A0000}"/>
    <cellStyle name="Normal 2 27 7 3" xfId="2145" xr:uid="{00000000-0005-0000-0000-0000820A0000}"/>
    <cellStyle name="Normal 2 27 8" xfId="2146" xr:uid="{00000000-0005-0000-0000-0000830A0000}"/>
    <cellStyle name="Normal 2 27 8 2" xfId="2147" xr:uid="{00000000-0005-0000-0000-0000840A0000}"/>
    <cellStyle name="Normal 2 27 8 2 2" xfId="2148" xr:uid="{00000000-0005-0000-0000-0000850A0000}"/>
    <cellStyle name="Normal 2 27 8 3" xfId="2149" xr:uid="{00000000-0005-0000-0000-0000860A0000}"/>
    <cellStyle name="Normal 2 27 9" xfId="2150" xr:uid="{00000000-0005-0000-0000-0000870A0000}"/>
    <cellStyle name="Normal 2 27 9 2" xfId="2151" xr:uid="{00000000-0005-0000-0000-0000880A0000}"/>
    <cellStyle name="Normal 2 27 9 2 2" xfId="2152" xr:uid="{00000000-0005-0000-0000-0000890A0000}"/>
    <cellStyle name="Normal 2 27 9 3" xfId="2153" xr:uid="{00000000-0005-0000-0000-00008A0A0000}"/>
    <cellStyle name="Normal 2 28" xfId="2154" xr:uid="{00000000-0005-0000-0000-00008B0A0000}"/>
    <cellStyle name="Normal 2 28 10" xfId="2155" xr:uid="{00000000-0005-0000-0000-00008C0A0000}"/>
    <cellStyle name="Normal 2 28 10 2" xfId="2156" xr:uid="{00000000-0005-0000-0000-00008D0A0000}"/>
    <cellStyle name="Normal 2 28 10 2 2" xfId="2157" xr:uid="{00000000-0005-0000-0000-00008E0A0000}"/>
    <cellStyle name="Normal 2 28 10 3" xfId="2158" xr:uid="{00000000-0005-0000-0000-00008F0A0000}"/>
    <cellStyle name="Normal 2 28 11" xfId="2159" xr:uid="{00000000-0005-0000-0000-0000900A0000}"/>
    <cellStyle name="Normal 2 28 11 2" xfId="2160" xr:uid="{00000000-0005-0000-0000-0000910A0000}"/>
    <cellStyle name="Normal 2 28 11 2 2" xfId="2161" xr:uid="{00000000-0005-0000-0000-0000920A0000}"/>
    <cellStyle name="Normal 2 28 11 3" xfId="2162" xr:uid="{00000000-0005-0000-0000-0000930A0000}"/>
    <cellStyle name="Normal 2 28 12" xfId="2163" xr:uid="{00000000-0005-0000-0000-0000940A0000}"/>
    <cellStyle name="Normal 2 28 12 2" xfId="2164" xr:uid="{00000000-0005-0000-0000-0000950A0000}"/>
    <cellStyle name="Normal 2 28 12 2 2" xfId="2165" xr:uid="{00000000-0005-0000-0000-0000960A0000}"/>
    <cellStyle name="Normal 2 28 12 3" xfId="2166" xr:uid="{00000000-0005-0000-0000-0000970A0000}"/>
    <cellStyle name="Normal 2 28 13" xfId="2167" xr:uid="{00000000-0005-0000-0000-0000980A0000}"/>
    <cellStyle name="Normal 2 28 13 2" xfId="2168" xr:uid="{00000000-0005-0000-0000-0000990A0000}"/>
    <cellStyle name="Normal 2 28 13 2 2" xfId="2169" xr:uid="{00000000-0005-0000-0000-00009A0A0000}"/>
    <cellStyle name="Normal 2 28 13 3" xfId="2170" xr:uid="{00000000-0005-0000-0000-00009B0A0000}"/>
    <cellStyle name="Normal 2 28 14" xfId="2171" xr:uid="{00000000-0005-0000-0000-00009C0A0000}"/>
    <cellStyle name="Normal 2 28 14 2" xfId="2172" xr:uid="{00000000-0005-0000-0000-00009D0A0000}"/>
    <cellStyle name="Normal 2 28 14 2 2" xfId="2173" xr:uid="{00000000-0005-0000-0000-00009E0A0000}"/>
    <cellStyle name="Normal 2 28 14 3" xfId="2174" xr:uid="{00000000-0005-0000-0000-00009F0A0000}"/>
    <cellStyle name="Normal 2 28 15" xfId="2175" xr:uid="{00000000-0005-0000-0000-0000A00A0000}"/>
    <cellStyle name="Normal 2 28 15 2" xfId="2176" xr:uid="{00000000-0005-0000-0000-0000A10A0000}"/>
    <cellStyle name="Normal 2 28 15 2 2" xfId="2177" xr:uid="{00000000-0005-0000-0000-0000A20A0000}"/>
    <cellStyle name="Normal 2 28 15 3" xfId="2178" xr:uid="{00000000-0005-0000-0000-0000A30A0000}"/>
    <cellStyle name="Normal 2 28 16" xfId="2179" xr:uid="{00000000-0005-0000-0000-0000A40A0000}"/>
    <cellStyle name="Normal 2 28 16 2" xfId="2180" xr:uid="{00000000-0005-0000-0000-0000A50A0000}"/>
    <cellStyle name="Normal 2 28 16 2 2" xfId="2181" xr:uid="{00000000-0005-0000-0000-0000A60A0000}"/>
    <cellStyle name="Normal 2 28 16 3" xfId="2182" xr:uid="{00000000-0005-0000-0000-0000A70A0000}"/>
    <cellStyle name="Normal 2 28 17" xfId="2183" xr:uid="{00000000-0005-0000-0000-0000A80A0000}"/>
    <cellStyle name="Normal 2 28 17 2" xfId="2184" xr:uid="{00000000-0005-0000-0000-0000A90A0000}"/>
    <cellStyle name="Normal 2 28 17 2 2" xfId="2185" xr:uid="{00000000-0005-0000-0000-0000AA0A0000}"/>
    <cellStyle name="Normal 2 28 17 3" xfId="2186" xr:uid="{00000000-0005-0000-0000-0000AB0A0000}"/>
    <cellStyle name="Normal 2 28 18" xfId="2187" xr:uid="{00000000-0005-0000-0000-0000AC0A0000}"/>
    <cellStyle name="Normal 2 28 18 2" xfId="2188" xr:uid="{00000000-0005-0000-0000-0000AD0A0000}"/>
    <cellStyle name="Normal 2 28 18 2 2" xfId="2189" xr:uid="{00000000-0005-0000-0000-0000AE0A0000}"/>
    <cellStyle name="Normal 2 28 18 3" xfId="2190" xr:uid="{00000000-0005-0000-0000-0000AF0A0000}"/>
    <cellStyle name="Normal 2 28 19" xfId="2191" xr:uid="{00000000-0005-0000-0000-0000B00A0000}"/>
    <cellStyle name="Normal 2 28 19 2" xfId="2192" xr:uid="{00000000-0005-0000-0000-0000B10A0000}"/>
    <cellStyle name="Normal 2 28 19 2 2" xfId="2193" xr:uid="{00000000-0005-0000-0000-0000B20A0000}"/>
    <cellStyle name="Normal 2 28 19 3" xfId="2194" xr:uid="{00000000-0005-0000-0000-0000B30A0000}"/>
    <cellStyle name="Normal 2 28 2" xfId="2195" xr:uid="{00000000-0005-0000-0000-0000B40A0000}"/>
    <cellStyle name="Normal 2 28 2 2" xfId="2196" xr:uid="{00000000-0005-0000-0000-0000B50A0000}"/>
    <cellStyle name="Normal 2 28 2 2 2" xfId="2197" xr:uid="{00000000-0005-0000-0000-0000B60A0000}"/>
    <cellStyle name="Normal 2 28 2 3" xfId="2198" xr:uid="{00000000-0005-0000-0000-0000B70A0000}"/>
    <cellStyle name="Normal 2 28 20" xfId="2199" xr:uid="{00000000-0005-0000-0000-0000B80A0000}"/>
    <cellStyle name="Normal 2 28 20 2" xfId="2200" xr:uid="{00000000-0005-0000-0000-0000B90A0000}"/>
    <cellStyle name="Normal 2 28 20 2 2" xfId="2201" xr:uid="{00000000-0005-0000-0000-0000BA0A0000}"/>
    <cellStyle name="Normal 2 28 20 3" xfId="2202" xr:uid="{00000000-0005-0000-0000-0000BB0A0000}"/>
    <cellStyle name="Normal 2 28 21" xfId="2203" xr:uid="{00000000-0005-0000-0000-0000BC0A0000}"/>
    <cellStyle name="Normal 2 28 21 2" xfId="2204" xr:uid="{00000000-0005-0000-0000-0000BD0A0000}"/>
    <cellStyle name="Normal 2 28 21 2 2" xfId="2205" xr:uid="{00000000-0005-0000-0000-0000BE0A0000}"/>
    <cellStyle name="Normal 2 28 21 3" xfId="2206" xr:uid="{00000000-0005-0000-0000-0000BF0A0000}"/>
    <cellStyle name="Normal 2 28 22" xfId="2207" xr:uid="{00000000-0005-0000-0000-0000C00A0000}"/>
    <cellStyle name="Normal 2 28 22 2" xfId="2208" xr:uid="{00000000-0005-0000-0000-0000C10A0000}"/>
    <cellStyle name="Normal 2 28 22 2 2" xfId="2209" xr:uid="{00000000-0005-0000-0000-0000C20A0000}"/>
    <cellStyle name="Normal 2 28 22 3" xfId="2210" xr:uid="{00000000-0005-0000-0000-0000C30A0000}"/>
    <cellStyle name="Normal 2 28 23" xfId="2211" xr:uid="{00000000-0005-0000-0000-0000C40A0000}"/>
    <cellStyle name="Normal 2 28 23 2" xfId="2212" xr:uid="{00000000-0005-0000-0000-0000C50A0000}"/>
    <cellStyle name="Normal 2 28 23 2 2" xfId="2213" xr:uid="{00000000-0005-0000-0000-0000C60A0000}"/>
    <cellStyle name="Normal 2 28 23 3" xfId="2214" xr:uid="{00000000-0005-0000-0000-0000C70A0000}"/>
    <cellStyle name="Normal 2 28 24" xfId="2215" xr:uid="{00000000-0005-0000-0000-0000C80A0000}"/>
    <cellStyle name="Normal 2 28 24 2" xfId="2216" xr:uid="{00000000-0005-0000-0000-0000C90A0000}"/>
    <cellStyle name="Normal 2 28 25" xfId="2217" xr:uid="{00000000-0005-0000-0000-0000CA0A0000}"/>
    <cellStyle name="Normal 2 28 3" xfId="2218" xr:uid="{00000000-0005-0000-0000-0000CB0A0000}"/>
    <cellStyle name="Normal 2 28 3 2" xfId="2219" xr:uid="{00000000-0005-0000-0000-0000CC0A0000}"/>
    <cellStyle name="Normal 2 28 3 2 2" xfId="2220" xr:uid="{00000000-0005-0000-0000-0000CD0A0000}"/>
    <cellStyle name="Normal 2 28 3 3" xfId="2221" xr:uid="{00000000-0005-0000-0000-0000CE0A0000}"/>
    <cellStyle name="Normal 2 28 4" xfId="2222" xr:uid="{00000000-0005-0000-0000-0000CF0A0000}"/>
    <cellStyle name="Normal 2 28 4 2" xfId="2223" xr:uid="{00000000-0005-0000-0000-0000D00A0000}"/>
    <cellStyle name="Normal 2 28 4 2 2" xfId="2224" xr:uid="{00000000-0005-0000-0000-0000D10A0000}"/>
    <cellStyle name="Normal 2 28 4 3" xfId="2225" xr:uid="{00000000-0005-0000-0000-0000D20A0000}"/>
    <cellStyle name="Normal 2 28 5" xfId="2226" xr:uid="{00000000-0005-0000-0000-0000D30A0000}"/>
    <cellStyle name="Normal 2 28 5 2" xfId="2227" xr:uid="{00000000-0005-0000-0000-0000D40A0000}"/>
    <cellStyle name="Normal 2 28 5 2 2" xfId="2228" xr:uid="{00000000-0005-0000-0000-0000D50A0000}"/>
    <cellStyle name="Normal 2 28 5 3" xfId="2229" xr:uid="{00000000-0005-0000-0000-0000D60A0000}"/>
    <cellStyle name="Normal 2 28 6" xfId="2230" xr:uid="{00000000-0005-0000-0000-0000D70A0000}"/>
    <cellStyle name="Normal 2 28 6 2" xfId="2231" xr:uid="{00000000-0005-0000-0000-0000D80A0000}"/>
    <cellStyle name="Normal 2 28 6 2 2" xfId="2232" xr:uid="{00000000-0005-0000-0000-0000D90A0000}"/>
    <cellStyle name="Normal 2 28 6 3" xfId="2233" xr:uid="{00000000-0005-0000-0000-0000DA0A0000}"/>
    <cellStyle name="Normal 2 28 7" xfId="2234" xr:uid="{00000000-0005-0000-0000-0000DB0A0000}"/>
    <cellStyle name="Normal 2 28 7 2" xfId="2235" xr:uid="{00000000-0005-0000-0000-0000DC0A0000}"/>
    <cellStyle name="Normal 2 28 7 2 2" xfId="2236" xr:uid="{00000000-0005-0000-0000-0000DD0A0000}"/>
    <cellStyle name="Normal 2 28 7 3" xfId="2237" xr:uid="{00000000-0005-0000-0000-0000DE0A0000}"/>
    <cellStyle name="Normal 2 28 8" xfId="2238" xr:uid="{00000000-0005-0000-0000-0000DF0A0000}"/>
    <cellStyle name="Normal 2 28 8 2" xfId="2239" xr:uid="{00000000-0005-0000-0000-0000E00A0000}"/>
    <cellStyle name="Normal 2 28 8 2 2" xfId="2240" xr:uid="{00000000-0005-0000-0000-0000E10A0000}"/>
    <cellStyle name="Normal 2 28 8 3" xfId="2241" xr:uid="{00000000-0005-0000-0000-0000E20A0000}"/>
    <cellStyle name="Normal 2 28 9" xfId="2242" xr:uid="{00000000-0005-0000-0000-0000E30A0000}"/>
    <cellStyle name="Normal 2 28 9 2" xfId="2243" xr:uid="{00000000-0005-0000-0000-0000E40A0000}"/>
    <cellStyle name="Normal 2 28 9 2 2" xfId="2244" xr:uid="{00000000-0005-0000-0000-0000E50A0000}"/>
    <cellStyle name="Normal 2 28 9 3" xfId="2245" xr:uid="{00000000-0005-0000-0000-0000E60A0000}"/>
    <cellStyle name="Normal 2 29" xfId="2246" xr:uid="{00000000-0005-0000-0000-0000E70A0000}"/>
    <cellStyle name="Normal 2 29 10" xfId="2247" xr:uid="{00000000-0005-0000-0000-0000E80A0000}"/>
    <cellStyle name="Normal 2 29 10 2" xfId="2248" xr:uid="{00000000-0005-0000-0000-0000E90A0000}"/>
    <cellStyle name="Normal 2 29 10 2 2" xfId="2249" xr:uid="{00000000-0005-0000-0000-0000EA0A0000}"/>
    <cellStyle name="Normal 2 29 10 3" xfId="2250" xr:uid="{00000000-0005-0000-0000-0000EB0A0000}"/>
    <cellStyle name="Normal 2 29 11" xfId="2251" xr:uid="{00000000-0005-0000-0000-0000EC0A0000}"/>
    <cellStyle name="Normal 2 29 11 2" xfId="2252" xr:uid="{00000000-0005-0000-0000-0000ED0A0000}"/>
    <cellStyle name="Normal 2 29 11 2 2" xfId="2253" xr:uid="{00000000-0005-0000-0000-0000EE0A0000}"/>
    <cellStyle name="Normal 2 29 11 3" xfId="2254" xr:uid="{00000000-0005-0000-0000-0000EF0A0000}"/>
    <cellStyle name="Normal 2 29 12" xfId="2255" xr:uid="{00000000-0005-0000-0000-0000F00A0000}"/>
    <cellStyle name="Normal 2 29 12 2" xfId="2256" xr:uid="{00000000-0005-0000-0000-0000F10A0000}"/>
    <cellStyle name="Normal 2 29 12 2 2" xfId="2257" xr:uid="{00000000-0005-0000-0000-0000F20A0000}"/>
    <cellStyle name="Normal 2 29 12 3" xfId="2258" xr:uid="{00000000-0005-0000-0000-0000F30A0000}"/>
    <cellStyle name="Normal 2 29 13" xfId="2259" xr:uid="{00000000-0005-0000-0000-0000F40A0000}"/>
    <cellStyle name="Normal 2 29 13 2" xfId="2260" xr:uid="{00000000-0005-0000-0000-0000F50A0000}"/>
    <cellStyle name="Normal 2 29 13 2 2" xfId="2261" xr:uid="{00000000-0005-0000-0000-0000F60A0000}"/>
    <cellStyle name="Normal 2 29 13 3" xfId="2262" xr:uid="{00000000-0005-0000-0000-0000F70A0000}"/>
    <cellStyle name="Normal 2 29 14" xfId="2263" xr:uid="{00000000-0005-0000-0000-0000F80A0000}"/>
    <cellStyle name="Normal 2 29 14 2" xfId="2264" xr:uid="{00000000-0005-0000-0000-0000F90A0000}"/>
    <cellStyle name="Normal 2 29 14 2 2" xfId="2265" xr:uid="{00000000-0005-0000-0000-0000FA0A0000}"/>
    <cellStyle name="Normal 2 29 14 3" xfId="2266" xr:uid="{00000000-0005-0000-0000-0000FB0A0000}"/>
    <cellStyle name="Normal 2 29 15" xfId="2267" xr:uid="{00000000-0005-0000-0000-0000FC0A0000}"/>
    <cellStyle name="Normal 2 29 15 2" xfId="2268" xr:uid="{00000000-0005-0000-0000-0000FD0A0000}"/>
    <cellStyle name="Normal 2 29 15 2 2" xfId="2269" xr:uid="{00000000-0005-0000-0000-0000FE0A0000}"/>
    <cellStyle name="Normal 2 29 15 3" xfId="2270" xr:uid="{00000000-0005-0000-0000-0000FF0A0000}"/>
    <cellStyle name="Normal 2 29 16" xfId="2271" xr:uid="{00000000-0005-0000-0000-0000000B0000}"/>
    <cellStyle name="Normal 2 29 16 2" xfId="2272" xr:uid="{00000000-0005-0000-0000-0000010B0000}"/>
    <cellStyle name="Normal 2 29 16 2 2" xfId="2273" xr:uid="{00000000-0005-0000-0000-0000020B0000}"/>
    <cellStyle name="Normal 2 29 16 3" xfId="2274" xr:uid="{00000000-0005-0000-0000-0000030B0000}"/>
    <cellStyle name="Normal 2 29 17" xfId="2275" xr:uid="{00000000-0005-0000-0000-0000040B0000}"/>
    <cellStyle name="Normal 2 29 17 2" xfId="2276" xr:uid="{00000000-0005-0000-0000-0000050B0000}"/>
    <cellStyle name="Normal 2 29 17 2 2" xfId="2277" xr:uid="{00000000-0005-0000-0000-0000060B0000}"/>
    <cellStyle name="Normal 2 29 17 3" xfId="2278" xr:uid="{00000000-0005-0000-0000-0000070B0000}"/>
    <cellStyle name="Normal 2 29 18" xfId="2279" xr:uid="{00000000-0005-0000-0000-0000080B0000}"/>
    <cellStyle name="Normal 2 29 18 2" xfId="2280" xr:uid="{00000000-0005-0000-0000-0000090B0000}"/>
    <cellStyle name="Normal 2 29 18 2 2" xfId="2281" xr:uid="{00000000-0005-0000-0000-00000A0B0000}"/>
    <cellStyle name="Normal 2 29 18 3" xfId="2282" xr:uid="{00000000-0005-0000-0000-00000B0B0000}"/>
    <cellStyle name="Normal 2 29 19" xfId="2283" xr:uid="{00000000-0005-0000-0000-00000C0B0000}"/>
    <cellStyle name="Normal 2 29 19 2" xfId="2284" xr:uid="{00000000-0005-0000-0000-00000D0B0000}"/>
    <cellStyle name="Normal 2 29 19 2 2" xfId="2285" xr:uid="{00000000-0005-0000-0000-00000E0B0000}"/>
    <cellStyle name="Normal 2 29 19 3" xfId="2286" xr:uid="{00000000-0005-0000-0000-00000F0B0000}"/>
    <cellStyle name="Normal 2 29 2" xfId="2287" xr:uid="{00000000-0005-0000-0000-0000100B0000}"/>
    <cellStyle name="Normal 2 29 2 2" xfId="2288" xr:uid="{00000000-0005-0000-0000-0000110B0000}"/>
    <cellStyle name="Normal 2 29 2 2 2" xfId="2289" xr:uid="{00000000-0005-0000-0000-0000120B0000}"/>
    <cellStyle name="Normal 2 29 2 3" xfId="2290" xr:uid="{00000000-0005-0000-0000-0000130B0000}"/>
    <cellStyle name="Normal 2 29 20" xfId="2291" xr:uid="{00000000-0005-0000-0000-0000140B0000}"/>
    <cellStyle name="Normal 2 29 20 2" xfId="2292" xr:uid="{00000000-0005-0000-0000-0000150B0000}"/>
    <cellStyle name="Normal 2 29 20 2 2" xfId="2293" xr:uid="{00000000-0005-0000-0000-0000160B0000}"/>
    <cellStyle name="Normal 2 29 20 3" xfId="2294" xr:uid="{00000000-0005-0000-0000-0000170B0000}"/>
    <cellStyle name="Normal 2 29 21" xfId="2295" xr:uid="{00000000-0005-0000-0000-0000180B0000}"/>
    <cellStyle name="Normal 2 29 21 2" xfId="2296" xr:uid="{00000000-0005-0000-0000-0000190B0000}"/>
    <cellStyle name="Normal 2 29 21 2 2" xfId="2297" xr:uid="{00000000-0005-0000-0000-00001A0B0000}"/>
    <cellStyle name="Normal 2 29 21 3" xfId="2298" xr:uid="{00000000-0005-0000-0000-00001B0B0000}"/>
    <cellStyle name="Normal 2 29 22" xfId="2299" xr:uid="{00000000-0005-0000-0000-00001C0B0000}"/>
    <cellStyle name="Normal 2 29 22 2" xfId="2300" xr:uid="{00000000-0005-0000-0000-00001D0B0000}"/>
    <cellStyle name="Normal 2 29 22 2 2" xfId="2301" xr:uid="{00000000-0005-0000-0000-00001E0B0000}"/>
    <cellStyle name="Normal 2 29 22 3" xfId="2302" xr:uid="{00000000-0005-0000-0000-00001F0B0000}"/>
    <cellStyle name="Normal 2 29 23" xfId="2303" xr:uid="{00000000-0005-0000-0000-0000200B0000}"/>
    <cellStyle name="Normal 2 29 23 2" xfId="2304" xr:uid="{00000000-0005-0000-0000-0000210B0000}"/>
    <cellStyle name="Normal 2 29 23 2 2" xfId="2305" xr:uid="{00000000-0005-0000-0000-0000220B0000}"/>
    <cellStyle name="Normal 2 29 23 3" xfId="2306" xr:uid="{00000000-0005-0000-0000-0000230B0000}"/>
    <cellStyle name="Normal 2 29 24" xfId="2307" xr:uid="{00000000-0005-0000-0000-0000240B0000}"/>
    <cellStyle name="Normal 2 29 24 2" xfId="2308" xr:uid="{00000000-0005-0000-0000-0000250B0000}"/>
    <cellStyle name="Normal 2 29 25" xfId="2309" xr:uid="{00000000-0005-0000-0000-0000260B0000}"/>
    <cellStyle name="Normal 2 29 3" xfId="2310" xr:uid="{00000000-0005-0000-0000-0000270B0000}"/>
    <cellStyle name="Normal 2 29 3 2" xfId="2311" xr:uid="{00000000-0005-0000-0000-0000280B0000}"/>
    <cellStyle name="Normal 2 29 3 2 2" xfId="2312" xr:uid="{00000000-0005-0000-0000-0000290B0000}"/>
    <cellStyle name="Normal 2 29 3 3" xfId="2313" xr:uid="{00000000-0005-0000-0000-00002A0B0000}"/>
    <cellStyle name="Normal 2 29 4" xfId="2314" xr:uid="{00000000-0005-0000-0000-00002B0B0000}"/>
    <cellStyle name="Normal 2 29 4 2" xfId="2315" xr:uid="{00000000-0005-0000-0000-00002C0B0000}"/>
    <cellStyle name="Normal 2 29 4 2 2" xfId="2316" xr:uid="{00000000-0005-0000-0000-00002D0B0000}"/>
    <cellStyle name="Normal 2 29 4 3" xfId="2317" xr:uid="{00000000-0005-0000-0000-00002E0B0000}"/>
    <cellStyle name="Normal 2 29 5" xfId="2318" xr:uid="{00000000-0005-0000-0000-00002F0B0000}"/>
    <cellStyle name="Normal 2 29 5 2" xfId="2319" xr:uid="{00000000-0005-0000-0000-0000300B0000}"/>
    <cellStyle name="Normal 2 29 5 2 2" xfId="2320" xr:uid="{00000000-0005-0000-0000-0000310B0000}"/>
    <cellStyle name="Normal 2 29 5 3" xfId="2321" xr:uid="{00000000-0005-0000-0000-0000320B0000}"/>
    <cellStyle name="Normal 2 29 6" xfId="2322" xr:uid="{00000000-0005-0000-0000-0000330B0000}"/>
    <cellStyle name="Normal 2 29 6 2" xfId="2323" xr:uid="{00000000-0005-0000-0000-0000340B0000}"/>
    <cellStyle name="Normal 2 29 6 2 2" xfId="2324" xr:uid="{00000000-0005-0000-0000-0000350B0000}"/>
    <cellStyle name="Normal 2 29 6 3" xfId="2325" xr:uid="{00000000-0005-0000-0000-0000360B0000}"/>
    <cellStyle name="Normal 2 29 7" xfId="2326" xr:uid="{00000000-0005-0000-0000-0000370B0000}"/>
    <cellStyle name="Normal 2 29 7 2" xfId="2327" xr:uid="{00000000-0005-0000-0000-0000380B0000}"/>
    <cellStyle name="Normal 2 29 7 2 2" xfId="2328" xr:uid="{00000000-0005-0000-0000-0000390B0000}"/>
    <cellStyle name="Normal 2 29 7 3" xfId="2329" xr:uid="{00000000-0005-0000-0000-00003A0B0000}"/>
    <cellStyle name="Normal 2 29 8" xfId="2330" xr:uid="{00000000-0005-0000-0000-00003B0B0000}"/>
    <cellStyle name="Normal 2 29 8 2" xfId="2331" xr:uid="{00000000-0005-0000-0000-00003C0B0000}"/>
    <cellStyle name="Normal 2 29 8 2 2" xfId="2332" xr:uid="{00000000-0005-0000-0000-00003D0B0000}"/>
    <cellStyle name="Normal 2 29 8 3" xfId="2333" xr:uid="{00000000-0005-0000-0000-00003E0B0000}"/>
    <cellStyle name="Normal 2 29 9" xfId="2334" xr:uid="{00000000-0005-0000-0000-00003F0B0000}"/>
    <cellStyle name="Normal 2 29 9 2" xfId="2335" xr:uid="{00000000-0005-0000-0000-0000400B0000}"/>
    <cellStyle name="Normal 2 29 9 2 2" xfId="2336" xr:uid="{00000000-0005-0000-0000-0000410B0000}"/>
    <cellStyle name="Normal 2 29 9 3" xfId="2337" xr:uid="{00000000-0005-0000-0000-0000420B0000}"/>
    <cellStyle name="Normal 2 3" xfId="159" xr:uid="{00000000-0005-0000-0000-0000430B0000}"/>
    <cellStyle name="Normal 2 3 2" xfId="160" xr:uid="{00000000-0005-0000-0000-0000440B0000}"/>
    <cellStyle name="Normal 2 3 2 2" xfId="161" xr:uid="{00000000-0005-0000-0000-0000450B0000}"/>
    <cellStyle name="Normal 2 3 2 2 2" xfId="162" xr:uid="{00000000-0005-0000-0000-0000460B0000}"/>
    <cellStyle name="Normal 2 3 2 2 3" xfId="8210" xr:uid="{00000000-0005-0000-0000-0000470B0000}"/>
    <cellStyle name="Normal 2 3 2 3" xfId="2338" xr:uid="{00000000-0005-0000-0000-0000480B0000}"/>
    <cellStyle name="Normal 2 3 3" xfId="163" xr:uid="{00000000-0005-0000-0000-0000490B0000}"/>
    <cellStyle name="Normal 2 3 3 2" xfId="164" xr:uid="{00000000-0005-0000-0000-00004A0B0000}"/>
    <cellStyle name="Normal 2 3 3 3" xfId="8822" xr:uid="{00000000-0005-0000-0000-00004B0B0000}"/>
    <cellStyle name="Normal 2 3 3 4" xfId="8211" xr:uid="{00000000-0005-0000-0000-00004C0B0000}"/>
    <cellStyle name="Normal 2 3 4" xfId="2339" xr:uid="{00000000-0005-0000-0000-00004D0B0000}"/>
    <cellStyle name="Normal 2 3 4 2" xfId="2340" xr:uid="{00000000-0005-0000-0000-00004E0B0000}"/>
    <cellStyle name="Normal 2 3 4 3" xfId="8172" xr:uid="{00000000-0005-0000-0000-00004F0B0000}"/>
    <cellStyle name="Normal 2 3 5" xfId="2341" xr:uid="{00000000-0005-0000-0000-0000500B0000}"/>
    <cellStyle name="Normal 2 3 6" xfId="9216" xr:uid="{2A0A4675-897E-42F4-A7A4-4B98811AFAF3}"/>
    <cellStyle name="Normal 2 30" xfId="2342" xr:uid="{00000000-0005-0000-0000-0000510B0000}"/>
    <cellStyle name="Normal 2 30 10" xfId="2343" xr:uid="{00000000-0005-0000-0000-0000520B0000}"/>
    <cellStyle name="Normal 2 30 10 2" xfId="2344" xr:uid="{00000000-0005-0000-0000-0000530B0000}"/>
    <cellStyle name="Normal 2 30 10 2 2" xfId="2345" xr:uid="{00000000-0005-0000-0000-0000540B0000}"/>
    <cellStyle name="Normal 2 30 10 3" xfId="2346" xr:uid="{00000000-0005-0000-0000-0000550B0000}"/>
    <cellStyle name="Normal 2 30 11" xfId="2347" xr:uid="{00000000-0005-0000-0000-0000560B0000}"/>
    <cellStyle name="Normal 2 30 11 2" xfId="2348" xr:uid="{00000000-0005-0000-0000-0000570B0000}"/>
    <cellStyle name="Normal 2 30 11 2 2" xfId="2349" xr:uid="{00000000-0005-0000-0000-0000580B0000}"/>
    <cellStyle name="Normal 2 30 11 3" xfId="2350" xr:uid="{00000000-0005-0000-0000-0000590B0000}"/>
    <cellStyle name="Normal 2 30 12" xfId="2351" xr:uid="{00000000-0005-0000-0000-00005A0B0000}"/>
    <cellStyle name="Normal 2 30 12 2" xfId="2352" xr:uid="{00000000-0005-0000-0000-00005B0B0000}"/>
    <cellStyle name="Normal 2 30 12 2 2" xfId="2353" xr:uid="{00000000-0005-0000-0000-00005C0B0000}"/>
    <cellStyle name="Normal 2 30 12 3" xfId="2354" xr:uid="{00000000-0005-0000-0000-00005D0B0000}"/>
    <cellStyle name="Normal 2 30 13" xfId="2355" xr:uid="{00000000-0005-0000-0000-00005E0B0000}"/>
    <cellStyle name="Normal 2 30 13 2" xfId="2356" xr:uid="{00000000-0005-0000-0000-00005F0B0000}"/>
    <cellStyle name="Normal 2 30 13 2 2" xfId="2357" xr:uid="{00000000-0005-0000-0000-0000600B0000}"/>
    <cellStyle name="Normal 2 30 13 3" xfId="2358" xr:uid="{00000000-0005-0000-0000-0000610B0000}"/>
    <cellStyle name="Normal 2 30 14" xfId="2359" xr:uid="{00000000-0005-0000-0000-0000620B0000}"/>
    <cellStyle name="Normal 2 30 14 2" xfId="2360" xr:uid="{00000000-0005-0000-0000-0000630B0000}"/>
    <cellStyle name="Normal 2 30 14 2 2" xfId="2361" xr:uid="{00000000-0005-0000-0000-0000640B0000}"/>
    <cellStyle name="Normal 2 30 14 3" xfId="2362" xr:uid="{00000000-0005-0000-0000-0000650B0000}"/>
    <cellStyle name="Normal 2 30 15" xfId="2363" xr:uid="{00000000-0005-0000-0000-0000660B0000}"/>
    <cellStyle name="Normal 2 30 15 2" xfId="2364" xr:uid="{00000000-0005-0000-0000-0000670B0000}"/>
    <cellStyle name="Normal 2 30 15 2 2" xfId="2365" xr:uid="{00000000-0005-0000-0000-0000680B0000}"/>
    <cellStyle name="Normal 2 30 15 3" xfId="2366" xr:uid="{00000000-0005-0000-0000-0000690B0000}"/>
    <cellStyle name="Normal 2 30 16" xfId="2367" xr:uid="{00000000-0005-0000-0000-00006A0B0000}"/>
    <cellStyle name="Normal 2 30 16 2" xfId="2368" xr:uid="{00000000-0005-0000-0000-00006B0B0000}"/>
    <cellStyle name="Normal 2 30 16 2 2" xfId="2369" xr:uid="{00000000-0005-0000-0000-00006C0B0000}"/>
    <cellStyle name="Normal 2 30 16 3" xfId="2370" xr:uid="{00000000-0005-0000-0000-00006D0B0000}"/>
    <cellStyle name="Normal 2 30 17" xfId="2371" xr:uid="{00000000-0005-0000-0000-00006E0B0000}"/>
    <cellStyle name="Normal 2 30 17 2" xfId="2372" xr:uid="{00000000-0005-0000-0000-00006F0B0000}"/>
    <cellStyle name="Normal 2 30 17 2 2" xfId="2373" xr:uid="{00000000-0005-0000-0000-0000700B0000}"/>
    <cellStyle name="Normal 2 30 17 3" xfId="2374" xr:uid="{00000000-0005-0000-0000-0000710B0000}"/>
    <cellStyle name="Normal 2 30 18" xfId="2375" xr:uid="{00000000-0005-0000-0000-0000720B0000}"/>
    <cellStyle name="Normal 2 30 18 2" xfId="2376" xr:uid="{00000000-0005-0000-0000-0000730B0000}"/>
    <cellStyle name="Normal 2 30 18 2 2" xfId="2377" xr:uid="{00000000-0005-0000-0000-0000740B0000}"/>
    <cellStyle name="Normal 2 30 18 3" xfId="2378" xr:uid="{00000000-0005-0000-0000-0000750B0000}"/>
    <cellStyle name="Normal 2 30 19" xfId="2379" xr:uid="{00000000-0005-0000-0000-0000760B0000}"/>
    <cellStyle name="Normal 2 30 19 2" xfId="2380" xr:uid="{00000000-0005-0000-0000-0000770B0000}"/>
    <cellStyle name="Normal 2 30 19 2 2" xfId="2381" xr:uid="{00000000-0005-0000-0000-0000780B0000}"/>
    <cellStyle name="Normal 2 30 19 3" xfId="2382" xr:uid="{00000000-0005-0000-0000-0000790B0000}"/>
    <cellStyle name="Normal 2 30 2" xfId="2383" xr:uid="{00000000-0005-0000-0000-00007A0B0000}"/>
    <cellStyle name="Normal 2 30 2 2" xfId="2384" xr:uid="{00000000-0005-0000-0000-00007B0B0000}"/>
    <cellStyle name="Normal 2 30 2 2 2" xfId="2385" xr:uid="{00000000-0005-0000-0000-00007C0B0000}"/>
    <cellStyle name="Normal 2 30 2 3" xfId="2386" xr:uid="{00000000-0005-0000-0000-00007D0B0000}"/>
    <cellStyle name="Normal 2 30 20" xfId="2387" xr:uid="{00000000-0005-0000-0000-00007E0B0000}"/>
    <cellStyle name="Normal 2 30 20 2" xfId="2388" xr:uid="{00000000-0005-0000-0000-00007F0B0000}"/>
    <cellStyle name="Normal 2 30 20 2 2" xfId="2389" xr:uid="{00000000-0005-0000-0000-0000800B0000}"/>
    <cellStyle name="Normal 2 30 20 3" xfId="2390" xr:uid="{00000000-0005-0000-0000-0000810B0000}"/>
    <cellStyle name="Normal 2 30 21" xfId="2391" xr:uid="{00000000-0005-0000-0000-0000820B0000}"/>
    <cellStyle name="Normal 2 30 21 2" xfId="2392" xr:uid="{00000000-0005-0000-0000-0000830B0000}"/>
    <cellStyle name="Normal 2 30 21 2 2" xfId="2393" xr:uid="{00000000-0005-0000-0000-0000840B0000}"/>
    <cellStyle name="Normal 2 30 21 3" xfId="2394" xr:uid="{00000000-0005-0000-0000-0000850B0000}"/>
    <cellStyle name="Normal 2 30 22" xfId="2395" xr:uid="{00000000-0005-0000-0000-0000860B0000}"/>
    <cellStyle name="Normal 2 30 22 2" xfId="2396" xr:uid="{00000000-0005-0000-0000-0000870B0000}"/>
    <cellStyle name="Normal 2 30 22 2 2" xfId="2397" xr:uid="{00000000-0005-0000-0000-0000880B0000}"/>
    <cellStyle name="Normal 2 30 22 3" xfId="2398" xr:uid="{00000000-0005-0000-0000-0000890B0000}"/>
    <cellStyle name="Normal 2 30 23" xfId="2399" xr:uid="{00000000-0005-0000-0000-00008A0B0000}"/>
    <cellStyle name="Normal 2 30 23 2" xfId="2400" xr:uid="{00000000-0005-0000-0000-00008B0B0000}"/>
    <cellStyle name="Normal 2 30 23 2 2" xfId="2401" xr:uid="{00000000-0005-0000-0000-00008C0B0000}"/>
    <cellStyle name="Normal 2 30 23 3" xfId="2402" xr:uid="{00000000-0005-0000-0000-00008D0B0000}"/>
    <cellStyle name="Normal 2 30 24" xfId="2403" xr:uid="{00000000-0005-0000-0000-00008E0B0000}"/>
    <cellStyle name="Normal 2 30 24 2" xfId="2404" xr:uid="{00000000-0005-0000-0000-00008F0B0000}"/>
    <cellStyle name="Normal 2 30 25" xfId="2405" xr:uid="{00000000-0005-0000-0000-0000900B0000}"/>
    <cellStyle name="Normal 2 30 3" xfId="2406" xr:uid="{00000000-0005-0000-0000-0000910B0000}"/>
    <cellStyle name="Normal 2 30 3 2" xfId="2407" xr:uid="{00000000-0005-0000-0000-0000920B0000}"/>
    <cellStyle name="Normal 2 30 3 2 2" xfId="2408" xr:uid="{00000000-0005-0000-0000-0000930B0000}"/>
    <cellStyle name="Normal 2 30 3 3" xfId="2409" xr:uid="{00000000-0005-0000-0000-0000940B0000}"/>
    <cellStyle name="Normal 2 30 4" xfId="2410" xr:uid="{00000000-0005-0000-0000-0000950B0000}"/>
    <cellStyle name="Normal 2 30 4 2" xfId="2411" xr:uid="{00000000-0005-0000-0000-0000960B0000}"/>
    <cellStyle name="Normal 2 30 4 2 2" xfId="2412" xr:uid="{00000000-0005-0000-0000-0000970B0000}"/>
    <cellStyle name="Normal 2 30 4 3" xfId="2413" xr:uid="{00000000-0005-0000-0000-0000980B0000}"/>
    <cellStyle name="Normal 2 30 5" xfId="2414" xr:uid="{00000000-0005-0000-0000-0000990B0000}"/>
    <cellStyle name="Normal 2 30 5 2" xfId="2415" xr:uid="{00000000-0005-0000-0000-00009A0B0000}"/>
    <cellStyle name="Normal 2 30 5 2 2" xfId="2416" xr:uid="{00000000-0005-0000-0000-00009B0B0000}"/>
    <cellStyle name="Normal 2 30 5 3" xfId="2417" xr:uid="{00000000-0005-0000-0000-00009C0B0000}"/>
    <cellStyle name="Normal 2 30 6" xfId="2418" xr:uid="{00000000-0005-0000-0000-00009D0B0000}"/>
    <cellStyle name="Normal 2 30 6 2" xfId="2419" xr:uid="{00000000-0005-0000-0000-00009E0B0000}"/>
    <cellStyle name="Normal 2 30 6 2 2" xfId="2420" xr:uid="{00000000-0005-0000-0000-00009F0B0000}"/>
    <cellStyle name="Normal 2 30 6 3" xfId="2421" xr:uid="{00000000-0005-0000-0000-0000A00B0000}"/>
    <cellStyle name="Normal 2 30 7" xfId="2422" xr:uid="{00000000-0005-0000-0000-0000A10B0000}"/>
    <cellStyle name="Normal 2 30 7 2" xfId="2423" xr:uid="{00000000-0005-0000-0000-0000A20B0000}"/>
    <cellStyle name="Normal 2 30 7 2 2" xfId="2424" xr:uid="{00000000-0005-0000-0000-0000A30B0000}"/>
    <cellStyle name="Normal 2 30 7 3" xfId="2425" xr:uid="{00000000-0005-0000-0000-0000A40B0000}"/>
    <cellStyle name="Normal 2 30 8" xfId="2426" xr:uid="{00000000-0005-0000-0000-0000A50B0000}"/>
    <cellStyle name="Normal 2 30 8 2" xfId="2427" xr:uid="{00000000-0005-0000-0000-0000A60B0000}"/>
    <cellStyle name="Normal 2 30 8 2 2" xfId="2428" xr:uid="{00000000-0005-0000-0000-0000A70B0000}"/>
    <cellStyle name="Normal 2 30 8 3" xfId="2429" xr:uid="{00000000-0005-0000-0000-0000A80B0000}"/>
    <cellStyle name="Normal 2 30 9" xfId="2430" xr:uid="{00000000-0005-0000-0000-0000A90B0000}"/>
    <cellStyle name="Normal 2 30 9 2" xfId="2431" xr:uid="{00000000-0005-0000-0000-0000AA0B0000}"/>
    <cellStyle name="Normal 2 30 9 2 2" xfId="2432" xr:uid="{00000000-0005-0000-0000-0000AB0B0000}"/>
    <cellStyle name="Normal 2 30 9 3" xfId="2433" xr:uid="{00000000-0005-0000-0000-0000AC0B0000}"/>
    <cellStyle name="Normal 2 31" xfId="2434" xr:uid="{00000000-0005-0000-0000-0000AD0B0000}"/>
    <cellStyle name="Normal 2 31 10" xfId="2435" xr:uid="{00000000-0005-0000-0000-0000AE0B0000}"/>
    <cellStyle name="Normal 2 31 10 2" xfId="2436" xr:uid="{00000000-0005-0000-0000-0000AF0B0000}"/>
    <cellStyle name="Normal 2 31 10 2 2" xfId="2437" xr:uid="{00000000-0005-0000-0000-0000B00B0000}"/>
    <cellStyle name="Normal 2 31 10 3" xfId="2438" xr:uid="{00000000-0005-0000-0000-0000B10B0000}"/>
    <cellStyle name="Normal 2 31 11" xfId="2439" xr:uid="{00000000-0005-0000-0000-0000B20B0000}"/>
    <cellStyle name="Normal 2 31 11 2" xfId="2440" xr:uid="{00000000-0005-0000-0000-0000B30B0000}"/>
    <cellStyle name="Normal 2 31 11 2 2" xfId="2441" xr:uid="{00000000-0005-0000-0000-0000B40B0000}"/>
    <cellStyle name="Normal 2 31 11 3" xfId="2442" xr:uid="{00000000-0005-0000-0000-0000B50B0000}"/>
    <cellStyle name="Normal 2 31 12" xfId="2443" xr:uid="{00000000-0005-0000-0000-0000B60B0000}"/>
    <cellStyle name="Normal 2 31 12 2" xfId="2444" xr:uid="{00000000-0005-0000-0000-0000B70B0000}"/>
    <cellStyle name="Normal 2 31 12 2 2" xfId="2445" xr:uid="{00000000-0005-0000-0000-0000B80B0000}"/>
    <cellStyle name="Normal 2 31 12 3" xfId="2446" xr:uid="{00000000-0005-0000-0000-0000B90B0000}"/>
    <cellStyle name="Normal 2 31 13" xfId="2447" xr:uid="{00000000-0005-0000-0000-0000BA0B0000}"/>
    <cellStyle name="Normal 2 31 13 2" xfId="2448" xr:uid="{00000000-0005-0000-0000-0000BB0B0000}"/>
    <cellStyle name="Normal 2 31 13 2 2" xfId="2449" xr:uid="{00000000-0005-0000-0000-0000BC0B0000}"/>
    <cellStyle name="Normal 2 31 13 3" xfId="2450" xr:uid="{00000000-0005-0000-0000-0000BD0B0000}"/>
    <cellStyle name="Normal 2 31 14" xfId="2451" xr:uid="{00000000-0005-0000-0000-0000BE0B0000}"/>
    <cellStyle name="Normal 2 31 14 2" xfId="2452" xr:uid="{00000000-0005-0000-0000-0000BF0B0000}"/>
    <cellStyle name="Normal 2 31 14 2 2" xfId="2453" xr:uid="{00000000-0005-0000-0000-0000C00B0000}"/>
    <cellStyle name="Normal 2 31 14 3" xfId="2454" xr:uid="{00000000-0005-0000-0000-0000C10B0000}"/>
    <cellStyle name="Normal 2 31 15" xfId="2455" xr:uid="{00000000-0005-0000-0000-0000C20B0000}"/>
    <cellStyle name="Normal 2 31 15 2" xfId="2456" xr:uid="{00000000-0005-0000-0000-0000C30B0000}"/>
    <cellStyle name="Normal 2 31 15 2 2" xfId="2457" xr:uid="{00000000-0005-0000-0000-0000C40B0000}"/>
    <cellStyle name="Normal 2 31 15 3" xfId="2458" xr:uid="{00000000-0005-0000-0000-0000C50B0000}"/>
    <cellStyle name="Normal 2 31 16" xfId="2459" xr:uid="{00000000-0005-0000-0000-0000C60B0000}"/>
    <cellStyle name="Normal 2 31 16 2" xfId="2460" xr:uid="{00000000-0005-0000-0000-0000C70B0000}"/>
    <cellStyle name="Normal 2 31 16 2 2" xfId="2461" xr:uid="{00000000-0005-0000-0000-0000C80B0000}"/>
    <cellStyle name="Normal 2 31 16 3" xfId="2462" xr:uid="{00000000-0005-0000-0000-0000C90B0000}"/>
    <cellStyle name="Normal 2 31 17" xfId="2463" xr:uid="{00000000-0005-0000-0000-0000CA0B0000}"/>
    <cellStyle name="Normal 2 31 17 2" xfId="2464" xr:uid="{00000000-0005-0000-0000-0000CB0B0000}"/>
    <cellStyle name="Normal 2 31 17 2 2" xfId="2465" xr:uid="{00000000-0005-0000-0000-0000CC0B0000}"/>
    <cellStyle name="Normal 2 31 17 3" xfId="2466" xr:uid="{00000000-0005-0000-0000-0000CD0B0000}"/>
    <cellStyle name="Normal 2 31 18" xfId="2467" xr:uid="{00000000-0005-0000-0000-0000CE0B0000}"/>
    <cellStyle name="Normal 2 31 18 2" xfId="2468" xr:uid="{00000000-0005-0000-0000-0000CF0B0000}"/>
    <cellStyle name="Normal 2 31 18 2 2" xfId="2469" xr:uid="{00000000-0005-0000-0000-0000D00B0000}"/>
    <cellStyle name="Normal 2 31 18 3" xfId="2470" xr:uid="{00000000-0005-0000-0000-0000D10B0000}"/>
    <cellStyle name="Normal 2 31 19" xfId="2471" xr:uid="{00000000-0005-0000-0000-0000D20B0000}"/>
    <cellStyle name="Normal 2 31 19 2" xfId="2472" xr:uid="{00000000-0005-0000-0000-0000D30B0000}"/>
    <cellStyle name="Normal 2 31 19 2 2" xfId="2473" xr:uid="{00000000-0005-0000-0000-0000D40B0000}"/>
    <cellStyle name="Normal 2 31 19 3" xfId="2474" xr:uid="{00000000-0005-0000-0000-0000D50B0000}"/>
    <cellStyle name="Normal 2 31 2" xfId="2475" xr:uid="{00000000-0005-0000-0000-0000D60B0000}"/>
    <cellStyle name="Normal 2 31 2 2" xfId="2476" xr:uid="{00000000-0005-0000-0000-0000D70B0000}"/>
    <cellStyle name="Normal 2 31 2 2 2" xfId="2477" xr:uid="{00000000-0005-0000-0000-0000D80B0000}"/>
    <cellStyle name="Normal 2 31 2 3" xfId="2478" xr:uid="{00000000-0005-0000-0000-0000D90B0000}"/>
    <cellStyle name="Normal 2 31 20" xfId="2479" xr:uid="{00000000-0005-0000-0000-0000DA0B0000}"/>
    <cellStyle name="Normal 2 31 20 2" xfId="2480" xr:uid="{00000000-0005-0000-0000-0000DB0B0000}"/>
    <cellStyle name="Normal 2 31 20 2 2" xfId="2481" xr:uid="{00000000-0005-0000-0000-0000DC0B0000}"/>
    <cellStyle name="Normal 2 31 20 3" xfId="2482" xr:uid="{00000000-0005-0000-0000-0000DD0B0000}"/>
    <cellStyle name="Normal 2 31 21" xfId="2483" xr:uid="{00000000-0005-0000-0000-0000DE0B0000}"/>
    <cellStyle name="Normal 2 31 21 2" xfId="2484" xr:uid="{00000000-0005-0000-0000-0000DF0B0000}"/>
    <cellStyle name="Normal 2 31 21 2 2" xfId="2485" xr:uid="{00000000-0005-0000-0000-0000E00B0000}"/>
    <cellStyle name="Normal 2 31 21 3" xfId="2486" xr:uid="{00000000-0005-0000-0000-0000E10B0000}"/>
    <cellStyle name="Normal 2 31 22" xfId="2487" xr:uid="{00000000-0005-0000-0000-0000E20B0000}"/>
    <cellStyle name="Normal 2 31 22 2" xfId="2488" xr:uid="{00000000-0005-0000-0000-0000E30B0000}"/>
    <cellStyle name="Normal 2 31 22 2 2" xfId="2489" xr:uid="{00000000-0005-0000-0000-0000E40B0000}"/>
    <cellStyle name="Normal 2 31 22 3" xfId="2490" xr:uid="{00000000-0005-0000-0000-0000E50B0000}"/>
    <cellStyle name="Normal 2 31 23" xfId="2491" xr:uid="{00000000-0005-0000-0000-0000E60B0000}"/>
    <cellStyle name="Normal 2 31 23 2" xfId="2492" xr:uid="{00000000-0005-0000-0000-0000E70B0000}"/>
    <cellStyle name="Normal 2 31 23 2 2" xfId="2493" xr:uid="{00000000-0005-0000-0000-0000E80B0000}"/>
    <cellStyle name="Normal 2 31 23 3" xfId="2494" xr:uid="{00000000-0005-0000-0000-0000E90B0000}"/>
    <cellStyle name="Normal 2 31 24" xfId="2495" xr:uid="{00000000-0005-0000-0000-0000EA0B0000}"/>
    <cellStyle name="Normal 2 31 24 2" xfId="2496" xr:uid="{00000000-0005-0000-0000-0000EB0B0000}"/>
    <cellStyle name="Normal 2 31 25" xfId="2497" xr:uid="{00000000-0005-0000-0000-0000EC0B0000}"/>
    <cellStyle name="Normal 2 31 3" xfId="2498" xr:uid="{00000000-0005-0000-0000-0000ED0B0000}"/>
    <cellStyle name="Normal 2 31 3 2" xfId="2499" xr:uid="{00000000-0005-0000-0000-0000EE0B0000}"/>
    <cellStyle name="Normal 2 31 3 2 2" xfId="2500" xr:uid="{00000000-0005-0000-0000-0000EF0B0000}"/>
    <cellStyle name="Normal 2 31 3 3" xfId="2501" xr:uid="{00000000-0005-0000-0000-0000F00B0000}"/>
    <cellStyle name="Normal 2 31 4" xfId="2502" xr:uid="{00000000-0005-0000-0000-0000F10B0000}"/>
    <cellStyle name="Normal 2 31 4 2" xfId="2503" xr:uid="{00000000-0005-0000-0000-0000F20B0000}"/>
    <cellStyle name="Normal 2 31 4 2 2" xfId="2504" xr:uid="{00000000-0005-0000-0000-0000F30B0000}"/>
    <cellStyle name="Normal 2 31 4 3" xfId="2505" xr:uid="{00000000-0005-0000-0000-0000F40B0000}"/>
    <cellStyle name="Normal 2 31 5" xfId="2506" xr:uid="{00000000-0005-0000-0000-0000F50B0000}"/>
    <cellStyle name="Normal 2 31 5 2" xfId="2507" xr:uid="{00000000-0005-0000-0000-0000F60B0000}"/>
    <cellStyle name="Normal 2 31 5 2 2" xfId="2508" xr:uid="{00000000-0005-0000-0000-0000F70B0000}"/>
    <cellStyle name="Normal 2 31 5 3" xfId="2509" xr:uid="{00000000-0005-0000-0000-0000F80B0000}"/>
    <cellStyle name="Normal 2 31 6" xfId="2510" xr:uid="{00000000-0005-0000-0000-0000F90B0000}"/>
    <cellStyle name="Normal 2 31 6 2" xfId="2511" xr:uid="{00000000-0005-0000-0000-0000FA0B0000}"/>
    <cellStyle name="Normal 2 31 6 2 2" xfId="2512" xr:uid="{00000000-0005-0000-0000-0000FB0B0000}"/>
    <cellStyle name="Normal 2 31 6 3" xfId="2513" xr:uid="{00000000-0005-0000-0000-0000FC0B0000}"/>
    <cellStyle name="Normal 2 31 7" xfId="2514" xr:uid="{00000000-0005-0000-0000-0000FD0B0000}"/>
    <cellStyle name="Normal 2 31 7 2" xfId="2515" xr:uid="{00000000-0005-0000-0000-0000FE0B0000}"/>
    <cellStyle name="Normal 2 31 7 2 2" xfId="2516" xr:uid="{00000000-0005-0000-0000-0000FF0B0000}"/>
    <cellStyle name="Normal 2 31 7 3" xfId="2517" xr:uid="{00000000-0005-0000-0000-0000000C0000}"/>
    <cellStyle name="Normal 2 31 8" xfId="2518" xr:uid="{00000000-0005-0000-0000-0000010C0000}"/>
    <cellStyle name="Normal 2 31 8 2" xfId="2519" xr:uid="{00000000-0005-0000-0000-0000020C0000}"/>
    <cellStyle name="Normal 2 31 8 2 2" xfId="2520" xr:uid="{00000000-0005-0000-0000-0000030C0000}"/>
    <cellStyle name="Normal 2 31 8 3" xfId="2521" xr:uid="{00000000-0005-0000-0000-0000040C0000}"/>
    <cellStyle name="Normal 2 31 9" xfId="2522" xr:uid="{00000000-0005-0000-0000-0000050C0000}"/>
    <cellStyle name="Normal 2 31 9 2" xfId="2523" xr:uid="{00000000-0005-0000-0000-0000060C0000}"/>
    <cellStyle name="Normal 2 31 9 2 2" xfId="2524" xr:uid="{00000000-0005-0000-0000-0000070C0000}"/>
    <cellStyle name="Normal 2 31 9 3" xfId="2525" xr:uid="{00000000-0005-0000-0000-0000080C0000}"/>
    <cellStyle name="Normal 2 32" xfId="2526" xr:uid="{00000000-0005-0000-0000-0000090C0000}"/>
    <cellStyle name="Normal 2 32 10" xfId="2527" xr:uid="{00000000-0005-0000-0000-00000A0C0000}"/>
    <cellStyle name="Normal 2 32 10 2" xfId="2528" xr:uid="{00000000-0005-0000-0000-00000B0C0000}"/>
    <cellStyle name="Normal 2 32 10 2 2" xfId="2529" xr:uid="{00000000-0005-0000-0000-00000C0C0000}"/>
    <cellStyle name="Normal 2 32 10 3" xfId="2530" xr:uid="{00000000-0005-0000-0000-00000D0C0000}"/>
    <cellStyle name="Normal 2 32 11" xfId="2531" xr:uid="{00000000-0005-0000-0000-00000E0C0000}"/>
    <cellStyle name="Normal 2 32 11 2" xfId="2532" xr:uid="{00000000-0005-0000-0000-00000F0C0000}"/>
    <cellStyle name="Normal 2 32 11 2 2" xfId="2533" xr:uid="{00000000-0005-0000-0000-0000100C0000}"/>
    <cellStyle name="Normal 2 32 11 3" xfId="2534" xr:uid="{00000000-0005-0000-0000-0000110C0000}"/>
    <cellStyle name="Normal 2 32 12" xfId="2535" xr:uid="{00000000-0005-0000-0000-0000120C0000}"/>
    <cellStyle name="Normal 2 32 12 2" xfId="2536" xr:uid="{00000000-0005-0000-0000-0000130C0000}"/>
    <cellStyle name="Normal 2 32 12 2 2" xfId="2537" xr:uid="{00000000-0005-0000-0000-0000140C0000}"/>
    <cellStyle name="Normal 2 32 12 3" xfId="2538" xr:uid="{00000000-0005-0000-0000-0000150C0000}"/>
    <cellStyle name="Normal 2 32 13" xfId="2539" xr:uid="{00000000-0005-0000-0000-0000160C0000}"/>
    <cellStyle name="Normal 2 32 13 2" xfId="2540" xr:uid="{00000000-0005-0000-0000-0000170C0000}"/>
    <cellStyle name="Normal 2 32 13 2 2" xfId="2541" xr:uid="{00000000-0005-0000-0000-0000180C0000}"/>
    <cellStyle name="Normal 2 32 13 3" xfId="2542" xr:uid="{00000000-0005-0000-0000-0000190C0000}"/>
    <cellStyle name="Normal 2 32 14" xfId="2543" xr:uid="{00000000-0005-0000-0000-00001A0C0000}"/>
    <cellStyle name="Normal 2 32 14 2" xfId="2544" xr:uid="{00000000-0005-0000-0000-00001B0C0000}"/>
    <cellStyle name="Normal 2 32 14 2 2" xfId="2545" xr:uid="{00000000-0005-0000-0000-00001C0C0000}"/>
    <cellStyle name="Normal 2 32 14 3" xfId="2546" xr:uid="{00000000-0005-0000-0000-00001D0C0000}"/>
    <cellStyle name="Normal 2 32 15" xfId="2547" xr:uid="{00000000-0005-0000-0000-00001E0C0000}"/>
    <cellStyle name="Normal 2 32 15 2" xfId="2548" xr:uid="{00000000-0005-0000-0000-00001F0C0000}"/>
    <cellStyle name="Normal 2 32 15 2 2" xfId="2549" xr:uid="{00000000-0005-0000-0000-0000200C0000}"/>
    <cellStyle name="Normal 2 32 15 3" xfId="2550" xr:uid="{00000000-0005-0000-0000-0000210C0000}"/>
    <cellStyle name="Normal 2 32 16" xfId="2551" xr:uid="{00000000-0005-0000-0000-0000220C0000}"/>
    <cellStyle name="Normal 2 32 16 2" xfId="2552" xr:uid="{00000000-0005-0000-0000-0000230C0000}"/>
    <cellStyle name="Normal 2 32 16 2 2" xfId="2553" xr:uid="{00000000-0005-0000-0000-0000240C0000}"/>
    <cellStyle name="Normal 2 32 16 3" xfId="2554" xr:uid="{00000000-0005-0000-0000-0000250C0000}"/>
    <cellStyle name="Normal 2 32 17" xfId="2555" xr:uid="{00000000-0005-0000-0000-0000260C0000}"/>
    <cellStyle name="Normal 2 32 17 2" xfId="2556" xr:uid="{00000000-0005-0000-0000-0000270C0000}"/>
    <cellStyle name="Normal 2 32 17 2 2" xfId="2557" xr:uid="{00000000-0005-0000-0000-0000280C0000}"/>
    <cellStyle name="Normal 2 32 17 3" xfId="2558" xr:uid="{00000000-0005-0000-0000-0000290C0000}"/>
    <cellStyle name="Normal 2 32 18" xfId="2559" xr:uid="{00000000-0005-0000-0000-00002A0C0000}"/>
    <cellStyle name="Normal 2 32 18 2" xfId="2560" xr:uid="{00000000-0005-0000-0000-00002B0C0000}"/>
    <cellStyle name="Normal 2 32 18 2 2" xfId="2561" xr:uid="{00000000-0005-0000-0000-00002C0C0000}"/>
    <cellStyle name="Normal 2 32 18 3" xfId="2562" xr:uid="{00000000-0005-0000-0000-00002D0C0000}"/>
    <cellStyle name="Normal 2 32 19" xfId="2563" xr:uid="{00000000-0005-0000-0000-00002E0C0000}"/>
    <cellStyle name="Normal 2 32 19 2" xfId="2564" xr:uid="{00000000-0005-0000-0000-00002F0C0000}"/>
    <cellStyle name="Normal 2 32 19 2 2" xfId="2565" xr:uid="{00000000-0005-0000-0000-0000300C0000}"/>
    <cellStyle name="Normal 2 32 19 3" xfId="2566" xr:uid="{00000000-0005-0000-0000-0000310C0000}"/>
    <cellStyle name="Normal 2 32 2" xfId="2567" xr:uid="{00000000-0005-0000-0000-0000320C0000}"/>
    <cellStyle name="Normal 2 32 2 2" xfId="2568" xr:uid="{00000000-0005-0000-0000-0000330C0000}"/>
    <cellStyle name="Normal 2 32 2 2 2" xfId="2569" xr:uid="{00000000-0005-0000-0000-0000340C0000}"/>
    <cellStyle name="Normal 2 32 2 3" xfId="2570" xr:uid="{00000000-0005-0000-0000-0000350C0000}"/>
    <cellStyle name="Normal 2 32 20" xfId="2571" xr:uid="{00000000-0005-0000-0000-0000360C0000}"/>
    <cellStyle name="Normal 2 32 20 2" xfId="2572" xr:uid="{00000000-0005-0000-0000-0000370C0000}"/>
    <cellStyle name="Normal 2 32 20 2 2" xfId="2573" xr:uid="{00000000-0005-0000-0000-0000380C0000}"/>
    <cellStyle name="Normal 2 32 20 3" xfId="2574" xr:uid="{00000000-0005-0000-0000-0000390C0000}"/>
    <cellStyle name="Normal 2 32 21" xfId="2575" xr:uid="{00000000-0005-0000-0000-00003A0C0000}"/>
    <cellStyle name="Normal 2 32 21 2" xfId="2576" xr:uid="{00000000-0005-0000-0000-00003B0C0000}"/>
    <cellStyle name="Normal 2 32 21 2 2" xfId="2577" xr:uid="{00000000-0005-0000-0000-00003C0C0000}"/>
    <cellStyle name="Normal 2 32 21 3" xfId="2578" xr:uid="{00000000-0005-0000-0000-00003D0C0000}"/>
    <cellStyle name="Normal 2 32 22" xfId="2579" xr:uid="{00000000-0005-0000-0000-00003E0C0000}"/>
    <cellStyle name="Normal 2 32 22 2" xfId="2580" xr:uid="{00000000-0005-0000-0000-00003F0C0000}"/>
    <cellStyle name="Normal 2 32 22 2 2" xfId="2581" xr:uid="{00000000-0005-0000-0000-0000400C0000}"/>
    <cellStyle name="Normal 2 32 22 3" xfId="2582" xr:uid="{00000000-0005-0000-0000-0000410C0000}"/>
    <cellStyle name="Normal 2 32 23" xfId="2583" xr:uid="{00000000-0005-0000-0000-0000420C0000}"/>
    <cellStyle name="Normal 2 32 23 2" xfId="2584" xr:uid="{00000000-0005-0000-0000-0000430C0000}"/>
    <cellStyle name="Normal 2 32 23 2 2" xfId="2585" xr:uid="{00000000-0005-0000-0000-0000440C0000}"/>
    <cellStyle name="Normal 2 32 23 3" xfId="2586" xr:uid="{00000000-0005-0000-0000-0000450C0000}"/>
    <cellStyle name="Normal 2 32 24" xfId="2587" xr:uid="{00000000-0005-0000-0000-0000460C0000}"/>
    <cellStyle name="Normal 2 32 24 2" xfId="2588" xr:uid="{00000000-0005-0000-0000-0000470C0000}"/>
    <cellStyle name="Normal 2 32 25" xfId="2589" xr:uid="{00000000-0005-0000-0000-0000480C0000}"/>
    <cellStyle name="Normal 2 32 3" xfId="2590" xr:uid="{00000000-0005-0000-0000-0000490C0000}"/>
    <cellStyle name="Normal 2 32 3 2" xfId="2591" xr:uid="{00000000-0005-0000-0000-00004A0C0000}"/>
    <cellStyle name="Normal 2 32 3 2 2" xfId="2592" xr:uid="{00000000-0005-0000-0000-00004B0C0000}"/>
    <cellStyle name="Normal 2 32 3 3" xfId="2593" xr:uid="{00000000-0005-0000-0000-00004C0C0000}"/>
    <cellStyle name="Normal 2 32 4" xfId="2594" xr:uid="{00000000-0005-0000-0000-00004D0C0000}"/>
    <cellStyle name="Normal 2 32 4 2" xfId="2595" xr:uid="{00000000-0005-0000-0000-00004E0C0000}"/>
    <cellStyle name="Normal 2 32 4 2 2" xfId="2596" xr:uid="{00000000-0005-0000-0000-00004F0C0000}"/>
    <cellStyle name="Normal 2 32 4 3" xfId="2597" xr:uid="{00000000-0005-0000-0000-0000500C0000}"/>
    <cellStyle name="Normal 2 32 5" xfId="2598" xr:uid="{00000000-0005-0000-0000-0000510C0000}"/>
    <cellStyle name="Normal 2 32 5 2" xfId="2599" xr:uid="{00000000-0005-0000-0000-0000520C0000}"/>
    <cellStyle name="Normal 2 32 5 2 2" xfId="2600" xr:uid="{00000000-0005-0000-0000-0000530C0000}"/>
    <cellStyle name="Normal 2 32 5 3" xfId="2601" xr:uid="{00000000-0005-0000-0000-0000540C0000}"/>
    <cellStyle name="Normal 2 32 6" xfId="2602" xr:uid="{00000000-0005-0000-0000-0000550C0000}"/>
    <cellStyle name="Normal 2 32 6 2" xfId="2603" xr:uid="{00000000-0005-0000-0000-0000560C0000}"/>
    <cellStyle name="Normal 2 32 6 2 2" xfId="2604" xr:uid="{00000000-0005-0000-0000-0000570C0000}"/>
    <cellStyle name="Normal 2 32 6 3" xfId="2605" xr:uid="{00000000-0005-0000-0000-0000580C0000}"/>
    <cellStyle name="Normal 2 32 7" xfId="2606" xr:uid="{00000000-0005-0000-0000-0000590C0000}"/>
    <cellStyle name="Normal 2 32 7 2" xfId="2607" xr:uid="{00000000-0005-0000-0000-00005A0C0000}"/>
    <cellStyle name="Normal 2 32 7 2 2" xfId="2608" xr:uid="{00000000-0005-0000-0000-00005B0C0000}"/>
    <cellStyle name="Normal 2 32 7 3" xfId="2609" xr:uid="{00000000-0005-0000-0000-00005C0C0000}"/>
    <cellStyle name="Normal 2 32 8" xfId="2610" xr:uid="{00000000-0005-0000-0000-00005D0C0000}"/>
    <cellStyle name="Normal 2 32 8 2" xfId="2611" xr:uid="{00000000-0005-0000-0000-00005E0C0000}"/>
    <cellStyle name="Normal 2 32 8 2 2" xfId="2612" xr:uid="{00000000-0005-0000-0000-00005F0C0000}"/>
    <cellStyle name="Normal 2 32 8 3" xfId="2613" xr:uid="{00000000-0005-0000-0000-0000600C0000}"/>
    <cellStyle name="Normal 2 32 9" xfId="2614" xr:uid="{00000000-0005-0000-0000-0000610C0000}"/>
    <cellStyle name="Normal 2 32 9 2" xfId="2615" xr:uid="{00000000-0005-0000-0000-0000620C0000}"/>
    <cellStyle name="Normal 2 32 9 2 2" xfId="2616" xr:uid="{00000000-0005-0000-0000-0000630C0000}"/>
    <cellStyle name="Normal 2 32 9 3" xfId="2617" xr:uid="{00000000-0005-0000-0000-0000640C0000}"/>
    <cellStyle name="Normal 2 33" xfId="2618" xr:uid="{00000000-0005-0000-0000-0000650C0000}"/>
    <cellStyle name="Normal 2 33 10" xfId="2619" xr:uid="{00000000-0005-0000-0000-0000660C0000}"/>
    <cellStyle name="Normal 2 33 10 2" xfId="2620" xr:uid="{00000000-0005-0000-0000-0000670C0000}"/>
    <cellStyle name="Normal 2 33 10 2 2" xfId="2621" xr:uid="{00000000-0005-0000-0000-0000680C0000}"/>
    <cellStyle name="Normal 2 33 10 3" xfId="2622" xr:uid="{00000000-0005-0000-0000-0000690C0000}"/>
    <cellStyle name="Normal 2 33 11" xfId="2623" xr:uid="{00000000-0005-0000-0000-00006A0C0000}"/>
    <cellStyle name="Normal 2 33 11 2" xfId="2624" xr:uid="{00000000-0005-0000-0000-00006B0C0000}"/>
    <cellStyle name="Normal 2 33 11 2 2" xfId="2625" xr:uid="{00000000-0005-0000-0000-00006C0C0000}"/>
    <cellStyle name="Normal 2 33 11 3" xfId="2626" xr:uid="{00000000-0005-0000-0000-00006D0C0000}"/>
    <cellStyle name="Normal 2 33 12" xfId="2627" xr:uid="{00000000-0005-0000-0000-00006E0C0000}"/>
    <cellStyle name="Normal 2 33 12 2" xfId="2628" xr:uid="{00000000-0005-0000-0000-00006F0C0000}"/>
    <cellStyle name="Normal 2 33 12 2 2" xfId="2629" xr:uid="{00000000-0005-0000-0000-0000700C0000}"/>
    <cellStyle name="Normal 2 33 12 3" xfId="2630" xr:uid="{00000000-0005-0000-0000-0000710C0000}"/>
    <cellStyle name="Normal 2 33 13" xfId="2631" xr:uid="{00000000-0005-0000-0000-0000720C0000}"/>
    <cellStyle name="Normal 2 33 13 2" xfId="2632" xr:uid="{00000000-0005-0000-0000-0000730C0000}"/>
    <cellStyle name="Normal 2 33 13 2 2" xfId="2633" xr:uid="{00000000-0005-0000-0000-0000740C0000}"/>
    <cellStyle name="Normal 2 33 13 3" xfId="2634" xr:uid="{00000000-0005-0000-0000-0000750C0000}"/>
    <cellStyle name="Normal 2 33 14" xfId="2635" xr:uid="{00000000-0005-0000-0000-0000760C0000}"/>
    <cellStyle name="Normal 2 33 14 2" xfId="2636" xr:uid="{00000000-0005-0000-0000-0000770C0000}"/>
    <cellStyle name="Normal 2 33 14 2 2" xfId="2637" xr:uid="{00000000-0005-0000-0000-0000780C0000}"/>
    <cellStyle name="Normal 2 33 14 3" xfId="2638" xr:uid="{00000000-0005-0000-0000-0000790C0000}"/>
    <cellStyle name="Normal 2 33 15" xfId="2639" xr:uid="{00000000-0005-0000-0000-00007A0C0000}"/>
    <cellStyle name="Normal 2 33 15 2" xfId="2640" xr:uid="{00000000-0005-0000-0000-00007B0C0000}"/>
    <cellStyle name="Normal 2 33 15 2 2" xfId="2641" xr:uid="{00000000-0005-0000-0000-00007C0C0000}"/>
    <cellStyle name="Normal 2 33 15 3" xfId="2642" xr:uid="{00000000-0005-0000-0000-00007D0C0000}"/>
    <cellStyle name="Normal 2 33 16" xfId="2643" xr:uid="{00000000-0005-0000-0000-00007E0C0000}"/>
    <cellStyle name="Normal 2 33 16 2" xfId="2644" xr:uid="{00000000-0005-0000-0000-00007F0C0000}"/>
    <cellStyle name="Normal 2 33 16 2 2" xfId="2645" xr:uid="{00000000-0005-0000-0000-0000800C0000}"/>
    <cellStyle name="Normal 2 33 16 3" xfId="2646" xr:uid="{00000000-0005-0000-0000-0000810C0000}"/>
    <cellStyle name="Normal 2 33 17" xfId="2647" xr:uid="{00000000-0005-0000-0000-0000820C0000}"/>
    <cellStyle name="Normal 2 33 17 2" xfId="2648" xr:uid="{00000000-0005-0000-0000-0000830C0000}"/>
    <cellStyle name="Normal 2 33 17 2 2" xfId="2649" xr:uid="{00000000-0005-0000-0000-0000840C0000}"/>
    <cellStyle name="Normal 2 33 17 3" xfId="2650" xr:uid="{00000000-0005-0000-0000-0000850C0000}"/>
    <cellStyle name="Normal 2 33 18" xfId="2651" xr:uid="{00000000-0005-0000-0000-0000860C0000}"/>
    <cellStyle name="Normal 2 33 18 2" xfId="2652" xr:uid="{00000000-0005-0000-0000-0000870C0000}"/>
    <cellStyle name="Normal 2 33 18 2 2" xfId="2653" xr:uid="{00000000-0005-0000-0000-0000880C0000}"/>
    <cellStyle name="Normal 2 33 18 3" xfId="2654" xr:uid="{00000000-0005-0000-0000-0000890C0000}"/>
    <cellStyle name="Normal 2 33 19" xfId="2655" xr:uid="{00000000-0005-0000-0000-00008A0C0000}"/>
    <cellStyle name="Normal 2 33 19 2" xfId="2656" xr:uid="{00000000-0005-0000-0000-00008B0C0000}"/>
    <cellStyle name="Normal 2 33 19 2 2" xfId="2657" xr:uid="{00000000-0005-0000-0000-00008C0C0000}"/>
    <cellStyle name="Normal 2 33 19 3" xfId="2658" xr:uid="{00000000-0005-0000-0000-00008D0C0000}"/>
    <cellStyle name="Normal 2 33 2" xfId="2659" xr:uid="{00000000-0005-0000-0000-00008E0C0000}"/>
    <cellStyle name="Normal 2 33 2 2" xfId="2660" xr:uid="{00000000-0005-0000-0000-00008F0C0000}"/>
    <cellStyle name="Normal 2 33 2 2 2" xfId="2661" xr:uid="{00000000-0005-0000-0000-0000900C0000}"/>
    <cellStyle name="Normal 2 33 2 3" xfId="2662" xr:uid="{00000000-0005-0000-0000-0000910C0000}"/>
    <cellStyle name="Normal 2 33 20" xfId="2663" xr:uid="{00000000-0005-0000-0000-0000920C0000}"/>
    <cellStyle name="Normal 2 33 20 2" xfId="2664" xr:uid="{00000000-0005-0000-0000-0000930C0000}"/>
    <cellStyle name="Normal 2 33 20 2 2" xfId="2665" xr:uid="{00000000-0005-0000-0000-0000940C0000}"/>
    <cellStyle name="Normal 2 33 20 3" xfId="2666" xr:uid="{00000000-0005-0000-0000-0000950C0000}"/>
    <cellStyle name="Normal 2 33 21" xfId="2667" xr:uid="{00000000-0005-0000-0000-0000960C0000}"/>
    <cellStyle name="Normal 2 33 21 2" xfId="2668" xr:uid="{00000000-0005-0000-0000-0000970C0000}"/>
    <cellStyle name="Normal 2 33 21 2 2" xfId="2669" xr:uid="{00000000-0005-0000-0000-0000980C0000}"/>
    <cellStyle name="Normal 2 33 21 3" xfId="2670" xr:uid="{00000000-0005-0000-0000-0000990C0000}"/>
    <cellStyle name="Normal 2 33 22" xfId="2671" xr:uid="{00000000-0005-0000-0000-00009A0C0000}"/>
    <cellStyle name="Normal 2 33 22 2" xfId="2672" xr:uid="{00000000-0005-0000-0000-00009B0C0000}"/>
    <cellStyle name="Normal 2 33 22 2 2" xfId="2673" xr:uid="{00000000-0005-0000-0000-00009C0C0000}"/>
    <cellStyle name="Normal 2 33 22 3" xfId="2674" xr:uid="{00000000-0005-0000-0000-00009D0C0000}"/>
    <cellStyle name="Normal 2 33 23" xfId="2675" xr:uid="{00000000-0005-0000-0000-00009E0C0000}"/>
    <cellStyle name="Normal 2 33 23 2" xfId="2676" xr:uid="{00000000-0005-0000-0000-00009F0C0000}"/>
    <cellStyle name="Normal 2 33 23 2 2" xfId="2677" xr:uid="{00000000-0005-0000-0000-0000A00C0000}"/>
    <cellStyle name="Normal 2 33 23 3" xfId="2678" xr:uid="{00000000-0005-0000-0000-0000A10C0000}"/>
    <cellStyle name="Normal 2 33 24" xfId="2679" xr:uid="{00000000-0005-0000-0000-0000A20C0000}"/>
    <cellStyle name="Normal 2 33 24 2" xfId="2680" xr:uid="{00000000-0005-0000-0000-0000A30C0000}"/>
    <cellStyle name="Normal 2 33 25" xfId="2681" xr:uid="{00000000-0005-0000-0000-0000A40C0000}"/>
    <cellStyle name="Normal 2 33 3" xfId="2682" xr:uid="{00000000-0005-0000-0000-0000A50C0000}"/>
    <cellStyle name="Normal 2 33 3 2" xfId="2683" xr:uid="{00000000-0005-0000-0000-0000A60C0000}"/>
    <cellStyle name="Normal 2 33 3 2 2" xfId="2684" xr:uid="{00000000-0005-0000-0000-0000A70C0000}"/>
    <cellStyle name="Normal 2 33 3 3" xfId="2685" xr:uid="{00000000-0005-0000-0000-0000A80C0000}"/>
    <cellStyle name="Normal 2 33 4" xfId="2686" xr:uid="{00000000-0005-0000-0000-0000A90C0000}"/>
    <cellStyle name="Normal 2 33 4 2" xfId="2687" xr:uid="{00000000-0005-0000-0000-0000AA0C0000}"/>
    <cellStyle name="Normal 2 33 4 2 2" xfId="2688" xr:uid="{00000000-0005-0000-0000-0000AB0C0000}"/>
    <cellStyle name="Normal 2 33 4 3" xfId="2689" xr:uid="{00000000-0005-0000-0000-0000AC0C0000}"/>
    <cellStyle name="Normal 2 33 5" xfId="2690" xr:uid="{00000000-0005-0000-0000-0000AD0C0000}"/>
    <cellStyle name="Normal 2 33 5 2" xfId="2691" xr:uid="{00000000-0005-0000-0000-0000AE0C0000}"/>
    <cellStyle name="Normal 2 33 5 2 2" xfId="2692" xr:uid="{00000000-0005-0000-0000-0000AF0C0000}"/>
    <cellStyle name="Normal 2 33 5 3" xfId="2693" xr:uid="{00000000-0005-0000-0000-0000B00C0000}"/>
    <cellStyle name="Normal 2 33 6" xfId="2694" xr:uid="{00000000-0005-0000-0000-0000B10C0000}"/>
    <cellStyle name="Normal 2 33 6 2" xfId="2695" xr:uid="{00000000-0005-0000-0000-0000B20C0000}"/>
    <cellStyle name="Normal 2 33 6 2 2" xfId="2696" xr:uid="{00000000-0005-0000-0000-0000B30C0000}"/>
    <cellStyle name="Normal 2 33 6 3" xfId="2697" xr:uid="{00000000-0005-0000-0000-0000B40C0000}"/>
    <cellStyle name="Normal 2 33 7" xfId="2698" xr:uid="{00000000-0005-0000-0000-0000B50C0000}"/>
    <cellStyle name="Normal 2 33 7 2" xfId="2699" xr:uid="{00000000-0005-0000-0000-0000B60C0000}"/>
    <cellStyle name="Normal 2 33 7 2 2" xfId="2700" xr:uid="{00000000-0005-0000-0000-0000B70C0000}"/>
    <cellStyle name="Normal 2 33 7 3" xfId="2701" xr:uid="{00000000-0005-0000-0000-0000B80C0000}"/>
    <cellStyle name="Normal 2 33 8" xfId="2702" xr:uid="{00000000-0005-0000-0000-0000B90C0000}"/>
    <cellStyle name="Normal 2 33 8 2" xfId="2703" xr:uid="{00000000-0005-0000-0000-0000BA0C0000}"/>
    <cellStyle name="Normal 2 33 8 2 2" xfId="2704" xr:uid="{00000000-0005-0000-0000-0000BB0C0000}"/>
    <cellStyle name="Normal 2 33 8 3" xfId="2705" xr:uid="{00000000-0005-0000-0000-0000BC0C0000}"/>
    <cellStyle name="Normal 2 33 9" xfId="2706" xr:uid="{00000000-0005-0000-0000-0000BD0C0000}"/>
    <cellStyle name="Normal 2 33 9 2" xfId="2707" xr:uid="{00000000-0005-0000-0000-0000BE0C0000}"/>
    <cellStyle name="Normal 2 33 9 2 2" xfId="2708" xr:uid="{00000000-0005-0000-0000-0000BF0C0000}"/>
    <cellStyle name="Normal 2 33 9 3" xfId="2709" xr:uid="{00000000-0005-0000-0000-0000C00C0000}"/>
    <cellStyle name="Normal 2 34" xfId="2710" xr:uid="{00000000-0005-0000-0000-0000C10C0000}"/>
    <cellStyle name="Normal 2 34 10" xfId="2711" xr:uid="{00000000-0005-0000-0000-0000C20C0000}"/>
    <cellStyle name="Normal 2 34 10 2" xfId="2712" xr:uid="{00000000-0005-0000-0000-0000C30C0000}"/>
    <cellStyle name="Normal 2 34 10 2 2" xfId="2713" xr:uid="{00000000-0005-0000-0000-0000C40C0000}"/>
    <cellStyle name="Normal 2 34 10 3" xfId="2714" xr:uid="{00000000-0005-0000-0000-0000C50C0000}"/>
    <cellStyle name="Normal 2 34 11" xfId="2715" xr:uid="{00000000-0005-0000-0000-0000C60C0000}"/>
    <cellStyle name="Normal 2 34 11 2" xfId="2716" xr:uid="{00000000-0005-0000-0000-0000C70C0000}"/>
    <cellStyle name="Normal 2 34 11 2 2" xfId="2717" xr:uid="{00000000-0005-0000-0000-0000C80C0000}"/>
    <cellStyle name="Normal 2 34 11 3" xfId="2718" xr:uid="{00000000-0005-0000-0000-0000C90C0000}"/>
    <cellStyle name="Normal 2 34 12" xfId="2719" xr:uid="{00000000-0005-0000-0000-0000CA0C0000}"/>
    <cellStyle name="Normal 2 34 12 2" xfId="2720" xr:uid="{00000000-0005-0000-0000-0000CB0C0000}"/>
    <cellStyle name="Normal 2 34 12 2 2" xfId="2721" xr:uid="{00000000-0005-0000-0000-0000CC0C0000}"/>
    <cellStyle name="Normal 2 34 12 3" xfId="2722" xr:uid="{00000000-0005-0000-0000-0000CD0C0000}"/>
    <cellStyle name="Normal 2 34 13" xfId="2723" xr:uid="{00000000-0005-0000-0000-0000CE0C0000}"/>
    <cellStyle name="Normal 2 34 13 2" xfId="2724" xr:uid="{00000000-0005-0000-0000-0000CF0C0000}"/>
    <cellStyle name="Normal 2 34 13 2 2" xfId="2725" xr:uid="{00000000-0005-0000-0000-0000D00C0000}"/>
    <cellStyle name="Normal 2 34 13 3" xfId="2726" xr:uid="{00000000-0005-0000-0000-0000D10C0000}"/>
    <cellStyle name="Normal 2 34 14" xfId="2727" xr:uid="{00000000-0005-0000-0000-0000D20C0000}"/>
    <cellStyle name="Normal 2 34 14 2" xfId="2728" xr:uid="{00000000-0005-0000-0000-0000D30C0000}"/>
    <cellStyle name="Normal 2 34 14 2 2" xfId="2729" xr:uid="{00000000-0005-0000-0000-0000D40C0000}"/>
    <cellStyle name="Normal 2 34 14 3" xfId="2730" xr:uid="{00000000-0005-0000-0000-0000D50C0000}"/>
    <cellStyle name="Normal 2 34 15" xfId="2731" xr:uid="{00000000-0005-0000-0000-0000D60C0000}"/>
    <cellStyle name="Normal 2 34 15 2" xfId="2732" xr:uid="{00000000-0005-0000-0000-0000D70C0000}"/>
    <cellStyle name="Normal 2 34 15 2 2" xfId="2733" xr:uid="{00000000-0005-0000-0000-0000D80C0000}"/>
    <cellStyle name="Normal 2 34 15 3" xfId="2734" xr:uid="{00000000-0005-0000-0000-0000D90C0000}"/>
    <cellStyle name="Normal 2 34 16" xfId="2735" xr:uid="{00000000-0005-0000-0000-0000DA0C0000}"/>
    <cellStyle name="Normal 2 34 16 2" xfId="2736" xr:uid="{00000000-0005-0000-0000-0000DB0C0000}"/>
    <cellStyle name="Normal 2 34 16 2 2" xfId="2737" xr:uid="{00000000-0005-0000-0000-0000DC0C0000}"/>
    <cellStyle name="Normal 2 34 16 3" xfId="2738" xr:uid="{00000000-0005-0000-0000-0000DD0C0000}"/>
    <cellStyle name="Normal 2 34 17" xfId="2739" xr:uid="{00000000-0005-0000-0000-0000DE0C0000}"/>
    <cellStyle name="Normal 2 34 17 2" xfId="2740" xr:uid="{00000000-0005-0000-0000-0000DF0C0000}"/>
    <cellStyle name="Normal 2 34 17 2 2" xfId="2741" xr:uid="{00000000-0005-0000-0000-0000E00C0000}"/>
    <cellStyle name="Normal 2 34 17 3" xfId="2742" xr:uid="{00000000-0005-0000-0000-0000E10C0000}"/>
    <cellStyle name="Normal 2 34 18" xfId="2743" xr:uid="{00000000-0005-0000-0000-0000E20C0000}"/>
    <cellStyle name="Normal 2 34 18 2" xfId="2744" xr:uid="{00000000-0005-0000-0000-0000E30C0000}"/>
    <cellStyle name="Normal 2 34 18 2 2" xfId="2745" xr:uid="{00000000-0005-0000-0000-0000E40C0000}"/>
    <cellStyle name="Normal 2 34 18 3" xfId="2746" xr:uid="{00000000-0005-0000-0000-0000E50C0000}"/>
    <cellStyle name="Normal 2 34 19" xfId="2747" xr:uid="{00000000-0005-0000-0000-0000E60C0000}"/>
    <cellStyle name="Normal 2 34 19 2" xfId="2748" xr:uid="{00000000-0005-0000-0000-0000E70C0000}"/>
    <cellStyle name="Normal 2 34 19 2 2" xfId="2749" xr:uid="{00000000-0005-0000-0000-0000E80C0000}"/>
    <cellStyle name="Normal 2 34 19 3" xfId="2750" xr:uid="{00000000-0005-0000-0000-0000E90C0000}"/>
    <cellStyle name="Normal 2 34 2" xfId="2751" xr:uid="{00000000-0005-0000-0000-0000EA0C0000}"/>
    <cellStyle name="Normal 2 34 2 2" xfId="2752" xr:uid="{00000000-0005-0000-0000-0000EB0C0000}"/>
    <cellStyle name="Normal 2 34 2 2 2" xfId="2753" xr:uid="{00000000-0005-0000-0000-0000EC0C0000}"/>
    <cellStyle name="Normal 2 34 2 3" xfId="2754" xr:uid="{00000000-0005-0000-0000-0000ED0C0000}"/>
    <cellStyle name="Normal 2 34 20" xfId="2755" xr:uid="{00000000-0005-0000-0000-0000EE0C0000}"/>
    <cellStyle name="Normal 2 34 20 2" xfId="2756" xr:uid="{00000000-0005-0000-0000-0000EF0C0000}"/>
    <cellStyle name="Normal 2 34 20 2 2" xfId="2757" xr:uid="{00000000-0005-0000-0000-0000F00C0000}"/>
    <cellStyle name="Normal 2 34 20 3" xfId="2758" xr:uid="{00000000-0005-0000-0000-0000F10C0000}"/>
    <cellStyle name="Normal 2 34 21" xfId="2759" xr:uid="{00000000-0005-0000-0000-0000F20C0000}"/>
    <cellStyle name="Normal 2 34 21 2" xfId="2760" xr:uid="{00000000-0005-0000-0000-0000F30C0000}"/>
    <cellStyle name="Normal 2 34 21 2 2" xfId="2761" xr:uid="{00000000-0005-0000-0000-0000F40C0000}"/>
    <cellStyle name="Normal 2 34 21 3" xfId="2762" xr:uid="{00000000-0005-0000-0000-0000F50C0000}"/>
    <cellStyle name="Normal 2 34 22" xfId="2763" xr:uid="{00000000-0005-0000-0000-0000F60C0000}"/>
    <cellStyle name="Normal 2 34 22 2" xfId="2764" xr:uid="{00000000-0005-0000-0000-0000F70C0000}"/>
    <cellStyle name="Normal 2 34 22 2 2" xfId="2765" xr:uid="{00000000-0005-0000-0000-0000F80C0000}"/>
    <cellStyle name="Normal 2 34 22 3" xfId="2766" xr:uid="{00000000-0005-0000-0000-0000F90C0000}"/>
    <cellStyle name="Normal 2 34 23" xfId="2767" xr:uid="{00000000-0005-0000-0000-0000FA0C0000}"/>
    <cellStyle name="Normal 2 34 23 2" xfId="2768" xr:uid="{00000000-0005-0000-0000-0000FB0C0000}"/>
    <cellStyle name="Normal 2 34 23 2 2" xfId="2769" xr:uid="{00000000-0005-0000-0000-0000FC0C0000}"/>
    <cellStyle name="Normal 2 34 23 3" xfId="2770" xr:uid="{00000000-0005-0000-0000-0000FD0C0000}"/>
    <cellStyle name="Normal 2 34 24" xfId="2771" xr:uid="{00000000-0005-0000-0000-0000FE0C0000}"/>
    <cellStyle name="Normal 2 34 24 2" xfId="2772" xr:uid="{00000000-0005-0000-0000-0000FF0C0000}"/>
    <cellStyle name="Normal 2 34 25" xfId="2773" xr:uid="{00000000-0005-0000-0000-0000000D0000}"/>
    <cellStyle name="Normal 2 34 3" xfId="2774" xr:uid="{00000000-0005-0000-0000-0000010D0000}"/>
    <cellStyle name="Normal 2 34 3 2" xfId="2775" xr:uid="{00000000-0005-0000-0000-0000020D0000}"/>
    <cellStyle name="Normal 2 34 3 2 2" xfId="2776" xr:uid="{00000000-0005-0000-0000-0000030D0000}"/>
    <cellStyle name="Normal 2 34 3 3" xfId="2777" xr:uid="{00000000-0005-0000-0000-0000040D0000}"/>
    <cellStyle name="Normal 2 34 4" xfId="2778" xr:uid="{00000000-0005-0000-0000-0000050D0000}"/>
    <cellStyle name="Normal 2 34 4 2" xfId="2779" xr:uid="{00000000-0005-0000-0000-0000060D0000}"/>
    <cellStyle name="Normal 2 34 4 2 2" xfId="2780" xr:uid="{00000000-0005-0000-0000-0000070D0000}"/>
    <cellStyle name="Normal 2 34 4 3" xfId="2781" xr:uid="{00000000-0005-0000-0000-0000080D0000}"/>
    <cellStyle name="Normal 2 34 5" xfId="2782" xr:uid="{00000000-0005-0000-0000-0000090D0000}"/>
    <cellStyle name="Normal 2 34 5 2" xfId="2783" xr:uid="{00000000-0005-0000-0000-00000A0D0000}"/>
    <cellStyle name="Normal 2 34 5 2 2" xfId="2784" xr:uid="{00000000-0005-0000-0000-00000B0D0000}"/>
    <cellStyle name="Normal 2 34 5 3" xfId="2785" xr:uid="{00000000-0005-0000-0000-00000C0D0000}"/>
    <cellStyle name="Normal 2 34 6" xfId="2786" xr:uid="{00000000-0005-0000-0000-00000D0D0000}"/>
    <cellStyle name="Normal 2 34 6 2" xfId="2787" xr:uid="{00000000-0005-0000-0000-00000E0D0000}"/>
    <cellStyle name="Normal 2 34 6 2 2" xfId="2788" xr:uid="{00000000-0005-0000-0000-00000F0D0000}"/>
    <cellStyle name="Normal 2 34 6 3" xfId="2789" xr:uid="{00000000-0005-0000-0000-0000100D0000}"/>
    <cellStyle name="Normal 2 34 7" xfId="2790" xr:uid="{00000000-0005-0000-0000-0000110D0000}"/>
    <cellStyle name="Normal 2 34 7 2" xfId="2791" xr:uid="{00000000-0005-0000-0000-0000120D0000}"/>
    <cellStyle name="Normal 2 34 7 2 2" xfId="2792" xr:uid="{00000000-0005-0000-0000-0000130D0000}"/>
    <cellStyle name="Normal 2 34 7 3" xfId="2793" xr:uid="{00000000-0005-0000-0000-0000140D0000}"/>
    <cellStyle name="Normal 2 34 8" xfId="2794" xr:uid="{00000000-0005-0000-0000-0000150D0000}"/>
    <cellStyle name="Normal 2 34 8 2" xfId="2795" xr:uid="{00000000-0005-0000-0000-0000160D0000}"/>
    <cellStyle name="Normal 2 34 8 2 2" xfId="2796" xr:uid="{00000000-0005-0000-0000-0000170D0000}"/>
    <cellStyle name="Normal 2 34 8 3" xfId="2797" xr:uid="{00000000-0005-0000-0000-0000180D0000}"/>
    <cellStyle name="Normal 2 34 9" xfId="2798" xr:uid="{00000000-0005-0000-0000-0000190D0000}"/>
    <cellStyle name="Normal 2 34 9 2" xfId="2799" xr:uid="{00000000-0005-0000-0000-00001A0D0000}"/>
    <cellStyle name="Normal 2 34 9 2 2" xfId="2800" xr:uid="{00000000-0005-0000-0000-00001B0D0000}"/>
    <cellStyle name="Normal 2 34 9 3" xfId="2801" xr:uid="{00000000-0005-0000-0000-00001C0D0000}"/>
    <cellStyle name="Normal 2 35" xfId="2802" xr:uid="{00000000-0005-0000-0000-00001D0D0000}"/>
    <cellStyle name="Normal 2 35 10" xfId="2803" xr:uid="{00000000-0005-0000-0000-00001E0D0000}"/>
    <cellStyle name="Normal 2 35 10 2" xfId="2804" xr:uid="{00000000-0005-0000-0000-00001F0D0000}"/>
    <cellStyle name="Normal 2 35 10 2 2" xfId="2805" xr:uid="{00000000-0005-0000-0000-0000200D0000}"/>
    <cellStyle name="Normal 2 35 10 3" xfId="2806" xr:uid="{00000000-0005-0000-0000-0000210D0000}"/>
    <cellStyle name="Normal 2 35 11" xfId="2807" xr:uid="{00000000-0005-0000-0000-0000220D0000}"/>
    <cellStyle name="Normal 2 35 11 2" xfId="2808" xr:uid="{00000000-0005-0000-0000-0000230D0000}"/>
    <cellStyle name="Normal 2 35 11 2 2" xfId="2809" xr:uid="{00000000-0005-0000-0000-0000240D0000}"/>
    <cellStyle name="Normal 2 35 11 3" xfId="2810" xr:uid="{00000000-0005-0000-0000-0000250D0000}"/>
    <cellStyle name="Normal 2 35 12" xfId="2811" xr:uid="{00000000-0005-0000-0000-0000260D0000}"/>
    <cellStyle name="Normal 2 35 12 2" xfId="2812" xr:uid="{00000000-0005-0000-0000-0000270D0000}"/>
    <cellStyle name="Normal 2 35 12 2 2" xfId="2813" xr:uid="{00000000-0005-0000-0000-0000280D0000}"/>
    <cellStyle name="Normal 2 35 12 3" xfId="2814" xr:uid="{00000000-0005-0000-0000-0000290D0000}"/>
    <cellStyle name="Normal 2 35 13" xfId="2815" xr:uid="{00000000-0005-0000-0000-00002A0D0000}"/>
    <cellStyle name="Normal 2 35 13 2" xfId="2816" xr:uid="{00000000-0005-0000-0000-00002B0D0000}"/>
    <cellStyle name="Normal 2 35 13 2 2" xfId="2817" xr:uid="{00000000-0005-0000-0000-00002C0D0000}"/>
    <cellStyle name="Normal 2 35 13 3" xfId="2818" xr:uid="{00000000-0005-0000-0000-00002D0D0000}"/>
    <cellStyle name="Normal 2 35 14" xfId="2819" xr:uid="{00000000-0005-0000-0000-00002E0D0000}"/>
    <cellStyle name="Normal 2 35 14 2" xfId="2820" xr:uid="{00000000-0005-0000-0000-00002F0D0000}"/>
    <cellStyle name="Normal 2 35 14 2 2" xfId="2821" xr:uid="{00000000-0005-0000-0000-0000300D0000}"/>
    <cellStyle name="Normal 2 35 14 3" xfId="2822" xr:uid="{00000000-0005-0000-0000-0000310D0000}"/>
    <cellStyle name="Normal 2 35 15" xfId="2823" xr:uid="{00000000-0005-0000-0000-0000320D0000}"/>
    <cellStyle name="Normal 2 35 15 2" xfId="2824" xr:uid="{00000000-0005-0000-0000-0000330D0000}"/>
    <cellStyle name="Normal 2 35 15 2 2" xfId="2825" xr:uid="{00000000-0005-0000-0000-0000340D0000}"/>
    <cellStyle name="Normal 2 35 15 3" xfId="2826" xr:uid="{00000000-0005-0000-0000-0000350D0000}"/>
    <cellStyle name="Normal 2 35 16" xfId="2827" xr:uid="{00000000-0005-0000-0000-0000360D0000}"/>
    <cellStyle name="Normal 2 35 16 2" xfId="2828" xr:uid="{00000000-0005-0000-0000-0000370D0000}"/>
    <cellStyle name="Normal 2 35 16 2 2" xfId="2829" xr:uid="{00000000-0005-0000-0000-0000380D0000}"/>
    <cellStyle name="Normal 2 35 16 3" xfId="2830" xr:uid="{00000000-0005-0000-0000-0000390D0000}"/>
    <cellStyle name="Normal 2 35 17" xfId="2831" xr:uid="{00000000-0005-0000-0000-00003A0D0000}"/>
    <cellStyle name="Normal 2 35 17 2" xfId="2832" xr:uid="{00000000-0005-0000-0000-00003B0D0000}"/>
    <cellStyle name="Normal 2 35 17 2 2" xfId="2833" xr:uid="{00000000-0005-0000-0000-00003C0D0000}"/>
    <cellStyle name="Normal 2 35 17 3" xfId="2834" xr:uid="{00000000-0005-0000-0000-00003D0D0000}"/>
    <cellStyle name="Normal 2 35 18" xfId="2835" xr:uid="{00000000-0005-0000-0000-00003E0D0000}"/>
    <cellStyle name="Normal 2 35 18 2" xfId="2836" xr:uid="{00000000-0005-0000-0000-00003F0D0000}"/>
    <cellStyle name="Normal 2 35 18 2 2" xfId="2837" xr:uid="{00000000-0005-0000-0000-0000400D0000}"/>
    <cellStyle name="Normal 2 35 18 3" xfId="2838" xr:uid="{00000000-0005-0000-0000-0000410D0000}"/>
    <cellStyle name="Normal 2 35 19" xfId="2839" xr:uid="{00000000-0005-0000-0000-0000420D0000}"/>
    <cellStyle name="Normal 2 35 19 2" xfId="2840" xr:uid="{00000000-0005-0000-0000-0000430D0000}"/>
    <cellStyle name="Normal 2 35 19 2 2" xfId="2841" xr:uid="{00000000-0005-0000-0000-0000440D0000}"/>
    <cellStyle name="Normal 2 35 19 3" xfId="2842" xr:uid="{00000000-0005-0000-0000-0000450D0000}"/>
    <cellStyle name="Normal 2 35 2" xfId="2843" xr:uid="{00000000-0005-0000-0000-0000460D0000}"/>
    <cellStyle name="Normal 2 35 2 2" xfId="2844" xr:uid="{00000000-0005-0000-0000-0000470D0000}"/>
    <cellStyle name="Normal 2 35 2 2 2" xfId="2845" xr:uid="{00000000-0005-0000-0000-0000480D0000}"/>
    <cellStyle name="Normal 2 35 2 3" xfId="2846" xr:uid="{00000000-0005-0000-0000-0000490D0000}"/>
    <cellStyle name="Normal 2 35 20" xfId="2847" xr:uid="{00000000-0005-0000-0000-00004A0D0000}"/>
    <cellStyle name="Normal 2 35 20 2" xfId="2848" xr:uid="{00000000-0005-0000-0000-00004B0D0000}"/>
    <cellStyle name="Normal 2 35 20 2 2" xfId="2849" xr:uid="{00000000-0005-0000-0000-00004C0D0000}"/>
    <cellStyle name="Normal 2 35 20 3" xfId="2850" xr:uid="{00000000-0005-0000-0000-00004D0D0000}"/>
    <cellStyle name="Normal 2 35 21" xfId="2851" xr:uid="{00000000-0005-0000-0000-00004E0D0000}"/>
    <cellStyle name="Normal 2 35 21 2" xfId="2852" xr:uid="{00000000-0005-0000-0000-00004F0D0000}"/>
    <cellStyle name="Normal 2 35 21 2 2" xfId="2853" xr:uid="{00000000-0005-0000-0000-0000500D0000}"/>
    <cellStyle name="Normal 2 35 21 3" xfId="2854" xr:uid="{00000000-0005-0000-0000-0000510D0000}"/>
    <cellStyle name="Normal 2 35 22" xfId="2855" xr:uid="{00000000-0005-0000-0000-0000520D0000}"/>
    <cellStyle name="Normal 2 35 22 2" xfId="2856" xr:uid="{00000000-0005-0000-0000-0000530D0000}"/>
    <cellStyle name="Normal 2 35 22 2 2" xfId="2857" xr:uid="{00000000-0005-0000-0000-0000540D0000}"/>
    <cellStyle name="Normal 2 35 22 3" xfId="2858" xr:uid="{00000000-0005-0000-0000-0000550D0000}"/>
    <cellStyle name="Normal 2 35 23" xfId="2859" xr:uid="{00000000-0005-0000-0000-0000560D0000}"/>
    <cellStyle name="Normal 2 35 23 2" xfId="2860" xr:uid="{00000000-0005-0000-0000-0000570D0000}"/>
    <cellStyle name="Normal 2 35 23 2 2" xfId="2861" xr:uid="{00000000-0005-0000-0000-0000580D0000}"/>
    <cellStyle name="Normal 2 35 23 3" xfId="2862" xr:uid="{00000000-0005-0000-0000-0000590D0000}"/>
    <cellStyle name="Normal 2 35 24" xfId="2863" xr:uid="{00000000-0005-0000-0000-00005A0D0000}"/>
    <cellStyle name="Normal 2 35 24 2" xfId="2864" xr:uid="{00000000-0005-0000-0000-00005B0D0000}"/>
    <cellStyle name="Normal 2 35 25" xfId="2865" xr:uid="{00000000-0005-0000-0000-00005C0D0000}"/>
    <cellStyle name="Normal 2 35 3" xfId="2866" xr:uid="{00000000-0005-0000-0000-00005D0D0000}"/>
    <cellStyle name="Normal 2 35 3 2" xfId="2867" xr:uid="{00000000-0005-0000-0000-00005E0D0000}"/>
    <cellStyle name="Normal 2 35 3 2 2" xfId="2868" xr:uid="{00000000-0005-0000-0000-00005F0D0000}"/>
    <cellStyle name="Normal 2 35 3 3" xfId="2869" xr:uid="{00000000-0005-0000-0000-0000600D0000}"/>
    <cellStyle name="Normal 2 35 4" xfId="2870" xr:uid="{00000000-0005-0000-0000-0000610D0000}"/>
    <cellStyle name="Normal 2 35 4 2" xfId="2871" xr:uid="{00000000-0005-0000-0000-0000620D0000}"/>
    <cellStyle name="Normal 2 35 4 2 2" xfId="2872" xr:uid="{00000000-0005-0000-0000-0000630D0000}"/>
    <cellStyle name="Normal 2 35 4 3" xfId="2873" xr:uid="{00000000-0005-0000-0000-0000640D0000}"/>
    <cellStyle name="Normal 2 35 5" xfId="2874" xr:uid="{00000000-0005-0000-0000-0000650D0000}"/>
    <cellStyle name="Normal 2 35 5 2" xfId="2875" xr:uid="{00000000-0005-0000-0000-0000660D0000}"/>
    <cellStyle name="Normal 2 35 5 2 2" xfId="2876" xr:uid="{00000000-0005-0000-0000-0000670D0000}"/>
    <cellStyle name="Normal 2 35 5 3" xfId="2877" xr:uid="{00000000-0005-0000-0000-0000680D0000}"/>
    <cellStyle name="Normal 2 35 6" xfId="2878" xr:uid="{00000000-0005-0000-0000-0000690D0000}"/>
    <cellStyle name="Normal 2 35 6 2" xfId="2879" xr:uid="{00000000-0005-0000-0000-00006A0D0000}"/>
    <cellStyle name="Normal 2 35 6 2 2" xfId="2880" xr:uid="{00000000-0005-0000-0000-00006B0D0000}"/>
    <cellStyle name="Normal 2 35 6 3" xfId="2881" xr:uid="{00000000-0005-0000-0000-00006C0D0000}"/>
    <cellStyle name="Normal 2 35 7" xfId="2882" xr:uid="{00000000-0005-0000-0000-00006D0D0000}"/>
    <cellStyle name="Normal 2 35 7 2" xfId="2883" xr:uid="{00000000-0005-0000-0000-00006E0D0000}"/>
    <cellStyle name="Normal 2 35 7 2 2" xfId="2884" xr:uid="{00000000-0005-0000-0000-00006F0D0000}"/>
    <cellStyle name="Normal 2 35 7 3" xfId="2885" xr:uid="{00000000-0005-0000-0000-0000700D0000}"/>
    <cellStyle name="Normal 2 35 8" xfId="2886" xr:uid="{00000000-0005-0000-0000-0000710D0000}"/>
    <cellStyle name="Normal 2 35 8 2" xfId="2887" xr:uid="{00000000-0005-0000-0000-0000720D0000}"/>
    <cellStyle name="Normal 2 35 8 2 2" xfId="2888" xr:uid="{00000000-0005-0000-0000-0000730D0000}"/>
    <cellStyle name="Normal 2 35 8 3" xfId="2889" xr:uid="{00000000-0005-0000-0000-0000740D0000}"/>
    <cellStyle name="Normal 2 35 9" xfId="2890" xr:uid="{00000000-0005-0000-0000-0000750D0000}"/>
    <cellStyle name="Normal 2 35 9 2" xfId="2891" xr:uid="{00000000-0005-0000-0000-0000760D0000}"/>
    <cellStyle name="Normal 2 35 9 2 2" xfId="2892" xr:uid="{00000000-0005-0000-0000-0000770D0000}"/>
    <cellStyle name="Normal 2 35 9 3" xfId="2893" xr:uid="{00000000-0005-0000-0000-0000780D0000}"/>
    <cellStyle name="Normal 2 36" xfId="2894" xr:uid="{00000000-0005-0000-0000-0000790D0000}"/>
    <cellStyle name="Normal 2 36 10" xfId="2895" xr:uid="{00000000-0005-0000-0000-00007A0D0000}"/>
    <cellStyle name="Normal 2 36 10 2" xfId="2896" xr:uid="{00000000-0005-0000-0000-00007B0D0000}"/>
    <cellStyle name="Normal 2 36 10 2 2" xfId="2897" xr:uid="{00000000-0005-0000-0000-00007C0D0000}"/>
    <cellStyle name="Normal 2 36 10 3" xfId="2898" xr:uid="{00000000-0005-0000-0000-00007D0D0000}"/>
    <cellStyle name="Normal 2 36 11" xfId="2899" xr:uid="{00000000-0005-0000-0000-00007E0D0000}"/>
    <cellStyle name="Normal 2 36 11 2" xfId="2900" xr:uid="{00000000-0005-0000-0000-00007F0D0000}"/>
    <cellStyle name="Normal 2 36 11 2 2" xfId="2901" xr:uid="{00000000-0005-0000-0000-0000800D0000}"/>
    <cellStyle name="Normal 2 36 11 3" xfId="2902" xr:uid="{00000000-0005-0000-0000-0000810D0000}"/>
    <cellStyle name="Normal 2 36 12" xfId="2903" xr:uid="{00000000-0005-0000-0000-0000820D0000}"/>
    <cellStyle name="Normal 2 36 12 2" xfId="2904" xr:uid="{00000000-0005-0000-0000-0000830D0000}"/>
    <cellStyle name="Normal 2 36 12 2 2" xfId="2905" xr:uid="{00000000-0005-0000-0000-0000840D0000}"/>
    <cellStyle name="Normal 2 36 12 3" xfId="2906" xr:uid="{00000000-0005-0000-0000-0000850D0000}"/>
    <cellStyle name="Normal 2 36 13" xfId="2907" xr:uid="{00000000-0005-0000-0000-0000860D0000}"/>
    <cellStyle name="Normal 2 36 13 2" xfId="2908" xr:uid="{00000000-0005-0000-0000-0000870D0000}"/>
    <cellStyle name="Normal 2 36 13 2 2" xfId="2909" xr:uid="{00000000-0005-0000-0000-0000880D0000}"/>
    <cellStyle name="Normal 2 36 13 3" xfId="2910" xr:uid="{00000000-0005-0000-0000-0000890D0000}"/>
    <cellStyle name="Normal 2 36 14" xfId="2911" xr:uid="{00000000-0005-0000-0000-00008A0D0000}"/>
    <cellStyle name="Normal 2 36 14 2" xfId="2912" xr:uid="{00000000-0005-0000-0000-00008B0D0000}"/>
    <cellStyle name="Normal 2 36 14 2 2" xfId="2913" xr:uid="{00000000-0005-0000-0000-00008C0D0000}"/>
    <cellStyle name="Normal 2 36 14 3" xfId="2914" xr:uid="{00000000-0005-0000-0000-00008D0D0000}"/>
    <cellStyle name="Normal 2 36 15" xfId="2915" xr:uid="{00000000-0005-0000-0000-00008E0D0000}"/>
    <cellStyle name="Normal 2 36 15 2" xfId="2916" xr:uid="{00000000-0005-0000-0000-00008F0D0000}"/>
    <cellStyle name="Normal 2 36 15 2 2" xfId="2917" xr:uid="{00000000-0005-0000-0000-0000900D0000}"/>
    <cellStyle name="Normal 2 36 15 3" xfId="2918" xr:uid="{00000000-0005-0000-0000-0000910D0000}"/>
    <cellStyle name="Normal 2 36 16" xfId="2919" xr:uid="{00000000-0005-0000-0000-0000920D0000}"/>
    <cellStyle name="Normal 2 36 16 2" xfId="2920" xr:uid="{00000000-0005-0000-0000-0000930D0000}"/>
    <cellStyle name="Normal 2 36 16 2 2" xfId="2921" xr:uid="{00000000-0005-0000-0000-0000940D0000}"/>
    <cellStyle name="Normal 2 36 16 3" xfId="2922" xr:uid="{00000000-0005-0000-0000-0000950D0000}"/>
    <cellStyle name="Normal 2 36 17" xfId="2923" xr:uid="{00000000-0005-0000-0000-0000960D0000}"/>
    <cellStyle name="Normal 2 36 17 2" xfId="2924" xr:uid="{00000000-0005-0000-0000-0000970D0000}"/>
    <cellStyle name="Normal 2 36 17 2 2" xfId="2925" xr:uid="{00000000-0005-0000-0000-0000980D0000}"/>
    <cellStyle name="Normal 2 36 17 3" xfId="2926" xr:uid="{00000000-0005-0000-0000-0000990D0000}"/>
    <cellStyle name="Normal 2 36 18" xfId="2927" xr:uid="{00000000-0005-0000-0000-00009A0D0000}"/>
    <cellStyle name="Normal 2 36 18 2" xfId="2928" xr:uid="{00000000-0005-0000-0000-00009B0D0000}"/>
    <cellStyle name="Normal 2 36 18 2 2" xfId="2929" xr:uid="{00000000-0005-0000-0000-00009C0D0000}"/>
    <cellStyle name="Normal 2 36 18 3" xfId="2930" xr:uid="{00000000-0005-0000-0000-00009D0D0000}"/>
    <cellStyle name="Normal 2 36 19" xfId="2931" xr:uid="{00000000-0005-0000-0000-00009E0D0000}"/>
    <cellStyle name="Normal 2 36 19 2" xfId="2932" xr:uid="{00000000-0005-0000-0000-00009F0D0000}"/>
    <cellStyle name="Normal 2 36 19 2 2" xfId="2933" xr:uid="{00000000-0005-0000-0000-0000A00D0000}"/>
    <cellStyle name="Normal 2 36 19 3" xfId="2934" xr:uid="{00000000-0005-0000-0000-0000A10D0000}"/>
    <cellStyle name="Normal 2 36 2" xfId="2935" xr:uid="{00000000-0005-0000-0000-0000A20D0000}"/>
    <cellStyle name="Normal 2 36 2 2" xfId="2936" xr:uid="{00000000-0005-0000-0000-0000A30D0000}"/>
    <cellStyle name="Normal 2 36 2 2 2" xfId="2937" xr:uid="{00000000-0005-0000-0000-0000A40D0000}"/>
    <cellStyle name="Normal 2 36 2 3" xfId="2938" xr:uid="{00000000-0005-0000-0000-0000A50D0000}"/>
    <cellStyle name="Normal 2 36 20" xfId="2939" xr:uid="{00000000-0005-0000-0000-0000A60D0000}"/>
    <cellStyle name="Normal 2 36 20 2" xfId="2940" xr:uid="{00000000-0005-0000-0000-0000A70D0000}"/>
    <cellStyle name="Normal 2 36 20 2 2" xfId="2941" xr:uid="{00000000-0005-0000-0000-0000A80D0000}"/>
    <cellStyle name="Normal 2 36 20 3" xfId="2942" xr:uid="{00000000-0005-0000-0000-0000A90D0000}"/>
    <cellStyle name="Normal 2 36 21" xfId="2943" xr:uid="{00000000-0005-0000-0000-0000AA0D0000}"/>
    <cellStyle name="Normal 2 36 21 2" xfId="2944" xr:uid="{00000000-0005-0000-0000-0000AB0D0000}"/>
    <cellStyle name="Normal 2 36 21 2 2" xfId="2945" xr:uid="{00000000-0005-0000-0000-0000AC0D0000}"/>
    <cellStyle name="Normal 2 36 21 3" xfId="2946" xr:uid="{00000000-0005-0000-0000-0000AD0D0000}"/>
    <cellStyle name="Normal 2 36 22" xfId="2947" xr:uid="{00000000-0005-0000-0000-0000AE0D0000}"/>
    <cellStyle name="Normal 2 36 22 2" xfId="2948" xr:uid="{00000000-0005-0000-0000-0000AF0D0000}"/>
    <cellStyle name="Normal 2 36 22 2 2" xfId="2949" xr:uid="{00000000-0005-0000-0000-0000B00D0000}"/>
    <cellStyle name="Normal 2 36 22 3" xfId="2950" xr:uid="{00000000-0005-0000-0000-0000B10D0000}"/>
    <cellStyle name="Normal 2 36 23" xfId="2951" xr:uid="{00000000-0005-0000-0000-0000B20D0000}"/>
    <cellStyle name="Normal 2 36 23 2" xfId="2952" xr:uid="{00000000-0005-0000-0000-0000B30D0000}"/>
    <cellStyle name="Normal 2 36 23 2 2" xfId="2953" xr:uid="{00000000-0005-0000-0000-0000B40D0000}"/>
    <cellStyle name="Normal 2 36 23 3" xfId="2954" xr:uid="{00000000-0005-0000-0000-0000B50D0000}"/>
    <cellStyle name="Normal 2 36 24" xfId="2955" xr:uid="{00000000-0005-0000-0000-0000B60D0000}"/>
    <cellStyle name="Normal 2 36 24 2" xfId="2956" xr:uid="{00000000-0005-0000-0000-0000B70D0000}"/>
    <cellStyle name="Normal 2 36 25" xfId="2957" xr:uid="{00000000-0005-0000-0000-0000B80D0000}"/>
    <cellStyle name="Normal 2 36 3" xfId="2958" xr:uid="{00000000-0005-0000-0000-0000B90D0000}"/>
    <cellStyle name="Normal 2 36 3 2" xfId="2959" xr:uid="{00000000-0005-0000-0000-0000BA0D0000}"/>
    <cellStyle name="Normal 2 36 3 2 2" xfId="2960" xr:uid="{00000000-0005-0000-0000-0000BB0D0000}"/>
    <cellStyle name="Normal 2 36 3 3" xfId="2961" xr:uid="{00000000-0005-0000-0000-0000BC0D0000}"/>
    <cellStyle name="Normal 2 36 4" xfId="2962" xr:uid="{00000000-0005-0000-0000-0000BD0D0000}"/>
    <cellStyle name="Normal 2 36 4 2" xfId="2963" xr:uid="{00000000-0005-0000-0000-0000BE0D0000}"/>
    <cellStyle name="Normal 2 36 4 2 2" xfId="2964" xr:uid="{00000000-0005-0000-0000-0000BF0D0000}"/>
    <cellStyle name="Normal 2 36 4 3" xfId="2965" xr:uid="{00000000-0005-0000-0000-0000C00D0000}"/>
    <cellStyle name="Normal 2 36 5" xfId="2966" xr:uid="{00000000-0005-0000-0000-0000C10D0000}"/>
    <cellStyle name="Normal 2 36 5 2" xfId="2967" xr:uid="{00000000-0005-0000-0000-0000C20D0000}"/>
    <cellStyle name="Normal 2 36 5 2 2" xfId="2968" xr:uid="{00000000-0005-0000-0000-0000C30D0000}"/>
    <cellStyle name="Normal 2 36 5 3" xfId="2969" xr:uid="{00000000-0005-0000-0000-0000C40D0000}"/>
    <cellStyle name="Normal 2 36 6" xfId="2970" xr:uid="{00000000-0005-0000-0000-0000C50D0000}"/>
    <cellStyle name="Normal 2 36 6 2" xfId="2971" xr:uid="{00000000-0005-0000-0000-0000C60D0000}"/>
    <cellStyle name="Normal 2 36 6 2 2" xfId="2972" xr:uid="{00000000-0005-0000-0000-0000C70D0000}"/>
    <cellStyle name="Normal 2 36 6 3" xfId="2973" xr:uid="{00000000-0005-0000-0000-0000C80D0000}"/>
    <cellStyle name="Normal 2 36 7" xfId="2974" xr:uid="{00000000-0005-0000-0000-0000C90D0000}"/>
    <cellStyle name="Normal 2 36 7 2" xfId="2975" xr:uid="{00000000-0005-0000-0000-0000CA0D0000}"/>
    <cellStyle name="Normal 2 36 7 2 2" xfId="2976" xr:uid="{00000000-0005-0000-0000-0000CB0D0000}"/>
    <cellStyle name="Normal 2 36 7 3" xfId="2977" xr:uid="{00000000-0005-0000-0000-0000CC0D0000}"/>
    <cellStyle name="Normal 2 36 8" xfId="2978" xr:uid="{00000000-0005-0000-0000-0000CD0D0000}"/>
    <cellStyle name="Normal 2 36 8 2" xfId="2979" xr:uid="{00000000-0005-0000-0000-0000CE0D0000}"/>
    <cellStyle name="Normal 2 36 8 2 2" xfId="2980" xr:uid="{00000000-0005-0000-0000-0000CF0D0000}"/>
    <cellStyle name="Normal 2 36 8 3" xfId="2981" xr:uid="{00000000-0005-0000-0000-0000D00D0000}"/>
    <cellStyle name="Normal 2 36 9" xfId="2982" xr:uid="{00000000-0005-0000-0000-0000D10D0000}"/>
    <cellStyle name="Normal 2 36 9 2" xfId="2983" xr:uid="{00000000-0005-0000-0000-0000D20D0000}"/>
    <cellStyle name="Normal 2 36 9 2 2" xfId="2984" xr:uid="{00000000-0005-0000-0000-0000D30D0000}"/>
    <cellStyle name="Normal 2 36 9 3" xfId="2985" xr:uid="{00000000-0005-0000-0000-0000D40D0000}"/>
    <cellStyle name="Normal 2 37" xfId="2986" xr:uid="{00000000-0005-0000-0000-0000D50D0000}"/>
    <cellStyle name="Normal 2 37 10" xfId="2987" xr:uid="{00000000-0005-0000-0000-0000D60D0000}"/>
    <cellStyle name="Normal 2 37 10 2" xfId="2988" xr:uid="{00000000-0005-0000-0000-0000D70D0000}"/>
    <cellStyle name="Normal 2 37 10 2 2" xfId="2989" xr:uid="{00000000-0005-0000-0000-0000D80D0000}"/>
    <cellStyle name="Normal 2 37 10 3" xfId="2990" xr:uid="{00000000-0005-0000-0000-0000D90D0000}"/>
    <cellStyle name="Normal 2 37 11" xfId="2991" xr:uid="{00000000-0005-0000-0000-0000DA0D0000}"/>
    <cellStyle name="Normal 2 37 11 2" xfId="2992" xr:uid="{00000000-0005-0000-0000-0000DB0D0000}"/>
    <cellStyle name="Normal 2 37 11 2 2" xfId="2993" xr:uid="{00000000-0005-0000-0000-0000DC0D0000}"/>
    <cellStyle name="Normal 2 37 11 3" xfId="2994" xr:uid="{00000000-0005-0000-0000-0000DD0D0000}"/>
    <cellStyle name="Normal 2 37 12" xfId="2995" xr:uid="{00000000-0005-0000-0000-0000DE0D0000}"/>
    <cellStyle name="Normal 2 37 12 2" xfId="2996" xr:uid="{00000000-0005-0000-0000-0000DF0D0000}"/>
    <cellStyle name="Normal 2 37 12 2 2" xfId="2997" xr:uid="{00000000-0005-0000-0000-0000E00D0000}"/>
    <cellStyle name="Normal 2 37 12 3" xfId="2998" xr:uid="{00000000-0005-0000-0000-0000E10D0000}"/>
    <cellStyle name="Normal 2 37 13" xfId="2999" xr:uid="{00000000-0005-0000-0000-0000E20D0000}"/>
    <cellStyle name="Normal 2 37 13 2" xfId="3000" xr:uid="{00000000-0005-0000-0000-0000E30D0000}"/>
    <cellStyle name="Normal 2 37 13 2 2" xfId="3001" xr:uid="{00000000-0005-0000-0000-0000E40D0000}"/>
    <cellStyle name="Normal 2 37 13 3" xfId="3002" xr:uid="{00000000-0005-0000-0000-0000E50D0000}"/>
    <cellStyle name="Normal 2 37 14" xfId="3003" xr:uid="{00000000-0005-0000-0000-0000E60D0000}"/>
    <cellStyle name="Normal 2 37 14 2" xfId="3004" xr:uid="{00000000-0005-0000-0000-0000E70D0000}"/>
    <cellStyle name="Normal 2 37 14 2 2" xfId="3005" xr:uid="{00000000-0005-0000-0000-0000E80D0000}"/>
    <cellStyle name="Normal 2 37 14 3" xfId="3006" xr:uid="{00000000-0005-0000-0000-0000E90D0000}"/>
    <cellStyle name="Normal 2 37 15" xfId="3007" xr:uid="{00000000-0005-0000-0000-0000EA0D0000}"/>
    <cellStyle name="Normal 2 37 15 2" xfId="3008" xr:uid="{00000000-0005-0000-0000-0000EB0D0000}"/>
    <cellStyle name="Normal 2 37 15 2 2" xfId="3009" xr:uid="{00000000-0005-0000-0000-0000EC0D0000}"/>
    <cellStyle name="Normal 2 37 15 3" xfId="3010" xr:uid="{00000000-0005-0000-0000-0000ED0D0000}"/>
    <cellStyle name="Normal 2 37 16" xfId="3011" xr:uid="{00000000-0005-0000-0000-0000EE0D0000}"/>
    <cellStyle name="Normal 2 37 16 2" xfId="3012" xr:uid="{00000000-0005-0000-0000-0000EF0D0000}"/>
    <cellStyle name="Normal 2 37 16 2 2" xfId="3013" xr:uid="{00000000-0005-0000-0000-0000F00D0000}"/>
    <cellStyle name="Normal 2 37 16 3" xfId="3014" xr:uid="{00000000-0005-0000-0000-0000F10D0000}"/>
    <cellStyle name="Normal 2 37 17" xfId="3015" xr:uid="{00000000-0005-0000-0000-0000F20D0000}"/>
    <cellStyle name="Normal 2 37 17 2" xfId="3016" xr:uid="{00000000-0005-0000-0000-0000F30D0000}"/>
    <cellStyle name="Normal 2 37 17 2 2" xfId="3017" xr:uid="{00000000-0005-0000-0000-0000F40D0000}"/>
    <cellStyle name="Normal 2 37 17 3" xfId="3018" xr:uid="{00000000-0005-0000-0000-0000F50D0000}"/>
    <cellStyle name="Normal 2 37 18" xfId="3019" xr:uid="{00000000-0005-0000-0000-0000F60D0000}"/>
    <cellStyle name="Normal 2 37 18 2" xfId="3020" xr:uid="{00000000-0005-0000-0000-0000F70D0000}"/>
    <cellStyle name="Normal 2 37 18 2 2" xfId="3021" xr:uid="{00000000-0005-0000-0000-0000F80D0000}"/>
    <cellStyle name="Normal 2 37 18 3" xfId="3022" xr:uid="{00000000-0005-0000-0000-0000F90D0000}"/>
    <cellStyle name="Normal 2 37 19" xfId="3023" xr:uid="{00000000-0005-0000-0000-0000FA0D0000}"/>
    <cellStyle name="Normal 2 37 19 2" xfId="3024" xr:uid="{00000000-0005-0000-0000-0000FB0D0000}"/>
    <cellStyle name="Normal 2 37 19 2 2" xfId="3025" xr:uid="{00000000-0005-0000-0000-0000FC0D0000}"/>
    <cellStyle name="Normal 2 37 19 3" xfId="3026" xr:uid="{00000000-0005-0000-0000-0000FD0D0000}"/>
    <cellStyle name="Normal 2 37 2" xfId="3027" xr:uid="{00000000-0005-0000-0000-0000FE0D0000}"/>
    <cellStyle name="Normal 2 37 2 2" xfId="3028" xr:uid="{00000000-0005-0000-0000-0000FF0D0000}"/>
    <cellStyle name="Normal 2 37 2 2 2" xfId="3029" xr:uid="{00000000-0005-0000-0000-0000000E0000}"/>
    <cellStyle name="Normal 2 37 2 3" xfId="3030" xr:uid="{00000000-0005-0000-0000-0000010E0000}"/>
    <cellStyle name="Normal 2 37 20" xfId="3031" xr:uid="{00000000-0005-0000-0000-0000020E0000}"/>
    <cellStyle name="Normal 2 37 20 2" xfId="3032" xr:uid="{00000000-0005-0000-0000-0000030E0000}"/>
    <cellStyle name="Normal 2 37 20 2 2" xfId="3033" xr:uid="{00000000-0005-0000-0000-0000040E0000}"/>
    <cellStyle name="Normal 2 37 20 3" xfId="3034" xr:uid="{00000000-0005-0000-0000-0000050E0000}"/>
    <cellStyle name="Normal 2 37 21" xfId="3035" xr:uid="{00000000-0005-0000-0000-0000060E0000}"/>
    <cellStyle name="Normal 2 37 21 2" xfId="3036" xr:uid="{00000000-0005-0000-0000-0000070E0000}"/>
    <cellStyle name="Normal 2 37 21 2 2" xfId="3037" xr:uid="{00000000-0005-0000-0000-0000080E0000}"/>
    <cellStyle name="Normal 2 37 21 3" xfId="3038" xr:uid="{00000000-0005-0000-0000-0000090E0000}"/>
    <cellStyle name="Normal 2 37 22" xfId="3039" xr:uid="{00000000-0005-0000-0000-00000A0E0000}"/>
    <cellStyle name="Normal 2 37 22 2" xfId="3040" xr:uid="{00000000-0005-0000-0000-00000B0E0000}"/>
    <cellStyle name="Normal 2 37 22 2 2" xfId="3041" xr:uid="{00000000-0005-0000-0000-00000C0E0000}"/>
    <cellStyle name="Normal 2 37 22 3" xfId="3042" xr:uid="{00000000-0005-0000-0000-00000D0E0000}"/>
    <cellStyle name="Normal 2 37 23" xfId="3043" xr:uid="{00000000-0005-0000-0000-00000E0E0000}"/>
    <cellStyle name="Normal 2 37 23 2" xfId="3044" xr:uid="{00000000-0005-0000-0000-00000F0E0000}"/>
    <cellStyle name="Normal 2 37 23 2 2" xfId="3045" xr:uid="{00000000-0005-0000-0000-0000100E0000}"/>
    <cellStyle name="Normal 2 37 23 3" xfId="3046" xr:uid="{00000000-0005-0000-0000-0000110E0000}"/>
    <cellStyle name="Normal 2 37 24" xfId="3047" xr:uid="{00000000-0005-0000-0000-0000120E0000}"/>
    <cellStyle name="Normal 2 37 24 2" xfId="3048" xr:uid="{00000000-0005-0000-0000-0000130E0000}"/>
    <cellStyle name="Normal 2 37 25" xfId="3049" xr:uid="{00000000-0005-0000-0000-0000140E0000}"/>
    <cellStyle name="Normal 2 37 3" xfId="3050" xr:uid="{00000000-0005-0000-0000-0000150E0000}"/>
    <cellStyle name="Normal 2 37 3 2" xfId="3051" xr:uid="{00000000-0005-0000-0000-0000160E0000}"/>
    <cellStyle name="Normal 2 37 3 2 2" xfId="3052" xr:uid="{00000000-0005-0000-0000-0000170E0000}"/>
    <cellStyle name="Normal 2 37 3 3" xfId="3053" xr:uid="{00000000-0005-0000-0000-0000180E0000}"/>
    <cellStyle name="Normal 2 37 4" xfId="3054" xr:uid="{00000000-0005-0000-0000-0000190E0000}"/>
    <cellStyle name="Normal 2 37 4 2" xfId="3055" xr:uid="{00000000-0005-0000-0000-00001A0E0000}"/>
    <cellStyle name="Normal 2 37 4 2 2" xfId="3056" xr:uid="{00000000-0005-0000-0000-00001B0E0000}"/>
    <cellStyle name="Normal 2 37 4 3" xfId="3057" xr:uid="{00000000-0005-0000-0000-00001C0E0000}"/>
    <cellStyle name="Normal 2 37 5" xfId="3058" xr:uid="{00000000-0005-0000-0000-00001D0E0000}"/>
    <cellStyle name="Normal 2 37 5 2" xfId="3059" xr:uid="{00000000-0005-0000-0000-00001E0E0000}"/>
    <cellStyle name="Normal 2 37 5 2 2" xfId="3060" xr:uid="{00000000-0005-0000-0000-00001F0E0000}"/>
    <cellStyle name="Normal 2 37 5 3" xfId="3061" xr:uid="{00000000-0005-0000-0000-0000200E0000}"/>
    <cellStyle name="Normal 2 37 6" xfId="3062" xr:uid="{00000000-0005-0000-0000-0000210E0000}"/>
    <cellStyle name="Normal 2 37 6 2" xfId="3063" xr:uid="{00000000-0005-0000-0000-0000220E0000}"/>
    <cellStyle name="Normal 2 37 6 2 2" xfId="3064" xr:uid="{00000000-0005-0000-0000-0000230E0000}"/>
    <cellStyle name="Normal 2 37 6 3" xfId="3065" xr:uid="{00000000-0005-0000-0000-0000240E0000}"/>
    <cellStyle name="Normal 2 37 7" xfId="3066" xr:uid="{00000000-0005-0000-0000-0000250E0000}"/>
    <cellStyle name="Normal 2 37 7 2" xfId="3067" xr:uid="{00000000-0005-0000-0000-0000260E0000}"/>
    <cellStyle name="Normal 2 37 7 2 2" xfId="3068" xr:uid="{00000000-0005-0000-0000-0000270E0000}"/>
    <cellStyle name="Normal 2 37 7 3" xfId="3069" xr:uid="{00000000-0005-0000-0000-0000280E0000}"/>
    <cellStyle name="Normal 2 37 8" xfId="3070" xr:uid="{00000000-0005-0000-0000-0000290E0000}"/>
    <cellStyle name="Normal 2 37 8 2" xfId="3071" xr:uid="{00000000-0005-0000-0000-00002A0E0000}"/>
    <cellStyle name="Normal 2 37 8 2 2" xfId="3072" xr:uid="{00000000-0005-0000-0000-00002B0E0000}"/>
    <cellStyle name="Normal 2 37 8 3" xfId="3073" xr:uid="{00000000-0005-0000-0000-00002C0E0000}"/>
    <cellStyle name="Normal 2 37 9" xfId="3074" xr:uid="{00000000-0005-0000-0000-00002D0E0000}"/>
    <cellStyle name="Normal 2 37 9 2" xfId="3075" xr:uid="{00000000-0005-0000-0000-00002E0E0000}"/>
    <cellStyle name="Normal 2 37 9 2 2" xfId="3076" xr:uid="{00000000-0005-0000-0000-00002F0E0000}"/>
    <cellStyle name="Normal 2 37 9 3" xfId="3077" xr:uid="{00000000-0005-0000-0000-0000300E0000}"/>
    <cellStyle name="Normal 2 38" xfId="3078" xr:uid="{00000000-0005-0000-0000-0000310E0000}"/>
    <cellStyle name="Normal 2 38 10" xfId="3079" xr:uid="{00000000-0005-0000-0000-0000320E0000}"/>
    <cellStyle name="Normal 2 38 10 2" xfId="3080" xr:uid="{00000000-0005-0000-0000-0000330E0000}"/>
    <cellStyle name="Normal 2 38 10 2 2" xfId="3081" xr:uid="{00000000-0005-0000-0000-0000340E0000}"/>
    <cellStyle name="Normal 2 38 10 3" xfId="3082" xr:uid="{00000000-0005-0000-0000-0000350E0000}"/>
    <cellStyle name="Normal 2 38 11" xfId="3083" xr:uid="{00000000-0005-0000-0000-0000360E0000}"/>
    <cellStyle name="Normal 2 38 11 2" xfId="3084" xr:uid="{00000000-0005-0000-0000-0000370E0000}"/>
    <cellStyle name="Normal 2 38 11 2 2" xfId="3085" xr:uid="{00000000-0005-0000-0000-0000380E0000}"/>
    <cellStyle name="Normal 2 38 11 3" xfId="3086" xr:uid="{00000000-0005-0000-0000-0000390E0000}"/>
    <cellStyle name="Normal 2 38 12" xfId="3087" xr:uid="{00000000-0005-0000-0000-00003A0E0000}"/>
    <cellStyle name="Normal 2 38 12 2" xfId="3088" xr:uid="{00000000-0005-0000-0000-00003B0E0000}"/>
    <cellStyle name="Normal 2 38 12 2 2" xfId="3089" xr:uid="{00000000-0005-0000-0000-00003C0E0000}"/>
    <cellStyle name="Normal 2 38 12 3" xfId="3090" xr:uid="{00000000-0005-0000-0000-00003D0E0000}"/>
    <cellStyle name="Normal 2 38 13" xfId="3091" xr:uid="{00000000-0005-0000-0000-00003E0E0000}"/>
    <cellStyle name="Normal 2 38 13 2" xfId="3092" xr:uid="{00000000-0005-0000-0000-00003F0E0000}"/>
    <cellStyle name="Normal 2 38 13 2 2" xfId="3093" xr:uid="{00000000-0005-0000-0000-0000400E0000}"/>
    <cellStyle name="Normal 2 38 13 3" xfId="3094" xr:uid="{00000000-0005-0000-0000-0000410E0000}"/>
    <cellStyle name="Normal 2 38 14" xfId="3095" xr:uid="{00000000-0005-0000-0000-0000420E0000}"/>
    <cellStyle name="Normal 2 38 14 2" xfId="3096" xr:uid="{00000000-0005-0000-0000-0000430E0000}"/>
    <cellStyle name="Normal 2 38 14 2 2" xfId="3097" xr:uid="{00000000-0005-0000-0000-0000440E0000}"/>
    <cellStyle name="Normal 2 38 14 3" xfId="3098" xr:uid="{00000000-0005-0000-0000-0000450E0000}"/>
    <cellStyle name="Normal 2 38 15" xfId="3099" xr:uid="{00000000-0005-0000-0000-0000460E0000}"/>
    <cellStyle name="Normal 2 38 15 2" xfId="3100" xr:uid="{00000000-0005-0000-0000-0000470E0000}"/>
    <cellStyle name="Normal 2 38 15 2 2" xfId="3101" xr:uid="{00000000-0005-0000-0000-0000480E0000}"/>
    <cellStyle name="Normal 2 38 15 3" xfId="3102" xr:uid="{00000000-0005-0000-0000-0000490E0000}"/>
    <cellStyle name="Normal 2 38 16" xfId="3103" xr:uid="{00000000-0005-0000-0000-00004A0E0000}"/>
    <cellStyle name="Normal 2 38 16 2" xfId="3104" xr:uid="{00000000-0005-0000-0000-00004B0E0000}"/>
    <cellStyle name="Normal 2 38 16 2 2" xfId="3105" xr:uid="{00000000-0005-0000-0000-00004C0E0000}"/>
    <cellStyle name="Normal 2 38 16 3" xfId="3106" xr:uid="{00000000-0005-0000-0000-00004D0E0000}"/>
    <cellStyle name="Normal 2 38 17" xfId="3107" xr:uid="{00000000-0005-0000-0000-00004E0E0000}"/>
    <cellStyle name="Normal 2 38 17 2" xfId="3108" xr:uid="{00000000-0005-0000-0000-00004F0E0000}"/>
    <cellStyle name="Normal 2 38 17 2 2" xfId="3109" xr:uid="{00000000-0005-0000-0000-0000500E0000}"/>
    <cellStyle name="Normal 2 38 17 3" xfId="3110" xr:uid="{00000000-0005-0000-0000-0000510E0000}"/>
    <cellStyle name="Normal 2 38 18" xfId="3111" xr:uid="{00000000-0005-0000-0000-0000520E0000}"/>
    <cellStyle name="Normal 2 38 18 2" xfId="3112" xr:uid="{00000000-0005-0000-0000-0000530E0000}"/>
    <cellStyle name="Normal 2 38 18 2 2" xfId="3113" xr:uid="{00000000-0005-0000-0000-0000540E0000}"/>
    <cellStyle name="Normal 2 38 18 3" xfId="3114" xr:uid="{00000000-0005-0000-0000-0000550E0000}"/>
    <cellStyle name="Normal 2 38 19" xfId="3115" xr:uid="{00000000-0005-0000-0000-0000560E0000}"/>
    <cellStyle name="Normal 2 38 19 2" xfId="3116" xr:uid="{00000000-0005-0000-0000-0000570E0000}"/>
    <cellStyle name="Normal 2 38 19 2 2" xfId="3117" xr:uid="{00000000-0005-0000-0000-0000580E0000}"/>
    <cellStyle name="Normal 2 38 19 3" xfId="3118" xr:uid="{00000000-0005-0000-0000-0000590E0000}"/>
    <cellStyle name="Normal 2 38 2" xfId="3119" xr:uid="{00000000-0005-0000-0000-00005A0E0000}"/>
    <cellStyle name="Normal 2 38 2 2" xfId="3120" xr:uid="{00000000-0005-0000-0000-00005B0E0000}"/>
    <cellStyle name="Normal 2 38 2 2 2" xfId="3121" xr:uid="{00000000-0005-0000-0000-00005C0E0000}"/>
    <cellStyle name="Normal 2 38 2 3" xfId="3122" xr:uid="{00000000-0005-0000-0000-00005D0E0000}"/>
    <cellStyle name="Normal 2 38 20" xfId="3123" xr:uid="{00000000-0005-0000-0000-00005E0E0000}"/>
    <cellStyle name="Normal 2 38 20 2" xfId="3124" xr:uid="{00000000-0005-0000-0000-00005F0E0000}"/>
    <cellStyle name="Normal 2 38 20 2 2" xfId="3125" xr:uid="{00000000-0005-0000-0000-0000600E0000}"/>
    <cellStyle name="Normal 2 38 20 3" xfId="3126" xr:uid="{00000000-0005-0000-0000-0000610E0000}"/>
    <cellStyle name="Normal 2 38 21" xfId="3127" xr:uid="{00000000-0005-0000-0000-0000620E0000}"/>
    <cellStyle name="Normal 2 38 21 2" xfId="3128" xr:uid="{00000000-0005-0000-0000-0000630E0000}"/>
    <cellStyle name="Normal 2 38 21 2 2" xfId="3129" xr:uid="{00000000-0005-0000-0000-0000640E0000}"/>
    <cellStyle name="Normal 2 38 21 3" xfId="3130" xr:uid="{00000000-0005-0000-0000-0000650E0000}"/>
    <cellStyle name="Normal 2 38 22" xfId="3131" xr:uid="{00000000-0005-0000-0000-0000660E0000}"/>
    <cellStyle name="Normal 2 38 22 2" xfId="3132" xr:uid="{00000000-0005-0000-0000-0000670E0000}"/>
    <cellStyle name="Normal 2 38 22 2 2" xfId="3133" xr:uid="{00000000-0005-0000-0000-0000680E0000}"/>
    <cellStyle name="Normal 2 38 22 3" xfId="3134" xr:uid="{00000000-0005-0000-0000-0000690E0000}"/>
    <cellStyle name="Normal 2 38 23" xfId="3135" xr:uid="{00000000-0005-0000-0000-00006A0E0000}"/>
    <cellStyle name="Normal 2 38 23 2" xfId="3136" xr:uid="{00000000-0005-0000-0000-00006B0E0000}"/>
    <cellStyle name="Normal 2 38 23 2 2" xfId="3137" xr:uid="{00000000-0005-0000-0000-00006C0E0000}"/>
    <cellStyle name="Normal 2 38 23 3" xfId="3138" xr:uid="{00000000-0005-0000-0000-00006D0E0000}"/>
    <cellStyle name="Normal 2 38 24" xfId="3139" xr:uid="{00000000-0005-0000-0000-00006E0E0000}"/>
    <cellStyle name="Normal 2 38 24 2" xfId="3140" xr:uid="{00000000-0005-0000-0000-00006F0E0000}"/>
    <cellStyle name="Normal 2 38 25" xfId="3141" xr:uid="{00000000-0005-0000-0000-0000700E0000}"/>
    <cellStyle name="Normal 2 38 3" xfId="3142" xr:uid="{00000000-0005-0000-0000-0000710E0000}"/>
    <cellStyle name="Normal 2 38 3 2" xfId="3143" xr:uid="{00000000-0005-0000-0000-0000720E0000}"/>
    <cellStyle name="Normal 2 38 3 2 2" xfId="3144" xr:uid="{00000000-0005-0000-0000-0000730E0000}"/>
    <cellStyle name="Normal 2 38 3 3" xfId="3145" xr:uid="{00000000-0005-0000-0000-0000740E0000}"/>
    <cellStyle name="Normal 2 38 4" xfId="3146" xr:uid="{00000000-0005-0000-0000-0000750E0000}"/>
    <cellStyle name="Normal 2 38 4 2" xfId="3147" xr:uid="{00000000-0005-0000-0000-0000760E0000}"/>
    <cellStyle name="Normal 2 38 4 2 2" xfId="3148" xr:uid="{00000000-0005-0000-0000-0000770E0000}"/>
    <cellStyle name="Normal 2 38 4 3" xfId="3149" xr:uid="{00000000-0005-0000-0000-0000780E0000}"/>
    <cellStyle name="Normal 2 38 5" xfId="3150" xr:uid="{00000000-0005-0000-0000-0000790E0000}"/>
    <cellStyle name="Normal 2 38 5 2" xfId="3151" xr:uid="{00000000-0005-0000-0000-00007A0E0000}"/>
    <cellStyle name="Normal 2 38 5 2 2" xfId="3152" xr:uid="{00000000-0005-0000-0000-00007B0E0000}"/>
    <cellStyle name="Normal 2 38 5 3" xfId="3153" xr:uid="{00000000-0005-0000-0000-00007C0E0000}"/>
    <cellStyle name="Normal 2 38 6" xfId="3154" xr:uid="{00000000-0005-0000-0000-00007D0E0000}"/>
    <cellStyle name="Normal 2 38 6 2" xfId="3155" xr:uid="{00000000-0005-0000-0000-00007E0E0000}"/>
    <cellStyle name="Normal 2 38 6 2 2" xfId="3156" xr:uid="{00000000-0005-0000-0000-00007F0E0000}"/>
    <cellStyle name="Normal 2 38 6 3" xfId="3157" xr:uid="{00000000-0005-0000-0000-0000800E0000}"/>
    <cellStyle name="Normal 2 38 7" xfId="3158" xr:uid="{00000000-0005-0000-0000-0000810E0000}"/>
    <cellStyle name="Normal 2 38 7 2" xfId="3159" xr:uid="{00000000-0005-0000-0000-0000820E0000}"/>
    <cellStyle name="Normal 2 38 7 2 2" xfId="3160" xr:uid="{00000000-0005-0000-0000-0000830E0000}"/>
    <cellStyle name="Normal 2 38 7 3" xfId="3161" xr:uid="{00000000-0005-0000-0000-0000840E0000}"/>
    <cellStyle name="Normal 2 38 8" xfId="3162" xr:uid="{00000000-0005-0000-0000-0000850E0000}"/>
    <cellStyle name="Normal 2 38 8 2" xfId="3163" xr:uid="{00000000-0005-0000-0000-0000860E0000}"/>
    <cellStyle name="Normal 2 38 8 2 2" xfId="3164" xr:uid="{00000000-0005-0000-0000-0000870E0000}"/>
    <cellStyle name="Normal 2 38 8 3" xfId="3165" xr:uid="{00000000-0005-0000-0000-0000880E0000}"/>
    <cellStyle name="Normal 2 38 9" xfId="3166" xr:uid="{00000000-0005-0000-0000-0000890E0000}"/>
    <cellStyle name="Normal 2 38 9 2" xfId="3167" xr:uid="{00000000-0005-0000-0000-00008A0E0000}"/>
    <cellStyle name="Normal 2 38 9 2 2" xfId="3168" xr:uid="{00000000-0005-0000-0000-00008B0E0000}"/>
    <cellStyle name="Normal 2 38 9 3" xfId="3169" xr:uid="{00000000-0005-0000-0000-00008C0E0000}"/>
    <cellStyle name="Normal 2 39" xfId="3170" xr:uid="{00000000-0005-0000-0000-00008D0E0000}"/>
    <cellStyle name="Normal 2 39 10" xfId="3171" xr:uid="{00000000-0005-0000-0000-00008E0E0000}"/>
    <cellStyle name="Normal 2 39 10 2" xfId="3172" xr:uid="{00000000-0005-0000-0000-00008F0E0000}"/>
    <cellStyle name="Normal 2 39 10 2 2" xfId="3173" xr:uid="{00000000-0005-0000-0000-0000900E0000}"/>
    <cellStyle name="Normal 2 39 10 3" xfId="3174" xr:uid="{00000000-0005-0000-0000-0000910E0000}"/>
    <cellStyle name="Normal 2 39 11" xfId="3175" xr:uid="{00000000-0005-0000-0000-0000920E0000}"/>
    <cellStyle name="Normal 2 39 11 2" xfId="3176" xr:uid="{00000000-0005-0000-0000-0000930E0000}"/>
    <cellStyle name="Normal 2 39 11 2 2" xfId="3177" xr:uid="{00000000-0005-0000-0000-0000940E0000}"/>
    <cellStyle name="Normal 2 39 11 3" xfId="3178" xr:uid="{00000000-0005-0000-0000-0000950E0000}"/>
    <cellStyle name="Normal 2 39 12" xfId="3179" xr:uid="{00000000-0005-0000-0000-0000960E0000}"/>
    <cellStyle name="Normal 2 39 12 2" xfId="3180" xr:uid="{00000000-0005-0000-0000-0000970E0000}"/>
    <cellStyle name="Normal 2 39 12 2 2" xfId="3181" xr:uid="{00000000-0005-0000-0000-0000980E0000}"/>
    <cellStyle name="Normal 2 39 12 3" xfId="3182" xr:uid="{00000000-0005-0000-0000-0000990E0000}"/>
    <cellStyle name="Normal 2 39 13" xfId="3183" xr:uid="{00000000-0005-0000-0000-00009A0E0000}"/>
    <cellStyle name="Normal 2 39 13 2" xfId="3184" xr:uid="{00000000-0005-0000-0000-00009B0E0000}"/>
    <cellStyle name="Normal 2 39 13 2 2" xfId="3185" xr:uid="{00000000-0005-0000-0000-00009C0E0000}"/>
    <cellStyle name="Normal 2 39 13 3" xfId="3186" xr:uid="{00000000-0005-0000-0000-00009D0E0000}"/>
    <cellStyle name="Normal 2 39 14" xfId="3187" xr:uid="{00000000-0005-0000-0000-00009E0E0000}"/>
    <cellStyle name="Normal 2 39 14 2" xfId="3188" xr:uid="{00000000-0005-0000-0000-00009F0E0000}"/>
    <cellStyle name="Normal 2 39 14 2 2" xfId="3189" xr:uid="{00000000-0005-0000-0000-0000A00E0000}"/>
    <cellStyle name="Normal 2 39 14 3" xfId="3190" xr:uid="{00000000-0005-0000-0000-0000A10E0000}"/>
    <cellStyle name="Normal 2 39 15" xfId="3191" xr:uid="{00000000-0005-0000-0000-0000A20E0000}"/>
    <cellStyle name="Normal 2 39 15 2" xfId="3192" xr:uid="{00000000-0005-0000-0000-0000A30E0000}"/>
    <cellStyle name="Normal 2 39 15 2 2" xfId="3193" xr:uid="{00000000-0005-0000-0000-0000A40E0000}"/>
    <cellStyle name="Normal 2 39 15 3" xfId="3194" xr:uid="{00000000-0005-0000-0000-0000A50E0000}"/>
    <cellStyle name="Normal 2 39 16" xfId="3195" xr:uid="{00000000-0005-0000-0000-0000A60E0000}"/>
    <cellStyle name="Normal 2 39 16 2" xfId="3196" xr:uid="{00000000-0005-0000-0000-0000A70E0000}"/>
    <cellStyle name="Normal 2 39 16 2 2" xfId="3197" xr:uid="{00000000-0005-0000-0000-0000A80E0000}"/>
    <cellStyle name="Normal 2 39 16 3" xfId="3198" xr:uid="{00000000-0005-0000-0000-0000A90E0000}"/>
    <cellStyle name="Normal 2 39 17" xfId="3199" xr:uid="{00000000-0005-0000-0000-0000AA0E0000}"/>
    <cellStyle name="Normal 2 39 17 2" xfId="3200" xr:uid="{00000000-0005-0000-0000-0000AB0E0000}"/>
    <cellStyle name="Normal 2 39 17 2 2" xfId="3201" xr:uid="{00000000-0005-0000-0000-0000AC0E0000}"/>
    <cellStyle name="Normal 2 39 17 3" xfId="3202" xr:uid="{00000000-0005-0000-0000-0000AD0E0000}"/>
    <cellStyle name="Normal 2 39 18" xfId="3203" xr:uid="{00000000-0005-0000-0000-0000AE0E0000}"/>
    <cellStyle name="Normal 2 39 18 2" xfId="3204" xr:uid="{00000000-0005-0000-0000-0000AF0E0000}"/>
    <cellStyle name="Normal 2 39 18 2 2" xfId="3205" xr:uid="{00000000-0005-0000-0000-0000B00E0000}"/>
    <cellStyle name="Normal 2 39 18 3" xfId="3206" xr:uid="{00000000-0005-0000-0000-0000B10E0000}"/>
    <cellStyle name="Normal 2 39 19" xfId="3207" xr:uid="{00000000-0005-0000-0000-0000B20E0000}"/>
    <cellStyle name="Normal 2 39 19 2" xfId="3208" xr:uid="{00000000-0005-0000-0000-0000B30E0000}"/>
    <cellStyle name="Normal 2 39 19 2 2" xfId="3209" xr:uid="{00000000-0005-0000-0000-0000B40E0000}"/>
    <cellStyle name="Normal 2 39 19 3" xfId="3210" xr:uid="{00000000-0005-0000-0000-0000B50E0000}"/>
    <cellStyle name="Normal 2 39 2" xfId="3211" xr:uid="{00000000-0005-0000-0000-0000B60E0000}"/>
    <cellStyle name="Normal 2 39 2 2" xfId="3212" xr:uid="{00000000-0005-0000-0000-0000B70E0000}"/>
    <cellStyle name="Normal 2 39 2 2 2" xfId="3213" xr:uid="{00000000-0005-0000-0000-0000B80E0000}"/>
    <cellStyle name="Normal 2 39 2 3" xfId="3214" xr:uid="{00000000-0005-0000-0000-0000B90E0000}"/>
    <cellStyle name="Normal 2 39 20" xfId="3215" xr:uid="{00000000-0005-0000-0000-0000BA0E0000}"/>
    <cellStyle name="Normal 2 39 20 2" xfId="3216" xr:uid="{00000000-0005-0000-0000-0000BB0E0000}"/>
    <cellStyle name="Normal 2 39 20 2 2" xfId="3217" xr:uid="{00000000-0005-0000-0000-0000BC0E0000}"/>
    <cellStyle name="Normal 2 39 20 3" xfId="3218" xr:uid="{00000000-0005-0000-0000-0000BD0E0000}"/>
    <cellStyle name="Normal 2 39 21" xfId="3219" xr:uid="{00000000-0005-0000-0000-0000BE0E0000}"/>
    <cellStyle name="Normal 2 39 21 2" xfId="3220" xr:uid="{00000000-0005-0000-0000-0000BF0E0000}"/>
    <cellStyle name="Normal 2 39 21 2 2" xfId="3221" xr:uid="{00000000-0005-0000-0000-0000C00E0000}"/>
    <cellStyle name="Normal 2 39 21 3" xfId="3222" xr:uid="{00000000-0005-0000-0000-0000C10E0000}"/>
    <cellStyle name="Normal 2 39 22" xfId="3223" xr:uid="{00000000-0005-0000-0000-0000C20E0000}"/>
    <cellStyle name="Normal 2 39 22 2" xfId="3224" xr:uid="{00000000-0005-0000-0000-0000C30E0000}"/>
    <cellStyle name="Normal 2 39 22 2 2" xfId="3225" xr:uid="{00000000-0005-0000-0000-0000C40E0000}"/>
    <cellStyle name="Normal 2 39 22 3" xfId="3226" xr:uid="{00000000-0005-0000-0000-0000C50E0000}"/>
    <cellStyle name="Normal 2 39 23" xfId="3227" xr:uid="{00000000-0005-0000-0000-0000C60E0000}"/>
    <cellStyle name="Normal 2 39 23 2" xfId="3228" xr:uid="{00000000-0005-0000-0000-0000C70E0000}"/>
    <cellStyle name="Normal 2 39 23 2 2" xfId="3229" xr:uid="{00000000-0005-0000-0000-0000C80E0000}"/>
    <cellStyle name="Normal 2 39 23 3" xfId="3230" xr:uid="{00000000-0005-0000-0000-0000C90E0000}"/>
    <cellStyle name="Normal 2 39 24" xfId="3231" xr:uid="{00000000-0005-0000-0000-0000CA0E0000}"/>
    <cellStyle name="Normal 2 39 24 2" xfId="3232" xr:uid="{00000000-0005-0000-0000-0000CB0E0000}"/>
    <cellStyle name="Normal 2 39 25" xfId="3233" xr:uid="{00000000-0005-0000-0000-0000CC0E0000}"/>
    <cellStyle name="Normal 2 39 3" xfId="3234" xr:uid="{00000000-0005-0000-0000-0000CD0E0000}"/>
    <cellStyle name="Normal 2 39 3 2" xfId="3235" xr:uid="{00000000-0005-0000-0000-0000CE0E0000}"/>
    <cellStyle name="Normal 2 39 3 2 2" xfId="3236" xr:uid="{00000000-0005-0000-0000-0000CF0E0000}"/>
    <cellStyle name="Normal 2 39 3 3" xfId="3237" xr:uid="{00000000-0005-0000-0000-0000D00E0000}"/>
    <cellStyle name="Normal 2 39 4" xfId="3238" xr:uid="{00000000-0005-0000-0000-0000D10E0000}"/>
    <cellStyle name="Normal 2 39 4 2" xfId="3239" xr:uid="{00000000-0005-0000-0000-0000D20E0000}"/>
    <cellStyle name="Normal 2 39 4 2 2" xfId="3240" xr:uid="{00000000-0005-0000-0000-0000D30E0000}"/>
    <cellStyle name="Normal 2 39 4 3" xfId="3241" xr:uid="{00000000-0005-0000-0000-0000D40E0000}"/>
    <cellStyle name="Normal 2 39 5" xfId="3242" xr:uid="{00000000-0005-0000-0000-0000D50E0000}"/>
    <cellStyle name="Normal 2 39 5 2" xfId="3243" xr:uid="{00000000-0005-0000-0000-0000D60E0000}"/>
    <cellStyle name="Normal 2 39 5 2 2" xfId="3244" xr:uid="{00000000-0005-0000-0000-0000D70E0000}"/>
    <cellStyle name="Normal 2 39 5 3" xfId="3245" xr:uid="{00000000-0005-0000-0000-0000D80E0000}"/>
    <cellStyle name="Normal 2 39 6" xfId="3246" xr:uid="{00000000-0005-0000-0000-0000D90E0000}"/>
    <cellStyle name="Normal 2 39 6 2" xfId="3247" xr:uid="{00000000-0005-0000-0000-0000DA0E0000}"/>
    <cellStyle name="Normal 2 39 6 2 2" xfId="3248" xr:uid="{00000000-0005-0000-0000-0000DB0E0000}"/>
    <cellStyle name="Normal 2 39 6 3" xfId="3249" xr:uid="{00000000-0005-0000-0000-0000DC0E0000}"/>
    <cellStyle name="Normal 2 39 7" xfId="3250" xr:uid="{00000000-0005-0000-0000-0000DD0E0000}"/>
    <cellStyle name="Normal 2 39 7 2" xfId="3251" xr:uid="{00000000-0005-0000-0000-0000DE0E0000}"/>
    <cellStyle name="Normal 2 39 7 2 2" xfId="3252" xr:uid="{00000000-0005-0000-0000-0000DF0E0000}"/>
    <cellStyle name="Normal 2 39 7 3" xfId="3253" xr:uid="{00000000-0005-0000-0000-0000E00E0000}"/>
    <cellStyle name="Normal 2 39 8" xfId="3254" xr:uid="{00000000-0005-0000-0000-0000E10E0000}"/>
    <cellStyle name="Normal 2 39 8 2" xfId="3255" xr:uid="{00000000-0005-0000-0000-0000E20E0000}"/>
    <cellStyle name="Normal 2 39 8 2 2" xfId="3256" xr:uid="{00000000-0005-0000-0000-0000E30E0000}"/>
    <cellStyle name="Normal 2 39 8 3" xfId="3257" xr:uid="{00000000-0005-0000-0000-0000E40E0000}"/>
    <cellStyle name="Normal 2 39 9" xfId="3258" xr:uid="{00000000-0005-0000-0000-0000E50E0000}"/>
    <cellStyle name="Normal 2 39 9 2" xfId="3259" xr:uid="{00000000-0005-0000-0000-0000E60E0000}"/>
    <cellStyle name="Normal 2 39 9 2 2" xfId="3260" xr:uid="{00000000-0005-0000-0000-0000E70E0000}"/>
    <cellStyle name="Normal 2 39 9 3" xfId="3261" xr:uid="{00000000-0005-0000-0000-0000E80E0000}"/>
    <cellStyle name="Normal 2 4" xfId="165" xr:uid="{00000000-0005-0000-0000-0000E90E0000}"/>
    <cellStyle name="Normal 2 4 2" xfId="166" xr:uid="{00000000-0005-0000-0000-0000EA0E0000}"/>
    <cellStyle name="Normal 2 4 2 2" xfId="167" xr:uid="{00000000-0005-0000-0000-0000EB0E0000}"/>
    <cellStyle name="Normal 2 4 2 3" xfId="168" xr:uid="{00000000-0005-0000-0000-0000EC0E0000}"/>
    <cellStyle name="Normal 2 4 2 4" xfId="169" xr:uid="{00000000-0005-0000-0000-0000ED0E0000}"/>
    <cellStyle name="Normal 2 4 2 5" xfId="9145" xr:uid="{00000000-0005-0000-0000-0000EE0E0000}"/>
    <cellStyle name="Normal 2 4 3" xfId="317" xr:uid="{00000000-0005-0000-0000-0000EF0E0000}"/>
    <cellStyle name="Normal 2 4 3 2" xfId="3262" xr:uid="{00000000-0005-0000-0000-0000F00E0000}"/>
    <cellStyle name="Normal 2 4 4" xfId="3263" xr:uid="{00000000-0005-0000-0000-0000F10E0000}"/>
    <cellStyle name="Normal 2 4 5" xfId="3264" xr:uid="{00000000-0005-0000-0000-0000F20E0000}"/>
    <cellStyle name="Normal 2 4 6" xfId="3265" xr:uid="{00000000-0005-0000-0000-0000F30E0000}"/>
    <cellStyle name="Normal 2 4 7" xfId="9228" xr:uid="{21915762-E3FC-4821-A7BE-05345B00A7AE}"/>
    <cellStyle name="Normal 2 40" xfId="3266" xr:uid="{00000000-0005-0000-0000-0000F40E0000}"/>
    <cellStyle name="Normal 2 40 2" xfId="3267" xr:uid="{00000000-0005-0000-0000-0000F50E0000}"/>
    <cellStyle name="Normal 2 40 2 2" xfId="3268" xr:uid="{00000000-0005-0000-0000-0000F60E0000}"/>
    <cellStyle name="Normal 2 40 3" xfId="3269" xr:uid="{00000000-0005-0000-0000-0000F70E0000}"/>
    <cellStyle name="Normal 2 41" xfId="3270" xr:uid="{00000000-0005-0000-0000-0000F80E0000}"/>
    <cellStyle name="Normal 2 41 2" xfId="3271" xr:uid="{00000000-0005-0000-0000-0000F90E0000}"/>
    <cellStyle name="Normal 2 41 2 2" xfId="3272" xr:uid="{00000000-0005-0000-0000-0000FA0E0000}"/>
    <cellStyle name="Normal 2 41 3" xfId="3273" xr:uid="{00000000-0005-0000-0000-0000FB0E0000}"/>
    <cellStyle name="Normal 2 42" xfId="3274" xr:uid="{00000000-0005-0000-0000-0000FC0E0000}"/>
    <cellStyle name="Normal 2 42 2" xfId="3275" xr:uid="{00000000-0005-0000-0000-0000FD0E0000}"/>
    <cellStyle name="Normal 2 42 2 2" xfId="3276" xr:uid="{00000000-0005-0000-0000-0000FE0E0000}"/>
    <cellStyle name="Normal 2 42 3" xfId="3277" xr:uid="{00000000-0005-0000-0000-0000FF0E0000}"/>
    <cellStyle name="Normal 2 43" xfId="3278" xr:uid="{00000000-0005-0000-0000-0000000F0000}"/>
    <cellStyle name="Normal 2 43 2" xfId="3279" xr:uid="{00000000-0005-0000-0000-0000010F0000}"/>
    <cellStyle name="Normal 2 43 2 2" xfId="3280" xr:uid="{00000000-0005-0000-0000-0000020F0000}"/>
    <cellStyle name="Normal 2 43 3" xfId="3281" xr:uid="{00000000-0005-0000-0000-0000030F0000}"/>
    <cellStyle name="Normal 2 44" xfId="3282" xr:uid="{00000000-0005-0000-0000-0000040F0000}"/>
    <cellStyle name="Normal 2 44 2" xfId="3283" xr:uid="{00000000-0005-0000-0000-0000050F0000}"/>
    <cellStyle name="Normal 2 44 2 2" xfId="3284" xr:uid="{00000000-0005-0000-0000-0000060F0000}"/>
    <cellStyle name="Normal 2 44 3" xfId="3285" xr:uid="{00000000-0005-0000-0000-0000070F0000}"/>
    <cellStyle name="Normal 2 45" xfId="3286" xr:uid="{00000000-0005-0000-0000-0000080F0000}"/>
    <cellStyle name="Normal 2 45 2" xfId="3287" xr:uid="{00000000-0005-0000-0000-0000090F0000}"/>
    <cellStyle name="Normal 2 45 2 2" xfId="3288" xr:uid="{00000000-0005-0000-0000-00000A0F0000}"/>
    <cellStyle name="Normal 2 45 3" xfId="3289" xr:uid="{00000000-0005-0000-0000-00000B0F0000}"/>
    <cellStyle name="Normal 2 46" xfId="3290" xr:uid="{00000000-0005-0000-0000-00000C0F0000}"/>
    <cellStyle name="Normal 2 46 2" xfId="3291" xr:uid="{00000000-0005-0000-0000-00000D0F0000}"/>
    <cellStyle name="Normal 2 46 2 2" xfId="3292" xr:uid="{00000000-0005-0000-0000-00000E0F0000}"/>
    <cellStyle name="Normal 2 46 3" xfId="3293" xr:uid="{00000000-0005-0000-0000-00000F0F0000}"/>
    <cellStyle name="Normal 2 47" xfId="3294" xr:uid="{00000000-0005-0000-0000-0000100F0000}"/>
    <cellStyle name="Normal 2 47 2" xfId="3295" xr:uid="{00000000-0005-0000-0000-0000110F0000}"/>
    <cellStyle name="Normal 2 47 2 2" xfId="3296" xr:uid="{00000000-0005-0000-0000-0000120F0000}"/>
    <cellStyle name="Normal 2 47 3" xfId="3297" xr:uid="{00000000-0005-0000-0000-0000130F0000}"/>
    <cellStyle name="Normal 2 48" xfId="3298" xr:uid="{00000000-0005-0000-0000-0000140F0000}"/>
    <cellStyle name="Normal 2 48 2" xfId="3299" xr:uid="{00000000-0005-0000-0000-0000150F0000}"/>
    <cellStyle name="Normal 2 48 2 2" xfId="3300" xr:uid="{00000000-0005-0000-0000-0000160F0000}"/>
    <cellStyle name="Normal 2 48 3" xfId="3301" xr:uid="{00000000-0005-0000-0000-0000170F0000}"/>
    <cellStyle name="Normal 2 49" xfId="3302" xr:uid="{00000000-0005-0000-0000-0000180F0000}"/>
    <cellStyle name="Normal 2 49 2" xfId="3303" xr:uid="{00000000-0005-0000-0000-0000190F0000}"/>
    <cellStyle name="Normal 2 49 2 2" xfId="3304" xr:uid="{00000000-0005-0000-0000-00001A0F0000}"/>
    <cellStyle name="Normal 2 49 3" xfId="3305" xr:uid="{00000000-0005-0000-0000-00001B0F0000}"/>
    <cellStyle name="Normal 2 5" xfId="170" xr:uid="{00000000-0005-0000-0000-00001C0F0000}"/>
    <cellStyle name="Normal 2 5 10" xfId="3306" xr:uid="{00000000-0005-0000-0000-00001D0F0000}"/>
    <cellStyle name="Normal 2 5 10 2" xfId="3307" xr:uid="{00000000-0005-0000-0000-00001E0F0000}"/>
    <cellStyle name="Normal 2 5 10 2 2" xfId="3308" xr:uid="{00000000-0005-0000-0000-00001F0F0000}"/>
    <cellStyle name="Normal 2 5 10 3" xfId="3309" xr:uid="{00000000-0005-0000-0000-0000200F0000}"/>
    <cellStyle name="Normal 2 5 11" xfId="3310" xr:uid="{00000000-0005-0000-0000-0000210F0000}"/>
    <cellStyle name="Normal 2 5 11 2" xfId="3311" xr:uid="{00000000-0005-0000-0000-0000220F0000}"/>
    <cellStyle name="Normal 2 5 11 2 2" xfId="3312" xr:uid="{00000000-0005-0000-0000-0000230F0000}"/>
    <cellStyle name="Normal 2 5 11 3" xfId="3313" xr:uid="{00000000-0005-0000-0000-0000240F0000}"/>
    <cellStyle name="Normal 2 5 12" xfId="3314" xr:uid="{00000000-0005-0000-0000-0000250F0000}"/>
    <cellStyle name="Normal 2 5 12 2" xfId="3315" xr:uid="{00000000-0005-0000-0000-0000260F0000}"/>
    <cellStyle name="Normal 2 5 12 2 2" xfId="3316" xr:uid="{00000000-0005-0000-0000-0000270F0000}"/>
    <cellStyle name="Normal 2 5 12 3" xfId="3317" xr:uid="{00000000-0005-0000-0000-0000280F0000}"/>
    <cellStyle name="Normal 2 5 13" xfId="3318" xr:uid="{00000000-0005-0000-0000-0000290F0000}"/>
    <cellStyle name="Normal 2 5 13 2" xfId="3319" xr:uid="{00000000-0005-0000-0000-00002A0F0000}"/>
    <cellStyle name="Normal 2 5 13 2 2" xfId="3320" xr:uid="{00000000-0005-0000-0000-00002B0F0000}"/>
    <cellStyle name="Normal 2 5 13 3" xfId="3321" xr:uid="{00000000-0005-0000-0000-00002C0F0000}"/>
    <cellStyle name="Normal 2 5 14" xfId="3322" xr:uid="{00000000-0005-0000-0000-00002D0F0000}"/>
    <cellStyle name="Normal 2 5 14 2" xfId="3323" xr:uid="{00000000-0005-0000-0000-00002E0F0000}"/>
    <cellStyle name="Normal 2 5 14 2 2" xfId="3324" xr:uid="{00000000-0005-0000-0000-00002F0F0000}"/>
    <cellStyle name="Normal 2 5 14 3" xfId="3325" xr:uid="{00000000-0005-0000-0000-0000300F0000}"/>
    <cellStyle name="Normal 2 5 15" xfId="3326" xr:uid="{00000000-0005-0000-0000-0000310F0000}"/>
    <cellStyle name="Normal 2 5 15 2" xfId="3327" xr:uid="{00000000-0005-0000-0000-0000320F0000}"/>
    <cellStyle name="Normal 2 5 15 2 2" xfId="3328" xr:uid="{00000000-0005-0000-0000-0000330F0000}"/>
    <cellStyle name="Normal 2 5 15 3" xfId="3329" xr:uid="{00000000-0005-0000-0000-0000340F0000}"/>
    <cellStyle name="Normal 2 5 16" xfId="3330" xr:uid="{00000000-0005-0000-0000-0000350F0000}"/>
    <cellStyle name="Normal 2 5 16 2" xfId="3331" xr:uid="{00000000-0005-0000-0000-0000360F0000}"/>
    <cellStyle name="Normal 2 5 16 2 2" xfId="3332" xr:uid="{00000000-0005-0000-0000-0000370F0000}"/>
    <cellStyle name="Normal 2 5 16 3" xfId="3333" xr:uid="{00000000-0005-0000-0000-0000380F0000}"/>
    <cellStyle name="Normal 2 5 17" xfId="3334" xr:uid="{00000000-0005-0000-0000-0000390F0000}"/>
    <cellStyle name="Normal 2 5 17 2" xfId="3335" xr:uid="{00000000-0005-0000-0000-00003A0F0000}"/>
    <cellStyle name="Normal 2 5 17 2 2" xfId="3336" xr:uid="{00000000-0005-0000-0000-00003B0F0000}"/>
    <cellStyle name="Normal 2 5 17 3" xfId="3337" xr:uid="{00000000-0005-0000-0000-00003C0F0000}"/>
    <cellStyle name="Normal 2 5 18" xfId="3338" xr:uid="{00000000-0005-0000-0000-00003D0F0000}"/>
    <cellStyle name="Normal 2 5 18 2" xfId="3339" xr:uid="{00000000-0005-0000-0000-00003E0F0000}"/>
    <cellStyle name="Normal 2 5 18 2 2" xfId="3340" xr:uid="{00000000-0005-0000-0000-00003F0F0000}"/>
    <cellStyle name="Normal 2 5 18 3" xfId="3341" xr:uid="{00000000-0005-0000-0000-0000400F0000}"/>
    <cellStyle name="Normal 2 5 19" xfId="3342" xr:uid="{00000000-0005-0000-0000-0000410F0000}"/>
    <cellStyle name="Normal 2 5 19 2" xfId="3343" xr:uid="{00000000-0005-0000-0000-0000420F0000}"/>
    <cellStyle name="Normal 2 5 19 2 2" xfId="3344" xr:uid="{00000000-0005-0000-0000-0000430F0000}"/>
    <cellStyle name="Normal 2 5 19 3" xfId="3345" xr:uid="{00000000-0005-0000-0000-0000440F0000}"/>
    <cellStyle name="Normal 2 5 2" xfId="3346" xr:uid="{00000000-0005-0000-0000-0000450F0000}"/>
    <cellStyle name="Normal 2 5 2 10" xfId="3347" xr:uid="{00000000-0005-0000-0000-0000460F0000}"/>
    <cellStyle name="Normal 2 5 2 10 2" xfId="3348" xr:uid="{00000000-0005-0000-0000-0000470F0000}"/>
    <cellStyle name="Normal 2 5 2 10 2 2" xfId="3349" xr:uid="{00000000-0005-0000-0000-0000480F0000}"/>
    <cellStyle name="Normal 2 5 2 10 3" xfId="3350" xr:uid="{00000000-0005-0000-0000-0000490F0000}"/>
    <cellStyle name="Normal 2 5 2 11" xfId="3351" xr:uid="{00000000-0005-0000-0000-00004A0F0000}"/>
    <cellStyle name="Normal 2 5 2 11 2" xfId="3352" xr:uid="{00000000-0005-0000-0000-00004B0F0000}"/>
    <cellStyle name="Normal 2 5 2 11 2 2" xfId="3353" xr:uid="{00000000-0005-0000-0000-00004C0F0000}"/>
    <cellStyle name="Normal 2 5 2 11 3" xfId="3354" xr:uid="{00000000-0005-0000-0000-00004D0F0000}"/>
    <cellStyle name="Normal 2 5 2 12" xfId="3355" xr:uid="{00000000-0005-0000-0000-00004E0F0000}"/>
    <cellStyle name="Normal 2 5 2 12 2" xfId="3356" xr:uid="{00000000-0005-0000-0000-00004F0F0000}"/>
    <cellStyle name="Normal 2 5 2 12 2 2" xfId="3357" xr:uid="{00000000-0005-0000-0000-0000500F0000}"/>
    <cellStyle name="Normal 2 5 2 12 3" xfId="3358" xr:uid="{00000000-0005-0000-0000-0000510F0000}"/>
    <cellStyle name="Normal 2 5 2 13" xfId="3359" xr:uid="{00000000-0005-0000-0000-0000520F0000}"/>
    <cellStyle name="Normal 2 5 2 13 2" xfId="3360" xr:uid="{00000000-0005-0000-0000-0000530F0000}"/>
    <cellStyle name="Normal 2 5 2 13 2 2" xfId="3361" xr:uid="{00000000-0005-0000-0000-0000540F0000}"/>
    <cellStyle name="Normal 2 5 2 13 3" xfId="3362" xr:uid="{00000000-0005-0000-0000-0000550F0000}"/>
    <cellStyle name="Normal 2 5 2 14" xfId="3363" xr:uid="{00000000-0005-0000-0000-0000560F0000}"/>
    <cellStyle name="Normal 2 5 2 14 2" xfId="3364" xr:uid="{00000000-0005-0000-0000-0000570F0000}"/>
    <cellStyle name="Normal 2 5 2 14 2 2" xfId="3365" xr:uid="{00000000-0005-0000-0000-0000580F0000}"/>
    <cellStyle name="Normal 2 5 2 14 3" xfId="3366" xr:uid="{00000000-0005-0000-0000-0000590F0000}"/>
    <cellStyle name="Normal 2 5 2 15" xfId="3367" xr:uid="{00000000-0005-0000-0000-00005A0F0000}"/>
    <cellStyle name="Normal 2 5 2 15 2" xfId="3368" xr:uid="{00000000-0005-0000-0000-00005B0F0000}"/>
    <cellStyle name="Normal 2 5 2 15 2 2" xfId="3369" xr:uid="{00000000-0005-0000-0000-00005C0F0000}"/>
    <cellStyle name="Normal 2 5 2 15 3" xfId="3370" xr:uid="{00000000-0005-0000-0000-00005D0F0000}"/>
    <cellStyle name="Normal 2 5 2 16" xfId="3371" xr:uid="{00000000-0005-0000-0000-00005E0F0000}"/>
    <cellStyle name="Normal 2 5 2 16 2" xfId="3372" xr:uid="{00000000-0005-0000-0000-00005F0F0000}"/>
    <cellStyle name="Normal 2 5 2 16 2 2" xfId="3373" xr:uid="{00000000-0005-0000-0000-0000600F0000}"/>
    <cellStyle name="Normal 2 5 2 16 3" xfId="3374" xr:uid="{00000000-0005-0000-0000-0000610F0000}"/>
    <cellStyle name="Normal 2 5 2 17" xfId="3375" xr:uid="{00000000-0005-0000-0000-0000620F0000}"/>
    <cellStyle name="Normal 2 5 2 17 2" xfId="3376" xr:uid="{00000000-0005-0000-0000-0000630F0000}"/>
    <cellStyle name="Normal 2 5 2 17 2 2" xfId="3377" xr:uid="{00000000-0005-0000-0000-0000640F0000}"/>
    <cellStyle name="Normal 2 5 2 17 3" xfId="3378" xr:uid="{00000000-0005-0000-0000-0000650F0000}"/>
    <cellStyle name="Normal 2 5 2 18" xfId="3379" xr:uid="{00000000-0005-0000-0000-0000660F0000}"/>
    <cellStyle name="Normal 2 5 2 18 2" xfId="3380" xr:uid="{00000000-0005-0000-0000-0000670F0000}"/>
    <cellStyle name="Normal 2 5 2 18 2 2" xfId="3381" xr:uid="{00000000-0005-0000-0000-0000680F0000}"/>
    <cellStyle name="Normal 2 5 2 18 3" xfId="3382" xr:uid="{00000000-0005-0000-0000-0000690F0000}"/>
    <cellStyle name="Normal 2 5 2 19" xfId="3383" xr:uid="{00000000-0005-0000-0000-00006A0F0000}"/>
    <cellStyle name="Normal 2 5 2 19 2" xfId="3384" xr:uid="{00000000-0005-0000-0000-00006B0F0000}"/>
    <cellStyle name="Normal 2 5 2 19 2 2" xfId="3385" xr:uid="{00000000-0005-0000-0000-00006C0F0000}"/>
    <cellStyle name="Normal 2 5 2 19 3" xfId="3386" xr:uid="{00000000-0005-0000-0000-00006D0F0000}"/>
    <cellStyle name="Normal 2 5 2 2" xfId="3387" xr:uid="{00000000-0005-0000-0000-00006E0F0000}"/>
    <cellStyle name="Normal 2 5 2 2 10" xfId="3388" xr:uid="{00000000-0005-0000-0000-00006F0F0000}"/>
    <cellStyle name="Normal 2 5 2 2 10 2" xfId="3389" xr:uid="{00000000-0005-0000-0000-0000700F0000}"/>
    <cellStyle name="Normal 2 5 2 2 10 2 2" xfId="3390" xr:uid="{00000000-0005-0000-0000-0000710F0000}"/>
    <cellStyle name="Normal 2 5 2 2 10 3" xfId="3391" xr:uid="{00000000-0005-0000-0000-0000720F0000}"/>
    <cellStyle name="Normal 2 5 2 2 11" xfId="3392" xr:uid="{00000000-0005-0000-0000-0000730F0000}"/>
    <cellStyle name="Normal 2 5 2 2 11 2" xfId="3393" xr:uid="{00000000-0005-0000-0000-0000740F0000}"/>
    <cellStyle name="Normal 2 5 2 2 11 2 2" xfId="3394" xr:uid="{00000000-0005-0000-0000-0000750F0000}"/>
    <cellStyle name="Normal 2 5 2 2 11 3" xfId="3395" xr:uid="{00000000-0005-0000-0000-0000760F0000}"/>
    <cellStyle name="Normal 2 5 2 2 12" xfId="3396" xr:uid="{00000000-0005-0000-0000-0000770F0000}"/>
    <cellStyle name="Normal 2 5 2 2 12 2" xfId="3397" xr:uid="{00000000-0005-0000-0000-0000780F0000}"/>
    <cellStyle name="Normal 2 5 2 2 12 2 2" xfId="3398" xr:uid="{00000000-0005-0000-0000-0000790F0000}"/>
    <cellStyle name="Normal 2 5 2 2 12 3" xfId="3399" xr:uid="{00000000-0005-0000-0000-00007A0F0000}"/>
    <cellStyle name="Normal 2 5 2 2 13" xfId="3400" xr:uid="{00000000-0005-0000-0000-00007B0F0000}"/>
    <cellStyle name="Normal 2 5 2 2 13 2" xfId="3401" xr:uid="{00000000-0005-0000-0000-00007C0F0000}"/>
    <cellStyle name="Normal 2 5 2 2 13 2 2" xfId="3402" xr:uid="{00000000-0005-0000-0000-00007D0F0000}"/>
    <cellStyle name="Normal 2 5 2 2 13 3" xfId="3403" xr:uid="{00000000-0005-0000-0000-00007E0F0000}"/>
    <cellStyle name="Normal 2 5 2 2 14" xfId="3404" xr:uid="{00000000-0005-0000-0000-00007F0F0000}"/>
    <cellStyle name="Normal 2 5 2 2 14 2" xfId="3405" xr:uid="{00000000-0005-0000-0000-0000800F0000}"/>
    <cellStyle name="Normal 2 5 2 2 14 2 2" xfId="3406" xr:uid="{00000000-0005-0000-0000-0000810F0000}"/>
    <cellStyle name="Normal 2 5 2 2 14 3" xfId="3407" xr:uid="{00000000-0005-0000-0000-0000820F0000}"/>
    <cellStyle name="Normal 2 5 2 2 15" xfId="3408" xr:uid="{00000000-0005-0000-0000-0000830F0000}"/>
    <cellStyle name="Normal 2 5 2 2 15 2" xfId="3409" xr:uid="{00000000-0005-0000-0000-0000840F0000}"/>
    <cellStyle name="Normal 2 5 2 2 15 2 2" xfId="3410" xr:uid="{00000000-0005-0000-0000-0000850F0000}"/>
    <cellStyle name="Normal 2 5 2 2 15 3" xfId="3411" xr:uid="{00000000-0005-0000-0000-0000860F0000}"/>
    <cellStyle name="Normal 2 5 2 2 16" xfId="3412" xr:uid="{00000000-0005-0000-0000-0000870F0000}"/>
    <cellStyle name="Normal 2 5 2 2 16 2" xfId="3413" xr:uid="{00000000-0005-0000-0000-0000880F0000}"/>
    <cellStyle name="Normal 2 5 2 2 16 2 2" xfId="3414" xr:uid="{00000000-0005-0000-0000-0000890F0000}"/>
    <cellStyle name="Normal 2 5 2 2 16 3" xfId="3415" xr:uid="{00000000-0005-0000-0000-00008A0F0000}"/>
    <cellStyle name="Normal 2 5 2 2 17" xfId="3416" xr:uid="{00000000-0005-0000-0000-00008B0F0000}"/>
    <cellStyle name="Normal 2 5 2 2 17 2" xfId="3417" xr:uid="{00000000-0005-0000-0000-00008C0F0000}"/>
    <cellStyle name="Normal 2 5 2 2 17 2 2" xfId="3418" xr:uid="{00000000-0005-0000-0000-00008D0F0000}"/>
    <cellStyle name="Normal 2 5 2 2 17 3" xfId="3419" xr:uid="{00000000-0005-0000-0000-00008E0F0000}"/>
    <cellStyle name="Normal 2 5 2 2 18" xfId="3420" xr:uid="{00000000-0005-0000-0000-00008F0F0000}"/>
    <cellStyle name="Normal 2 5 2 2 18 2" xfId="3421" xr:uid="{00000000-0005-0000-0000-0000900F0000}"/>
    <cellStyle name="Normal 2 5 2 2 18 2 2" xfId="3422" xr:uid="{00000000-0005-0000-0000-0000910F0000}"/>
    <cellStyle name="Normal 2 5 2 2 18 3" xfId="3423" xr:uid="{00000000-0005-0000-0000-0000920F0000}"/>
    <cellStyle name="Normal 2 5 2 2 19" xfId="3424" xr:uid="{00000000-0005-0000-0000-0000930F0000}"/>
    <cellStyle name="Normal 2 5 2 2 19 2" xfId="3425" xr:uid="{00000000-0005-0000-0000-0000940F0000}"/>
    <cellStyle name="Normal 2 5 2 2 19 2 2" xfId="3426" xr:uid="{00000000-0005-0000-0000-0000950F0000}"/>
    <cellStyle name="Normal 2 5 2 2 19 3" xfId="3427" xr:uid="{00000000-0005-0000-0000-0000960F0000}"/>
    <cellStyle name="Normal 2 5 2 2 2" xfId="3428" xr:uid="{00000000-0005-0000-0000-0000970F0000}"/>
    <cellStyle name="Normal 2 5 2 2 2 2" xfId="3429" xr:uid="{00000000-0005-0000-0000-0000980F0000}"/>
    <cellStyle name="Normal 2 5 2 2 2 2 2" xfId="3430" xr:uid="{00000000-0005-0000-0000-0000990F0000}"/>
    <cellStyle name="Normal 2 5 2 2 2 3" xfId="3431" xr:uid="{00000000-0005-0000-0000-00009A0F0000}"/>
    <cellStyle name="Normal 2 5 2 2 20" xfId="3432" xr:uid="{00000000-0005-0000-0000-00009B0F0000}"/>
    <cellStyle name="Normal 2 5 2 2 20 2" xfId="3433" xr:uid="{00000000-0005-0000-0000-00009C0F0000}"/>
    <cellStyle name="Normal 2 5 2 2 20 2 2" xfId="3434" xr:uid="{00000000-0005-0000-0000-00009D0F0000}"/>
    <cellStyle name="Normal 2 5 2 2 20 3" xfId="3435" xr:uid="{00000000-0005-0000-0000-00009E0F0000}"/>
    <cellStyle name="Normal 2 5 2 2 21" xfId="3436" xr:uid="{00000000-0005-0000-0000-00009F0F0000}"/>
    <cellStyle name="Normal 2 5 2 2 21 2" xfId="3437" xr:uid="{00000000-0005-0000-0000-0000A00F0000}"/>
    <cellStyle name="Normal 2 5 2 2 21 2 2" xfId="3438" xr:uid="{00000000-0005-0000-0000-0000A10F0000}"/>
    <cellStyle name="Normal 2 5 2 2 21 3" xfId="3439" xr:uid="{00000000-0005-0000-0000-0000A20F0000}"/>
    <cellStyle name="Normal 2 5 2 2 22" xfId="3440" xr:uid="{00000000-0005-0000-0000-0000A30F0000}"/>
    <cellStyle name="Normal 2 5 2 2 22 2" xfId="3441" xr:uid="{00000000-0005-0000-0000-0000A40F0000}"/>
    <cellStyle name="Normal 2 5 2 2 22 2 2" xfId="3442" xr:uid="{00000000-0005-0000-0000-0000A50F0000}"/>
    <cellStyle name="Normal 2 5 2 2 22 3" xfId="3443" xr:uid="{00000000-0005-0000-0000-0000A60F0000}"/>
    <cellStyle name="Normal 2 5 2 2 23" xfId="3444" xr:uid="{00000000-0005-0000-0000-0000A70F0000}"/>
    <cellStyle name="Normal 2 5 2 2 23 2" xfId="3445" xr:uid="{00000000-0005-0000-0000-0000A80F0000}"/>
    <cellStyle name="Normal 2 5 2 2 23 2 2" xfId="3446" xr:uid="{00000000-0005-0000-0000-0000A90F0000}"/>
    <cellStyle name="Normal 2 5 2 2 23 3" xfId="3447" xr:uid="{00000000-0005-0000-0000-0000AA0F0000}"/>
    <cellStyle name="Normal 2 5 2 2 24" xfId="3448" xr:uid="{00000000-0005-0000-0000-0000AB0F0000}"/>
    <cellStyle name="Normal 2 5 2 2 24 2" xfId="3449" xr:uid="{00000000-0005-0000-0000-0000AC0F0000}"/>
    <cellStyle name="Normal 2 5 2 2 24 2 2" xfId="3450" xr:uid="{00000000-0005-0000-0000-0000AD0F0000}"/>
    <cellStyle name="Normal 2 5 2 2 24 3" xfId="3451" xr:uid="{00000000-0005-0000-0000-0000AE0F0000}"/>
    <cellStyle name="Normal 2 5 2 2 25" xfId="3452" xr:uid="{00000000-0005-0000-0000-0000AF0F0000}"/>
    <cellStyle name="Normal 2 5 2 2 25 2" xfId="3453" xr:uid="{00000000-0005-0000-0000-0000B00F0000}"/>
    <cellStyle name="Normal 2 5 2 2 25 2 2" xfId="3454" xr:uid="{00000000-0005-0000-0000-0000B10F0000}"/>
    <cellStyle name="Normal 2 5 2 2 25 3" xfId="3455" xr:uid="{00000000-0005-0000-0000-0000B20F0000}"/>
    <cellStyle name="Normal 2 5 2 2 26" xfId="3456" xr:uid="{00000000-0005-0000-0000-0000B30F0000}"/>
    <cellStyle name="Normal 2 5 2 2 26 2" xfId="3457" xr:uid="{00000000-0005-0000-0000-0000B40F0000}"/>
    <cellStyle name="Normal 2 5 2 2 26 2 2" xfId="3458" xr:uid="{00000000-0005-0000-0000-0000B50F0000}"/>
    <cellStyle name="Normal 2 5 2 2 26 3" xfId="3459" xr:uid="{00000000-0005-0000-0000-0000B60F0000}"/>
    <cellStyle name="Normal 2 5 2 2 27" xfId="3460" xr:uid="{00000000-0005-0000-0000-0000B70F0000}"/>
    <cellStyle name="Normal 2 5 2 2 27 2" xfId="3461" xr:uid="{00000000-0005-0000-0000-0000B80F0000}"/>
    <cellStyle name="Normal 2 5 2 2 27 2 2" xfId="3462" xr:uid="{00000000-0005-0000-0000-0000B90F0000}"/>
    <cellStyle name="Normal 2 5 2 2 27 3" xfId="3463" xr:uid="{00000000-0005-0000-0000-0000BA0F0000}"/>
    <cellStyle name="Normal 2 5 2 2 28" xfId="3464" xr:uid="{00000000-0005-0000-0000-0000BB0F0000}"/>
    <cellStyle name="Normal 2 5 2 2 28 2" xfId="3465" xr:uid="{00000000-0005-0000-0000-0000BC0F0000}"/>
    <cellStyle name="Normal 2 5 2 2 28 2 2" xfId="3466" xr:uid="{00000000-0005-0000-0000-0000BD0F0000}"/>
    <cellStyle name="Normal 2 5 2 2 28 3" xfId="3467" xr:uid="{00000000-0005-0000-0000-0000BE0F0000}"/>
    <cellStyle name="Normal 2 5 2 2 29" xfId="3468" xr:uid="{00000000-0005-0000-0000-0000BF0F0000}"/>
    <cellStyle name="Normal 2 5 2 2 29 2" xfId="3469" xr:uid="{00000000-0005-0000-0000-0000C00F0000}"/>
    <cellStyle name="Normal 2 5 2 2 29 2 2" xfId="3470" xr:uid="{00000000-0005-0000-0000-0000C10F0000}"/>
    <cellStyle name="Normal 2 5 2 2 29 3" xfId="3471" xr:uid="{00000000-0005-0000-0000-0000C20F0000}"/>
    <cellStyle name="Normal 2 5 2 2 3" xfId="3472" xr:uid="{00000000-0005-0000-0000-0000C30F0000}"/>
    <cellStyle name="Normal 2 5 2 2 3 2" xfId="3473" xr:uid="{00000000-0005-0000-0000-0000C40F0000}"/>
    <cellStyle name="Normal 2 5 2 2 3 2 2" xfId="3474" xr:uid="{00000000-0005-0000-0000-0000C50F0000}"/>
    <cellStyle name="Normal 2 5 2 2 3 3" xfId="3475" xr:uid="{00000000-0005-0000-0000-0000C60F0000}"/>
    <cellStyle name="Normal 2 5 2 2 30" xfId="3476" xr:uid="{00000000-0005-0000-0000-0000C70F0000}"/>
    <cellStyle name="Normal 2 5 2 2 30 2" xfId="3477" xr:uid="{00000000-0005-0000-0000-0000C80F0000}"/>
    <cellStyle name="Normal 2 5 2 2 30 2 2" xfId="3478" xr:uid="{00000000-0005-0000-0000-0000C90F0000}"/>
    <cellStyle name="Normal 2 5 2 2 30 3" xfId="3479" xr:uid="{00000000-0005-0000-0000-0000CA0F0000}"/>
    <cellStyle name="Normal 2 5 2 2 31" xfId="3480" xr:uid="{00000000-0005-0000-0000-0000CB0F0000}"/>
    <cellStyle name="Normal 2 5 2 2 31 2" xfId="3481" xr:uid="{00000000-0005-0000-0000-0000CC0F0000}"/>
    <cellStyle name="Normal 2 5 2 2 31 2 2" xfId="3482" xr:uid="{00000000-0005-0000-0000-0000CD0F0000}"/>
    <cellStyle name="Normal 2 5 2 2 31 3" xfId="3483" xr:uid="{00000000-0005-0000-0000-0000CE0F0000}"/>
    <cellStyle name="Normal 2 5 2 2 32" xfId="3484" xr:uid="{00000000-0005-0000-0000-0000CF0F0000}"/>
    <cellStyle name="Normal 2 5 2 2 32 2" xfId="3485" xr:uid="{00000000-0005-0000-0000-0000D00F0000}"/>
    <cellStyle name="Normal 2 5 2 2 32 2 2" xfId="3486" xr:uid="{00000000-0005-0000-0000-0000D10F0000}"/>
    <cellStyle name="Normal 2 5 2 2 32 3" xfId="3487" xr:uid="{00000000-0005-0000-0000-0000D20F0000}"/>
    <cellStyle name="Normal 2 5 2 2 33" xfId="3488" xr:uid="{00000000-0005-0000-0000-0000D30F0000}"/>
    <cellStyle name="Normal 2 5 2 2 33 2" xfId="3489" xr:uid="{00000000-0005-0000-0000-0000D40F0000}"/>
    <cellStyle name="Normal 2 5 2 2 33 2 2" xfId="3490" xr:uid="{00000000-0005-0000-0000-0000D50F0000}"/>
    <cellStyle name="Normal 2 5 2 2 33 3" xfId="3491" xr:uid="{00000000-0005-0000-0000-0000D60F0000}"/>
    <cellStyle name="Normal 2 5 2 2 34" xfId="3492" xr:uid="{00000000-0005-0000-0000-0000D70F0000}"/>
    <cellStyle name="Normal 2 5 2 2 34 2" xfId="3493" xr:uid="{00000000-0005-0000-0000-0000D80F0000}"/>
    <cellStyle name="Normal 2 5 2 2 34 2 2" xfId="3494" xr:uid="{00000000-0005-0000-0000-0000D90F0000}"/>
    <cellStyle name="Normal 2 5 2 2 34 3" xfId="3495" xr:uid="{00000000-0005-0000-0000-0000DA0F0000}"/>
    <cellStyle name="Normal 2 5 2 2 35" xfId="3496" xr:uid="{00000000-0005-0000-0000-0000DB0F0000}"/>
    <cellStyle name="Normal 2 5 2 2 35 2" xfId="3497" xr:uid="{00000000-0005-0000-0000-0000DC0F0000}"/>
    <cellStyle name="Normal 2 5 2 2 35 2 2" xfId="3498" xr:uid="{00000000-0005-0000-0000-0000DD0F0000}"/>
    <cellStyle name="Normal 2 5 2 2 35 3" xfId="3499" xr:uid="{00000000-0005-0000-0000-0000DE0F0000}"/>
    <cellStyle name="Normal 2 5 2 2 36" xfId="3500" xr:uid="{00000000-0005-0000-0000-0000DF0F0000}"/>
    <cellStyle name="Normal 2 5 2 2 36 2" xfId="3501" xr:uid="{00000000-0005-0000-0000-0000E00F0000}"/>
    <cellStyle name="Normal 2 5 2 2 36 2 2" xfId="3502" xr:uid="{00000000-0005-0000-0000-0000E10F0000}"/>
    <cellStyle name="Normal 2 5 2 2 36 3" xfId="3503" xr:uid="{00000000-0005-0000-0000-0000E20F0000}"/>
    <cellStyle name="Normal 2 5 2 2 37" xfId="3504" xr:uid="{00000000-0005-0000-0000-0000E30F0000}"/>
    <cellStyle name="Normal 2 5 2 2 37 2" xfId="3505" xr:uid="{00000000-0005-0000-0000-0000E40F0000}"/>
    <cellStyle name="Normal 2 5 2 2 37 2 2" xfId="3506" xr:uid="{00000000-0005-0000-0000-0000E50F0000}"/>
    <cellStyle name="Normal 2 5 2 2 37 3" xfId="3507" xr:uid="{00000000-0005-0000-0000-0000E60F0000}"/>
    <cellStyle name="Normal 2 5 2 2 38" xfId="3508" xr:uid="{00000000-0005-0000-0000-0000E70F0000}"/>
    <cellStyle name="Normal 2 5 2 2 38 2" xfId="3509" xr:uid="{00000000-0005-0000-0000-0000E80F0000}"/>
    <cellStyle name="Normal 2 5 2 2 38 2 2" xfId="3510" xr:uid="{00000000-0005-0000-0000-0000E90F0000}"/>
    <cellStyle name="Normal 2 5 2 2 38 3" xfId="3511" xr:uid="{00000000-0005-0000-0000-0000EA0F0000}"/>
    <cellStyle name="Normal 2 5 2 2 39" xfId="3512" xr:uid="{00000000-0005-0000-0000-0000EB0F0000}"/>
    <cellStyle name="Normal 2 5 2 2 39 2" xfId="3513" xr:uid="{00000000-0005-0000-0000-0000EC0F0000}"/>
    <cellStyle name="Normal 2 5 2 2 39 2 2" xfId="3514" xr:uid="{00000000-0005-0000-0000-0000ED0F0000}"/>
    <cellStyle name="Normal 2 5 2 2 39 3" xfId="3515" xr:uid="{00000000-0005-0000-0000-0000EE0F0000}"/>
    <cellStyle name="Normal 2 5 2 2 4" xfId="3516" xr:uid="{00000000-0005-0000-0000-0000EF0F0000}"/>
    <cellStyle name="Normal 2 5 2 2 4 2" xfId="3517" xr:uid="{00000000-0005-0000-0000-0000F00F0000}"/>
    <cellStyle name="Normal 2 5 2 2 4 2 2" xfId="3518" xr:uid="{00000000-0005-0000-0000-0000F10F0000}"/>
    <cellStyle name="Normal 2 5 2 2 4 3" xfId="3519" xr:uid="{00000000-0005-0000-0000-0000F20F0000}"/>
    <cellStyle name="Normal 2 5 2 2 40" xfId="3520" xr:uid="{00000000-0005-0000-0000-0000F30F0000}"/>
    <cellStyle name="Normal 2 5 2 2 40 2" xfId="3521" xr:uid="{00000000-0005-0000-0000-0000F40F0000}"/>
    <cellStyle name="Normal 2 5 2 2 40 2 2" xfId="3522" xr:uid="{00000000-0005-0000-0000-0000F50F0000}"/>
    <cellStyle name="Normal 2 5 2 2 40 3" xfId="3523" xr:uid="{00000000-0005-0000-0000-0000F60F0000}"/>
    <cellStyle name="Normal 2 5 2 2 41" xfId="3524" xr:uid="{00000000-0005-0000-0000-0000F70F0000}"/>
    <cellStyle name="Normal 2 5 2 2 41 2" xfId="3525" xr:uid="{00000000-0005-0000-0000-0000F80F0000}"/>
    <cellStyle name="Normal 2 5 2 2 41 2 2" xfId="3526" xr:uid="{00000000-0005-0000-0000-0000F90F0000}"/>
    <cellStyle name="Normal 2 5 2 2 41 3" xfId="3527" xr:uid="{00000000-0005-0000-0000-0000FA0F0000}"/>
    <cellStyle name="Normal 2 5 2 2 42" xfId="3528" xr:uid="{00000000-0005-0000-0000-0000FB0F0000}"/>
    <cellStyle name="Normal 2 5 2 2 42 2" xfId="3529" xr:uid="{00000000-0005-0000-0000-0000FC0F0000}"/>
    <cellStyle name="Normal 2 5 2 2 42 2 2" xfId="3530" xr:uid="{00000000-0005-0000-0000-0000FD0F0000}"/>
    <cellStyle name="Normal 2 5 2 2 42 3" xfId="3531" xr:uid="{00000000-0005-0000-0000-0000FE0F0000}"/>
    <cellStyle name="Normal 2 5 2 2 43" xfId="3532" xr:uid="{00000000-0005-0000-0000-0000FF0F0000}"/>
    <cellStyle name="Normal 2 5 2 2 43 2" xfId="3533" xr:uid="{00000000-0005-0000-0000-000000100000}"/>
    <cellStyle name="Normal 2 5 2 2 43 2 2" xfId="3534" xr:uid="{00000000-0005-0000-0000-000001100000}"/>
    <cellStyle name="Normal 2 5 2 2 43 3" xfId="3535" xr:uid="{00000000-0005-0000-0000-000002100000}"/>
    <cellStyle name="Normal 2 5 2 2 44" xfId="3536" xr:uid="{00000000-0005-0000-0000-000003100000}"/>
    <cellStyle name="Normal 2 5 2 2 44 2" xfId="3537" xr:uid="{00000000-0005-0000-0000-000004100000}"/>
    <cellStyle name="Normal 2 5 2 2 44 2 2" xfId="3538" xr:uid="{00000000-0005-0000-0000-000005100000}"/>
    <cellStyle name="Normal 2 5 2 2 44 3" xfId="3539" xr:uid="{00000000-0005-0000-0000-000006100000}"/>
    <cellStyle name="Normal 2 5 2 2 45" xfId="3540" xr:uid="{00000000-0005-0000-0000-000007100000}"/>
    <cellStyle name="Normal 2 5 2 2 45 2" xfId="3541" xr:uid="{00000000-0005-0000-0000-000008100000}"/>
    <cellStyle name="Normal 2 5 2 2 45 2 2" xfId="3542" xr:uid="{00000000-0005-0000-0000-000009100000}"/>
    <cellStyle name="Normal 2 5 2 2 45 3" xfId="3543" xr:uid="{00000000-0005-0000-0000-00000A100000}"/>
    <cellStyle name="Normal 2 5 2 2 46" xfId="3544" xr:uid="{00000000-0005-0000-0000-00000B100000}"/>
    <cellStyle name="Normal 2 5 2 2 46 2" xfId="3545" xr:uid="{00000000-0005-0000-0000-00000C100000}"/>
    <cellStyle name="Normal 2 5 2 2 46 2 2" xfId="3546" xr:uid="{00000000-0005-0000-0000-00000D100000}"/>
    <cellStyle name="Normal 2 5 2 2 46 3" xfId="3547" xr:uid="{00000000-0005-0000-0000-00000E100000}"/>
    <cellStyle name="Normal 2 5 2 2 47" xfId="3548" xr:uid="{00000000-0005-0000-0000-00000F100000}"/>
    <cellStyle name="Normal 2 5 2 2 47 2" xfId="3549" xr:uid="{00000000-0005-0000-0000-000010100000}"/>
    <cellStyle name="Normal 2 5 2 2 47 2 2" xfId="3550" xr:uid="{00000000-0005-0000-0000-000011100000}"/>
    <cellStyle name="Normal 2 5 2 2 47 3" xfId="3551" xr:uid="{00000000-0005-0000-0000-000012100000}"/>
    <cellStyle name="Normal 2 5 2 2 48" xfId="3552" xr:uid="{00000000-0005-0000-0000-000013100000}"/>
    <cellStyle name="Normal 2 5 2 2 48 2" xfId="3553" xr:uid="{00000000-0005-0000-0000-000014100000}"/>
    <cellStyle name="Normal 2 5 2 2 48 2 2" xfId="3554" xr:uid="{00000000-0005-0000-0000-000015100000}"/>
    <cellStyle name="Normal 2 5 2 2 48 3" xfId="3555" xr:uid="{00000000-0005-0000-0000-000016100000}"/>
    <cellStyle name="Normal 2 5 2 2 49" xfId="3556" xr:uid="{00000000-0005-0000-0000-000017100000}"/>
    <cellStyle name="Normal 2 5 2 2 49 2" xfId="3557" xr:uid="{00000000-0005-0000-0000-000018100000}"/>
    <cellStyle name="Normal 2 5 2 2 49 2 2" xfId="3558" xr:uid="{00000000-0005-0000-0000-000019100000}"/>
    <cellStyle name="Normal 2 5 2 2 49 3" xfId="3559" xr:uid="{00000000-0005-0000-0000-00001A100000}"/>
    <cellStyle name="Normal 2 5 2 2 5" xfId="3560" xr:uid="{00000000-0005-0000-0000-00001B100000}"/>
    <cellStyle name="Normal 2 5 2 2 5 2" xfId="3561" xr:uid="{00000000-0005-0000-0000-00001C100000}"/>
    <cellStyle name="Normal 2 5 2 2 5 2 2" xfId="3562" xr:uid="{00000000-0005-0000-0000-00001D100000}"/>
    <cellStyle name="Normal 2 5 2 2 5 3" xfId="3563" xr:uid="{00000000-0005-0000-0000-00001E100000}"/>
    <cellStyle name="Normal 2 5 2 2 50" xfId="3564" xr:uid="{00000000-0005-0000-0000-00001F100000}"/>
    <cellStyle name="Normal 2 5 2 2 50 2" xfId="3565" xr:uid="{00000000-0005-0000-0000-000020100000}"/>
    <cellStyle name="Normal 2 5 2 2 50 2 2" xfId="3566" xr:uid="{00000000-0005-0000-0000-000021100000}"/>
    <cellStyle name="Normal 2 5 2 2 50 3" xfId="3567" xr:uid="{00000000-0005-0000-0000-000022100000}"/>
    <cellStyle name="Normal 2 5 2 2 51" xfId="3568" xr:uid="{00000000-0005-0000-0000-000023100000}"/>
    <cellStyle name="Normal 2 5 2 2 51 2" xfId="3569" xr:uid="{00000000-0005-0000-0000-000024100000}"/>
    <cellStyle name="Normal 2 5 2 2 51 2 2" xfId="3570" xr:uid="{00000000-0005-0000-0000-000025100000}"/>
    <cellStyle name="Normal 2 5 2 2 51 3" xfId="3571" xr:uid="{00000000-0005-0000-0000-000026100000}"/>
    <cellStyle name="Normal 2 5 2 2 52" xfId="3572" xr:uid="{00000000-0005-0000-0000-000027100000}"/>
    <cellStyle name="Normal 2 5 2 2 52 2" xfId="3573" xr:uid="{00000000-0005-0000-0000-000028100000}"/>
    <cellStyle name="Normal 2 5 2 2 52 2 2" xfId="3574" xr:uid="{00000000-0005-0000-0000-000029100000}"/>
    <cellStyle name="Normal 2 5 2 2 52 3" xfId="3575" xr:uid="{00000000-0005-0000-0000-00002A100000}"/>
    <cellStyle name="Normal 2 5 2 2 53" xfId="3576" xr:uid="{00000000-0005-0000-0000-00002B100000}"/>
    <cellStyle name="Normal 2 5 2 2 53 2" xfId="3577" xr:uid="{00000000-0005-0000-0000-00002C100000}"/>
    <cellStyle name="Normal 2 5 2 2 53 2 2" xfId="3578" xr:uid="{00000000-0005-0000-0000-00002D100000}"/>
    <cellStyle name="Normal 2 5 2 2 53 3" xfId="3579" xr:uid="{00000000-0005-0000-0000-00002E100000}"/>
    <cellStyle name="Normal 2 5 2 2 54" xfId="3580" xr:uid="{00000000-0005-0000-0000-00002F100000}"/>
    <cellStyle name="Normal 2 5 2 2 54 2" xfId="3581" xr:uid="{00000000-0005-0000-0000-000030100000}"/>
    <cellStyle name="Normal 2 5 2 2 54 2 2" xfId="3582" xr:uid="{00000000-0005-0000-0000-000031100000}"/>
    <cellStyle name="Normal 2 5 2 2 54 3" xfId="3583" xr:uid="{00000000-0005-0000-0000-000032100000}"/>
    <cellStyle name="Normal 2 5 2 2 55" xfId="3584" xr:uid="{00000000-0005-0000-0000-000033100000}"/>
    <cellStyle name="Normal 2 5 2 2 55 2" xfId="3585" xr:uid="{00000000-0005-0000-0000-000034100000}"/>
    <cellStyle name="Normal 2 5 2 2 55 2 2" xfId="3586" xr:uid="{00000000-0005-0000-0000-000035100000}"/>
    <cellStyle name="Normal 2 5 2 2 55 3" xfId="3587" xr:uid="{00000000-0005-0000-0000-000036100000}"/>
    <cellStyle name="Normal 2 5 2 2 56" xfId="3588" xr:uid="{00000000-0005-0000-0000-000037100000}"/>
    <cellStyle name="Normal 2 5 2 2 56 2" xfId="3589" xr:uid="{00000000-0005-0000-0000-000038100000}"/>
    <cellStyle name="Normal 2 5 2 2 57" xfId="3590" xr:uid="{00000000-0005-0000-0000-000039100000}"/>
    <cellStyle name="Normal 2 5 2 2 6" xfId="3591" xr:uid="{00000000-0005-0000-0000-00003A100000}"/>
    <cellStyle name="Normal 2 5 2 2 6 2" xfId="3592" xr:uid="{00000000-0005-0000-0000-00003B100000}"/>
    <cellStyle name="Normal 2 5 2 2 6 2 2" xfId="3593" xr:uid="{00000000-0005-0000-0000-00003C100000}"/>
    <cellStyle name="Normal 2 5 2 2 6 3" xfId="3594" xr:uid="{00000000-0005-0000-0000-00003D100000}"/>
    <cellStyle name="Normal 2 5 2 2 7" xfId="3595" xr:uid="{00000000-0005-0000-0000-00003E100000}"/>
    <cellStyle name="Normal 2 5 2 2 7 2" xfId="3596" xr:uid="{00000000-0005-0000-0000-00003F100000}"/>
    <cellStyle name="Normal 2 5 2 2 7 2 2" xfId="3597" xr:uid="{00000000-0005-0000-0000-000040100000}"/>
    <cellStyle name="Normal 2 5 2 2 7 3" xfId="3598" xr:uid="{00000000-0005-0000-0000-000041100000}"/>
    <cellStyle name="Normal 2 5 2 2 8" xfId="3599" xr:uid="{00000000-0005-0000-0000-000042100000}"/>
    <cellStyle name="Normal 2 5 2 2 8 2" xfId="3600" xr:uid="{00000000-0005-0000-0000-000043100000}"/>
    <cellStyle name="Normal 2 5 2 2 8 2 2" xfId="3601" xr:uid="{00000000-0005-0000-0000-000044100000}"/>
    <cellStyle name="Normal 2 5 2 2 8 3" xfId="3602" xr:uid="{00000000-0005-0000-0000-000045100000}"/>
    <cellStyle name="Normal 2 5 2 2 9" xfId="3603" xr:uid="{00000000-0005-0000-0000-000046100000}"/>
    <cellStyle name="Normal 2 5 2 2 9 2" xfId="3604" xr:uid="{00000000-0005-0000-0000-000047100000}"/>
    <cellStyle name="Normal 2 5 2 2 9 2 2" xfId="3605" xr:uid="{00000000-0005-0000-0000-000048100000}"/>
    <cellStyle name="Normal 2 5 2 2 9 3" xfId="3606" xr:uid="{00000000-0005-0000-0000-000049100000}"/>
    <cellStyle name="Normal 2 5 2 20" xfId="3607" xr:uid="{00000000-0005-0000-0000-00004A100000}"/>
    <cellStyle name="Normal 2 5 2 20 2" xfId="3608" xr:uid="{00000000-0005-0000-0000-00004B100000}"/>
    <cellStyle name="Normal 2 5 2 20 2 2" xfId="3609" xr:uid="{00000000-0005-0000-0000-00004C100000}"/>
    <cellStyle name="Normal 2 5 2 20 3" xfId="3610" xr:uid="{00000000-0005-0000-0000-00004D100000}"/>
    <cellStyle name="Normal 2 5 2 21" xfId="3611" xr:uid="{00000000-0005-0000-0000-00004E100000}"/>
    <cellStyle name="Normal 2 5 2 21 2" xfId="3612" xr:uid="{00000000-0005-0000-0000-00004F100000}"/>
    <cellStyle name="Normal 2 5 2 21 2 2" xfId="3613" xr:uid="{00000000-0005-0000-0000-000050100000}"/>
    <cellStyle name="Normal 2 5 2 21 3" xfId="3614" xr:uid="{00000000-0005-0000-0000-000051100000}"/>
    <cellStyle name="Normal 2 5 2 22" xfId="3615" xr:uid="{00000000-0005-0000-0000-000052100000}"/>
    <cellStyle name="Normal 2 5 2 22 2" xfId="3616" xr:uid="{00000000-0005-0000-0000-000053100000}"/>
    <cellStyle name="Normal 2 5 2 22 2 2" xfId="3617" xr:uid="{00000000-0005-0000-0000-000054100000}"/>
    <cellStyle name="Normal 2 5 2 22 3" xfId="3618" xr:uid="{00000000-0005-0000-0000-000055100000}"/>
    <cellStyle name="Normal 2 5 2 23" xfId="3619" xr:uid="{00000000-0005-0000-0000-000056100000}"/>
    <cellStyle name="Normal 2 5 2 23 2" xfId="3620" xr:uid="{00000000-0005-0000-0000-000057100000}"/>
    <cellStyle name="Normal 2 5 2 23 2 2" xfId="3621" xr:uid="{00000000-0005-0000-0000-000058100000}"/>
    <cellStyle name="Normal 2 5 2 23 3" xfId="3622" xr:uid="{00000000-0005-0000-0000-000059100000}"/>
    <cellStyle name="Normal 2 5 2 24" xfId="3623" xr:uid="{00000000-0005-0000-0000-00005A100000}"/>
    <cellStyle name="Normal 2 5 2 24 2" xfId="3624" xr:uid="{00000000-0005-0000-0000-00005B100000}"/>
    <cellStyle name="Normal 2 5 2 24 2 2" xfId="3625" xr:uid="{00000000-0005-0000-0000-00005C100000}"/>
    <cellStyle name="Normal 2 5 2 24 3" xfId="3626" xr:uid="{00000000-0005-0000-0000-00005D100000}"/>
    <cellStyle name="Normal 2 5 2 25" xfId="3627" xr:uid="{00000000-0005-0000-0000-00005E100000}"/>
    <cellStyle name="Normal 2 5 2 25 2" xfId="3628" xr:uid="{00000000-0005-0000-0000-00005F100000}"/>
    <cellStyle name="Normal 2 5 2 25 2 2" xfId="3629" xr:uid="{00000000-0005-0000-0000-000060100000}"/>
    <cellStyle name="Normal 2 5 2 25 3" xfId="3630" xr:uid="{00000000-0005-0000-0000-000061100000}"/>
    <cellStyle name="Normal 2 5 2 26" xfId="3631" xr:uid="{00000000-0005-0000-0000-000062100000}"/>
    <cellStyle name="Normal 2 5 2 26 2" xfId="3632" xr:uid="{00000000-0005-0000-0000-000063100000}"/>
    <cellStyle name="Normal 2 5 2 26 2 2" xfId="3633" xr:uid="{00000000-0005-0000-0000-000064100000}"/>
    <cellStyle name="Normal 2 5 2 26 3" xfId="3634" xr:uid="{00000000-0005-0000-0000-000065100000}"/>
    <cellStyle name="Normal 2 5 2 27" xfId="3635" xr:uid="{00000000-0005-0000-0000-000066100000}"/>
    <cellStyle name="Normal 2 5 2 27 2" xfId="3636" xr:uid="{00000000-0005-0000-0000-000067100000}"/>
    <cellStyle name="Normal 2 5 2 27 2 2" xfId="3637" xr:uid="{00000000-0005-0000-0000-000068100000}"/>
    <cellStyle name="Normal 2 5 2 27 3" xfId="3638" xr:uid="{00000000-0005-0000-0000-000069100000}"/>
    <cellStyle name="Normal 2 5 2 28" xfId="3639" xr:uid="{00000000-0005-0000-0000-00006A100000}"/>
    <cellStyle name="Normal 2 5 2 28 2" xfId="3640" xr:uid="{00000000-0005-0000-0000-00006B100000}"/>
    <cellStyle name="Normal 2 5 2 28 2 2" xfId="3641" xr:uid="{00000000-0005-0000-0000-00006C100000}"/>
    <cellStyle name="Normal 2 5 2 28 3" xfId="3642" xr:uid="{00000000-0005-0000-0000-00006D100000}"/>
    <cellStyle name="Normal 2 5 2 29" xfId="3643" xr:uid="{00000000-0005-0000-0000-00006E100000}"/>
    <cellStyle name="Normal 2 5 2 29 2" xfId="3644" xr:uid="{00000000-0005-0000-0000-00006F100000}"/>
    <cellStyle name="Normal 2 5 2 29 2 2" xfId="3645" xr:uid="{00000000-0005-0000-0000-000070100000}"/>
    <cellStyle name="Normal 2 5 2 29 3" xfId="3646" xr:uid="{00000000-0005-0000-0000-000071100000}"/>
    <cellStyle name="Normal 2 5 2 3" xfId="3647" xr:uid="{00000000-0005-0000-0000-000072100000}"/>
    <cellStyle name="Normal 2 5 2 3 2" xfId="3648" xr:uid="{00000000-0005-0000-0000-000073100000}"/>
    <cellStyle name="Normal 2 5 2 3 2 2" xfId="3649" xr:uid="{00000000-0005-0000-0000-000074100000}"/>
    <cellStyle name="Normal 2 5 2 3 3" xfId="3650" xr:uid="{00000000-0005-0000-0000-000075100000}"/>
    <cellStyle name="Normal 2 5 2 30" xfId="3651" xr:uid="{00000000-0005-0000-0000-000076100000}"/>
    <cellStyle name="Normal 2 5 2 30 2" xfId="3652" xr:uid="{00000000-0005-0000-0000-000077100000}"/>
    <cellStyle name="Normal 2 5 2 30 2 2" xfId="3653" xr:uid="{00000000-0005-0000-0000-000078100000}"/>
    <cellStyle name="Normal 2 5 2 30 3" xfId="3654" xr:uid="{00000000-0005-0000-0000-000079100000}"/>
    <cellStyle name="Normal 2 5 2 31" xfId="3655" xr:uid="{00000000-0005-0000-0000-00007A100000}"/>
    <cellStyle name="Normal 2 5 2 31 2" xfId="3656" xr:uid="{00000000-0005-0000-0000-00007B100000}"/>
    <cellStyle name="Normal 2 5 2 31 2 2" xfId="3657" xr:uid="{00000000-0005-0000-0000-00007C100000}"/>
    <cellStyle name="Normal 2 5 2 31 3" xfId="3658" xr:uid="{00000000-0005-0000-0000-00007D100000}"/>
    <cellStyle name="Normal 2 5 2 32" xfId="3659" xr:uid="{00000000-0005-0000-0000-00007E100000}"/>
    <cellStyle name="Normal 2 5 2 32 2" xfId="3660" xr:uid="{00000000-0005-0000-0000-00007F100000}"/>
    <cellStyle name="Normal 2 5 2 32 2 2" xfId="3661" xr:uid="{00000000-0005-0000-0000-000080100000}"/>
    <cellStyle name="Normal 2 5 2 32 3" xfId="3662" xr:uid="{00000000-0005-0000-0000-000081100000}"/>
    <cellStyle name="Normal 2 5 2 33" xfId="3663" xr:uid="{00000000-0005-0000-0000-000082100000}"/>
    <cellStyle name="Normal 2 5 2 33 2" xfId="3664" xr:uid="{00000000-0005-0000-0000-000083100000}"/>
    <cellStyle name="Normal 2 5 2 33 2 2" xfId="3665" xr:uid="{00000000-0005-0000-0000-000084100000}"/>
    <cellStyle name="Normal 2 5 2 33 3" xfId="3666" xr:uid="{00000000-0005-0000-0000-000085100000}"/>
    <cellStyle name="Normal 2 5 2 34" xfId="3667" xr:uid="{00000000-0005-0000-0000-000086100000}"/>
    <cellStyle name="Normal 2 5 2 34 2" xfId="3668" xr:uid="{00000000-0005-0000-0000-000087100000}"/>
    <cellStyle name="Normal 2 5 2 35" xfId="3669" xr:uid="{00000000-0005-0000-0000-000088100000}"/>
    <cellStyle name="Normal 2 5 2 36" xfId="9157" xr:uid="{00000000-0005-0000-0000-000089100000}"/>
    <cellStyle name="Normal 2 5 2 4" xfId="3670" xr:uid="{00000000-0005-0000-0000-00008A100000}"/>
    <cellStyle name="Normal 2 5 2 4 2" xfId="3671" xr:uid="{00000000-0005-0000-0000-00008B100000}"/>
    <cellStyle name="Normal 2 5 2 4 2 2" xfId="3672" xr:uid="{00000000-0005-0000-0000-00008C100000}"/>
    <cellStyle name="Normal 2 5 2 4 3" xfId="3673" xr:uid="{00000000-0005-0000-0000-00008D100000}"/>
    <cellStyle name="Normal 2 5 2 5" xfId="3674" xr:uid="{00000000-0005-0000-0000-00008E100000}"/>
    <cellStyle name="Normal 2 5 2 5 2" xfId="3675" xr:uid="{00000000-0005-0000-0000-00008F100000}"/>
    <cellStyle name="Normal 2 5 2 5 2 2" xfId="3676" xr:uid="{00000000-0005-0000-0000-000090100000}"/>
    <cellStyle name="Normal 2 5 2 5 3" xfId="3677" xr:uid="{00000000-0005-0000-0000-000091100000}"/>
    <cellStyle name="Normal 2 5 2 6" xfId="3678" xr:uid="{00000000-0005-0000-0000-000092100000}"/>
    <cellStyle name="Normal 2 5 2 6 2" xfId="3679" xr:uid="{00000000-0005-0000-0000-000093100000}"/>
    <cellStyle name="Normal 2 5 2 6 2 2" xfId="3680" xr:uid="{00000000-0005-0000-0000-000094100000}"/>
    <cellStyle name="Normal 2 5 2 6 3" xfId="3681" xr:uid="{00000000-0005-0000-0000-000095100000}"/>
    <cellStyle name="Normal 2 5 2 7" xfId="3682" xr:uid="{00000000-0005-0000-0000-000096100000}"/>
    <cellStyle name="Normal 2 5 2 7 2" xfId="3683" xr:uid="{00000000-0005-0000-0000-000097100000}"/>
    <cellStyle name="Normal 2 5 2 7 2 2" xfId="3684" xr:uid="{00000000-0005-0000-0000-000098100000}"/>
    <cellStyle name="Normal 2 5 2 7 3" xfId="3685" xr:uid="{00000000-0005-0000-0000-000099100000}"/>
    <cellStyle name="Normal 2 5 2 8" xfId="3686" xr:uid="{00000000-0005-0000-0000-00009A100000}"/>
    <cellStyle name="Normal 2 5 2 8 2" xfId="3687" xr:uid="{00000000-0005-0000-0000-00009B100000}"/>
    <cellStyle name="Normal 2 5 2 8 2 2" xfId="3688" xr:uid="{00000000-0005-0000-0000-00009C100000}"/>
    <cellStyle name="Normal 2 5 2 8 3" xfId="3689" xr:uid="{00000000-0005-0000-0000-00009D100000}"/>
    <cellStyle name="Normal 2 5 2 9" xfId="3690" xr:uid="{00000000-0005-0000-0000-00009E100000}"/>
    <cellStyle name="Normal 2 5 2 9 2" xfId="3691" xr:uid="{00000000-0005-0000-0000-00009F100000}"/>
    <cellStyle name="Normal 2 5 2 9 2 2" xfId="3692" xr:uid="{00000000-0005-0000-0000-0000A0100000}"/>
    <cellStyle name="Normal 2 5 2 9 3" xfId="3693" xr:uid="{00000000-0005-0000-0000-0000A1100000}"/>
    <cellStyle name="Normal 2 5 20" xfId="3694" xr:uid="{00000000-0005-0000-0000-0000A2100000}"/>
    <cellStyle name="Normal 2 5 20 2" xfId="3695" xr:uid="{00000000-0005-0000-0000-0000A3100000}"/>
    <cellStyle name="Normal 2 5 20 2 2" xfId="3696" xr:uid="{00000000-0005-0000-0000-0000A4100000}"/>
    <cellStyle name="Normal 2 5 20 3" xfId="3697" xr:uid="{00000000-0005-0000-0000-0000A5100000}"/>
    <cellStyle name="Normal 2 5 21" xfId="3698" xr:uid="{00000000-0005-0000-0000-0000A6100000}"/>
    <cellStyle name="Normal 2 5 21 2" xfId="3699" xr:uid="{00000000-0005-0000-0000-0000A7100000}"/>
    <cellStyle name="Normal 2 5 21 2 2" xfId="3700" xr:uid="{00000000-0005-0000-0000-0000A8100000}"/>
    <cellStyle name="Normal 2 5 21 3" xfId="3701" xr:uid="{00000000-0005-0000-0000-0000A9100000}"/>
    <cellStyle name="Normal 2 5 22" xfId="3702" xr:uid="{00000000-0005-0000-0000-0000AA100000}"/>
    <cellStyle name="Normal 2 5 22 2" xfId="3703" xr:uid="{00000000-0005-0000-0000-0000AB100000}"/>
    <cellStyle name="Normal 2 5 22 2 2" xfId="3704" xr:uid="{00000000-0005-0000-0000-0000AC100000}"/>
    <cellStyle name="Normal 2 5 22 3" xfId="3705" xr:uid="{00000000-0005-0000-0000-0000AD100000}"/>
    <cellStyle name="Normal 2 5 23" xfId="3706" xr:uid="{00000000-0005-0000-0000-0000AE100000}"/>
    <cellStyle name="Normal 2 5 23 2" xfId="3707" xr:uid="{00000000-0005-0000-0000-0000AF100000}"/>
    <cellStyle name="Normal 2 5 23 2 2" xfId="3708" xr:uid="{00000000-0005-0000-0000-0000B0100000}"/>
    <cellStyle name="Normal 2 5 23 3" xfId="3709" xr:uid="{00000000-0005-0000-0000-0000B1100000}"/>
    <cellStyle name="Normal 2 5 24" xfId="3710" xr:uid="{00000000-0005-0000-0000-0000B2100000}"/>
    <cellStyle name="Normal 2 5 24 2" xfId="3711" xr:uid="{00000000-0005-0000-0000-0000B3100000}"/>
    <cellStyle name="Normal 2 5 24 2 2" xfId="3712" xr:uid="{00000000-0005-0000-0000-0000B4100000}"/>
    <cellStyle name="Normal 2 5 24 3" xfId="3713" xr:uid="{00000000-0005-0000-0000-0000B5100000}"/>
    <cellStyle name="Normal 2 5 25" xfId="3714" xr:uid="{00000000-0005-0000-0000-0000B6100000}"/>
    <cellStyle name="Normal 2 5 25 2" xfId="3715" xr:uid="{00000000-0005-0000-0000-0000B7100000}"/>
    <cellStyle name="Normal 2 5 25 2 2" xfId="3716" xr:uid="{00000000-0005-0000-0000-0000B8100000}"/>
    <cellStyle name="Normal 2 5 25 3" xfId="3717" xr:uid="{00000000-0005-0000-0000-0000B9100000}"/>
    <cellStyle name="Normal 2 5 26" xfId="3718" xr:uid="{00000000-0005-0000-0000-0000BA100000}"/>
    <cellStyle name="Normal 2 5 26 2" xfId="3719" xr:uid="{00000000-0005-0000-0000-0000BB100000}"/>
    <cellStyle name="Normal 2 5 26 2 2" xfId="3720" xr:uid="{00000000-0005-0000-0000-0000BC100000}"/>
    <cellStyle name="Normal 2 5 26 3" xfId="3721" xr:uid="{00000000-0005-0000-0000-0000BD100000}"/>
    <cellStyle name="Normal 2 5 27" xfId="3722" xr:uid="{00000000-0005-0000-0000-0000BE100000}"/>
    <cellStyle name="Normal 2 5 27 2" xfId="3723" xr:uid="{00000000-0005-0000-0000-0000BF100000}"/>
    <cellStyle name="Normal 2 5 27 2 2" xfId="3724" xr:uid="{00000000-0005-0000-0000-0000C0100000}"/>
    <cellStyle name="Normal 2 5 27 3" xfId="3725" xr:uid="{00000000-0005-0000-0000-0000C1100000}"/>
    <cellStyle name="Normal 2 5 28" xfId="3726" xr:uid="{00000000-0005-0000-0000-0000C2100000}"/>
    <cellStyle name="Normal 2 5 28 2" xfId="3727" xr:uid="{00000000-0005-0000-0000-0000C3100000}"/>
    <cellStyle name="Normal 2 5 28 2 2" xfId="3728" xr:uid="{00000000-0005-0000-0000-0000C4100000}"/>
    <cellStyle name="Normal 2 5 28 3" xfId="3729" xr:uid="{00000000-0005-0000-0000-0000C5100000}"/>
    <cellStyle name="Normal 2 5 29" xfId="3730" xr:uid="{00000000-0005-0000-0000-0000C6100000}"/>
    <cellStyle name="Normal 2 5 29 2" xfId="3731" xr:uid="{00000000-0005-0000-0000-0000C7100000}"/>
    <cellStyle name="Normal 2 5 29 2 2" xfId="3732" xr:uid="{00000000-0005-0000-0000-0000C8100000}"/>
    <cellStyle name="Normal 2 5 29 3" xfId="3733" xr:uid="{00000000-0005-0000-0000-0000C9100000}"/>
    <cellStyle name="Normal 2 5 3" xfId="3734" xr:uid="{00000000-0005-0000-0000-0000CA100000}"/>
    <cellStyle name="Normal 2 5 3 2" xfId="3735" xr:uid="{00000000-0005-0000-0000-0000CB100000}"/>
    <cellStyle name="Normal 2 5 3 2 2" xfId="3736" xr:uid="{00000000-0005-0000-0000-0000CC100000}"/>
    <cellStyle name="Normal 2 5 3 3" xfId="3737" xr:uid="{00000000-0005-0000-0000-0000CD100000}"/>
    <cellStyle name="Normal 2 5 30" xfId="3738" xr:uid="{00000000-0005-0000-0000-0000CE100000}"/>
    <cellStyle name="Normal 2 5 30 2" xfId="3739" xr:uid="{00000000-0005-0000-0000-0000CF100000}"/>
    <cellStyle name="Normal 2 5 30 2 2" xfId="3740" xr:uid="{00000000-0005-0000-0000-0000D0100000}"/>
    <cellStyle name="Normal 2 5 30 3" xfId="3741" xr:uid="{00000000-0005-0000-0000-0000D1100000}"/>
    <cellStyle name="Normal 2 5 31" xfId="3742" xr:uid="{00000000-0005-0000-0000-0000D2100000}"/>
    <cellStyle name="Normal 2 5 31 2" xfId="3743" xr:uid="{00000000-0005-0000-0000-0000D3100000}"/>
    <cellStyle name="Normal 2 5 31 2 2" xfId="3744" xr:uid="{00000000-0005-0000-0000-0000D4100000}"/>
    <cellStyle name="Normal 2 5 31 3" xfId="3745" xr:uid="{00000000-0005-0000-0000-0000D5100000}"/>
    <cellStyle name="Normal 2 5 32" xfId="3746" xr:uid="{00000000-0005-0000-0000-0000D6100000}"/>
    <cellStyle name="Normal 2 5 32 2" xfId="3747" xr:uid="{00000000-0005-0000-0000-0000D7100000}"/>
    <cellStyle name="Normal 2 5 32 2 2" xfId="3748" xr:uid="{00000000-0005-0000-0000-0000D8100000}"/>
    <cellStyle name="Normal 2 5 32 3" xfId="3749" xr:uid="{00000000-0005-0000-0000-0000D9100000}"/>
    <cellStyle name="Normal 2 5 33" xfId="3750" xr:uid="{00000000-0005-0000-0000-0000DA100000}"/>
    <cellStyle name="Normal 2 5 33 2" xfId="3751" xr:uid="{00000000-0005-0000-0000-0000DB100000}"/>
    <cellStyle name="Normal 2 5 33 2 2" xfId="3752" xr:uid="{00000000-0005-0000-0000-0000DC100000}"/>
    <cellStyle name="Normal 2 5 33 3" xfId="3753" xr:uid="{00000000-0005-0000-0000-0000DD100000}"/>
    <cellStyle name="Normal 2 5 34" xfId="3754" xr:uid="{00000000-0005-0000-0000-0000DE100000}"/>
    <cellStyle name="Normal 2 5 34 2" xfId="3755" xr:uid="{00000000-0005-0000-0000-0000DF100000}"/>
    <cellStyle name="Normal 2 5 34 2 2" xfId="3756" xr:uid="{00000000-0005-0000-0000-0000E0100000}"/>
    <cellStyle name="Normal 2 5 34 3" xfId="3757" xr:uid="{00000000-0005-0000-0000-0000E1100000}"/>
    <cellStyle name="Normal 2 5 35" xfId="3758" xr:uid="{00000000-0005-0000-0000-0000E2100000}"/>
    <cellStyle name="Normal 2 5 35 2" xfId="3759" xr:uid="{00000000-0005-0000-0000-0000E3100000}"/>
    <cellStyle name="Normal 2 5 35 2 2" xfId="3760" xr:uid="{00000000-0005-0000-0000-0000E4100000}"/>
    <cellStyle name="Normal 2 5 35 3" xfId="3761" xr:uid="{00000000-0005-0000-0000-0000E5100000}"/>
    <cellStyle name="Normal 2 5 36" xfId="3762" xr:uid="{00000000-0005-0000-0000-0000E6100000}"/>
    <cellStyle name="Normal 2 5 36 2" xfId="3763" xr:uid="{00000000-0005-0000-0000-0000E7100000}"/>
    <cellStyle name="Normal 2 5 36 2 2" xfId="3764" xr:uid="{00000000-0005-0000-0000-0000E8100000}"/>
    <cellStyle name="Normal 2 5 36 3" xfId="3765" xr:uid="{00000000-0005-0000-0000-0000E9100000}"/>
    <cellStyle name="Normal 2 5 37" xfId="3766" xr:uid="{00000000-0005-0000-0000-0000EA100000}"/>
    <cellStyle name="Normal 2 5 37 2" xfId="3767" xr:uid="{00000000-0005-0000-0000-0000EB100000}"/>
    <cellStyle name="Normal 2 5 37 2 2" xfId="3768" xr:uid="{00000000-0005-0000-0000-0000EC100000}"/>
    <cellStyle name="Normal 2 5 37 3" xfId="3769" xr:uid="{00000000-0005-0000-0000-0000ED100000}"/>
    <cellStyle name="Normal 2 5 38" xfId="3770" xr:uid="{00000000-0005-0000-0000-0000EE100000}"/>
    <cellStyle name="Normal 2 5 38 2" xfId="3771" xr:uid="{00000000-0005-0000-0000-0000EF100000}"/>
    <cellStyle name="Normal 2 5 38 2 2" xfId="3772" xr:uid="{00000000-0005-0000-0000-0000F0100000}"/>
    <cellStyle name="Normal 2 5 38 3" xfId="3773" xr:uid="{00000000-0005-0000-0000-0000F1100000}"/>
    <cellStyle name="Normal 2 5 39" xfId="3774" xr:uid="{00000000-0005-0000-0000-0000F2100000}"/>
    <cellStyle name="Normal 2 5 39 2" xfId="3775" xr:uid="{00000000-0005-0000-0000-0000F3100000}"/>
    <cellStyle name="Normal 2 5 39 2 2" xfId="3776" xr:uid="{00000000-0005-0000-0000-0000F4100000}"/>
    <cellStyle name="Normal 2 5 39 3" xfId="3777" xr:uid="{00000000-0005-0000-0000-0000F5100000}"/>
    <cellStyle name="Normal 2 5 4" xfId="3778" xr:uid="{00000000-0005-0000-0000-0000F6100000}"/>
    <cellStyle name="Normal 2 5 4 2" xfId="3779" xr:uid="{00000000-0005-0000-0000-0000F7100000}"/>
    <cellStyle name="Normal 2 5 4 2 2" xfId="3780" xr:uid="{00000000-0005-0000-0000-0000F8100000}"/>
    <cellStyle name="Normal 2 5 4 3" xfId="3781" xr:uid="{00000000-0005-0000-0000-0000F9100000}"/>
    <cellStyle name="Normal 2 5 40" xfId="3782" xr:uid="{00000000-0005-0000-0000-0000FA100000}"/>
    <cellStyle name="Normal 2 5 40 2" xfId="3783" xr:uid="{00000000-0005-0000-0000-0000FB100000}"/>
    <cellStyle name="Normal 2 5 40 2 2" xfId="3784" xr:uid="{00000000-0005-0000-0000-0000FC100000}"/>
    <cellStyle name="Normal 2 5 40 3" xfId="3785" xr:uid="{00000000-0005-0000-0000-0000FD100000}"/>
    <cellStyle name="Normal 2 5 41" xfId="3786" xr:uid="{00000000-0005-0000-0000-0000FE100000}"/>
    <cellStyle name="Normal 2 5 41 2" xfId="3787" xr:uid="{00000000-0005-0000-0000-0000FF100000}"/>
    <cellStyle name="Normal 2 5 41 2 2" xfId="3788" xr:uid="{00000000-0005-0000-0000-000000110000}"/>
    <cellStyle name="Normal 2 5 41 3" xfId="3789" xr:uid="{00000000-0005-0000-0000-000001110000}"/>
    <cellStyle name="Normal 2 5 42" xfId="3790" xr:uid="{00000000-0005-0000-0000-000002110000}"/>
    <cellStyle name="Normal 2 5 42 2" xfId="3791" xr:uid="{00000000-0005-0000-0000-000003110000}"/>
    <cellStyle name="Normal 2 5 42 2 2" xfId="3792" xr:uid="{00000000-0005-0000-0000-000004110000}"/>
    <cellStyle name="Normal 2 5 42 3" xfId="3793" xr:uid="{00000000-0005-0000-0000-000005110000}"/>
    <cellStyle name="Normal 2 5 43" xfId="3794" xr:uid="{00000000-0005-0000-0000-000006110000}"/>
    <cellStyle name="Normal 2 5 43 2" xfId="3795" xr:uid="{00000000-0005-0000-0000-000007110000}"/>
    <cellStyle name="Normal 2 5 43 2 2" xfId="3796" xr:uid="{00000000-0005-0000-0000-000008110000}"/>
    <cellStyle name="Normal 2 5 43 3" xfId="3797" xr:uid="{00000000-0005-0000-0000-000009110000}"/>
    <cellStyle name="Normal 2 5 44" xfId="3798" xr:uid="{00000000-0005-0000-0000-00000A110000}"/>
    <cellStyle name="Normal 2 5 44 2" xfId="3799" xr:uid="{00000000-0005-0000-0000-00000B110000}"/>
    <cellStyle name="Normal 2 5 44 2 2" xfId="3800" xr:uid="{00000000-0005-0000-0000-00000C110000}"/>
    <cellStyle name="Normal 2 5 44 3" xfId="3801" xr:uid="{00000000-0005-0000-0000-00000D110000}"/>
    <cellStyle name="Normal 2 5 45" xfId="3802" xr:uid="{00000000-0005-0000-0000-00000E110000}"/>
    <cellStyle name="Normal 2 5 45 2" xfId="3803" xr:uid="{00000000-0005-0000-0000-00000F110000}"/>
    <cellStyle name="Normal 2 5 45 2 2" xfId="3804" xr:uid="{00000000-0005-0000-0000-000010110000}"/>
    <cellStyle name="Normal 2 5 45 3" xfId="3805" xr:uid="{00000000-0005-0000-0000-000011110000}"/>
    <cellStyle name="Normal 2 5 46" xfId="3806" xr:uid="{00000000-0005-0000-0000-000012110000}"/>
    <cellStyle name="Normal 2 5 46 2" xfId="3807" xr:uid="{00000000-0005-0000-0000-000013110000}"/>
    <cellStyle name="Normal 2 5 46 2 2" xfId="3808" xr:uid="{00000000-0005-0000-0000-000014110000}"/>
    <cellStyle name="Normal 2 5 46 3" xfId="3809" xr:uid="{00000000-0005-0000-0000-000015110000}"/>
    <cellStyle name="Normal 2 5 47" xfId="3810" xr:uid="{00000000-0005-0000-0000-000016110000}"/>
    <cellStyle name="Normal 2 5 47 2" xfId="3811" xr:uid="{00000000-0005-0000-0000-000017110000}"/>
    <cellStyle name="Normal 2 5 47 2 2" xfId="3812" xr:uid="{00000000-0005-0000-0000-000018110000}"/>
    <cellStyle name="Normal 2 5 47 3" xfId="3813" xr:uid="{00000000-0005-0000-0000-000019110000}"/>
    <cellStyle name="Normal 2 5 48" xfId="3814" xr:uid="{00000000-0005-0000-0000-00001A110000}"/>
    <cellStyle name="Normal 2 5 48 2" xfId="3815" xr:uid="{00000000-0005-0000-0000-00001B110000}"/>
    <cellStyle name="Normal 2 5 48 2 2" xfId="3816" xr:uid="{00000000-0005-0000-0000-00001C110000}"/>
    <cellStyle name="Normal 2 5 48 3" xfId="3817" xr:uid="{00000000-0005-0000-0000-00001D110000}"/>
    <cellStyle name="Normal 2 5 49" xfId="3818" xr:uid="{00000000-0005-0000-0000-00001E110000}"/>
    <cellStyle name="Normal 2 5 49 2" xfId="3819" xr:uid="{00000000-0005-0000-0000-00001F110000}"/>
    <cellStyle name="Normal 2 5 49 2 2" xfId="3820" xr:uid="{00000000-0005-0000-0000-000020110000}"/>
    <cellStyle name="Normal 2 5 49 3" xfId="3821" xr:uid="{00000000-0005-0000-0000-000021110000}"/>
    <cellStyle name="Normal 2 5 5" xfId="3822" xr:uid="{00000000-0005-0000-0000-000022110000}"/>
    <cellStyle name="Normal 2 5 5 2" xfId="3823" xr:uid="{00000000-0005-0000-0000-000023110000}"/>
    <cellStyle name="Normal 2 5 5 2 2" xfId="3824" xr:uid="{00000000-0005-0000-0000-000024110000}"/>
    <cellStyle name="Normal 2 5 5 3" xfId="3825" xr:uid="{00000000-0005-0000-0000-000025110000}"/>
    <cellStyle name="Normal 2 5 50" xfId="3826" xr:uid="{00000000-0005-0000-0000-000026110000}"/>
    <cellStyle name="Normal 2 5 50 2" xfId="3827" xr:uid="{00000000-0005-0000-0000-000027110000}"/>
    <cellStyle name="Normal 2 5 50 2 2" xfId="3828" xr:uid="{00000000-0005-0000-0000-000028110000}"/>
    <cellStyle name="Normal 2 5 50 3" xfId="3829" xr:uid="{00000000-0005-0000-0000-000029110000}"/>
    <cellStyle name="Normal 2 5 51" xfId="3830" xr:uid="{00000000-0005-0000-0000-00002A110000}"/>
    <cellStyle name="Normal 2 5 51 2" xfId="3831" xr:uid="{00000000-0005-0000-0000-00002B110000}"/>
    <cellStyle name="Normal 2 5 51 2 2" xfId="3832" xr:uid="{00000000-0005-0000-0000-00002C110000}"/>
    <cellStyle name="Normal 2 5 51 3" xfId="3833" xr:uid="{00000000-0005-0000-0000-00002D110000}"/>
    <cellStyle name="Normal 2 5 52" xfId="3834" xr:uid="{00000000-0005-0000-0000-00002E110000}"/>
    <cellStyle name="Normal 2 5 52 2" xfId="3835" xr:uid="{00000000-0005-0000-0000-00002F110000}"/>
    <cellStyle name="Normal 2 5 52 2 2" xfId="3836" xr:uid="{00000000-0005-0000-0000-000030110000}"/>
    <cellStyle name="Normal 2 5 52 3" xfId="3837" xr:uid="{00000000-0005-0000-0000-000031110000}"/>
    <cellStyle name="Normal 2 5 53" xfId="3838" xr:uid="{00000000-0005-0000-0000-000032110000}"/>
    <cellStyle name="Normal 2 5 53 2" xfId="3839" xr:uid="{00000000-0005-0000-0000-000033110000}"/>
    <cellStyle name="Normal 2 5 53 2 2" xfId="3840" xr:uid="{00000000-0005-0000-0000-000034110000}"/>
    <cellStyle name="Normal 2 5 53 3" xfId="3841" xr:uid="{00000000-0005-0000-0000-000035110000}"/>
    <cellStyle name="Normal 2 5 54" xfId="3842" xr:uid="{00000000-0005-0000-0000-000036110000}"/>
    <cellStyle name="Normal 2 5 54 2" xfId="3843" xr:uid="{00000000-0005-0000-0000-000037110000}"/>
    <cellStyle name="Normal 2 5 54 2 2" xfId="3844" xr:uid="{00000000-0005-0000-0000-000038110000}"/>
    <cellStyle name="Normal 2 5 54 3" xfId="3845" xr:uid="{00000000-0005-0000-0000-000039110000}"/>
    <cellStyle name="Normal 2 5 55" xfId="3846" xr:uid="{00000000-0005-0000-0000-00003A110000}"/>
    <cellStyle name="Normal 2 5 55 2" xfId="3847" xr:uid="{00000000-0005-0000-0000-00003B110000}"/>
    <cellStyle name="Normal 2 5 55 2 2" xfId="3848" xr:uid="{00000000-0005-0000-0000-00003C110000}"/>
    <cellStyle name="Normal 2 5 55 3" xfId="3849" xr:uid="{00000000-0005-0000-0000-00003D110000}"/>
    <cellStyle name="Normal 2 5 56" xfId="3850" xr:uid="{00000000-0005-0000-0000-00003E110000}"/>
    <cellStyle name="Normal 2 5 56 2" xfId="3851" xr:uid="{00000000-0005-0000-0000-00003F110000}"/>
    <cellStyle name="Normal 2 5 56 2 2" xfId="3852" xr:uid="{00000000-0005-0000-0000-000040110000}"/>
    <cellStyle name="Normal 2 5 56 3" xfId="3853" xr:uid="{00000000-0005-0000-0000-000041110000}"/>
    <cellStyle name="Normal 2 5 57" xfId="3854" xr:uid="{00000000-0005-0000-0000-000042110000}"/>
    <cellStyle name="Normal 2 5 57 2" xfId="3855" xr:uid="{00000000-0005-0000-0000-000043110000}"/>
    <cellStyle name="Normal 2 5 57 2 2" xfId="3856" xr:uid="{00000000-0005-0000-0000-000044110000}"/>
    <cellStyle name="Normal 2 5 57 3" xfId="3857" xr:uid="{00000000-0005-0000-0000-000045110000}"/>
    <cellStyle name="Normal 2 5 58" xfId="3858" xr:uid="{00000000-0005-0000-0000-000046110000}"/>
    <cellStyle name="Normal 2 5 58 2" xfId="3859" xr:uid="{00000000-0005-0000-0000-000047110000}"/>
    <cellStyle name="Normal 2 5 58 2 2" xfId="3860" xr:uid="{00000000-0005-0000-0000-000048110000}"/>
    <cellStyle name="Normal 2 5 58 3" xfId="3861" xr:uid="{00000000-0005-0000-0000-000049110000}"/>
    <cellStyle name="Normal 2 5 59" xfId="3862" xr:uid="{00000000-0005-0000-0000-00004A110000}"/>
    <cellStyle name="Normal 2 5 59 2" xfId="3863" xr:uid="{00000000-0005-0000-0000-00004B110000}"/>
    <cellStyle name="Normal 2 5 59 2 2" xfId="3864" xr:uid="{00000000-0005-0000-0000-00004C110000}"/>
    <cellStyle name="Normal 2 5 59 3" xfId="3865" xr:uid="{00000000-0005-0000-0000-00004D110000}"/>
    <cellStyle name="Normal 2 5 6" xfId="3866" xr:uid="{00000000-0005-0000-0000-00004E110000}"/>
    <cellStyle name="Normal 2 5 6 2" xfId="3867" xr:uid="{00000000-0005-0000-0000-00004F110000}"/>
    <cellStyle name="Normal 2 5 6 2 2" xfId="3868" xr:uid="{00000000-0005-0000-0000-000050110000}"/>
    <cellStyle name="Normal 2 5 6 3" xfId="3869" xr:uid="{00000000-0005-0000-0000-000051110000}"/>
    <cellStyle name="Normal 2 5 60" xfId="3870" xr:uid="{00000000-0005-0000-0000-000052110000}"/>
    <cellStyle name="Normal 2 5 60 2" xfId="3871" xr:uid="{00000000-0005-0000-0000-000053110000}"/>
    <cellStyle name="Normal 2 5 60 2 2" xfId="3872" xr:uid="{00000000-0005-0000-0000-000054110000}"/>
    <cellStyle name="Normal 2 5 60 3" xfId="3873" xr:uid="{00000000-0005-0000-0000-000055110000}"/>
    <cellStyle name="Normal 2 5 61" xfId="3874" xr:uid="{00000000-0005-0000-0000-000056110000}"/>
    <cellStyle name="Normal 2 5 61 2" xfId="3875" xr:uid="{00000000-0005-0000-0000-000057110000}"/>
    <cellStyle name="Normal 2 5 61 2 2" xfId="3876" xr:uid="{00000000-0005-0000-0000-000058110000}"/>
    <cellStyle name="Normal 2 5 61 3" xfId="3877" xr:uid="{00000000-0005-0000-0000-000059110000}"/>
    <cellStyle name="Normal 2 5 62" xfId="3878" xr:uid="{00000000-0005-0000-0000-00005A110000}"/>
    <cellStyle name="Normal 2 5 62 2" xfId="3879" xr:uid="{00000000-0005-0000-0000-00005B110000}"/>
    <cellStyle name="Normal 2 5 62 2 2" xfId="3880" xr:uid="{00000000-0005-0000-0000-00005C110000}"/>
    <cellStyle name="Normal 2 5 62 3" xfId="3881" xr:uid="{00000000-0005-0000-0000-00005D110000}"/>
    <cellStyle name="Normal 2 5 63" xfId="3882" xr:uid="{00000000-0005-0000-0000-00005E110000}"/>
    <cellStyle name="Normal 2 5 63 2" xfId="3883" xr:uid="{00000000-0005-0000-0000-00005F110000}"/>
    <cellStyle name="Normal 2 5 63 2 2" xfId="3884" xr:uid="{00000000-0005-0000-0000-000060110000}"/>
    <cellStyle name="Normal 2 5 63 3" xfId="3885" xr:uid="{00000000-0005-0000-0000-000061110000}"/>
    <cellStyle name="Normal 2 5 64" xfId="3886" xr:uid="{00000000-0005-0000-0000-000062110000}"/>
    <cellStyle name="Normal 2 5 64 2" xfId="3887" xr:uid="{00000000-0005-0000-0000-000063110000}"/>
    <cellStyle name="Normal 2 5 64 2 2" xfId="3888" xr:uid="{00000000-0005-0000-0000-000064110000}"/>
    <cellStyle name="Normal 2 5 64 3" xfId="3889" xr:uid="{00000000-0005-0000-0000-000065110000}"/>
    <cellStyle name="Normal 2 5 65" xfId="3890" xr:uid="{00000000-0005-0000-0000-000066110000}"/>
    <cellStyle name="Normal 2 5 65 2" xfId="3891" xr:uid="{00000000-0005-0000-0000-000067110000}"/>
    <cellStyle name="Normal 2 5 65 2 2" xfId="3892" xr:uid="{00000000-0005-0000-0000-000068110000}"/>
    <cellStyle name="Normal 2 5 65 3" xfId="3893" xr:uid="{00000000-0005-0000-0000-000069110000}"/>
    <cellStyle name="Normal 2 5 66" xfId="3894" xr:uid="{00000000-0005-0000-0000-00006A110000}"/>
    <cellStyle name="Normal 2 5 66 2" xfId="3895" xr:uid="{00000000-0005-0000-0000-00006B110000}"/>
    <cellStyle name="Normal 2 5 66 2 2" xfId="3896" xr:uid="{00000000-0005-0000-0000-00006C110000}"/>
    <cellStyle name="Normal 2 5 66 3" xfId="3897" xr:uid="{00000000-0005-0000-0000-00006D110000}"/>
    <cellStyle name="Normal 2 5 67" xfId="3898" xr:uid="{00000000-0005-0000-0000-00006E110000}"/>
    <cellStyle name="Normal 2 5 67 2" xfId="3899" xr:uid="{00000000-0005-0000-0000-00006F110000}"/>
    <cellStyle name="Normal 2 5 67 2 2" xfId="3900" xr:uid="{00000000-0005-0000-0000-000070110000}"/>
    <cellStyle name="Normal 2 5 67 3" xfId="3901" xr:uid="{00000000-0005-0000-0000-000071110000}"/>
    <cellStyle name="Normal 2 5 68" xfId="3902" xr:uid="{00000000-0005-0000-0000-000072110000}"/>
    <cellStyle name="Normal 2 5 68 2" xfId="3903" xr:uid="{00000000-0005-0000-0000-000073110000}"/>
    <cellStyle name="Normal 2 5 68 2 2" xfId="3904" xr:uid="{00000000-0005-0000-0000-000074110000}"/>
    <cellStyle name="Normal 2 5 68 3" xfId="3905" xr:uid="{00000000-0005-0000-0000-000075110000}"/>
    <cellStyle name="Normal 2 5 69" xfId="3906" xr:uid="{00000000-0005-0000-0000-000076110000}"/>
    <cellStyle name="Normal 2 5 69 2" xfId="3907" xr:uid="{00000000-0005-0000-0000-000077110000}"/>
    <cellStyle name="Normal 2 5 69 2 2" xfId="3908" xr:uid="{00000000-0005-0000-0000-000078110000}"/>
    <cellStyle name="Normal 2 5 69 3" xfId="3909" xr:uid="{00000000-0005-0000-0000-000079110000}"/>
    <cellStyle name="Normal 2 5 7" xfId="3910" xr:uid="{00000000-0005-0000-0000-00007A110000}"/>
    <cellStyle name="Normal 2 5 7 2" xfId="3911" xr:uid="{00000000-0005-0000-0000-00007B110000}"/>
    <cellStyle name="Normal 2 5 7 2 2" xfId="3912" xr:uid="{00000000-0005-0000-0000-00007C110000}"/>
    <cellStyle name="Normal 2 5 7 3" xfId="3913" xr:uid="{00000000-0005-0000-0000-00007D110000}"/>
    <cellStyle name="Normal 2 5 70" xfId="3914" xr:uid="{00000000-0005-0000-0000-00007E110000}"/>
    <cellStyle name="Normal 2 5 70 2" xfId="3915" xr:uid="{00000000-0005-0000-0000-00007F110000}"/>
    <cellStyle name="Normal 2 5 70 2 2" xfId="3916" xr:uid="{00000000-0005-0000-0000-000080110000}"/>
    <cellStyle name="Normal 2 5 70 3" xfId="3917" xr:uid="{00000000-0005-0000-0000-000081110000}"/>
    <cellStyle name="Normal 2 5 71" xfId="3918" xr:uid="{00000000-0005-0000-0000-000082110000}"/>
    <cellStyle name="Normal 2 5 71 2" xfId="3919" xr:uid="{00000000-0005-0000-0000-000083110000}"/>
    <cellStyle name="Normal 2 5 71 2 2" xfId="3920" xr:uid="{00000000-0005-0000-0000-000084110000}"/>
    <cellStyle name="Normal 2 5 71 3" xfId="3921" xr:uid="{00000000-0005-0000-0000-000085110000}"/>
    <cellStyle name="Normal 2 5 72" xfId="3922" xr:uid="{00000000-0005-0000-0000-000086110000}"/>
    <cellStyle name="Normal 2 5 72 2" xfId="3923" xr:uid="{00000000-0005-0000-0000-000087110000}"/>
    <cellStyle name="Normal 2 5 72 2 2" xfId="3924" xr:uid="{00000000-0005-0000-0000-000088110000}"/>
    <cellStyle name="Normal 2 5 72 3" xfId="3925" xr:uid="{00000000-0005-0000-0000-000089110000}"/>
    <cellStyle name="Normal 2 5 73" xfId="3926" xr:uid="{00000000-0005-0000-0000-00008A110000}"/>
    <cellStyle name="Normal 2 5 73 2" xfId="3927" xr:uid="{00000000-0005-0000-0000-00008B110000}"/>
    <cellStyle name="Normal 2 5 73 2 2" xfId="3928" xr:uid="{00000000-0005-0000-0000-00008C110000}"/>
    <cellStyle name="Normal 2 5 73 3" xfId="3929" xr:uid="{00000000-0005-0000-0000-00008D110000}"/>
    <cellStyle name="Normal 2 5 74" xfId="3930" xr:uid="{00000000-0005-0000-0000-00008E110000}"/>
    <cellStyle name="Normal 2 5 74 2" xfId="3931" xr:uid="{00000000-0005-0000-0000-00008F110000}"/>
    <cellStyle name="Normal 2 5 74 2 2" xfId="3932" xr:uid="{00000000-0005-0000-0000-000090110000}"/>
    <cellStyle name="Normal 2 5 74 3" xfId="3933" xr:uid="{00000000-0005-0000-0000-000091110000}"/>
    <cellStyle name="Normal 2 5 75" xfId="3934" xr:uid="{00000000-0005-0000-0000-000092110000}"/>
    <cellStyle name="Normal 2 5 75 2" xfId="3935" xr:uid="{00000000-0005-0000-0000-000093110000}"/>
    <cellStyle name="Normal 2 5 75 2 2" xfId="3936" xr:uid="{00000000-0005-0000-0000-000094110000}"/>
    <cellStyle name="Normal 2 5 75 3" xfId="3937" xr:uid="{00000000-0005-0000-0000-000095110000}"/>
    <cellStyle name="Normal 2 5 76" xfId="3938" xr:uid="{00000000-0005-0000-0000-000096110000}"/>
    <cellStyle name="Normal 2 5 76 2" xfId="3939" xr:uid="{00000000-0005-0000-0000-000097110000}"/>
    <cellStyle name="Normal 2 5 76 2 2" xfId="3940" xr:uid="{00000000-0005-0000-0000-000098110000}"/>
    <cellStyle name="Normal 2 5 76 3" xfId="3941" xr:uid="{00000000-0005-0000-0000-000099110000}"/>
    <cellStyle name="Normal 2 5 77" xfId="3942" xr:uid="{00000000-0005-0000-0000-00009A110000}"/>
    <cellStyle name="Normal 2 5 77 2" xfId="3943" xr:uid="{00000000-0005-0000-0000-00009B110000}"/>
    <cellStyle name="Normal 2 5 77 2 2" xfId="3944" xr:uid="{00000000-0005-0000-0000-00009C110000}"/>
    <cellStyle name="Normal 2 5 77 3" xfId="3945" xr:uid="{00000000-0005-0000-0000-00009D110000}"/>
    <cellStyle name="Normal 2 5 78" xfId="3946" xr:uid="{00000000-0005-0000-0000-00009E110000}"/>
    <cellStyle name="Normal 2 5 78 2" xfId="3947" xr:uid="{00000000-0005-0000-0000-00009F110000}"/>
    <cellStyle name="Normal 2 5 78 2 2" xfId="3948" xr:uid="{00000000-0005-0000-0000-0000A0110000}"/>
    <cellStyle name="Normal 2 5 78 3" xfId="3949" xr:uid="{00000000-0005-0000-0000-0000A1110000}"/>
    <cellStyle name="Normal 2 5 79" xfId="3950" xr:uid="{00000000-0005-0000-0000-0000A2110000}"/>
    <cellStyle name="Normal 2 5 79 2" xfId="3951" xr:uid="{00000000-0005-0000-0000-0000A3110000}"/>
    <cellStyle name="Normal 2 5 79 2 2" xfId="3952" xr:uid="{00000000-0005-0000-0000-0000A4110000}"/>
    <cellStyle name="Normal 2 5 79 3" xfId="3953" xr:uid="{00000000-0005-0000-0000-0000A5110000}"/>
    <cellStyle name="Normal 2 5 8" xfId="3954" xr:uid="{00000000-0005-0000-0000-0000A6110000}"/>
    <cellStyle name="Normal 2 5 8 2" xfId="3955" xr:uid="{00000000-0005-0000-0000-0000A7110000}"/>
    <cellStyle name="Normal 2 5 8 2 2" xfId="3956" xr:uid="{00000000-0005-0000-0000-0000A8110000}"/>
    <cellStyle name="Normal 2 5 8 3" xfId="3957" xr:uid="{00000000-0005-0000-0000-0000A9110000}"/>
    <cellStyle name="Normal 2 5 80" xfId="3958" xr:uid="{00000000-0005-0000-0000-0000AA110000}"/>
    <cellStyle name="Normal 2 5 80 2" xfId="3959" xr:uid="{00000000-0005-0000-0000-0000AB110000}"/>
    <cellStyle name="Normal 2 5 80 2 2" xfId="3960" xr:uid="{00000000-0005-0000-0000-0000AC110000}"/>
    <cellStyle name="Normal 2 5 80 3" xfId="3961" xr:uid="{00000000-0005-0000-0000-0000AD110000}"/>
    <cellStyle name="Normal 2 5 81" xfId="3962" xr:uid="{00000000-0005-0000-0000-0000AE110000}"/>
    <cellStyle name="Normal 2 5 81 2" xfId="3963" xr:uid="{00000000-0005-0000-0000-0000AF110000}"/>
    <cellStyle name="Normal 2 5 81 2 2" xfId="3964" xr:uid="{00000000-0005-0000-0000-0000B0110000}"/>
    <cellStyle name="Normal 2 5 81 3" xfId="3965" xr:uid="{00000000-0005-0000-0000-0000B1110000}"/>
    <cellStyle name="Normal 2 5 82" xfId="3966" xr:uid="{00000000-0005-0000-0000-0000B2110000}"/>
    <cellStyle name="Normal 2 5 82 2" xfId="3967" xr:uid="{00000000-0005-0000-0000-0000B3110000}"/>
    <cellStyle name="Normal 2 5 82 2 2" xfId="3968" xr:uid="{00000000-0005-0000-0000-0000B4110000}"/>
    <cellStyle name="Normal 2 5 82 3" xfId="3969" xr:uid="{00000000-0005-0000-0000-0000B5110000}"/>
    <cellStyle name="Normal 2 5 83" xfId="3970" xr:uid="{00000000-0005-0000-0000-0000B6110000}"/>
    <cellStyle name="Normal 2 5 83 2" xfId="3971" xr:uid="{00000000-0005-0000-0000-0000B7110000}"/>
    <cellStyle name="Normal 2 5 83 2 2" xfId="3972" xr:uid="{00000000-0005-0000-0000-0000B8110000}"/>
    <cellStyle name="Normal 2 5 83 3" xfId="3973" xr:uid="{00000000-0005-0000-0000-0000B9110000}"/>
    <cellStyle name="Normal 2 5 84" xfId="3974" xr:uid="{00000000-0005-0000-0000-0000BA110000}"/>
    <cellStyle name="Normal 2 5 84 2" xfId="3975" xr:uid="{00000000-0005-0000-0000-0000BB110000}"/>
    <cellStyle name="Normal 2 5 84 2 2" xfId="3976" xr:uid="{00000000-0005-0000-0000-0000BC110000}"/>
    <cellStyle name="Normal 2 5 84 3" xfId="3977" xr:uid="{00000000-0005-0000-0000-0000BD110000}"/>
    <cellStyle name="Normal 2 5 85" xfId="3978" xr:uid="{00000000-0005-0000-0000-0000BE110000}"/>
    <cellStyle name="Normal 2 5 85 2" xfId="3979" xr:uid="{00000000-0005-0000-0000-0000BF110000}"/>
    <cellStyle name="Normal 2 5 85 2 2" xfId="3980" xr:uid="{00000000-0005-0000-0000-0000C0110000}"/>
    <cellStyle name="Normal 2 5 85 3" xfId="3981" xr:uid="{00000000-0005-0000-0000-0000C1110000}"/>
    <cellStyle name="Normal 2 5 86" xfId="3982" xr:uid="{00000000-0005-0000-0000-0000C2110000}"/>
    <cellStyle name="Normal 2 5 86 2" xfId="3983" xr:uid="{00000000-0005-0000-0000-0000C3110000}"/>
    <cellStyle name="Normal 2 5 86 2 2" xfId="3984" xr:uid="{00000000-0005-0000-0000-0000C4110000}"/>
    <cellStyle name="Normal 2 5 86 3" xfId="3985" xr:uid="{00000000-0005-0000-0000-0000C5110000}"/>
    <cellStyle name="Normal 2 5 87" xfId="3986" xr:uid="{00000000-0005-0000-0000-0000C6110000}"/>
    <cellStyle name="Normal 2 5 87 2" xfId="3987" xr:uid="{00000000-0005-0000-0000-0000C7110000}"/>
    <cellStyle name="Normal 2 5 87 2 2" xfId="3988" xr:uid="{00000000-0005-0000-0000-0000C8110000}"/>
    <cellStyle name="Normal 2 5 87 3" xfId="3989" xr:uid="{00000000-0005-0000-0000-0000C9110000}"/>
    <cellStyle name="Normal 2 5 88" xfId="3990" xr:uid="{00000000-0005-0000-0000-0000CA110000}"/>
    <cellStyle name="Normal 2 5 89" xfId="3991" xr:uid="{00000000-0005-0000-0000-0000CB110000}"/>
    <cellStyle name="Normal 2 5 89 2" xfId="3992" xr:uid="{00000000-0005-0000-0000-0000CC110000}"/>
    <cellStyle name="Normal 2 5 9" xfId="3993" xr:uid="{00000000-0005-0000-0000-0000CD110000}"/>
    <cellStyle name="Normal 2 5 9 2" xfId="3994" xr:uid="{00000000-0005-0000-0000-0000CE110000}"/>
    <cellStyle name="Normal 2 5 9 2 2" xfId="3995" xr:uid="{00000000-0005-0000-0000-0000CF110000}"/>
    <cellStyle name="Normal 2 5 9 3" xfId="3996" xr:uid="{00000000-0005-0000-0000-0000D0110000}"/>
    <cellStyle name="Normal 2 5 90" xfId="3997" xr:uid="{00000000-0005-0000-0000-0000D1110000}"/>
    <cellStyle name="Normal 2 5 91" xfId="9135" xr:uid="{00000000-0005-0000-0000-0000D2110000}"/>
    <cellStyle name="Normal 2 5 92" xfId="9229" xr:uid="{2B8EA820-7BF5-4F9E-A426-16DC9F5A95EA}"/>
    <cellStyle name="Normal 2 5_DEER 032008 Cost Summary Delivery - Rev 4 (2)" xfId="3998" xr:uid="{00000000-0005-0000-0000-0000D3110000}"/>
    <cellStyle name="Normal 2 50" xfId="3999" xr:uid="{00000000-0005-0000-0000-0000D4110000}"/>
    <cellStyle name="Normal 2 50 2" xfId="4000" xr:uid="{00000000-0005-0000-0000-0000D5110000}"/>
    <cellStyle name="Normal 2 50 2 2" xfId="4001" xr:uid="{00000000-0005-0000-0000-0000D6110000}"/>
    <cellStyle name="Normal 2 50 3" xfId="4002" xr:uid="{00000000-0005-0000-0000-0000D7110000}"/>
    <cellStyle name="Normal 2 51" xfId="4003" xr:uid="{00000000-0005-0000-0000-0000D8110000}"/>
    <cellStyle name="Normal 2 51 2" xfId="4004" xr:uid="{00000000-0005-0000-0000-0000D9110000}"/>
    <cellStyle name="Normal 2 51 2 2" xfId="4005" xr:uid="{00000000-0005-0000-0000-0000DA110000}"/>
    <cellStyle name="Normal 2 51 3" xfId="4006" xr:uid="{00000000-0005-0000-0000-0000DB110000}"/>
    <cellStyle name="Normal 2 52" xfId="4007" xr:uid="{00000000-0005-0000-0000-0000DC110000}"/>
    <cellStyle name="Normal 2 52 2" xfId="4008" xr:uid="{00000000-0005-0000-0000-0000DD110000}"/>
    <cellStyle name="Normal 2 52 2 2" xfId="4009" xr:uid="{00000000-0005-0000-0000-0000DE110000}"/>
    <cellStyle name="Normal 2 52 3" xfId="4010" xr:uid="{00000000-0005-0000-0000-0000DF110000}"/>
    <cellStyle name="Normal 2 53" xfId="4011" xr:uid="{00000000-0005-0000-0000-0000E0110000}"/>
    <cellStyle name="Normal 2 53 2" xfId="4012" xr:uid="{00000000-0005-0000-0000-0000E1110000}"/>
    <cellStyle name="Normal 2 53 2 2" xfId="4013" xr:uid="{00000000-0005-0000-0000-0000E2110000}"/>
    <cellStyle name="Normal 2 53 3" xfId="4014" xr:uid="{00000000-0005-0000-0000-0000E3110000}"/>
    <cellStyle name="Normal 2 54" xfId="4015" xr:uid="{00000000-0005-0000-0000-0000E4110000}"/>
    <cellStyle name="Normal 2 54 2" xfId="4016" xr:uid="{00000000-0005-0000-0000-0000E5110000}"/>
    <cellStyle name="Normal 2 54 2 2" xfId="4017" xr:uid="{00000000-0005-0000-0000-0000E6110000}"/>
    <cellStyle name="Normal 2 54 3" xfId="4018" xr:uid="{00000000-0005-0000-0000-0000E7110000}"/>
    <cellStyle name="Normal 2 55" xfId="4019" xr:uid="{00000000-0005-0000-0000-0000E8110000}"/>
    <cellStyle name="Normal 2 55 2" xfId="4020" xr:uid="{00000000-0005-0000-0000-0000E9110000}"/>
    <cellStyle name="Normal 2 55 2 2" xfId="4021" xr:uid="{00000000-0005-0000-0000-0000EA110000}"/>
    <cellStyle name="Normal 2 55 3" xfId="4022" xr:uid="{00000000-0005-0000-0000-0000EB110000}"/>
    <cellStyle name="Normal 2 56" xfId="4023" xr:uid="{00000000-0005-0000-0000-0000EC110000}"/>
    <cellStyle name="Normal 2 56 2" xfId="4024" xr:uid="{00000000-0005-0000-0000-0000ED110000}"/>
    <cellStyle name="Normal 2 56 2 2" xfId="4025" xr:uid="{00000000-0005-0000-0000-0000EE110000}"/>
    <cellStyle name="Normal 2 56 3" xfId="4026" xr:uid="{00000000-0005-0000-0000-0000EF110000}"/>
    <cellStyle name="Normal 2 57" xfId="4027" xr:uid="{00000000-0005-0000-0000-0000F0110000}"/>
    <cellStyle name="Normal 2 57 2" xfId="4028" xr:uid="{00000000-0005-0000-0000-0000F1110000}"/>
    <cellStyle name="Normal 2 57 2 2" xfId="4029" xr:uid="{00000000-0005-0000-0000-0000F2110000}"/>
    <cellStyle name="Normal 2 57 3" xfId="4030" xr:uid="{00000000-0005-0000-0000-0000F3110000}"/>
    <cellStyle name="Normal 2 58" xfId="4031" xr:uid="{00000000-0005-0000-0000-0000F4110000}"/>
    <cellStyle name="Normal 2 58 2" xfId="4032" xr:uid="{00000000-0005-0000-0000-0000F5110000}"/>
    <cellStyle name="Normal 2 58 2 2" xfId="4033" xr:uid="{00000000-0005-0000-0000-0000F6110000}"/>
    <cellStyle name="Normal 2 58 3" xfId="4034" xr:uid="{00000000-0005-0000-0000-0000F7110000}"/>
    <cellStyle name="Normal 2 59" xfId="4035" xr:uid="{00000000-0005-0000-0000-0000F8110000}"/>
    <cellStyle name="Normal 2 59 2" xfId="4036" xr:uid="{00000000-0005-0000-0000-0000F9110000}"/>
    <cellStyle name="Normal 2 59 2 2" xfId="4037" xr:uid="{00000000-0005-0000-0000-0000FA110000}"/>
    <cellStyle name="Normal 2 59 3" xfId="4038" xr:uid="{00000000-0005-0000-0000-0000FB110000}"/>
    <cellStyle name="Normal 2 6" xfId="171" xr:uid="{00000000-0005-0000-0000-0000FC110000}"/>
    <cellStyle name="Normal 2 6 2" xfId="20" xr:uid="{00000000-0005-0000-0000-0000FD110000}"/>
    <cellStyle name="Normal 2 6 2 2" xfId="172" xr:uid="{00000000-0005-0000-0000-0000FE110000}"/>
    <cellStyle name="Normal 2 6 2 2 2" xfId="8823" xr:uid="{00000000-0005-0000-0000-0000FF110000}"/>
    <cellStyle name="Normal 2 6 2 2 3" xfId="8824" xr:uid="{00000000-0005-0000-0000-000000120000}"/>
    <cellStyle name="Normal 2 6 2 3" xfId="173" xr:uid="{00000000-0005-0000-0000-000001120000}"/>
    <cellStyle name="Normal 2 6 2 3 2" xfId="8825" xr:uid="{00000000-0005-0000-0000-000002120000}"/>
    <cellStyle name="Normal 2 6 2 4" xfId="8826" xr:uid="{00000000-0005-0000-0000-000003120000}"/>
    <cellStyle name="Normal 2 6 2 5" xfId="8827" xr:uid="{00000000-0005-0000-0000-000004120000}"/>
    <cellStyle name="Normal 2 6 3" xfId="174" xr:uid="{00000000-0005-0000-0000-000005120000}"/>
    <cellStyle name="Normal 2 6 3 2" xfId="175" xr:uid="{00000000-0005-0000-0000-000006120000}"/>
    <cellStyle name="Normal 2 6 3 2 2" xfId="8828" xr:uid="{00000000-0005-0000-0000-000007120000}"/>
    <cellStyle name="Normal 2 6 3 3" xfId="8829" xr:uid="{00000000-0005-0000-0000-000008120000}"/>
    <cellStyle name="Normal 2 6 3 3 2" xfId="8830" xr:uid="{00000000-0005-0000-0000-000009120000}"/>
    <cellStyle name="Normal 2 6 3 4" xfId="8831" xr:uid="{00000000-0005-0000-0000-00000A120000}"/>
    <cellStyle name="Normal 2 6 4" xfId="176" xr:uid="{00000000-0005-0000-0000-00000B120000}"/>
    <cellStyle name="Normal 2 6 4 2" xfId="177" xr:uid="{00000000-0005-0000-0000-00000C120000}"/>
    <cellStyle name="Normal 2 6 5" xfId="178" xr:uid="{00000000-0005-0000-0000-00000D120000}"/>
    <cellStyle name="Normal 2 6 6" xfId="179" xr:uid="{00000000-0005-0000-0000-00000E120000}"/>
    <cellStyle name="Normal 2 60" xfId="4039" xr:uid="{00000000-0005-0000-0000-00000F120000}"/>
    <cellStyle name="Normal 2 60 2" xfId="4040" xr:uid="{00000000-0005-0000-0000-000010120000}"/>
    <cellStyle name="Normal 2 60 2 2" xfId="4041" xr:uid="{00000000-0005-0000-0000-000011120000}"/>
    <cellStyle name="Normal 2 60 3" xfId="4042" xr:uid="{00000000-0005-0000-0000-000012120000}"/>
    <cellStyle name="Normal 2 61" xfId="4043" xr:uid="{00000000-0005-0000-0000-000013120000}"/>
    <cellStyle name="Normal 2 61 2" xfId="4044" xr:uid="{00000000-0005-0000-0000-000014120000}"/>
    <cellStyle name="Normal 2 61 2 2" xfId="4045" xr:uid="{00000000-0005-0000-0000-000015120000}"/>
    <cellStyle name="Normal 2 61 3" xfId="4046" xr:uid="{00000000-0005-0000-0000-000016120000}"/>
    <cellStyle name="Normal 2 62" xfId="4047" xr:uid="{00000000-0005-0000-0000-000017120000}"/>
    <cellStyle name="Normal 2 62 2" xfId="4048" xr:uid="{00000000-0005-0000-0000-000018120000}"/>
    <cellStyle name="Normal 2 62 2 2" xfId="4049" xr:uid="{00000000-0005-0000-0000-000019120000}"/>
    <cellStyle name="Normal 2 62 3" xfId="4050" xr:uid="{00000000-0005-0000-0000-00001A120000}"/>
    <cellStyle name="Normal 2 63" xfId="4051" xr:uid="{00000000-0005-0000-0000-00001B120000}"/>
    <cellStyle name="Normal 2 63 2" xfId="4052" xr:uid="{00000000-0005-0000-0000-00001C120000}"/>
    <cellStyle name="Normal 2 63 2 2" xfId="4053" xr:uid="{00000000-0005-0000-0000-00001D120000}"/>
    <cellStyle name="Normal 2 63 3" xfId="4054" xr:uid="{00000000-0005-0000-0000-00001E120000}"/>
    <cellStyle name="Normal 2 64" xfId="4055" xr:uid="{00000000-0005-0000-0000-00001F120000}"/>
    <cellStyle name="Normal 2 64 2" xfId="4056" xr:uid="{00000000-0005-0000-0000-000020120000}"/>
    <cellStyle name="Normal 2 64 2 2" xfId="4057" xr:uid="{00000000-0005-0000-0000-000021120000}"/>
    <cellStyle name="Normal 2 64 3" xfId="4058" xr:uid="{00000000-0005-0000-0000-000022120000}"/>
    <cellStyle name="Normal 2 65" xfId="4059" xr:uid="{00000000-0005-0000-0000-000023120000}"/>
    <cellStyle name="Normal 2 65 2" xfId="4060" xr:uid="{00000000-0005-0000-0000-000024120000}"/>
    <cellStyle name="Normal 2 65 2 2" xfId="4061" xr:uid="{00000000-0005-0000-0000-000025120000}"/>
    <cellStyle name="Normal 2 65 3" xfId="4062" xr:uid="{00000000-0005-0000-0000-000026120000}"/>
    <cellStyle name="Normal 2 66" xfId="4063" xr:uid="{00000000-0005-0000-0000-000027120000}"/>
    <cellStyle name="Normal 2 66 2" xfId="4064" xr:uid="{00000000-0005-0000-0000-000028120000}"/>
    <cellStyle name="Normal 2 66 2 2" xfId="4065" xr:uid="{00000000-0005-0000-0000-000029120000}"/>
    <cellStyle name="Normal 2 66 3" xfId="4066" xr:uid="{00000000-0005-0000-0000-00002A120000}"/>
    <cellStyle name="Normal 2 67" xfId="4067" xr:uid="{00000000-0005-0000-0000-00002B120000}"/>
    <cellStyle name="Normal 2 67 2" xfId="4068" xr:uid="{00000000-0005-0000-0000-00002C120000}"/>
    <cellStyle name="Normal 2 67 2 2" xfId="4069" xr:uid="{00000000-0005-0000-0000-00002D120000}"/>
    <cellStyle name="Normal 2 67 3" xfId="4070" xr:uid="{00000000-0005-0000-0000-00002E120000}"/>
    <cellStyle name="Normal 2 68" xfId="4071" xr:uid="{00000000-0005-0000-0000-00002F120000}"/>
    <cellStyle name="Normal 2 68 2" xfId="4072" xr:uid="{00000000-0005-0000-0000-000030120000}"/>
    <cellStyle name="Normal 2 68 2 2" xfId="4073" xr:uid="{00000000-0005-0000-0000-000031120000}"/>
    <cellStyle name="Normal 2 68 3" xfId="4074" xr:uid="{00000000-0005-0000-0000-000032120000}"/>
    <cellStyle name="Normal 2 69" xfId="4075" xr:uid="{00000000-0005-0000-0000-000033120000}"/>
    <cellStyle name="Normal 2 69 2" xfId="4076" xr:uid="{00000000-0005-0000-0000-000034120000}"/>
    <cellStyle name="Normal 2 69 2 2" xfId="4077" xr:uid="{00000000-0005-0000-0000-000035120000}"/>
    <cellStyle name="Normal 2 69 3" xfId="4078" xr:uid="{00000000-0005-0000-0000-000036120000}"/>
    <cellStyle name="Normal 2 7" xfId="180" xr:uid="{00000000-0005-0000-0000-000037120000}"/>
    <cellStyle name="Normal 2 7 2" xfId="181" xr:uid="{00000000-0005-0000-0000-000038120000}"/>
    <cellStyle name="Normal 2 7 2 2" xfId="182" xr:uid="{00000000-0005-0000-0000-000039120000}"/>
    <cellStyle name="Normal 2 7 2 2 2" xfId="8832" xr:uid="{00000000-0005-0000-0000-00003A120000}"/>
    <cellStyle name="Normal 2 7 2 3" xfId="8833" xr:uid="{00000000-0005-0000-0000-00003B120000}"/>
    <cellStyle name="Normal 2 7 2 3 2" xfId="8834" xr:uid="{00000000-0005-0000-0000-00003C120000}"/>
    <cellStyle name="Normal 2 7 2 4" xfId="8835" xr:uid="{00000000-0005-0000-0000-00003D120000}"/>
    <cellStyle name="Normal 2 7 3" xfId="183" xr:uid="{00000000-0005-0000-0000-00003E120000}"/>
    <cellStyle name="Normal 2 7 4" xfId="4079" xr:uid="{00000000-0005-0000-0000-00003F120000}"/>
    <cellStyle name="Normal 2 7 5" xfId="4080" xr:uid="{00000000-0005-0000-0000-000040120000}"/>
    <cellStyle name="Normal 2 70" xfId="4081" xr:uid="{00000000-0005-0000-0000-000041120000}"/>
    <cellStyle name="Normal 2 70 2" xfId="4082" xr:uid="{00000000-0005-0000-0000-000042120000}"/>
    <cellStyle name="Normal 2 70 2 2" xfId="4083" xr:uid="{00000000-0005-0000-0000-000043120000}"/>
    <cellStyle name="Normal 2 70 3" xfId="4084" xr:uid="{00000000-0005-0000-0000-000044120000}"/>
    <cellStyle name="Normal 2 71" xfId="4085" xr:uid="{00000000-0005-0000-0000-000045120000}"/>
    <cellStyle name="Normal 2 71 2" xfId="4086" xr:uid="{00000000-0005-0000-0000-000046120000}"/>
    <cellStyle name="Normal 2 71 2 2" xfId="4087" xr:uid="{00000000-0005-0000-0000-000047120000}"/>
    <cellStyle name="Normal 2 71 3" xfId="4088" xr:uid="{00000000-0005-0000-0000-000048120000}"/>
    <cellStyle name="Normal 2 72" xfId="4089" xr:uid="{00000000-0005-0000-0000-000049120000}"/>
    <cellStyle name="Normal 2 72 2" xfId="4090" xr:uid="{00000000-0005-0000-0000-00004A120000}"/>
    <cellStyle name="Normal 2 72 2 2" xfId="4091" xr:uid="{00000000-0005-0000-0000-00004B120000}"/>
    <cellStyle name="Normal 2 72 3" xfId="4092" xr:uid="{00000000-0005-0000-0000-00004C120000}"/>
    <cellStyle name="Normal 2 73" xfId="4093" xr:uid="{00000000-0005-0000-0000-00004D120000}"/>
    <cellStyle name="Normal 2 73 2" xfId="4094" xr:uid="{00000000-0005-0000-0000-00004E120000}"/>
    <cellStyle name="Normal 2 73 2 2" xfId="4095" xr:uid="{00000000-0005-0000-0000-00004F120000}"/>
    <cellStyle name="Normal 2 73 3" xfId="4096" xr:uid="{00000000-0005-0000-0000-000050120000}"/>
    <cellStyle name="Normal 2 74" xfId="4097" xr:uid="{00000000-0005-0000-0000-000051120000}"/>
    <cellStyle name="Normal 2 74 2" xfId="4098" xr:uid="{00000000-0005-0000-0000-000052120000}"/>
    <cellStyle name="Normal 2 74 2 2" xfId="4099" xr:uid="{00000000-0005-0000-0000-000053120000}"/>
    <cellStyle name="Normal 2 74 3" xfId="4100" xr:uid="{00000000-0005-0000-0000-000054120000}"/>
    <cellStyle name="Normal 2 75" xfId="4101" xr:uid="{00000000-0005-0000-0000-000055120000}"/>
    <cellStyle name="Normal 2 75 2" xfId="4102" xr:uid="{00000000-0005-0000-0000-000056120000}"/>
    <cellStyle name="Normal 2 75 2 2" xfId="4103" xr:uid="{00000000-0005-0000-0000-000057120000}"/>
    <cellStyle name="Normal 2 75 3" xfId="4104" xr:uid="{00000000-0005-0000-0000-000058120000}"/>
    <cellStyle name="Normal 2 76" xfId="4105" xr:uid="{00000000-0005-0000-0000-000059120000}"/>
    <cellStyle name="Normal 2 76 2" xfId="4106" xr:uid="{00000000-0005-0000-0000-00005A120000}"/>
    <cellStyle name="Normal 2 76 2 2" xfId="4107" xr:uid="{00000000-0005-0000-0000-00005B120000}"/>
    <cellStyle name="Normal 2 76 3" xfId="4108" xr:uid="{00000000-0005-0000-0000-00005C120000}"/>
    <cellStyle name="Normal 2 77" xfId="4109" xr:uid="{00000000-0005-0000-0000-00005D120000}"/>
    <cellStyle name="Normal 2 77 2" xfId="4110" xr:uid="{00000000-0005-0000-0000-00005E120000}"/>
    <cellStyle name="Normal 2 77 2 2" xfId="4111" xr:uid="{00000000-0005-0000-0000-00005F120000}"/>
    <cellStyle name="Normal 2 77 3" xfId="4112" xr:uid="{00000000-0005-0000-0000-000060120000}"/>
    <cellStyle name="Normal 2 78" xfId="4113" xr:uid="{00000000-0005-0000-0000-000061120000}"/>
    <cellStyle name="Normal 2 78 2" xfId="4114" xr:uid="{00000000-0005-0000-0000-000062120000}"/>
    <cellStyle name="Normal 2 78 2 2" xfId="4115" xr:uid="{00000000-0005-0000-0000-000063120000}"/>
    <cellStyle name="Normal 2 78 3" xfId="4116" xr:uid="{00000000-0005-0000-0000-000064120000}"/>
    <cellStyle name="Normal 2 79" xfId="4117" xr:uid="{00000000-0005-0000-0000-000065120000}"/>
    <cellStyle name="Normal 2 79 2" xfId="4118" xr:uid="{00000000-0005-0000-0000-000066120000}"/>
    <cellStyle name="Normal 2 79 2 2" xfId="4119" xr:uid="{00000000-0005-0000-0000-000067120000}"/>
    <cellStyle name="Normal 2 79 3" xfId="4120" xr:uid="{00000000-0005-0000-0000-000068120000}"/>
    <cellStyle name="Normal 2 8" xfId="184" xr:uid="{00000000-0005-0000-0000-000069120000}"/>
    <cellStyle name="Normal 2 8 10" xfId="4121" xr:uid="{00000000-0005-0000-0000-00006A120000}"/>
    <cellStyle name="Normal 2 8 10 2" xfId="4122" xr:uid="{00000000-0005-0000-0000-00006B120000}"/>
    <cellStyle name="Normal 2 8 10 2 2" xfId="4123" xr:uid="{00000000-0005-0000-0000-00006C120000}"/>
    <cellStyle name="Normal 2 8 10 3" xfId="4124" xr:uid="{00000000-0005-0000-0000-00006D120000}"/>
    <cellStyle name="Normal 2 8 11" xfId="4125" xr:uid="{00000000-0005-0000-0000-00006E120000}"/>
    <cellStyle name="Normal 2 8 11 2" xfId="4126" xr:uid="{00000000-0005-0000-0000-00006F120000}"/>
    <cellStyle name="Normal 2 8 11 2 2" xfId="4127" xr:uid="{00000000-0005-0000-0000-000070120000}"/>
    <cellStyle name="Normal 2 8 11 3" xfId="4128" xr:uid="{00000000-0005-0000-0000-000071120000}"/>
    <cellStyle name="Normal 2 8 12" xfId="4129" xr:uid="{00000000-0005-0000-0000-000072120000}"/>
    <cellStyle name="Normal 2 8 12 2" xfId="4130" xr:uid="{00000000-0005-0000-0000-000073120000}"/>
    <cellStyle name="Normal 2 8 12 2 2" xfId="4131" xr:uid="{00000000-0005-0000-0000-000074120000}"/>
    <cellStyle name="Normal 2 8 12 3" xfId="4132" xr:uid="{00000000-0005-0000-0000-000075120000}"/>
    <cellStyle name="Normal 2 8 13" xfId="4133" xr:uid="{00000000-0005-0000-0000-000076120000}"/>
    <cellStyle name="Normal 2 8 13 2" xfId="4134" xr:uid="{00000000-0005-0000-0000-000077120000}"/>
    <cellStyle name="Normal 2 8 13 2 2" xfId="4135" xr:uid="{00000000-0005-0000-0000-000078120000}"/>
    <cellStyle name="Normal 2 8 13 3" xfId="4136" xr:uid="{00000000-0005-0000-0000-000079120000}"/>
    <cellStyle name="Normal 2 8 14" xfId="4137" xr:uid="{00000000-0005-0000-0000-00007A120000}"/>
    <cellStyle name="Normal 2 8 14 2" xfId="4138" xr:uid="{00000000-0005-0000-0000-00007B120000}"/>
    <cellStyle name="Normal 2 8 14 2 2" xfId="4139" xr:uid="{00000000-0005-0000-0000-00007C120000}"/>
    <cellStyle name="Normal 2 8 14 3" xfId="4140" xr:uid="{00000000-0005-0000-0000-00007D120000}"/>
    <cellStyle name="Normal 2 8 15" xfId="4141" xr:uid="{00000000-0005-0000-0000-00007E120000}"/>
    <cellStyle name="Normal 2 8 15 2" xfId="4142" xr:uid="{00000000-0005-0000-0000-00007F120000}"/>
    <cellStyle name="Normal 2 8 15 2 2" xfId="4143" xr:uid="{00000000-0005-0000-0000-000080120000}"/>
    <cellStyle name="Normal 2 8 15 3" xfId="4144" xr:uid="{00000000-0005-0000-0000-000081120000}"/>
    <cellStyle name="Normal 2 8 16" xfId="4145" xr:uid="{00000000-0005-0000-0000-000082120000}"/>
    <cellStyle name="Normal 2 8 16 2" xfId="4146" xr:uid="{00000000-0005-0000-0000-000083120000}"/>
    <cellStyle name="Normal 2 8 16 2 2" xfId="4147" xr:uid="{00000000-0005-0000-0000-000084120000}"/>
    <cellStyle name="Normal 2 8 16 3" xfId="4148" xr:uid="{00000000-0005-0000-0000-000085120000}"/>
    <cellStyle name="Normal 2 8 17" xfId="4149" xr:uid="{00000000-0005-0000-0000-000086120000}"/>
    <cellStyle name="Normal 2 8 17 2" xfId="4150" xr:uid="{00000000-0005-0000-0000-000087120000}"/>
    <cellStyle name="Normal 2 8 17 2 2" xfId="4151" xr:uid="{00000000-0005-0000-0000-000088120000}"/>
    <cellStyle name="Normal 2 8 17 3" xfId="4152" xr:uid="{00000000-0005-0000-0000-000089120000}"/>
    <cellStyle name="Normal 2 8 18" xfId="4153" xr:uid="{00000000-0005-0000-0000-00008A120000}"/>
    <cellStyle name="Normal 2 8 18 2" xfId="4154" xr:uid="{00000000-0005-0000-0000-00008B120000}"/>
    <cellStyle name="Normal 2 8 18 2 2" xfId="4155" xr:uid="{00000000-0005-0000-0000-00008C120000}"/>
    <cellStyle name="Normal 2 8 18 3" xfId="4156" xr:uid="{00000000-0005-0000-0000-00008D120000}"/>
    <cellStyle name="Normal 2 8 19" xfId="4157" xr:uid="{00000000-0005-0000-0000-00008E120000}"/>
    <cellStyle name="Normal 2 8 19 2" xfId="4158" xr:uid="{00000000-0005-0000-0000-00008F120000}"/>
    <cellStyle name="Normal 2 8 19 2 2" xfId="4159" xr:uid="{00000000-0005-0000-0000-000090120000}"/>
    <cellStyle name="Normal 2 8 19 3" xfId="4160" xr:uid="{00000000-0005-0000-0000-000091120000}"/>
    <cellStyle name="Normal 2 8 2" xfId="4161" xr:uid="{00000000-0005-0000-0000-000092120000}"/>
    <cellStyle name="Normal 2 8 2 2" xfId="4162" xr:uid="{00000000-0005-0000-0000-000093120000}"/>
    <cellStyle name="Normal 2 8 2 2 2" xfId="4163" xr:uid="{00000000-0005-0000-0000-000094120000}"/>
    <cellStyle name="Normal 2 8 2 2 2 2" xfId="8837" xr:uid="{00000000-0005-0000-0000-000095120000}"/>
    <cellStyle name="Normal 2 8 2 2 3" xfId="8836" xr:uid="{00000000-0005-0000-0000-000096120000}"/>
    <cellStyle name="Normal 2 8 2 3" xfId="4164" xr:uid="{00000000-0005-0000-0000-000097120000}"/>
    <cellStyle name="Normal 2 8 2 3 2" xfId="8839" xr:uid="{00000000-0005-0000-0000-000098120000}"/>
    <cellStyle name="Normal 2 8 2 3 3" xfId="8838" xr:uid="{00000000-0005-0000-0000-000099120000}"/>
    <cellStyle name="Normal 2 8 2 4" xfId="8840" xr:uid="{00000000-0005-0000-0000-00009A120000}"/>
    <cellStyle name="Normal 2 8 20" xfId="4165" xr:uid="{00000000-0005-0000-0000-00009B120000}"/>
    <cellStyle name="Normal 2 8 20 2" xfId="4166" xr:uid="{00000000-0005-0000-0000-00009C120000}"/>
    <cellStyle name="Normal 2 8 20 2 2" xfId="4167" xr:uid="{00000000-0005-0000-0000-00009D120000}"/>
    <cellStyle name="Normal 2 8 20 3" xfId="4168" xr:uid="{00000000-0005-0000-0000-00009E120000}"/>
    <cellStyle name="Normal 2 8 21" xfId="4169" xr:uid="{00000000-0005-0000-0000-00009F120000}"/>
    <cellStyle name="Normal 2 8 21 2" xfId="4170" xr:uid="{00000000-0005-0000-0000-0000A0120000}"/>
    <cellStyle name="Normal 2 8 21 2 2" xfId="4171" xr:uid="{00000000-0005-0000-0000-0000A1120000}"/>
    <cellStyle name="Normal 2 8 21 3" xfId="4172" xr:uid="{00000000-0005-0000-0000-0000A2120000}"/>
    <cellStyle name="Normal 2 8 22" xfId="4173" xr:uid="{00000000-0005-0000-0000-0000A3120000}"/>
    <cellStyle name="Normal 2 8 22 2" xfId="4174" xr:uid="{00000000-0005-0000-0000-0000A4120000}"/>
    <cellStyle name="Normal 2 8 22 2 2" xfId="4175" xr:uid="{00000000-0005-0000-0000-0000A5120000}"/>
    <cellStyle name="Normal 2 8 22 3" xfId="4176" xr:uid="{00000000-0005-0000-0000-0000A6120000}"/>
    <cellStyle name="Normal 2 8 23" xfId="4177" xr:uid="{00000000-0005-0000-0000-0000A7120000}"/>
    <cellStyle name="Normal 2 8 23 2" xfId="4178" xr:uid="{00000000-0005-0000-0000-0000A8120000}"/>
    <cellStyle name="Normal 2 8 23 2 2" xfId="4179" xr:uid="{00000000-0005-0000-0000-0000A9120000}"/>
    <cellStyle name="Normal 2 8 23 3" xfId="4180" xr:uid="{00000000-0005-0000-0000-0000AA120000}"/>
    <cellStyle name="Normal 2 8 24" xfId="4181" xr:uid="{00000000-0005-0000-0000-0000AB120000}"/>
    <cellStyle name="Normal 2 8 24 2" xfId="4182" xr:uid="{00000000-0005-0000-0000-0000AC120000}"/>
    <cellStyle name="Normal 2 8 25" xfId="4183" xr:uid="{00000000-0005-0000-0000-0000AD120000}"/>
    <cellStyle name="Normal 2 8 3" xfId="4184" xr:uid="{00000000-0005-0000-0000-0000AE120000}"/>
    <cellStyle name="Normal 2 8 3 2" xfId="4185" xr:uid="{00000000-0005-0000-0000-0000AF120000}"/>
    <cellStyle name="Normal 2 8 3 2 2" xfId="4186" xr:uid="{00000000-0005-0000-0000-0000B0120000}"/>
    <cellStyle name="Normal 2 8 3 2 3" xfId="8842" xr:uid="{00000000-0005-0000-0000-0000B1120000}"/>
    <cellStyle name="Normal 2 8 3 3" xfId="4187" xr:uid="{00000000-0005-0000-0000-0000B2120000}"/>
    <cellStyle name="Normal 2 8 3 4" xfId="8841" xr:uid="{00000000-0005-0000-0000-0000B3120000}"/>
    <cellStyle name="Normal 2 8 4" xfId="4188" xr:uid="{00000000-0005-0000-0000-0000B4120000}"/>
    <cellStyle name="Normal 2 8 4 2" xfId="4189" xr:uid="{00000000-0005-0000-0000-0000B5120000}"/>
    <cellStyle name="Normal 2 8 4 2 2" xfId="4190" xr:uid="{00000000-0005-0000-0000-0000B6120000}"/>
    <cellStyle name="Normal 2 8 4 2 3" xfId="8844" xr:uid="{00000000-0005-0000-0000-0000B7120000}"/>
    <cellStyle name="Normal 2 8 4 3" xfId="4191" xr:uid="{00000000-0005-0000-0000-0000B8120000}"/>
    <cellStyle name="Normal 2 8 4 4" xfId="8843" xr:uid="{00000000-0005-0000-0000-0000B9120000}"/>
    <cellStyle name="Normal 2 8 5" xfId="4192" xr:uid="{00000000-0005-0000-0000-0000BA120000}"/>
    <cellStyle name="Normal 2 8 5 2" xfId="4193" xr:uid="{00000000-0005-0000-0000-0000BB120000}"/>
    <cellStyle name="Normal 2 8 5 2 2" xfId="4194" xr:uid="{00000000-0005-0000-0000-0000BC120000}"/>
    <cellStyle name="Normal 2 8 5 3" xfId="4195" xr:uid="{00000000-0005-0000-0000-0000BD120000}"/>
    <cellStyle name="Normal 2 8 5 4" xfId="8845" xr:uid="{00000000-0005-0000-0000-0000BE120000}"/>
    <cellStyle name="Normal 2 8 6" xfId="4196" xr:uid="{00000000-0005-0000-0000-0000BF120000}"/>
    <cellStyle name="Normal 2 8 6 2" xfId="4197" xr:uid="{00000000-0005-0000-0000-0000C0120000}"/>
    <cellStyle name="Normal 2 8 6 2 2" xfId="4198" xr:uid="{00000000-0005-0000-0000-0000C1120000}"/>
    <cellStyle name="Normal 2 8 6 3" xfId="4199" xr:uid="{00000000-0005-0000-0000-0000C2120000}"/>
    <cellStyle name="Normal 2 8 6 4" xfId="8846" xr:uid="{00000000-0005-0000-0000-0000C3120000}"/>
    <cellStyle name="Normal 2 8 7" xfId="4200" xr:uid="{00000000-0005-0000-0000-0000C4120000}"/>
    <cellStyle name="Normal 2 8 7 2" xfId="4201" xr:uid="{00000000-0005-0000-0000-0000C5120000}"/>
    <cellStyle name="Normal 2 8 7 2 2" xfId="4202" xr:uid="{00000000-0005-0000-0000-0000C6120000}"/>
    <cellStyle name="Normal 2 8 7 3" xfId="4203" xr:uid="{00000000-0005-0000-0000-0000C7120000}"/>
    <cellStyle name="Normal 2 8 8" xfId="4204" xr:uid="{00000000-0005-0000-0000-0000C8120000}"/>
    <cellStyle name="Normal 2 8 8 2" xfId="4205" xr:uid="{00000000-0005-0000-0000-0000C9120000}"/>
    <cellStyle name="Normal 2 8 8 2 2" xfId="4206" xr:uid="{00000000-0005-0000-0000-0000CA120000}"/>
    <cellStyle name="Normal 2 8 8 3" xfId="4207" xr:uid="{00000000-0005-0000-0000-0000CB120000}"/>
    <cellStyle name="Normal 2 8 9" xfId="4208" xr:uid="{00000000-0005-0000-0000-0000CC120000}"/>
    <cellStyle name="Normal 2 8 9 2" xfId="4209" xr:uid="{00000000-0005-0000-0000-0000CD120000}"/>
    <cellStyle name="Normal 2 8 9 2 2" xfId="4210" xr:uid="{00000000-0005-0000-0000-0000CE120000}"/>
    <cellStyle name="Normal 2 8 9 3" xfId="4211" xr:uid="{00000000-0005-0000-0000-0000CF120000}"/>
    <cellStyle name="Normal 2 80" xfId="4212" xr:uid="{00000000-0005-0000-0000-0000D0120000}"/>
    <cellStyle name="Normal 2 80 2" xfId="4213" xr:uid="{00000000-0005-0000-0000-0000D1120000}"/>
    <cellStyle name="Normal 2 80 2 2" xfId="4214" xr:uid="{00000000-0005-0000-0000-0000D2120000}"/>
    <cellStyle name="Normal 2 80 3" xfId="4215" xr:uid="{00000000-0005-0000-0000-0000D3120000}"/>
    <cellStyle name="Normal 2 81" xfId="4216" xr:uid="{00000000-0005-0000-0000-0000D4120000}"/>
    <cellStyle name="Normal 2 81 2" xfId="4217" xr:uid="{00000000-0005-0000-0000-0000D5120000}"/>
    <cellStyle name="Normal 2 81 2 2" xfId="4218" xr:uid="{00000000-0005-0000-0000-0000D6120000}"/>
    <cellStyle name="Normal 2 81 3" xfId="4219" xr:uid="{00000000-0005-0000-0000-0000D7120000}"/>
    <cellStyle name="Normal 2 82" xfId="4220" xr:uid="{00000000-0005-0000-0000-0000D8120000}"/>
    <cellStyle name="Normal 2 82 2" xfId="4221" xr:uid="{00000000-0005-0000-0000-0000D9120000}"/>
    <cellStyle name="Normal 2 82 2 2" xfId="4222" xr:uid="{00000000-0005-0000-0000-0000DA120000}"/>
    <cellStyle name="Normal 2 82 3" xfId="4223" xr:uid="{00000000-0005-0000-0000-0000DB120000}"/>
    <cellStyle name="Normal 2 83" xfId="4224" xr:uid="{00000000-0005-0000-0000-0000DC120000}"/>
    <cellStyle name="Normal 2 83 2" xfId="4225" xr:uid="{00000000-0005-0000-0000-0000DD120000}"/>
    <cellStyle name="Normal 2 83 2 2" xfId="4226" xr:uid="{00000000-0005-0000-0000-0000DE120000}"/>
    <cellStyle name="Normal 2 83 3" xfId="4227" xr:uid="{00000000-0005-0000-0000-0000DF120000}"/>
    <cellStyle name="Normal 2 84" xfId="4228" xr:uid="{00000000-0005-0000-0000-0000E0120000}"/>
    <cellStyle name="Normal 2 84 2" xfId="4229" xr:uid="{00000000-0005-0000-0000-0000E1120000}"/>
    <cellStyle name="Normal 2 84 2 2" xfId="4230" xr:uid="{00000000-0005-0000-0000-0000E2120000}"/>
    <cellStyle name="Normal 2 84 3" xfId="4231" xr:uid="{00000000-0005-0000-0000-0000E3120000}"/>
    <cellStyle name="Normal 2 85" xfId="4232" xr:uid="{00000000-0005-0000-0000-0000E4120000}"/>
    <cellStyle name="Normal 2 85 2" xfId="4233" xr:uid="{00000000-0005-0000-0000-0000E5120000}"/>
    <cellStyle name="Normal 2 85 2 2" xfId="4234" xr:uid="{00000000-0005-0000-0000-0000E6120000}"/>
    <cellStyle name="Normal 2 85 3" xfId="4235" xr:uid="{00000000-0005-0000-0000-0000E7120000}"/>
    <cellStyle name="Normal 2 86" xfId="4236" xr:uid="{00000000-0005-0000-0000-0000E8120000}"/>
    <cellStyle name="Normal 2 86 2" xfId="4237" xr:uid="{00000000-0005-0000-0000-0000E9120000}"/>
    <cellStyle name="Normal 2 86 2 2" xfId="4238" xr:uid="{00000000-0005-0000-0000-0000EA120000}"/>
    <cellStyle name="Normal 2 86 3" xfId="4239" xr:uid="{00000000-0005-0000-0000-0000EB120000}"/>
    <cellStyle name="Normal 2 87" xfId="4240" xr:uid="{00000000-0005-0000-0000-0000EC120000}"/>
    <cellStyle name="Normal 2 87 2" xfId="4241" xr:uid="{00000000-0005-0000-0000-0000ED120000}"/>
    <cellStyle name="Normal 2 87 2 2" xfId="4242" xr:uid="{00000000-0005-0000-0000-0000EE120000}"/>
    <cellStyle name="Normal 2 87 3" xfId="4243" xr:uid="{00000000-0005-0000-0000-0000EF120000}"/>
    <cellStyle name="Normal 2 88" xfId="4244" xr:uid="{00000000-0005-0000-0000-0000F0120000}"/>
    <cellStyle name="Normal 2 88 2" xfId="4245" xr:uid="{00000000-0005-0000-0000-0000F1120000}"/>
    <cellStyle name="Normal 2 88 2 2" xfId="4246" xr:uid="{00000000-0005-0000-0000-0000F2120000}"/>
    <cellStyle name="Normal 2 88 3" xfId="4247" xr:uid="{00000000-0005-0000-0000-0000F3120000}"/>
    <cellStyle name="Normal 2 89" xfId="4248" xr:uid="{00000000-0005-0000-0000-0000F4120000}"/>
    <cellStyle name="Normal 2 89 2" xfId="4249" xr:uid="{00000000-0005-0000-0000-0000F5120000}"/>
    <cellStyle name="Normal 2 89 2 2" xfId="4250" xr:uid="{00000000-0005-0000-0000-0000F6120000}"/>
    <cellStyle name="Normal 2 89 3" xfId="4251" xr:uid="{00000000-0005-0000-0000-0000F7120000}"/>
    <cellStyle name="Normal 2 9" xfId="185" xr:uid="{00000000-0005-0000-0000-0000F8120000}"/>
    <cellStyle name="Normal 2 9 10" xfId="4252" xr:uid="{00000000-0005-0000-0000-0000F9120000}"/>
    <cellStyle name="Normal 2 9 10 2" xfId="4253" xr:uid="{00000000-0005-0000-0000-0000FA120000}"/>
    <cellStyle name="Normal 2 9 10 2 2" xfId="4254" xr:uid="{00000000-0005-0000-0000-0000FB120000}"/>
    <cellStyle name="Normal 2 9 10 3" xfId="4255" xr:uid="{00000000-0005-0000-0000-0000FC120000}"/>
    <cellStyle name="Normal 2 9 11" xfId="4256" xr:uid="{00000000-0005-0000-0000-0000FD120000}"/>
    <cellStyle name="Normal 2 9 11 2" xfId="4257" xr:uid="{00000000-0005-0000-0000-0000FE120000}"/>
    <cellStyle name="Normal 2 9 11 2 2" xfId="4258" xr:uid="{00000000-0005-0000-0000-0000FF120000}"/>
    <cellStyle name="Normal 2 9 11 3" xfId="4259" xr:uid="{00000000-0005-0000-0000-000000130000}"/>
    <cellStyle name="Normal 2 9 12" xfId="4260" xr:uid="{00000000-0005-0000-0000-000001130000}"/>
    <cellStyle name="Normal 2 9 12 2" xfId="4261" xr:uid="{00000000-0005-0000-0000-000002130000}"/>
    <cellStyle name="Normal 2 9 12 2 2" xfId="4262" xr:uid="{00000000-0005-0000-0000-000003130000}"/>
    <cellStyle name="Normal 2 9 12 3" xfId="4263" xr:uid="{00000000-0005-0000-0000-000004130000}"/>
    <cellStyle name="Normal 2 9 13" xfId="4264" xr:uid="{00000000-0005-0000-0000-000005130000}"/>
    <cellStyle name="Normal 2 9 13 2" xfId="4265" xr:uid="{00000000-0005-0000-0000-000006130000}"/>
    <cellStyle name="Normal 2 9 13 2 2" xfId="4266" xr:uid="{00000000-0005-0000-0000-000007130000}"/>
    <cellStyle name="Normal 2 9 13 3" xfId="4267" xr:uid="{00000000-0005-0000-0000-000008130000}"/>
    <cellStyle name="Normal 2 9 14" xfId="4268" xr:uid="{00000000-0005-0000-0000-000009130000}"/>
    <cellStyle name="Normal 2 9 14 2" xfId="4269" xr:uid="{00000000-0005-0000-0000-00000A130000}"/>
    <cellStyle name="Normal 2 9 14 2 2" xfId="4270" xr:uid="{00000000-0005-0000-0000-00000B130000}"/>
    <cellStyle name="Normal 2 9 14 3" xfId="4271" xr:uid="{00000000-0005-0000-0000-00000C130000}"/>
    <cellStyle name="Normal 2 9 15" xfId="4272" xr:uid="{00000000-0005-0000-0000-00000D130000}"/>
    <cellStyle name="Normal 2 9 15 2" xfId="4273" xr:uid="{00000000-0005-0000-0000-00000E130000}"/>
    <cellStyle name="Normal 2 9 15 2 2" xfId="4274" xr:uid="{00000000-0005-0000-0000-00000F130000}"/>
    <cellStyle name="Normal 2 9 15 3" xfId="4275" xr:uid="{00000000-0005-0000-0000-000010130000}"/>
    <cellStyle name="Normal 2 9 16" xfId="4276" xr:uid="{00000000-0005-0000-0000-000011130000}"/>
    <cellStyle name="Normal 2 9 16 2" xfId="4277" xr:uid="{00000000-0005-0000-0000-000012130000}"/>
    <cellStyle name="Normal 2 9 16 2 2" xfId="4278" xr:uid="{00000000-0005-0000-0000-000013130000}"/>
    <cellStyle name="Normal 2 9 16 3" xfId="4279" xr:uid="{00000000-0005-0000-0000-000014130000}"/>
    <cellStyle name="Normal 2 9 17" xfId="4280" xr:uid="{00000000-0005-0000-0000-000015130000}"/>
    <cellStyle name="Normal 2 9 17 2" xfId="4281" xr:uid="{00000000-0005-0000-0000-000016130000}"/>
    <cellStyle name="Normal 2 9 17 2 2" xfId="4282" xr:uid="{00000000-0005-0000-0000-000017130000}"/>
    <cellStyle name="Normal 2 9 17 3" xfId="4283" xr:uid="{00000000-0005-0000-0000-000018130000}"/>
    <cellStyle name="Normal 2 9 18" xfId="4284" xr:uid="{00000000-0005-0000-0000-000019130000}"/>
    <cellStyle name="Normal 2 9 18 2" xfId="4285" xr:uid="{00000000-0005-0000-0000-00001A130000}"/>
    <cellStyle name="Normal 2 9 18 2 2" xfId="4286" xr:uid="{00000000-0005-0000-0000-00001B130000}"/>
    <cellStyle name="Normal 2 9 18 3" xfId="4287" xr:uid="{00000000-0005-0000-0000-00001C130000}"/>
    <cellStyle name="Normal 2 9 19" xfId="4288" xr:uid="{00000000-0005-0000-0000-00001D130000}"/>
    <cellStyle name="Normal 2 9 19 2" xfId="4289" xr:uid="{00000000-0005-0000-0000-00001E130000}"/>
    <cellStyle name="Normal 2 9 19 2 2" xfId="4290" xr:uid="{00000000-0005-0000-0000-00001F130000}"/>
    <cellStyle name="Normal 2 9 19 3" xfId="4291" xr:uid="{00000000-0005-0000-0000-000020130000}"/>
    <cellStyle name="Normal 2 9 2" xfId="4292" xr:uid="{00000000-0005-0000-0000-000021130000}"/>
    <cellStyle name="Normal 2 9 2 2" xfId="4293" xr:uid="{00000000-0005-0000-0000-000022130000}"/>
    <cellStyle name="Normal 2 9 2 2 2" xfId="4294" xr:uid="{00000000-0005-0000-0000-000023130000}"/>
    <cellStyle name="Normal 2 9 2 2 2 2" xfId="8848" xr:uid="{00000000-0005-0000-0000-000024130000}"/>
    <cellStyle name="Normal 2 9 2 2 3" xfId="8847" xr:uid="{00000000-0005-0000-0000-000025130000}"/>
    <cellStyle name="Normal 2 9 2 3" xfId="4295" xr:uid="{00000000-0005-0000-0000-000026130000}"/>
    <cellStyle name="Normal 2 9 2 3 2" xfId="8850" xr:uid="{00000000-0005-0000-0000-000027130000}"/>
    <cellStyle name="Normal 2 9 2 3 3" xfId="8849" xr:uid="{00000000-0005-0000-0000-000028130000}"/>
    <cellStyle name="Normal 2 9 2 4" xfId="8851" xr:uid="{00000000-0005-0000-0000-000029130000}"/>
    <cellStyle name="Normal 2 9 20" xfId="4296" xr:uid="{00000000-0005-0000-0000-00002A130000}"/>
    <cellStyle name="Normal 2 9 20 2" xfId="4297" xr:uid="{00000000-0005-0000-0000-00002B130000}"/>
    <cellStyle name="Normal 2 9 20 2 2" xfId="4298" xr:uid="{00000000-0005-0000-0000-00002C130000}"/>
    <cellStyle name="Normal 2 9 20 3" xfId="4299" xr:uid="{00000000-0005-0000-0000-00002D130000}"/>
    <cellStyle name="Normal 2 9 21" xfId="4300" xr:uid="{00000000-0005-0000-0000-00002E130000}"/>
    <cellStyle name="Normal 2 9 21 2" xfId="4301" xr:uid="{00000000-0005-0000-0000-00002F130000}"/>
    <cellStyle name="Normal 2 9 21 2 2" xfId="4302" xr:uid="{00000000-0005-0000-0000-000030130000}"/>
    <cellStyle name="Normal 2 9 21 3" xfId="4303" xr:uid="{00000000-0005-0000-0000-000031130000}"/>
    <cellStyle name="Normal 2 9 22" xfId="4304" xr:uid="{00000000-0005-0000-0000-000032130000}"/>
    <cellStyle name="Normal 2 9 22 2" xfId="4305" xr:uid="{00000000-0005-0000-0000-000033130000}"/>
    <cellStyle name="Normal 2 9 22 2 2" xfId="4306" xr:uid="{00000000-0005-0000-0000-000034130000}"/>
    <cellStyle name="Normal 2 9 22 3" xfId="4307" xr:uid="{00000000-0005-0000-0000-000035130000}"/>
    <cellStyle name="Normal 2 9 23" xfId="4308" xr:uid="{00000000-0005-0000-0000-000036130000}"/>
    <cellStyle name="Normal 2 9 23 2" xfId="4309" xr:uid="{00000000-0005-0000-0000-000037130000}"/>
    <cellStyle name="Normal 2 9 23 2 2" xfId="4310" xr:uid="{00000000-0005-0000-0000-000038130000}"/>
    <cellStyle name="Normal 2 9 23 3" xfId="4311" xr:uid="{00000000-0005-0000-0000-000039130000}"/>
    <cellStyle name="Normal 2 9 24" xfId="4312" xr:uid="{00000000-0005-0000-0000-00003A130000}"/>
    <cellStyle name="Normal 2 9 24 2" xfId="4313" xr:uid="{00000000-0005-0000-0000-00003B130000}"/>
    <cellStyle name="Normal 2 9 25" xfId="4314" xr:uid="{00000000-0005-0000-0000-00003C130000}"/>
    <cellStyle name="Normal 2 9 3" xfId="4315" xr:uid="{00000000-0005-0000-0000-00003D130000}"/>
    <cellStyle name="Normal 2 9 3 2" xfId="4316" xr:uid="{00000000-0005-0000-0000-00003E130000}"/>
    <cellStyle name="Normal 2 9 3 2 2" xfId="4317" xr:uid="{00000000-0005-0000-0000-00003F130000}"/>
    <cellStyle name="Normal 2 9 3 2 3" xfId="8853" xr:uid="{00000000-0005-0000-0000-000040130000}"/>
    <cellStyle name="Normal 2 9 3 3" xfId="4318" xr:uid="{00000000-0005-0000-0000-000041130000}"/>
    <cellStyle name="Normal 2 9 3 4" xfId="8852" xr:uid="{00000000-0005-0000-0000-000042130000}"/>
    <cellStyle name="Normal 2 9 4" xfId="4319" xr:uid="{00000000-0005-0000-0000-000043130000}"/>
    <cellStyle name="Normal 2 9 4 2" xfId="4320" xr:uid="{00000000-0005-0000-0000-000044130000}"/>
    <cellStyle name="Normal 2 9 4 2 2" xfId="4321" xr:uid="{00000000-0005-0000-0000-000045130000}"/>
    <cellStyle name="Normal 2 9 4 2 3" xfId="8855" xr:uid="{00000000-0005-0000-0000-000046130000}"/>
    <cellStyle name="Normal 2 9 4 3" xfId="4322" xr:uid="{00000000-0005-0000-0000-000047130000}"/>
    <cellStyle name="Normal 2 9 4 4" xfId="8854" xr:uid="{00000000-0005-0000-0000-000048130000}"/>
    <cellStyle name="Normal 2 9 5" xfId="4323" xr:uid="{00000000-0005-0000-0000-000049130000}"/>
    <cellStyle name="Normal 2 9 5 2" xfId="4324" xr:uid="{00000000-0005-0000-0000-00004A130000}"/>
    <cellStyle name="Normal 2 9 5 2 2" xfId="4325" xr:uid="{00000000-0005-0000-0000-00004B130000}"/>
    <cellStyle name="Normal 2 9 5 3" xfId="4326" xr:uid="{00000000-0005-0000-0000-00004C130000}"/>
    <cellStyle name="Normal 2 9 5 4" xfId="8856" xr:uid="{00000000-0005-0000-0000-00004D130000}"/>
    <cellStyle name="Normal 2 9 6" xfId="4327" xr:uid="{00000000-0005-0000-0000-00004E130000}"/>
    <cellStyle name="Normal 2 9 6 2" xfId="4328" xr:uid="{00000000-0005-0000-0000-00004F130000}"/>
    <cellStyle name="Normal 2 9 6 2 2" xfId="4329" xr:uid="{00000000-0005-0000-0000-000050130000}"/>
    <cellStyle name="Normal 2 9 6 3" xfId="4330" xr:uid="{00000000-0005-0000-0000-000051130000}"/>
    <cellStyle name="Normal 2 9 7" xfId="4331" xr:uid="{00000000-0005-0000-0000-000052130000}"/>
    <cellStyle name="Normal 2 9 7 2" xfId="4332" xr:uid="{00000000-0005-0000-0000-000053130000}"/>
    <cellStyle name="Normal 2 9 7 2 2" xfId="4333" xr:uid="{00000000-0005-0000-0000-000054130000}"/>
    <cellStyle name="Normal 2 9 7 3" xfId="4334" xr:uid="{00000000-0005-0000-0000-000055130000}"/>
    <cellStyle name="Normal 2 9 8" xfId="4335" xr:uid="{00000000-0005-0000-0000-000056130000}"/>
    <cellStyle name="Normal 2 9 8 2" xfId="4336" xr:uid="{00000000-0005-0000-0000-000057130000}"/>
    <cellStyle name="Normal 2 9 8 2 2" xfId="4337" xr:uid="{00000000-0005-0000-0000-000058130000}"/>
    <cellStyle name="Normal 2 9 8 3" xfId="4338" xr:uid="{00000000-0005-0000-0000-000059130000}"/>
    <cellStyle name="Normal 2 9 9" xfId="4339" xr:uid="{00000000-0005-0000-0000-00005A130000}"/>
    <cellStyle name="Normal 2 9 9 2" xfId="4340" xr:uid="{00000000-0005-0000-0000-00005B130000}"/>
    <cellStyle name="Normal 2 9 9 2 2" xfId="4341" xr:uid="{00000000-0005-0000-0000-00005C130000}"/>
    <cellStyle name="Normal 2 9 9 3" xfId="4342" xr:uid="{00000000-0005-0000-0000-00005D130000}"/>
    <cellStyle name="Normal 2 90" xfId="4343" xr:uid="{00000000-0005-0000-0000-00005E130000}"/>
    <cellStyle name="Normal 2 90 2" xfId="4344" xr:uid="{00000000-0005-0000-0000-00005F130000}"/>
    <cellStyle name="Normal 2 90 2 2" xfId="4345" xr:uid="{00000000-0005-0000-0000-000060130000}"/>
    <cellStyle name="Normal 2 90 3" xfId="4346" xr:uid="{00000000-0005-0000-0000-000061130000}"/>
    <cellStyle name="Normal 2 91" xfId="4347" xr:uid="{00000000-0005-0000-0000-000062130000}"/>
    <cellStyle name="Normal 2 91 2" xfId="4348" xr:uid="{00000000-0005-0000-0000-000063130000}"/>
    <cellStyle name="Normal 2 91 2 2" xfId="4349" xr:uid="{00000000-0005-0000-0000-000064130000}"/>
    <cellStyle name="Normal 2 91 3" xfId="4350" xr:uid="{00000000-0005-0000-0000-000065130000}"/>
    <cellStyle name="Normal 2 92" xfId="4351" xr:uid="{00000000-0005-0000-0000-000066130000}"/>
    <cellStyle name="Normal 2 92 2" xfId="4352" xr:uid="{00000000-0005-0000-0000-000067130000}"/>
    <cellStyle name="Normal 2 92 2 2" xfId="4353" xr:uid="{00000000-0005-0000-0000-000068130000}"/>
    <cellStyle name="Normal 2 92 3" xfId="4354" xr:uid="{00000000-0005-0000-0000-000069130000}"/>
    <cellStyle name="Normal 2 93" xfId="4355" xr:uid="{00000000-0005-0000-0000-00006A130000}"/>
    <cellStyle name="Normal 2 93 2" xfId="4356" xr:uid="{00000000-0005-0000-0000-00006B130000}"/>
    <cellStyle name="Normal 2 93 2 2" xfId="4357" xr:uid="{00000000-0005-0000-0000-00006C130000}"/>
    <cellStyle name="Normal 2 93 3" xfId="4358" xr:uid="{00000000-0005-0000-0000-00006D130000}"/>
    <cellStyle name="Normal 2 94" xfId="4359" xr:uid="{00000000-0005-0000-0000-00006E130000}"/>
    <cellStyle name="Normal 2 94 2" xfId="4360" xr:uid="{00000000-0005-0000-0000-00006F130000}"/>
    <cellStyle name="Normal 2 94 3" xfId="4361" xr:uid="{00000000-0005-0000-0000-000070130000}"/>
    <cellStyle name="Normal 2 95" xfId="4362" xr:uid="{00000000-0005-0000-0000-000071130000}"/>
    <cellStyle name="Normal 2 95 2" xfId="4363" xr:uid="{00000000-0005-0000-0000-000072130000}"/>
    <cellStyle name="Normal 2 95 3" xfId="4364" xr:uid="{00000000-0005-0000-0000-000073130000}"/>
    <cellStyle name="Normal 2 96" xfId="4365" xr:uid="{00000000-0005-0000-0000-000074130000}"/>
    <cellStyle name="Normal 2 96 2" xfId="4366" xr:uid="{00000000-0005-0000-0000-000075130000}"/>
    <cellStyle name="Normal 2 96 3" xfId="4367" xr:uid="{00000000-0005-0000-0000-000076130000}"/>
    <cellStyle name="Normal 2 97" xfId="4368" xr:uid="{00000000-0005-0000-0000-000077130000}"/>
    <cellStyle name="Normal 2 97 2" xfId="4369" xr:uid="{00000000-0005-0000-0000-000078130000}"/>
    <cellStyle name="Normal 2 97 3" xfId="4370" xr:uid="{00000000-0005-0000-0000-000079130000}"/>
    <cellStyle name="Normal 2 98" xfId="4371" xr:uid="{00000000-0005-0000-0000-00007A130000}"/>
    <cellStyle name="Normal 2 98 2" xfId="4372" xr:uid="{00000000-0005-0000-0000-00007B130000}"/>
    <cellStyle name="Normal 2 98 3" xfId="4373" xr:uid="{00000000-0005-0000-0000-00007C130000}"/>
    <cellStyle name="Normal 2 99" xfId="4374" xr:uid="{00000000-0005-0000-0000-00007D130000}"/>
    <cellStyle name="Normal 2 99 2" xfId="4375" xr:uid="{00000000-0005-0000-0000-00007E130000}"/>
    <cellStyle name="Normal 2 99 3" xfId="4376" xr:uid="{00000000-0005-0000-0000-00007F130000}"/>
    <cellStyle name="Normal 2_BPAControls" xfId="9220" xr:uid="{97FBB0B7-F188-454E-AA51-B86C32A85B6A}"/>
    <cellStyle name="Normal 20" xfId="318" xr:uid="{00000000-0005-0000-0000-000081130000}"/>
    <cellStyle name="Normal 21" xfId="319" xr:uid="{00000000-0005-0000-0000-000082130000}"/>
    <cellStyle name="Normal 22" xfId="320" xr:uid="{00000000-0005-0000-0000-000083130000}"/>
    <cellStyle name="Normal 23" xfId="321" xr:uid="{00000000-0005-0000-0000-000084130000}"/>
    <cellStyle name="Normal 24" xfId="322" xr:uid="{00000000-0005-0000-0000-000085130000}"/>
    <cellStyle name="Normal 24 2" xfId="4377" xr:uid="{00000000-0005-0000-0000-000086130000}"/>
    <cellStyle name="Normal 25" xfId="323" xr:uid="{00000000-0005-0000-0000-000087130000}"/>
    <cellStyle name="Normal 26" xfId="324" xr:uid="{00000000-0005-0000-0000-000088130000}"/>
    <cellStyle name="Normal 27" xfId="325" xr:uid="{00000000-0005-0000-0000-000089130000}"/>
    <cellStyle name="Normal 28" xfId="326" xr:uid="{00000000-0005-0000-0000-00008A130000}"/>
    <cellStyle name="Normal 29" xfId="327" xr:uid="{00000000-0005-0000-0000-00008B130000}"/>
    <cellStyle name="Normal 3" xfId="186" xr:uid="{00000000-0005-0000-0000-00008C130000}"/>
    <cellStyle name="Normal 3 10" xfId="4378" xr:uid="{00000000-0005-0000-0000-00008D130000}"/>
    <cellStyle name="Normal 3 10 10" xfId="4379" xr:uid="{00000000-0005-0000-0000-00008E130000}"/>
    <cellStyle name="Normal 3 10 10 2" xfId="4380" xr:uid="{00000000-0005-0000-0000-00008F130000}"/>
    <cellStyle name="Normal 3 10 10 2 2" xfId="4381" xr:uid="{00000000-0005-0000-0000-000090130000}"/>
    <cellStyle name="Normal 3 10 10 3" xfId="4382" xr:uid="{00000000-0005-0000-0000-000091130000}"/>
    <cellStyle name="Normal 3 10 11" xfId="4383" xr:uid="{00000000-0005-0000-0000-000092130000}"/>
    <cellStyle name="Normal 3 10 11 2" xfId="4384" xr:uid="{00000000-0005-0000-0000-000093130000}"/>
    <cellStyle name="Normal 3 10 11 2 2" xfId="4385" xr:uid="{00000000-0005-0000-0000-000094130000}"/>
    <cellStyle name="Normal 3 10 11 3" xfId="4386" xr:uid="{00000000-0005-0000-0000-000095130000}"/>
    <cellStyle name="Normal 3 10 12" xfId="4387" xr:uid="{00000000-0005-0000-0000-000096130000}"/>
    <cellStyle name="Normal 3 10 12 2" xfId="4388" xr:uid="{00000000-0005-0000-0000-000097130000}"/>
    <cellStyle name="Normal 3 10 12 2 2" xfId="4389" xr:uid="{00000000-0005-0000-0000-000098130000}"/>
    <cellStyle name="Normal 3 10 12 3" xfId="4390" xr:uid="{00000000-0005-0000-0000-000099130000}"/>
    <cellStyle name="Normal 3 10 13" xfId="4391" xr:uid="{00000000-0005-0000-0000-00009A130000}"/>
    <cellStyle name="Normal 3 10 13 2" xfId="4392" xr:uid="{00000000-0005-0000-0000-00009B130000}"/>
    <cellStyle name="Normal 3 10 13 2 2" xfId="4393" xr:uid="{00000000-0005-0000-0000-00009C130000}"/>
    <cellStyle name="Normal 3 10 13 3" xfId="4394" xr:uid="{00000000-0005-0000-0000-00009D130000}"/>
    <cellStyle name="Normal 3 10 14" xfId="4395" xr:uid="{00000000-0005-0000-0000-00009E130000}"/>
    <cellStyle name="Normal 3 10 14 2" xfId="4396" xr:uid="{00000000-0005-0000-0000-00009F130000}"/>
    <cellStyle name="Normal 3 10 14 2 2" xfId="4397" xr:uid="{00000000-0005-0000-0000-0000A0130000}"/>
    <cellStyle name="Normal 3 10 14 3" xfId="4398" xr:uid="{00000000-0005-0000-0000-0000A1130000}"/>
    <cellStyle name="Normal 3 10 15" xfId="4399" xr:uid="{00000000-0005-0000-0000-0000A2130000}"/>
    <cellStyle name="Normal 3 10 15 2" xfId="4400" xr:uid="{00000000-0005-0000-0000-0000A3130000}"/>
    <cellStyle name="Normal 3 10 15 2 2" xfId="4401" xr:uid="{00000000-0005-0000-0000-0000A4130000}"/>
    <cellStyle name="Normal 3 10 15 3" xfId="4402" xr:uid="{00000000-0005-0000-0000-0000A5130000}"/>
    <cellStyle name="Normal 3 10 16" xfId="4403" xr:uid="{00000000-0005-0000-0000-0000A6130000}"/>
    <cellStyle name="Normal 3 10 16 2" xfId="4404" xr:uid="{00000000-0005-0000-0000-0000A7130000}"/>
    <cellStyle name="Normal 3 10 16 2 2" xfId="4405" xr:uid="{00000000-0005-0000-0000-0000A8130000}"/>
    <cellStyle name="Normal 3 10 16 3" xfId="4406" xr:uid="{00000000-0005-0000-0000-0000A9130000}"/>
    <cellStyle name="Normal 3 10 17" xfId="4407" xr:uid="{00000000-0005-0000-0000-0000AA130000}"/>
    <cellStyle name="Normal 3 10 17 2" xfId="4408" xr:uid="{00000000-0005-0000-0000-0000AB130000}"/>
    <cellStyle name="Normal 3 10 17 2 2" xfId="4409" xr:uid="{00000000-0005-0000-0000-0000AC130000}"/>
    <cellStyle name="Normal 3 10 17 3" xfId="4410" xr:uid="{00000000-0005-0000-0000-0000AD130000}"/>
    <cellStyle name="Normal 3 10 18" xfId="4411" xr:uid="{00000000-0005-0000-0000-0000AE130000}"/>
    <cellStyle name="Normal 3 10 18 2" xfId="4412" xr:uid="{00000000-0005-0000-0000-0000AF130000}"/>
    <cellStyle name="Normal 3 10 18 2 2" xfId="4413" xr:uid="{00000000-0005-0000-0000-0000B0130000}"/>
    <cellStyle name="Normal 3 10 18 3" xfId="4414" xr:uid="{00000000-0005-0000-0000-0000B1130000}"/>
    <cellStyle name="Normal 3 10 19" xfId="4415" xr:uid="{00000000-0005-0000-0000-0000B2130000}"/>
    <cellStyle name="Normal 3 10 19 2" xfId="4416" xr:uid="{00000000-0005-0000-0000-0000B3130000}"/>
    <cellStyle name="Normal 3 10 19 2 2" xfId="4417" xr:uid="{00000000-0005-0000-0000-0000B4130000}"/>
    <cellStyle name="Normal 3 10 19 3" xfId="4418" xr:uid="{00000000-0005-0000-0000-0000B5130000}"/>
    <cellStyle name="Normal 3 10 2" xfId="4419" xr:uid="{00000000-0005-0000-0000-0000B6130000}"/>
    <cellStyle name="Normal 3 10 2 2" xfId="4420" xr:uid="{00000000-0005-0000-0000-0000B7130000}"/>
    <cellStyle name="Normal 3 10 2 2 2" xfId="4421" xr:uid="{00000000-0005-0000-0000-0000B8130000}"/>
    <cellStyle name="Normal 3 10 2 3" xfId="4422" xr:uid="{00000000-0005-0000-0000-0000B9130000}"/>
    <cellStyle name="Normal 3 10 20" xfId="4423" xr:uid="{00000000-0005-0000-0000-0000BA130000}"/>
    <cellStyle name="Normal 3 10 20 2" xfId="4424" xr:uid="{00000000-0005-0000-0000-0000BB130000}"/>
    <cellStyle name="Normal 3 10 20 2 2" xfId="4425" xr:uid="{00000000-0005-0000-0000-0000BC130000}"/>
    <cellStyle name="Normal 3 10 20 3" xfId="4426" xr:uid="{00000000-0005-0000-0000-0000BD130000}"/>
    <cellStyle name="Normal 3 10 21" xfId="4427" xr:uid="{00000000-0005-0000-0000-0000BE130000}"/>
    <cellStyle name="Normal 3 10 21 2" xfId="4428" xr:uid="{00000000-0005-0000-0000-0000BF130000}"/>
    <cellStyle name="Normal 3 10 21 2 2" xfId="4429" xr:uid="{00000000-0005-0000-0000-0000C0130000}"/>
    <cellStyle name="Normal 3 10 21 3" xfId="4430" xr:uid="{00000000-0005-0000-0000-0000C1130000}"/>
    <cellStyle name="Normal 3 10 22" xfId="4431" xr:uid="{00000000-0005-0000-0000-0000C2130000}"/>
    <cellStyle name="Normal 3 10 22 2" xfId="4432" xr:uid="{00000000-0005-0000-0000-0000C3130000}"/>
    <cellStyle name="Normal 3 10 22 2 2" xfId="4433" xr:uid="{00000000-0005-0000-0000-0000C4130000}"/>
    <cellStyle name="Normal 3 10 22 3" xfId="4434" xr:uid="{00000000-0005-0000-0000-0000C5130000}"/>
    <cellStyle name="Normal 3 10 23" xfId="4435" xr:uid="{00000000-0005-0000-0000-0000C6130000}"/>
    <cellStyle name="Normal 3 10 23 2" xfId="4436" xr:uid="{00000000-0005-0000-0000-0000C7130000}"/>
    <cellStyle name="Normal 3 10 23 2 2" xfId="4437" xr:uid="{00000000-0005-0000-0000-0000C8130000}"/>
    <cellStyle name="Normal 3 10 23 3" xfId="4438" xr:uid="{00000000-0005-0000-0000-0000C9130000}"/>
    <cellStyle name="Normal 3 10 24" xfId="4439" xr:uid="{00000000-0005-0000-0000-0000CA130000}"/>
    <cellStyle name="Normal 3 10 24 2" xfId="4440" xr:uid="{00000000-0005-0000-0000-0000CB130000}"/>
    <cellStyle name="Normal 3 10 25" xfId="4441" xr:uid="{00000000-0005-0000-0000-0000CC130000}"/>
    <cellStyle name="Normal 3 10 3" xfId="4442" xr:uid="{00000000-0005-0000-0000-0000CD130000}"/>
    <cellStyle name="Normal 3 10 3 2" xfId="4443" xr:uid="{00000000-0005-0000-0000-0000CE130000}"/>
    <cellStyle name="Normal 3 10 3 2 2" xfId="4444" xr:uid="{00000000-0005-0000-0000-0000CF130000}"/>
    <cellStyle name="Normal 3 10 3 3" xfId="4445" xr:uid="{00000000-0005-0000-0000-0000D0130000}"/>
    <cellStyle name="Normal 3 10 4" xfId="4446" xr:uid="{00000000-0005-0000-0000-0000D1130000}"/>
    <cellStyle name="Normal 3 10 4 2" xfId="4447" xr:uid="{00000000-0005-0000-0000-0000D2130000}"/>
    <cellStyle name="Normal 3 10 4 2 2" xfId="4448" xr:uid="{00000000-0005-0000-0000-0000D3130000}"/>
    <cellStyle name="Normal 3 10 4 3" xfId="4449" xr:uid="{00000000-0005-0000-0000-0000D4130000}"/>
    <cellStyle name="Normal 3 10 5" xfId="4450" xr:uid="{00000000-0005-0000-0000-0000D5130000}"/>
    <cellStyle name="Normal 3 10 5 2" xfId="4451" xr:uid="{00000000-0005-0000-0000-0000D6130000}"/>
    <cellStyle name="Normal 3 10 5 2 2" xfId="4452" xr:uid="{00000000-0005-0000-0000-0000D7130000}"/>
    <cellStyle name="Normal 3 10 5 3" xfId="4453" xr:uid="{00000000-0005-0000-0000-0000D8130000}"/>
    <cellStyle name="Normal 3 10 6" xfId="4454" xr:uid="{00000000-0005-0000-0000-0000D9130000}"/>
    <cellStyle name="Normal 3 10 6 2" xfId="4455" xr:uid="{00000000-0005-0000-0000-0000DA130000}"/>
    <cellStyle name="Normal 3 10 6 2 2" xfId="4456" xr:uid="{00000000-0005-0000-0000-0000DB130000}"/>
    <cellStyle name="Normal 3 10 6 3" xfId="4457" xr:uid="{00000000-0005-0000-0000-0000DC130000}"/>
    <cellStyle name="Normal 3 10 7" xfId="4458" xr:uid="{00000000-0005-0000-0000-0000DD130000}"/>
    <cellStyle name="Normal 3 10 7 2" xfId="4459" xr:uid="{00000000-0005-0000-0000-0000DE130000}"/>
    <cellStyle name="Normal 3 10 7 2 2" xfId="4460" xr:uid="{00000000-0005-0000-0000-0000DF130000}"/>
    <cellStyle name="Normal 3 10 7 3" xfId="4461" xr:uid="{00000000-0005-0000-0000-0000E0130000}"/>
    <cellStyle name="Normal 3 10 8" xfId="4462" xr:uid="{00000000-0005-0000-0000-0000E1130000}"/>
    <cellStyle name="Normal 3 10 8 2" xfId="4463" xr:uid="{00000000-0005-0000-0000-0000E2130000}"/>
    <cellStyle name="Normal 3 10 8 2 2" xfId="4464" xr:uid="{00000000-0005-0000-0000-0000E3130000}"/>
    <cellStyle name="Normal 3 10 8 3" xfId="4465" xr:uid="{00000000-0005-0000-0000-0000E4130000}"/>
    <cellStyle name="Normal 3 10 9" xfId="4466" xr:uid="{00000000-0005-0000-0000-0000E5130000}"/>
    <cellStyle name="Normal 3 10 9 2" xfId="4467" xr:uid="{00000000-0005-0000-0000-0000E6130000}"/>
    <cellStyle name="Normal 3 10 9 2 2" xfId="4468" xr:uid="{00000000-0005-0000-0000-0000E7130000}"/>
    <cellStyle name="Normal 3 10 9 3" xfId="4469" xr:uid="{00000000-0005-0000-0000-0000E8130000}"/>
    <cellStyle name="Normal 3 11" xfId="4470" xr:uid="{00000000-0005-0000-0000-0000E9130000}"/>
    <cellStyle name="Normal 3 11 10" xfId="4471" xr:uid="{00000000-0005-0000-0000-0000EA130000}"/>
    <cellStyle name="Normal 3 11 10 2" xfId="4472" xr:uid="{00000000-0005-0000-0000-0000EB130000}"/>
    <cellStyle name="Normal 3 11 10 2 2" xfId="4473" xr:uid="{00000000-0005-0000-0000-0000EC130000}"/>
    <cellStyle name="Normal 3 11 10 3" xfId="4474" xr:uid="{00000000-0005-0000-0000-0000ED130000}"/>
    <cellStyle name="Normal 3 11 11" xfId="4475" xr:uid="{00000000-0005-0000-0000-0000EE130000}"/>
    <cellStyle name="Normal 3 11 11 2" xfId="4476" xr:uid="{00000000-0005-0000-0000-0000EF130000}"/>
    <cellStyle name="Normal 3 11 11 2 2" xfId="4477" xr:uid="{00000000-0005-0000-0000-0000F0130000}"/>
    <cellStyle name="Normal 3 11 11 3" xfId="4478" xr:uid="{00000000-0005-0000-0000-0000F1130000}"/>
    <cellStyle name="Normal 3 11 12" xfId="4479" xr:uid="{00000000-0005-0000-0000-0000F2130000}"/>
    <cellStyle name="Normal 3 11 12 2" xfId="4480" xr:uid="{00000000-0005-0000-0000-0000F3130000}"/>
    <cellStyle name="Normal 3 11 12 2 2" xfId="4481" xr:uid="{00000000-0005-0000-0000-0000F4130000}"/>
    <cellStyle name="Normal 3 11 12 3" xfId="4482" xr:uid="{00000000-0005-0000-0000-0000F5130000}"/>
    <cellStyle name="Normal 3 11 13" xfId="4483" xr:uid="{00000000-0005-0000-0000-0000F6130000}"/>
    <cellStyle name="Normal 3 11 13 2" xfId="4484" xr:uid="{00000000-0005-0000-0000-0000F7130000}"/>
    <cellStyle name="Normal 3 11 13 2 2" xfId="4485" xr:uid="{00000000-0005-0000-0000-0000F8130000}"/>
    <cellStyle name="Normal 3 11 13 3" xfId="4486" xr:uid="{00000000-0005-0000-0000-0000F9130000}"/>
    <cellStyle name="Normal 3 11 14" xfId="4487" xr:uid="{00000000-0005-0000-0000-0000FA130000}"/>
    <cellStyle name="Normal 3 11 14 2" xfId="4488" xr:uid="{00000000-0005-0000-0000-0000FB130000}"/>
    <cellStyle name="Normal 3 11 14 2 2" xfId="4489" xr:uid="{00000000-0005-0000-0000-0000FC130000}"/>
    <cellStyle name="Normal 3 11 14 3" xfId="4490" xr:uid="{00000000-0005-0000-0000-0000FD130000}"/>
    <cellStyle name="Normal 3 11 15" xfId="4491" xr:uid="{00000000-0005-0000-0000-0000FE130000}"/>
    <cellStyle name="Normal 3 11 15 2" xfId="4492" xr:uid="{00000000-0005-0000-0000-0000FF130000}"/>
    <cellStyle name="Normal 3 11 15 2 2" xfId="4493" xr:uid="{00000000-0005-0000-0000-000000140000}"/>
    <cellStyle name="Normal 3 11 15 3" xfId="4494" xr:uid="{00000000-0005-0000-0000-000001140000}"/>
    <cellStyle name="Normal 3 11 16" xfId="4495" xr:uid="{00000000-0005-0000-0000-000002140000}"/>
    <cellStyle name="Normal 3 11 16 2" xfId="4496" xr:uid="{00000000-0005-0000-0000-000003140000}"/>
    <cellStyle name="Normal 3 11 16 2 2" xfId="4497" xr:uid="{00000000-0005-0000-0000-000004140000}"/>
    <cellStyle name="Normal 3 11 16 3" xfId="4498" xr:uid="{00000000-0005-0000-0000-000005140000}"/>
    <cellStyle name="Normal 3 11 17" xfId="4499" xr:uid="{00000000-0005-0000-0000-000006140000}"/>
    <cellStyle name="Normal 3 11 17 2" xfId="4500" xr:uid="{00000000-0005-0000-0000-000007140000}"/>
    <cellStyle name="Normal 3 11 17 2 2" xfId="4501" xr:uid="{00000000-0005-0000-0000-000008140000}"/>
    <cellStyle name="Normal 3 11 17 3" xfId="4502" xr:uid="{00000000-0005-0000-0000-000009140000}"/>
    <cellStyle name="Normal 3 11 18" xfId="4503" xr:uid="{00000000-0005-0000-0000-00000A140000}"/>
    <cellStyle name="Normal 3 11 18 2" xfId="4504" xr:uid="{00000000-0005-0000-0000-00000B140000}"/>
    <cellStyle name="Normal 3 11 18 2 2" xfId="4505" xr:uid="{00000000-0005-0000-0000-00000C140000}"/>
    <cellStyle name="Normal 3 11 18 3" xfId="4506" xr:uid="{00000000-0005-0000-0000-00000D140000}"/>
    <cellStyle name="Normal 3 11 19" xfId="4507" xr:uid="{00000000-0005-0000-0000-00000E140000}"/>
    <cellStyle name="Normal 3 11 19 2" xfId="4508" xr:uid="{00000000-0005-0000-0000-00000F140000}"/>
    <cellStyle name="Normal 3 11 19 2 2" xfId="4509" xr:uid="{00000000-0005-0000-0000-000010140000}"/>
    <cellStyle name="Normal 3 11 19 3" xfId="4510" xr:uid="{00000000-0005-0000-0000-000011140000}"/>
    <cellStyle name="Normal 3 11 2" xfId="4511" xr:uid="{00000000-0005-0000-0000-000012140000}"/>
    <cellStyle name="Normal 3 11 2 2" xfId="4512" xr:uid="{00000000-0005-0000-0000-000013140000}"/>
    <cellStyle name="Normal 3 11 2 2 2" xfId="4513" xr:uid="{00000000-0005-0000-0000-000014140000}"/>
    <cellStyle name="Normal 3 11 2 3" xfId="4514" xr:uid="{00000000-0005-0000-0000-000015140000}"/>
    <cellStyle name="Normal 3 11 20" xfId="4515" xr:uid="{00000000-0005-0000-0000-000016140000}"/>
    <cellStyle name="Normal 3 11 20 2" xfId="4516" xr:uid="{00000000-0005-0000-0000-000017140000}"/>
    <cellStyle name="Normal 3 11 20 2 2" xfId="4517" xr:uid="{00000000-0005-0000-0000-000018140000}"/>
    <cellStyle name="Normal 3 11 20 3" xfId="4518" xr:uid="{00000000-0005-0000-0000-000019140000}"/>
    <cellStyle name="Normal 3 11 21" xfId="4519" xr:uid="{00000000-0005-0000-0000-00001A140000}"/>
    <cellStyle name="Normal 3 11 21 2" xfId="4520" xr:uid="{00000000-0005-0000-0000-00001B140000}"/>
    <cellStyle name="Normal 3 11 21 2 2" xfId="4521" xr:uid="{00000000-0005-0000-0000-00001C140000}"/>
    <cellStyle name="Normal 3 11 21 3" xfId="4522" xr:uid="{00000000-0005-0000-0000-00001D140000}"/>
    <cellStyle name="Normal 3 11 22" xfId="4523" xr:uid="{00000000-0005-0000-0000-00001E140000}"/>
    <cellStyle name="Normal 3 11 22 2" xfId="4524" xr:uid="{00000000-0005-0000-0000-00001F140000}"/>
    <cellStyle name="Normal 3 11 22 2 2" xfId="4525" xr:uid="{00000000-0005-0000-0000-000020140000}"/>
    <cellStyle name="Normal 3 11 22 3" xfId="4526" xr:uid="{00000000-0005-0000-0000-000021140000}"/>
    <cellStyle name="Normal 3 11 23" xfId="4527" xr:uid="{00000000-0005-0000-0000-000022140000}"/>
    <cellStyle name="Normal 3 11 23 2" xfId="4528" xr:uid="{00000000-0005-0000-0000-000023140000}"/>
    <cellStyle name="Normal 3 11 23 2 2" xfId="4529" xr:uid="{00000000-0005-0000-0000-000024140000}"/>
    <cellStyle name="Normal 3 11 23 3" xfId="4530" xr:uid="{00000000-0005-0000-0000-000025140000}"/>
    <cellStyle name="Normal 3 11 24" xfId="4531" xr:uid="{00000000-0005-0000-0000-000026140000}"/>
    <cellStyle name="Normal 3 11 24 2" xfId="4532" xr:uid="{00000000-0005-0000-0000-000027140000}"/>
    <cellStyle name="Normal 3 11 25" xfId="4533" xr:uid="{00000000-0005-0000-0000-000028140000}"/>
    <cellStyle name="Normal 3 11 3" xfId="4534" xr:uid="{00000000-0005-0000-0000-000029140000}"/>
    <cellStyle name="Normal 3 11 3 2" xfId="4535" xr:uid="{00000000-0005-0000-0000-00002A140000}"/>
    <cellStyle name="Normal 3 11 3 2 2" xfId="4536" xr:uid="{00000000-0005-0000-0000-00002B140000}"/>
    <cellStyle name="Normal 3 11 3 3" xfId="4537" xr:uid="{00000000-0005-0000-0000-00002C140000}"/>
    <cellStyle name="Normal 3 11 4" xfId="4538" xr:uid="{00000000-0005-0000-0000-00002D140000}"/>
    <cellStyle name="Normal 3 11 4 2" xfId="4539" xr:uid="{00000000-0005-0000-0000-00002E140000}"/>
    <cellStyle name="Normal 3 11 4 2 2" xfId="4540" xr:uid="{00000000-0005-0000-0000-00002F140000}"/>
    <cellStyle name="Normal 3 11 4 3" xfId="4541" xr:uid="{00000000-0005-0000-0000-000030140000}"/>
    <cellStyle name="Normal 3 11 5" xfId="4542" xr:uid="{00000000-0005-0000-0000-000031140000}"/>
    <cellStyle name="Normal 3 11 5 2" xfId="4543" xr:uid="{00000000-0005-0000-0000-000032140000}"/>
    <cellStyle name="Normal 3 11 5 2 2" xfId="4544" xr:uid="{00000000-0005-0000-0000-000033140000}"/>
    <cellStyle name="Normal 3 11 5 3" xfId="4545" xr:uid="{00000000-0005-0000-0000-000034140000}"/>
    <cellStyle name="Normal 3 11 6" xfId="4546" xr:uid="{00000000-0005-0000-0000-000035140000}"/>
    <cellStyle name="Normal 3 11 6 2" xfId="4547" xr:uid="{00000000-0005-0000-0000-000036140000}"/>
    <cellStyle name="Normal 3 11 6 2 2" xfId="4548" xr:uid="{00000000-0005-0000-0000-000037140000}"/>
    <cellStyle name="Normal 3 11 6 3" xfId="4549" xr:uid="{00000000-0005-0000-0000-000038140000}"/>
    <cellStyle name="Normal 3 11 7" xfId="4550" xr:uid="{00000000-0005-0000-0000-000039140000}"/>
    <cellStyle name="Normal 3 11 7 2" xfId="4551" xr:uid="{00000000-0005-0000-0000-00003A140000}"/>
    <cellStyle name="Normal 3 11 7 2 2" xfId="4552" xr:uid="{00000000-0005-0000-0000-00003B140000}"/>
    <cellStyle name="Normal 3 11 7 3" xfId="4553" xr:uid="{00000000-0005-0000-0000-00003C140000}"/>
    <cellStyle name="Normal 3 11 8" xfId="4554" xr:uid="{00000000-0005-0000-0000-00003D140000}"/>
    <cellStyle name="Normal 3 11 8 2" xfId="4555" xr:uid="{00000000-0005-0000-0000-00003E140000}"/>
    <cellStyle name="Normal 3 11 8 2 2" xfId="4556" xr:uid="{00000000-0005-0000-0000-00003F140000}"/>
    <cellStyle name="Normal 3 11 8 3" xfId="4557" xr:uid="{00000000-0005-0000-0000-000040140000}"/>
    <cellStyle name="Normal 3 11 9" xfId="4558" xr:uid="{00000000-0005-0000-0000-000041140000}"/>
    <cellStyle name="Normal 3 11 9 2" xfId="4559" xr:uid="{00000000-0005-0000-0000-000042140000}"/>
    <cellStyle name="Normal 3 11 9 2 2" xfId="4560" xr:uid="{00000000-0005-0000-0000-000043140000}"/>
    <cellStyle name="Normal 3 11 9 3" xfId="4561" xr:uid="{00000000-0005-0000-0000-000044140000}"/>
    <cellStyle name="Normal 3 12" xfId="4562" xr:uid="{00000000-0005-0000-0000-000045140000}"/>
    <cellStyle name="Normal 3 12 10" xfId="4563" xr:uid="{00000000-0005-0000-0000-000046140000}"/>
    <cellStyle name="Normal 3 12 10 2" xfId="4564" xr:uid="{00000000-0005-0000-0000-000047140000}"/>
    <cellStyle name="Normal 3 12 10 2 2" xfId="4565" xr:uid="{00000000-0005-0000-0000-000048140000}"/>
    <cellStyle name="Normal 3 12 10 3" xfId="4566" xr:uid="{00000000-0005-0000-0000-000049140000}"/>
    <cellStyle name="Normal 3 12 11" xfId="4567" xr:uid="{00000000-0005-0000-0000-00004A140000}"/>
    <cellStyle name="Normal 3 12 11 2" xfId="4568" xr:uid="{00000000-0005-0000-0000-00004B140000}"/>
    <cellStyle name="Normal 3 12 11 2 2" xfId="4569" xr:uid="{00000000-0005-0000-0000-00004C140000}"/>
    <cellStyle name="Normal 3 12 11 3" xfId="4570" xr:uid="{00000000-0005-0000-0000-00004D140000}"/>
    <cellStyle name="Normal 3 12 12" xfId="4571" xr:uid="{00000000-0005-0000-0000-00004E140000}"/>
    <cellStyle name="Normal 3 12 12 2" xfId="4572" xr:uid="{00000000-0005-0000-0000-00004F140000}"/>
    <cellStyle name="Normal 3 12 12 2 2" xfId="4573" xr:uid="{00000000-0005-0000-0000-000050140000}"/>
    <cellStyle name="Normal 3 12 12 3" xfId="4574" xr:uid="{00000000-0005-0000-0000-000051140000}"/>
    <cellStyle name="Normal 3 12 13" xfId="4575" xr:uid="{00000000-0005-0000-0000-000052140000}"/>
    <cellStyle name="Normal 3 12 13 2" xfId="4576" xr:uid="{00000000-0005-0000-0000-000053140000}"/>
    <cellStyle name="Normal 3 12 13 2 2" xfId="4577" xr:uid="{00000000-0005-0000-0000-000054140000}"/>
    <cellStyle name="Normal 3 12 13 3" xfId="4578" xr:uid="{00000000-0005-0000-0000-000055140000}"/>
    <cellStyle name="Normal 3 12 14" xfId="4579" xr:uid="{00000000-0005-0000-0000-000056140000}"/>
    <cellStyle name="Normal 3 12 14 2" xfId="4580" xr:uid="{00000000-0005-0000-0000-000057140000}"/>
    <cellStyle name="Normal 3 12 14 2 2" xfId="4581" xr:uid="{00000000-0005-0000-0000-000058140000}"/>
    <cellStyle name="Normal 3 12 14 3" xfId="4582" xr:uid="{00000000-0005-0000-0000-000059140000}"/>
    <cellStyle name="Normal 3 12 15" xfId="4583" xr:uid="{00000000-0005-0000-0000-00005A140000}"/>
    <cellStyle name="Normal 3 12 15 2" xfId="4584" xr:uid="{00000000-0005-0000-0000-00005B140000}"/>
    <cellStyle name="Normal 3 12 15 2 2" xfId="4585" xr:uid="{00000000-0005-0000-0000-00005C140000}"/>
    <cellStyle name="Normal 3 12 15 3" xfId="4586" xr:uid="{00000000-0005-0000-0000-00005D140000}"/>
    <cellStyle name="Normal 3 12 16" xfId="4587" xr:uid="{00000000-0005-0000-0000-00005E140000}"/>
    <cellStyle name="Normal 3 12 16 2" xfId="4588" xr:uid="{00000000-0005-0000-0000-00005F140000}"/>
    <cellStyle name="Normal 3 12 16 2 2" xfId="4589" xr:uid="{00000000-0005-0000-0000-000060140000}"/>
    <cellStyle name="Normal 3 12 16 3" xfId="4590" xr:uid="{00000000-0005-0000-0000-000061140000}"/>
    <cellStyle name="Normal 3 12 17" xfId="4591" xr:uid="{00000000-0005-0000-0000-000062140000}"/>
    <cellStyle name="Normal 3 12 17 2" xfId="4592" xr:uid="{00000000-0005-0000-0000-000063140000}"/>
    <cellStyle name="Normal 3 12 17 2 2" xfId="4593" xr:uid="{00000000-0005-0000-0000-000064140000}"/>
    <cellStyle name="Normal 3 12 17 3" xfId="4594" xr:uid="{00000000-0005-0000-0000-000065140000}"/>
    <cellStyle name="Normal 3 12 18" xfId="4595" xr:uid="{00000000-0005-0000-0000-000066140000}"/>
    <cellStyle name="Normal 3 12 18 2" xfId="4596" xr:uid="{00000000-0005-0000-0000-000067140000}"/>
    <cellStyle name="Normal 3 12 18 2 2" xfId="4597" xr:uid="{00000000-0005-0000-0000-000068140000}"/>
    <cellStyle name="Normal 3 12 18 3" xfId="4598" xr:uid="{00000000-0005-0000-0000-000069140000}"/>
    <cellStyle name="Normal 3 12 19" xfId="4599" xr:uid="{00000000-0005-0000-0000-00006A140000}"/>
    <cellStyle name="Normal 3 12 19 2" xfId="4600" xr:uid="{00000000-0005-0000-0000-00006B140000}"/>
    <cellStyle name="Normal 3 12 19 2 2" xfId="4601" xr:uid="{00000000-0005-0000-0000-00006C140000}"/>
    <cellStyle name="Normal 3 12 19 3" xfId="4602" xr:uid="{00000000-0005-0000-0000-00006D140000}"/>
    <cellStyle name="Normal 3 12 2" xfId="4603" xr:uid="{00000000-0005-0000-0000-00006E140000}"/>
    <cellStyle name="Normal 3 12 2 2" xfId="4604" xr:uid="{00000000-0005-0000-0000-00006F140000}"/>
    <cellStyle name="Normal 3 12 2 2 2" xfId="4605" xr:uid="{00000000-0005-0000-0000-000070140000}"/>
    <cellStyle name="Normal 3 12 2 3" xfId="4606" xr:uid="{00000000-0005-0000-0000-000071140000}"/>
    <cellStyle name="Normal 3 12 20" xfId="4607" xr:uid="{00000000-0005-0000-0000-000072140000}"/>
    <cellStyle name="Normal 3 12 20 2" xfId="4608" xr:uid="{00000000-0005-0000-0000-000073140000}"/>
    <cellStyle name="Normal 3 12 20 2 2" xfId="4609" xr:uid="{00000000-0005-0000-0000-000074140000}"/>
    <cellStyle name="Normal 3 12 20 3" xfId="4610" xr:uid="{00000000-0005-0000-0000-000075140000}"/>
    <cellStyle name="Normal 3 12 21" xfId="4611" xr:uid="{00000000-0005-0000-0000-000076140000}"/>
    <cellStyle name="Normal 3 12 21 2" xfId="4612" xr:uid="{00000000-0005-0000-0000-000077140000}"/>
    <cellStyle name="Normal 3 12 21 2 2" xfId="4613" xr:uid="{00000000-0005-0000-0000-000078140000}"/>
    <cellStyle name="Normal 3 12 21 3" xfId="4614" xr:uid="{00000000-0005-0000-0000-000079140000}"/>
    <cellStyle name="Normal 3 12 22" xfId="4615" xr:uid="{00000000-0005-0000-0000-00007A140000}"/>
    <cellStyle name="Normal 3 12 22 2" xfId="4616" xr:uid="{00000000-0005-0000-0000-00007B140000}"/>
    <cellStyle name="Normal 3 12 22 2 2" xfId="4617" xr:uid="{00000000-0005-0000-0000-00007C140000}"/>
    <cellStyle name="Normal 3 12 22 3" xfId="4618" xr:uid="{00000000-0005-0000-0000-00007D140000}"/>
    <cellStyle name="Normal 3 12 23" xfId="4619" xr:uid="{00000000-0005-0000-0000-00007E140000}"/>
    <cellStyle name="Normal 3 12 23 2" xfId="4620" xr:uid="{00000000-0005-0000-0000-00007F140000}"/>
    <cellStyle name="Normal 3 12 23 2 2" xfId="4621" xr:uid="{00000000-0005-0000-0000-000080140000}"/>
    <cellStyle name="Normal 3 12 23 3" xfId="4622" xr:uid="{00000000-0005-0000-0000-000081140000}"/>
    <cellStyle name="Normal 3 12 24" xfId="4623" xr:uid="{00000000-0005-0000-0000-000082140000}"/>
    <cellStyle name="Normal 3 12 24 2" xfId="4624" xr:uid="{00000000-0005-0000-0000-000083140000}"/>
    <cellStyle name="Normal 3 12 25" xfId="4625" xr:uid="{00000000-0005-0000-0000-000084140000}"/>
    <cellStyle name="Normal 3 12 3" xfId="4626" xr:uid="{00000000-0005-0000-0000-000085140000}"/>
    <cellStyle name="Normal 3 12 3 2" xfId="4627" xr:uid="{00000000-0005-0000-0000-000086140000}"/>
    <cellStyle name="Normal 3 12 3 2 2" xfId="4628" xr:uid="{00000000-0005-0000-0000-000087140000}"/>
    <cellStyle name="Normal 3 12 3 3" xfId="4629" xr:uid="{00000000-0005-0000-0000-000088140000}"/>
    <cellStyle name="Normal 3 12 4" xfId="4630" xr:uid="{00000000-0005-0000-0000-000089140000}"/>
    <cellStyle name="Normal 3 12 4 2" xfId="4631" xr:uid="{00000000-0005-0000-0000-00008A140000}"/>
    <cellStyle name="Normal 3 12 4 2 2" xfId="4632" xr:uid="{00000000-0005-0000-0000-00008B140000}"/>
    <cellStyle name="Normal 3 12 4 3" xfId="4633" xr:uid="{00000000-0005-0000-0000-00008C140000}"/>
    <cellStyle name="Normal 3 12 5" xfId="4634" xr:uid="{00000000-0005-0000-0000-00008D140000}"/>
    <cellStyle name="Normal 3 12 5 2" xfId="4635" xr:uid="{00000000-0005-0000-0000-00008E140000}"/>
    <cellStyle name="Normal 3 12 5 2 2" xfId="4636" xr:uid="{00000000-0005-0000-0000-00008F140000}"/>
    <cellStyle name="Normal 3 12 5 3" xfId="4637" xr:uid="{00000000-0005-0000-0000-000090140000}"/>
    <cellStyle name="Normal 3 12 6" xfId="4638" xr:uid="{00000000-0005-0000-0000-000091140000}"/>
    <cellStyle name="Normal 3 12 6 2" xfId="4639" xr:uid="{00000000-0005-0000-0000-000092140000}"/>
    <cellStyle name="Normal 3 12 6 2 2" xfId="4640" xr:uid="{00000000-0005-0000-0000-000093140000}"/>
    <cellStyle name="Normal 3 12 6 3" xfId="4641" xr:uid="{00000000-0005-0000-0000-000094140000}"/>
    <cellStyle name="Normal 3 12 7" xfId="4642" xr:uid="{00000000-0005-0000-0000-000095140000}"/>
    <cellStyle name="Normal 3 12 7 2" xfId="4643" xr:uid="{00000000-0005-0000-0000-000096140000}"/>
    <cellStyle name="Normal 3 12 7 2 2" xfId="4644" xr:uid="{00000000-0005-0000-0000-000097140000}"/>
    <cellStyle name="Normal 3 12 7 3" xfId="4645" xr:uid="{00000000-0005-0000-0000-000098140000}"/>
    <cellStyle name="Normal 3 12 8" xfId="4646" xr:uid="{00000000-0005-0000-0000-000099140000}"/>
    <cellStyle name="Normal 3 12 8 2" xfId="4647" xr:uid="{00000000-0005-0000-0000-00009A140000}"/>
    <cellStyle name="Normal 3 12 8 2 2" xfId="4648" xr:uid="{00000000-0005-0000-0000-00009B140000}"/>
    <cellStyle name="Normal 3 12 8 3" xfId="4649" xr:uid="{00000000-0005-0000-0000-00009C140000}"/>
    <cellStyle name="Normal 3 12 9" xfId="4650" xr:uid="{00000000-0005-0000-0000-00009D140000}"/>
    <cellStyle name="Normal 3 12 9 2" xfId="4651" xr:uid="{00000000-0005-0000-0000-00009E140000}"/>
    <cellStyle name="Normal 3 12 9 2 2" xfId="4652" xr:uid="{00000000-0005-0000-0000-00009F140000}"/>
    <cellStyle name="Normal 3 12 9 3" xfId="4653" xr:uid="{00000000-0005-0000-0000-0000A0140000}"/>
    <cellStyle name="Normal 3 13" xfId="4654" xr:uid="{00000000-0005-0000-0000-0000A1140000}"/>
    <cellStyle name="Normal 3 13 10" xfId="4655" xr:uid="{00000000-0005-0000-0000-0000A2140000}"/>
    <cellStyle name="Normal 3 13 10 2" xfId="4656" xr:uid="{00000000-0005-0000-0000-0000A3140000}"/>
    <cellStyle name="Normal 3 13 10 2 2" xfId="4657" xr:uid="{00000000-0005-0000-0000-0000A4140000}"/>
    <cellStyle name="Normal 3 13 10 3" xfId="4658" xr:uid="{00000000-0005-0000-0000-0000A5140000}"/>
    <cellStyle name="Normal 3 13 11" xfId="4659" xr:uid="{00000000-0005-0000-0000-0000A6140000}"/>
    <cellStyle name="Normal 3 13 11 2" xfId="4660" xr:uid="{00000000-0005-0000-0000-0000A7140000}"/>
    <cellStyle name="Normal 3 13 11 2 2" xfId="4661" xr:uid="{00000000-0005-0000-0000-0000A8140000}"/>
    <cellStyle name="Normal 3 13 11 3" xfId="4662" xr:uid="{00000000-0005-0000-0000-0000A9140000}"/>
    <cellStyle name="Normal 3 13 12" xfId="4663" xr:uid="{00000000-0005-0000-0000-0000AA140000}"/>
    <cellStyle name="Normal 3 13 12 2" xfId="4664" xr:uid="{00000000-0005-0000-0000-0000AB140000}"/>
    <cellStyle name="Normal 3 13 12 2 2" xfId="4665" xr:uid="{00000000-0005-0000-0000-0000AC140000}"/>
    <cellStyle name="Normal 3 13 12 3" xfId="4666" xr:uid="{00000000-0005-0000-0000-0000AD140000}"/>
    <cellStyle name="Normal 3 13 13" xfId="4667" xr:uid="{00000000-0005-0000-0000-0000AE140000}"/>
    <cellStyle name="Normal 3 13 13 2" xfId="4668" xr:uid="{00000000-0005-0000-0000-0000AF140000}"/>
    <cellStyle name="Normal 3 13 13 2 2" xfId="4669" xr:uid="{00000000-0005-0000-0000-0000B0140000}"/>
    <cellStyle name="Normal 3 13 13 3" xfId="4670" xr:uid="{00000000-0005-0000-0000-0000B1140000}"/>
    <cellStyle name="Normal 3 13 14" xfId="4671" xr:uid="{00000000-0005-0000-0000-0000B2140000}"/>
    <cellStyle name="Normal 3 13 14 2" xfId="4672" xr:uid="{00000000-0005-0000-0000-0000B3140000}"/>
    <cellStyle name="Normal 3 13 14 2 2" xfId="4673" xr:uid="{00000000-0005-0000-0000-0000B4140000}"/>
    <cellStyle name="Normal 3 13 14 3" xfId="4674" xr:uid="{00000000-0005-0000-0000-0000B5140000}"/>
    <cellStyle name="Normal 3 13 15" xfId="4675" xr:uid="{00000000-0005-0000-0000-0000B6140000}"/>
    <cellStyle name="Normal 3 13 15 2" xfId="4676" xr:uid="{00000000-0005-0000-0000-0000B7140000}"/>
    <cellStyle name="Normal 3 13 15 2 2" xfId="4677" xr:uid="{00000000-0005-0000-0000-0000B8140000}"/>
    <cellStyle name="Normal 3 13 15 3" xfId="4678" xr:uid="{00000000-0005-0000-0000-0000B9140000}"/>
    <cellStyle name="Normal 3 13 16" xfId="4679" xr:uid="{00000000-0005-0000-0000-0000BA140000}"/>
    <cellStyle name="Normal 3 13 16 2" xfId="4680" xr:uid="{00000000-0005-0000-0000-0000BB140000}"/>
    <cellStyle name="Normal 3 13 16 2 2" xfId="4681" xr:uid="{00000000-0005-0000-0000-0000BC140000}"/>
    <cellStyle name="Normal 3 13 16 3" xfId="4682" xr:uid="{00000000-0005-0000-0000-0000BD140000}"/>
    <cellStyle name="Normal 3 13 17" xfId="4683" xr:uid="{00000000-0005-0000-0000-0000BE140000}"/>
    <cellStyle name="Normal 3 13 17 2" xfId="4684" xr:uid="{00000000-0005-0000-0000-0000BF140000}"/>
    <cellStyle name="Normal 3 13 17 2 2" xfId="4685" xr:uid="{00000000-0005-0000-0000-0000C0140000}"/>
    <cellStyle name="Normal 3 13 17 3" xfId="4686" xr:uid="{00000000-0005-0000-0000-0000C1140000}"/>
    <cellStyle name="Normal 3 13 18" xfId="4687" xr:uid="{00000000-0005-0000-0000-0000C2140000}"/>
    <cellStyle name="Normal 3 13 18 2" xfId="4688" xr:uid="{00000000-0005-0000-0000-0000C3140000}"/>
    <cellStyle name="Normal 3 13 18 2 2" xfId="4689" xr:uid="{00000000-0005-0000-0000-0000C4140000}"/>
    <cellStyle name="Normal 3 13 18 3" xfId="4690" xr:uid="{00000000-0005-0000-0000-0000C5140000}"/>
    <cellStyle name="Normal 3 13 19" xfId="4691" xr:uid="{00000000-0005-0000-0000-0000C6140000}"/>
    <cellStyle name="Normal 3 13 19 2" xfId="4692" xr:uid="{00000000-0005-0000-0000-0000C7140000}"/>
    <cellStyle name="Normal 3 13 19 2 2" xfId="4693" xr:uid="{00000000-0005-0000-0000-0000C8140000}"/>
    <cellStyle name="Normal 3 13 19 3" xfId="4694" xr:uid="{00000000-0005-0000-0000-0000C9140000}"/>
    <cellStyle name="Normal 3 13 2" xfId="4695" xr:uid="{00000000-0005-0000-0000-0000CA140000}"/>
    <cellStyle name="Normal 3 13 2 2" xfId="4696" xr:uid="{00000000-0005-0000-0000-0000CB140000}"/>
    <cellStyle name="Normal 3 13 2 2 2" xfId="4697" xr:uid="{00000000-0005-0000-0000-0000CC140000}"/>
    <cellStyle name="Normal 3 13 2 3" xfId="4698" xr:uid="{00000000-0005-0000-0000-0000CD140000}"/>
    <cellStyle name="Normal 3 13 20" xfId="4699" xr:uid="{00000000-0005-0000-0000-0000CE140000}"/>
    <cellStyle name="Normal 3 13 20 2" xfId="4700" xr:uid="{00000000-0005-0000-0000-0000CF140000}"/>
    <cellStyle name="Normal 3 13 20 2 2" xfId="4701" xr:uid="{00000000-0005-0000-0000-0000D0140000}"/>
    <cellStyle name="Normal 3 13 20 3" xfId="4702" xr:uid="{00000000-0005-0000-0000-0000D1140000}"/>
    <cellStyle name="Normal 3 13 21" xfId="4703" xr:uid="{00000000-0005-0000-0000-0000D2140000}"/>
    <cellStyle name="Normal 3 13 21 2" xfId="4704" xr:uid="{00000000-0005-0000-0000-0000D3140000}"/>
    <cellStyle name="Normal 3 13 21 2 2" xfId="4705" xr:uid="{00000000-0005-0000-0000-0000D4140000}"/>
    <cellStyle name="Normal 3 13 21 3" xfId="4706" xr:uid="{00000000-0005-0000-0000-0000D5140000}"/>
    <cellStyle name="Normal 3 13 22" xfId="4707" xr:uid="{00000000-0005-0000-0000-0000D6140000}"/>
    <cellStyle name="Normal 3 13 22 2" xfId="4708" xr:uid="{00000000-0005-0000-0000-0000D7140000}"/>
    <cellStyle name="Normal 3 13 22 2 2" xfId="4709" xr:uid="{00000000-0005-0000-0000-0000D8140000}"/>
    <cellStyle name="Normal 3 13 22 3" xfId="4710" xr:uid="{00000000-0005-0000-0000-0000D9140000}"/>
    <cellStyle name="Normal 3 13 23" xfId="4711" xr:uid="{00000000-0005-0000-0000-0000DA140000}"/>
    <cellStyle name="Normal 3 13 23 2" xfId="4712" xr:uid="{00000000-0005-0000-0000-0000DB140000}"/>
    <cellStyle name="Normal 3 13 23 2 2" xfId="4713" xr:uid="{00000000-0005-0000-0000-0000DC140000}"/>
    <cellStyle name="Normal 3 13 23 3" xfId="4714" xr:uid="{00000000-0005-0000-0000-0000DD140000}"/>
    <cellStyle name="Normal 3 13 24" xfId="4715" xr:uid="{00000000-0005-0000-0000-0000DE140000}"/>
    <cellStyle name="Normal 3 13 24 2" xfId="4716" xr:uid="{00000000-0005-0000-0000-0000DF140000}"/>
    <cellStyle name="Normal 3 13 25" xfId="4717" xr:uid="{00000000-0005-0000-0000-0000E0140000}"/>
    <cellStyle name="Normal 3 13 3" xfId="4718" xr:uid="{00000000-0005-0000-0000-0000E1140000}"/>
    <cellStyle name="Normal 3 13 3 2" xfId="4719" xr:uid="{00000000-0005-0000-0000-0000E2140000}"/>
    <cellStyle name="Normal 3 13 3 2 2" xfId="4720" xr:uid="{00000000-0005-0000-0000-0000E3140000}"/>
    <cellStyle name="Normal 3 13 3 3" xfId="4721" xr:uid="{00000000-0005-0000-0000-0000E4140000}"/>
    <cellStyle name="Normal 3 13 4" xfId="4722" xr:uid="{00000000-0005-0000-0000-0000E5140000}"/>
    <cellStyle name="Normal 3 13 4 2" xfId="4723" xr:uid="{00000000-0005-0000-0000-0000E6140000}"/>
    <cellStyle name="Normal 3 13 4 2 2" xfId="4724" xr:uid="{00000000-0005-0000-0000-0000E7140000}"/>
    <cellStyle name="Normal 3 13 4 3" xfId="4725" xr:uid="{00000000-0005-0000-0000-0000E8140000}"/>
    <cellStyle name="Normal 3 13 5" xfId="4726" xr:uid="{00000000-0005-0000-0000-0000E9140000}"/>
    <cellStyle name="Normal 3 13 5 2" xfId="4727" xr:uid="{00000000-0005-0000-0000-0000EA140000}"/>
    <cellStyle name="Normal 3 13 5 2 2" xfId="4728" xr:uid="{00000000-0005-0000-0000-0000EB140000}"/>
    <cellStyle name="Normal 3 13 5 3" xfId="4729" xr:uid="{00000000-0005-0000-0000-0000EC140000}"/>
    <cellStyle name="Normal 3 13 6" xfId="4730" xr:uid="{00000000-0005-0000-0000-0000ED140000}"/>
    <cellStyle name="Normal 3 13 6 2" xfId="4731" xr:uid="{00000000-0005-0000-0000-0000EE140000}"/>
    <cellStyle name="Normal 3 13 6 2 2" xfId="4732" xr:uid="{00000000-0005-0000-0000-0000EF140000}"/>
    <cellStyle name="Normal 3 13 6 3" xfId="4733" xr:uid="{00000000-0005-0000-0000-0000F0140000}"/>
    <cellStyle name="Normal 3 13 7" xfId="4734" xr:uid="{00000000-0005-0000-0000-0000F1140000}"/>
    <cellStyle name="Normal 3 13 7 2" xfId="4735" xr:uid="{00000000-0005-0000-0000-0000F2140000}"/>
    <cellStyle name="Normal 3 13 7 2 2" xfId="4736" xr:uid="{00000000-0005-0000-0000-0000F3140000}"/>
    <cellStyle name="Normal 3 13 7 3" xfId="4737" xr:uid="{00000000-0005-0000-0000-0000F4140000}"/>
    <cellStyle name="Normal 3 13 8" xfId="4738" xr:uid="{00000000-0005-0000-0000-0000F5140000}"/>
    <cellStyle name="Normal 3 13 8 2" xfId="4739" xr:uid="{00000000-0005-0000-0000-0000F6140000}"/>
    <cellStyle name="Normal 3 13 8 2 2" xfId="4740" xr:uid="{00000000-0005-0000-0000-0000F7140000}"/>
    <cellStyle name="Normal 3 13 8 3" xfId="4741" xr:uid="{00000000-0005-0000-0000-0000F8140000}"/>
    <cellStyle name="Normal 3 13 9" xfId="4742" xr:uid="{00000000-0005-0000-0000-0000F9140000}"/>
    <cellStyle name="Normal 3 13 9 2" xfId="4743" xr:uid="{00000000-0005-0000-0000-0000FA140000}"/>
    <cellStyle name="Normal 3 13 9 2 2" xfId="4744" xr:uid="{00000000-0005-0000-0000-0000FB140000}"/>
    <cellStyle name="Normal 3 13 9 3" xfId="4745" xr:uid="{00000000-0005-0000-0000-0000FC140000}"/>
    <cellStyle name="Normal 3 14" xfId="4746" xr:uid="{00000000-0005-0000-0000-0000FD140000}"/>
    <cellStyle name="Normal 3 14 10" xfId="4747" xr:uid="{00000000-0005-0000-0000-0000FE140000}"/>
    <cellStyle name="Normal 3 14 10 2" xfId="4748" xr:uid="{00000000-0005-0000-0000-0000FF140000}"/>
    <cellStyle name="Normal 3 14 10 2 2" xfId="4749" xr:uid="{00000000-0005-0000-0000-000000150000}"/>
    <cellStyle name="Normal 3 14 10 3" xfId="4750" xr:uid="{00000000-0005-0000-0000-000001150000}"/>
    <cellStyle name="Normal 3 14 11" xfId="4751" xr:uid="{00000000-0005-0000-0000-000002150000}"/>
    <cellStyle name="Normal 3 14 11 2" xfId="4752" xr:uid="{00000000-0005-0000-0000-000003150000}"/>
    <cellStyle name="Normal 3 14 11 2 2" xfId="4753" xr:uid="{00000000-0005-0000-0000-000004150000}"/>
    <cellStyle name="Normal 3 14 11 3" xfId="4754" xr:uid="{00000000-0005-0000-0000-000005150000}"/>
    <cellStyle name="Normal 3 14 12" xfId="4755" xr:uid="{00000000-0005-0000-0000-000006150000}"/>
    <cellStyle name="Normal 3 14 12 2" xfId="4756" xr:uid="{00000000-0005-0000-0000-000007150000}"/>
    <cellStyle name="Normal 3 14 12 2 2" xfId="4757" xr:uid="{00000000-0005-0000-0000-000008150000}"/>
    <cellStyle name="Normal 3 14 12 3" xfId="4758" xr:uid="{00000000-0005-0000-0000-000009150000}"/>
    <cellStyle name="Normal 3 14 13" xfId="4759" xr:uid="{00000000-0005-0000-0000-00000A150000}"/>
    <cellStyle name="Normal 3 14 13 2" xfId="4760" xr:uid="{00000000-0005-0000-0000-00000B150000}"/>
    <cellStyle name="Normal 3 14 13 2 2" xfId="4761" xr:uid="{00000000-0005-0000-0000-00000C150000}"/>
    <cellStyle name="Normal 3 14 13 3" xfId="4762" xr:uid="{00000000-0005-0000-0000-00000D150000}"/>
    <cellStyle name="Normal 3 14 14" xfId="4763" xr:uid="{00000000-0005-0000-0000-00000E150000}"/>
    <cellStyle name="Normal 3 14 14 2" xfId="4764" xr:uid="{00000000-0005-0000-0000-00000F150000}"/>
    <cellStyle name="Normal 3 14 14 2 2" xfId="4765" xr:uid="{00000000-0005-0000-0000-000010150000}"/>
    <cellStyle name="Normal 3 14 14 3" xfId="4766" xr:uid="{00000000-0005-0000-0000-000011150000}"/>
    <cellStyle name="Normal 3 14 15" xfId="4767" xr:uid="{00000000-0005-0000-0000-000012150000}"/>
    <cellStyle name="Normal 3 14 15 2" xfId="4768" xr:uid="{00000000-0005-0000-0000-000013150000}"/>
    <cellStyle name="Normal 3 14 15 2 2" xfId="4769" xr:uid="{00000000-0005-0000-0000-000014150000}"/>
    <cellStyle name="Normal 3 14 15 3" xfId="4770" xr:uid="{00000000-0005-0000-0000-000015150000}"/>
    <cellStyle name="Normal 3 14 16" xfId="4771" xr:uid="{00000000-0005-0000-0000-000016150000}"/>
    <cellStyle name="Normal 3 14 16 2" xfId="4772" xr:uid="{00000000-0005-0000-0000-000017150000}"/>
    <cellStyle name="Normal 3 14 16 2 2" xfId="4773" xr:uid="{00000000-0005-0000-0000-000018150000}"/>
    <cellStyle name="Normal 3 14 16 3" xfId="4774" xr:uid="{00000000-0005-0000-0000-000019150000}"/>
    <cellStyle name="Normal 3 14 17" xfId="4775" xr:uid="{00000000-0005-0000-0000-00001A150000}"/>
    <cellStyle name="Normal 3 14 17 2" xfId="4776" xr:uid="{00000000-0005-0000-0000-00001B150000}"/>
    <cellStyle name="Normal 3 14 17 2 2" xfId="4777" xr:uid="{00000000-0005-0000-0000-00001C150000}"/>
    <cellStyle name="Normal 3 14 17 3" xfId="4778" xr:uid="{00000000-0005-0000-0000-00001D150000}"/>
    <cellStyle name="Normal 3 14 18" xfId="4779" xr:uid="{00000000-0005-0000-0000-00001E150000}"/>
    <cellStyle name="Normal 3 14 18 2" xfId="4780" xr:uid="{00000000-0005-0000-0000-00001F150000}"/>
    <cellStyle name="Normal 3 14 18 2 2" xfId="4781" xr:uid="{00000000-0005-0000-0000-000020150000}"/>
    <cellStyle name="Normal 3 14 18 3" xfId="4782" xr:uid="{00000000-0005-0000-0000-000021150000}"/>
    <cellStyle name="Normal 3 14 19" xfId="4783" xr:uid="{00000000-0005-0000-0000-000022150000}"/>
    <cellStyle name="Normal 3 14 19 2" xfId="4784" xr:uid="{00000000-0005-0000-0000-000023150000}"/>
    <cellStyle name="Normal 3 14 19 2 2" xfId="4785" xr:uid="{00000000-0005-0000-0000-000024150000}"/>
    <cellStyle name="Normal 3 14 19 3" xfId="4786" xr:uid="{00000000-0005-0000-0000-000025150000}"/>
    <cellStyle name="Normal 3 14 2" xfId="4787" xr:uid="{00000000-0005-0000-0000-000026150000}"/>
    <cellStyle name="Normal 3 14 2 2" xfId="4788" xr:uid="{00000000-0005-0000-0000-000027150000}"/>
    <cellStyle name="Normal 3 14 2 2 2" xfId="4789" xr:uid="{00000000-0005-0000-0000-000028150000}"/>
    <cellStyle name="Normal 3 14 2 3" xfId="4790" xr:uid="{00000000-0005-0000-0000-000029150000}"/>
    <cellStyle name="Normal 3 14 20" xfId="4791" xr:uid="{00000000-0005-0000-0000-00002A150000}"/>
    <cellStyle name="Normal 3 14 20 2" xfId="4792" xr:uid="{00000000-0005-0000-0000-00002B150000}"/>
    <cellStyle name="Normal 3 14 20 2 2" xfId="4793" xr:uid="{00000000-0005-0000-0000-00002C150000}"/>
    <cellStyle name="Normal 3 14 20 3" xfId="4794" xr:uid="{00000000-0005-0000-0000-00002D150000}"/>
    <cellStyle name="Normal 3 14 21" xfId="4795" xr:uid="{00000000-0005-0000-0000-00002E150000}"/>
    <cellStyle name="Normal 3 14 21 2" xfId="4796" xr:uid="{00000000-0005-0000-0000-00002F150000}"/>
    <cellStyle name="Normal 3 14 21 2 2" xfId="4797" xr:uid="{00000000-0005-0000-0000-000030150000}"/>
    <cellStyle name="Normal 3 14 21 3" xfId="4798" xr:uid="{00000000-0005-0000-0000-000031150000}"/>
    <cellStyle name="Normal 3 14 22" xfId="4799" xr:uid="{00000000-0005-0000-0000-000032150000}"/>
    <cellStyle name="Normal 3 14 22 2" xfId="4800" xr:uid="{00000000-0005-0000-0000-000033150000}"/>
    <cellStyle name="Normal 3 14 22 2 2" xfId="4801" xr:uid="{00000000-0005-0000-0000-000034150000}"/>
    <cellStyle name="Normal 3 14 22 3" xfId="4802" xr:uid="{00000000-0005-0000-0000-000035150000}"/>
    <cellStyle name="Normal 3 14 23" xfId="4803" xr:uid="{00000000-0005-0000-0000-000036150000}"/>
    <cellStyle name="Normal 3 14 23 2" xfId="4804" xr:uid="{00000000-0005-0000-0000-000037150000}"/>
    <cellStyle name="Normal 3 14 23 2 2" xfId="4805" xr:uid="{00000000-0005-0000-0000-000038150000}"/>
    <cellStyle name="Normal 3 14 23 3" xfId="4806" xr:uid="{00000000-0005-0000-0000-000039150000}"/>
    <cellStyle name="Normal 3 14 24" xfId="4807" xr:uid="{00000000-0005-0000-0000-00003A150000}"/>
    <cellStyle name="Normal 3 14 24 2" xfId="4808" xr:uid="{00000000-0005-0000-0000-00003B150000}"/>
    <cellStyle name="Normal 3 14 25" xfId="4809" xr:uid="{00000000-0005-0000-0000-00003C150000}"/>
    <cellStyle name="Normal 3 14 3" xfId="4810" xr:uid="{00000000-0005-0000-0000-00003D150000}"/>
    <cellStyle name="Normal 3 14 3 2" xfId="4811" xr:uid="{00000000-0005-0000-0000-00003E150000}"/>
    <cellStyle name="Normal 3 14 3 2 2" xfId="4812" xr:uid="{00000000-0005-0000-0000-00003F150000}"/>
    <cellStyle name="Normal 3 14 3 3" xfId="4813" xr:uid="{00000000-0005-0000-0000-000040150000}"/>
    <cellStyle name="Normal 3 14 4" xfId="4814" xr:uid="{00000000-0005-0000-0000-000041150000}"/>
    <cellStyle name="Normal 3 14 4 2" xfId="4815" xr:uid="{00000000-0005-0000-0000-000042150000}"/>
    <cellStyle name="Normal 3 14 4 2 2" xfId="4816" xr:uid="{00000000-0005-0000-0000-000043150000}"/>
    <cellStyle name="Normal 3 14 4 3" xfId="4817" xr:uid="{00000000-0005-0000-0000-000044150000}"/>
    <cellStyle name="Normal 3 14 5" xfId="4818" xr:uid="{00000000-0005-0000-0000-000045150000}"/>
    <cellStyle name="Normal 3 14 5 2" xfId="4819" xr:uid="{00000000-0005-0000-0000-000046150000}"/>
    <cellStyle name="Normal 3 14 5 2 2" xfId="4820" xr:uid="{00000000-0005-0000-0000-000047150000}"/>
    <cellStyle name="Normal 3 14 5 3" xfId="4821" xr:uid="{00000000-0005-0000-0000-000048150000}"/>
    <cellStyle name="Normal 3 14 6" xfId="4822" xr:uid="{00000000-0005-0000-0000-000049150000}"/>
    <cellStyle name="Normal 3 14 6 2" xfId="4823" xr:uid="{00000000-0005-0000-0000-00004A150000}"/>
    <cellStyle name="Normal 3 14 6 2 2" xfId="4824" xr:uid="{00000000-0005-0000-0000-00004B150000}"/>
    <cellStyle name="Normal 3 14 6 3" xfId="4825" xr:uid="{00000000-0005-0000-0000-00004C150000}"/>
    <cellStyle name="Normal 3 14 7" xfId="4826" xr:uid="{00000000-0005-0000-0000-00004D150000}"/>
    <cellStyle name="Normal 3 14 7 2" xfId="4827" xr:uid="{00000000-0005-0000-0000-00004E150000}"/>
    <cellStyle name="Normal 3 14 7 2 2" xfId="4828" xr:uid="{00000000-0005-0000-0000-00004F150000}"/>
    <cellStyle name="Normal 3 14 7 3" xfId="4829" xr:uid="{00000000-0005-0000-0000-000050150000}"/>
    <cellStyle name="Normal 3 14 8" xfId="4830" xr:uid="{00000000-0005-0000-0000-000051150000}"/>
    <cellStyle name="Normal 3 14 8 2" xfId="4831" xr:uid="{00000000-0005-0000-0000-000052150000}"/>
    <cellStyle name="Normal 3 14 8 2 2" xfId="4832" xr:uid="{00000000-0005-0000-0000-000053150000}"/>
    <cellStyle name="Normal 3 14 8 3" xfId="4833" xr:uid="{00000000-0005-0000-0000-000054150000}"/>
    <cellStyle name="Normal 3 14 9" xfId="4834" xr:uid="{00000000-0005-0000-0000-000055150000}"/>
    <cellStyle name="Normal 3 14 9 2" xfId="4835" xr:uid="{00000000-0005-0000-0000-000056150000}"/>
    <cellStyle name="Normal 3 14 9 2 2" xfId="4836" xr:uid="{00000000-0005-0000-0000-000057150000}"/>
    <cellStyle name="Normal 3 14 9 3" xfId="4837" xr:uid="{00000000-0005-0000-0000-000058150000}"/>
    <cellStyle name="Normal 3 15" xfId="4838" xr:uid="{00000000-0005-0000-0000-000059150000}"/>
    <cellStyle name="Normal 3 15 10" xfId="4839" xr:uid="{00000000-0005-0000-0000-00005A150000}"/>
    <cellStyle name="Normal 3 15 10 2" xfId="4840" xr:uid="{00000000-0005-0000-0000-00005B150000}"/>
    <cellStyle name="Normal 3 15 10 2 2" xfId="4841" xr:uid="{00000000-0005-0000-0000-00005C150000}"/>
    <cellStyle name="Normal 3 15 10 3" xfId="4842" xr:uid="{00000000-0005-0000-0000-00005D150000}"/>
    <cellStyle name="Normal 3 15 11" xfId="4843" xr:uid="{00000000-0005-0000-0000-00005E150000}"/>
    <cellStyle name="Normal 3 15 11 2" xfId="4844" xr:uid="{00000000-0005-0000-0000-00005F150000}"/>
    <cellStyle name="Normal 3 15 11 2 2" xfId="4845" xr:uid="{00000000-0005-0000-0000-000060150000}"/>
    <cellStyle name="Normal 3 15 11 3" xfId="4846" xr:uid="{00000000-0005-0000-0000-000061150000}"/>
    <cellStyle name="Normal 3 15 12" xfId="4847" xr:uid="{00000000-0005-0000-0000-000062150000}"/>
    <cellStyle name="Normal 3 15 12 2" xfId="4848" xr:uid="{00000000-0005-0000-0000-000063150000}"/>
    <cellStyle name="Normal 3 15 12 2 2" xfId="4849" xr:uid="{00000000-0005-0000-0000-000064150000}"/>
    <cellStyle name="Normal 3 15 12 3" xfId="4850" xr:uid="{00000000-0005-0000-0000-000065150000}"/>
    <cellStyle name="Normal 3 15 13" xfId="4851" xr:uid="{00000000-0005-0000-0000-000066150000}"/>
    <cellStyle name="Normal 3 15 13 2" xfId="4852" xr:uid="{00000000-0005-0000-0000-000067150000}"/>
    <cellStyle name="Normal 3 15 13 2 2" xfId="4853" xr:uid="{00000000-0005-0000-0000-000068150000}"/>
    <cellStyle name="Normal 3 15 13 3" xfId="4854" xr:uid="{00000000-0005-0000-0000-000069150000}"/>
    <cellStyle name="Normal 3 15 14" xfId="4855" xr:uid="{00000000-0005-0000-0000-00006A150000}"/>
    <cellStyle name="Normal 3 15 14 2" xfId="4856" xr:uid="{00000000-0005-0000-0000-00006B150000}"/>
    <cellStyle name="Normal 3 15 14 2 2" xfId="4857" xr:uid="{00000000-0005-0000-0000-00006C150000}"/>
    <cellStyle name="Normal 3 15 14 3" xfId="4858" xr:uid="{00000000-0005-0000-0000-00006D150000}"/>
    <cellStyle name="Normal 3 15 15" xfId="4859" xr:uid="{00000000-0005-0000-0000-00006E150000}"/>
    <cellStyle name="Normal 3 15 15 2" xfId="4860" xr:uid="{00000000-0005-0000-0000-00006F150000}"/>
    <cellStyle name="Normal 3 15 15 2 2" xfId="4861" xr:uid="{00000000-0005-0000-0000-000070150000}"/>
    <cellStyle name="Normal 3 15 15 3" xfId="4862" xr:uid="{00000000-0005-0000-0000-000071150000}"/>
    <cellStyle name="Normal 3 15 16" xfId="4863" xr:uid="{00000000-0005-0000-0000-000072150000}"/>
    <cellStyle name="Normal 3 15 16 2" xfId="4864" xr:uid="{00000000-0005-0000-0000-000073150000}"/>
    <cellStyle name="Normal 3 15 16 2 2" xfId="4865" xr:uid="{00000000-0005-0000-0000-000074150000}"/>
    <cellStyle name="Normal 3 15 16 3" xfId="4866" xr:uid="{00000000-0005-0000-0000-000075150000}"/>
    <cellStyle name="Normal 3 15 17" xfId="4867" xr:uid="{00000000-0005-0000-0000-000076150000}"/>
    <cellStyle name="Normal 3 15 17 2" xfId="4868" xr:uid="{00000000-0005-0000-0000-000077150000}"/>
    <cellStyle name="Normal 3 15 17 2 2" xfId="4869" xr:uid="{00000000-0005-0000-0000-000078150000}"/>
    <cellStyle name="Normal 3 15 17 3" xfId="4870" xr:uid="{00000000-0005-0000-0000-000079150000}"/>
    <cellStyle name="Normal 3 15 18" xfId="4871" xr:uid="{00000000-0005-0000-0000-00007A150000}"/>
    <cellStyle name="Normal 3 15 18 2" xfId="4872" xr:uid="{00000000-0005-0000-0000-00007B150000}"/>
    <cellStyle name="Normal 3 15 18 2 2" xfId="4873" xr:uid="{00000000-0005-0000-0000-00007C150000}"/>
    <cellStyle name="Normal 3 15 18 3" xfId="4874" xr:uid="{00000000-0005-0000-0000-00007D150000}"/>
    <cellStyle name="Normal 3 15 19" xfId="4875" xr:uid="{00000000-0005-0000-0000-00007E150000}"/>
    <cellStyle name="Normal 3 15 19 2" xfId="4876" xr:uid="{00000000-0005-0000-0000-00007F150000}"/>
    <cellStyle name="Normal 3 15 19 2 2" xfId="4877" xr:uid="{00000000-0005-0000-0000-000080150000}"/>
    <cellStyle name="Normal 3 15 19 3" xfId="4878" xr:uid="{00000000-0005-0000-0000-000081150000}"/>
    <cellStyle name="Normal 3 15 2" xfId="4879" xr:uid="{00000000-0005-0000-0000-000082150000}"/>
    <cellStyle name="Normal 3 15 2 2" xfId="4880" xr:uid="{00000000-0005-0000-0000-000083150000}"/>
    <cellStyle name="Normal 3 15 2 2 2" xfId="4881" xr:uid="{00000000-0005-0000-0000-000084150000}"/>
    <cellStyle name="Normal 3 15 2 3" xfId="4882" xr:uid="{00000000-0005-0000-0000-000085150000}"/>
    <cellStyle name="Normal 3 15 20" xfId="4883" xr:uid="{00000000-0005-0000-0000-000086150000}"/>
    <cellStyle name="Normal 3 15 20 2" xfId="4884" xr:uid="{00000000-0005-0000-0000-000087150000}"/>
    <cellStyle name="Normal 3 15 20 2 2" xfId="4885" xr:uid="{00000000-0005-0000-0000-000088150000}"/>
    <cellStyle name="Normal 3 15 20 3" xfId="4886" xr:uid="{00000000-0005-0000-0000-000089150000}"/>
    <cellStyle name="Normal 3 15 21" xfId="4887" xr:uid="{00000000-0005-0000-0000-00008A150000}"/>
    <cellStyle name="Normal 3 15 21 2" xfId="4888" xr:uid="{00000000-0005-0000-0000-00008B150000}"/>
    <cellStyle name="Normal 3 15 21 2 2" xfId="4889" xr:uid="{00000000-0005-0000-0000-00008C150000}"/>
    <cellStyle name="Normal 3 15 21 3" xfId="4890" xr:uid="{00000000-0005-0000-0000-00008D150000}"/>
    <cellStyle name="Normal 3 15 22" xfId="4891" xr:uid="{00000000-0005-0000-0000-00008E150000}"/>
    <cellStyle name="Normal 3 15 22 2" xfId="4892" xr:uid="{00000000-0005-0000-0000-00008F150000}"/>
    <cellStyle name="Normal 3 15 22 2 2" xfId="4893" xr:uid="{00000000-0005-0000-0000-000090150000}"/>
    <cellStyle name="Normal 3 15 22 3" xfId="4894" xr:uid="{00000000-0005-0000-0000-000091150000}"/>
    <cellStyle name="Normal 3 15 23" xfId="4895" xr:uid="{00000000-0005-0000-0000-000092150000}"/>
    <cellStyle name="Normal 3 15 23 2" xfId="4896" xr:uid="{00000000-0005-0000-0000-000093150000}"/>
    <cellStyle name="Normal 3 15 23 2 2" xfId="4897" xr:uid="{00000000-0005-0000-0000-000094150000}"/>
    <cellStyle name="Normal 3 15 23 3" xfId="4898" xr:uid="{00000000-0005-0000-0000-000095150000}"/>
    <cellStyle name="Normal 3 15 24" xfId="4899" xr:uid="{00000000-0005-0000-0000-000096150000}"/>
    <cellStyle name="Normal 3 15 24 2" xfId="4900" xr:uid="{00000000-0005-0000-0000-000097150000}"/>
    <cellStyle name="Normal 3 15 25" xfId="4901" xr:uid="{00000000-0005-0000-0000-000098150000}"/>
    <cellStyle name="Normal 3 15 3" xfId="4902" xr:uid="{00000000-0005-0000-0000-000099150000}"/>
    <cellStyle name="Normal 3 15 3 2" xfId="4903" xr:uid="{00000000-0005-0000-0000-00009A150000}"/>
    <cellStyle name="Normal 3 15 3 2 2" xfId="4904" xr:uid="{00000000-0005-0000-0000-00009B150000}"/>
    <cellStyle name="Normal 3 15 3 3" xfId="4905" xr:uid="{00000000-0005-0000-0000-00009C150000}"/>
    <cellStyle name="Normal 3 15 4" xfId="4906" xr:uid="{00000000-0005-0000-0000-00009D150000}"/>
    <cellStyle name="Normal 3 15 4 2" xfId="4907" xr:uid="{00000000-0005-0000-0000-00009E150000}"/>
    <cellStyle name="Normal 3 15 4 2 2" xfId="4908" xr:uid="{00000000-0005-0000-0000-00009F150000}"/>
    <cellStyle name="Normal 3 15 4 3" xfId="4909" xr:uid="{00000000-0005-0000-0000-0000A0150000}"/>
    <cellStyle name="Normal 3 15 5" xfId="4910" xr:uid="{00000000-0005-0000-0000-0000A1150000}"/>
    <cellStyle name="Normal 3 15 5 2" xfId="4911" xr:uid="{00000000-0005-0000-0000-0000A2150000}"/>
    <cellStyle name="Normal 3 15 5 2 2" xfId="4912" xr:uid="{00000000-0005-0000-0000-0000A3150000}"/>
    <cellStyle name="Normal 3 15 5 3" xfId="4913" xr:uid="{00000000-0005-0000-0000-0000A4150000}"/>
    <cellStyle name="Normal 3 15 6" xfId="4914" xr:uid="{00000000-0005-0000-0000-0000A5150000}"/>
    <cellStyle name="Normal 3 15 6 2" xfId="4915" xr:uid="{00000000-0005-0000-0000-0000A6150000}"/>
    <cellStyle name="Normal 3 15 6 2 2" xfId="4916" xr:uid="{00000000-0005-0000-0000-0000A7150000}"/>
    <cellStyle name="Normal 3 15 6 3" xfId="4917" xr:uid="{00000000-0005-0000-0000-0000A8150000}"/>
    <cellStyle name="Normal 3 15 7" xfId="4918" xr:uid="{00000000-0005-0000-0000-0000A9150000}"/>
    <cellStyle name="Normal 3 15 7 2" xfId="4919" xr:uid="{00000000-0005-0000-0000-0000AA150000}"/>
    <cellStyle name="Normal 3 15 7 2 2" xfId="4920" xr:uid="{00000000-0005-0000-0000-0000AB150000}"/>
    <cellStyle name="Normal 3 15 7 3" xfId="4921" xr:uid="{00000000-0005-0000-0000-0000AC150000}"/>
    <cellStyle name="Normal 3 15 8" xfId="4922" xr:uid="{00000000-0005-0000-0000-0000AD150000}"/>
    <cellStyle name="Normal 3 15 8 2" xfId="4923" xr:uid="{00000000-0005-0000-0000-0000AE150000}"/>
    <cellStyle name="Normal 3 15 8 2 2" xfId="4924" xr:uid="{00000000-0005-0000-0000-0000AF150000}"/>
    <cellStyle name="Normal 3 15 8 3" xfId="4925" xr:uid="{00000000-0005-0000-0000-0000B0150000}"/>
    <cellStyle name="Normal 3 15 9" xfId="4926" xr:uid="{00000000-0005-0000-0000-0000B1150000}"/>
    <cellStyle name="Normal 3 15 9 2" xfId="4927" xr:uid="{00000000-0005-0000-0000-0000B2150000}"/>
    <cellStyle name="Normal 3 15 9 2 2" xfId="4928" xr:uid="{00000000-0005-0000-0000-0000B3150000}"/>
    <cellStyle name="Normal 3 15 9 3" xfId="4929" xr:uid="{00000000-0005-0000-0000-0000B4150000}"/>
    <cellStyle name="Normal 3 16" xfId="4930" xr:uid="{00000000-0005-0000-0000-0000B5150000}"/>
    <cellStyle name="Normal 3 16 10" xfId="4931" xr:uid="{00000000-0005-0000-0000-0000B6150000}"/>
    <cellStyle name="Normal 3 16 10 2" xfId="4932" xr:uid="{00000000-0005-0000-0000-0000B7150000}"/>
    <cellStyle name="Normal 3 16 10 2 2" xfId="4933" xr:uid="{00000000-0005-0000-0000-0000B8150000}"/>
    <cellStyle name="Normal 3 16 10 3" xfId="4934" xr:uid="{00000000-0005-0000-0000-0000B9150000}"/>
    <cellStyle name="Normal 3 16 11" xfId="4935" xr:uid="{00000000-0005-0000-0000-0000BA150000}"/>
    <cellStyle name="Normal 3 16 11 2" xfId="4936" xr:uid="{00000000-0005-0000-0000-0000BB150000}"/>
    <cellStyle name="Normal 3 16 11 2 2" xfId="4937" xr:uid="{00000000-0005-0000-0000-0000BC150000}"/>
    <cellStyle name="Normal 3 16 11 3" xfId="4938" xr:uid="{00000000-0005-0000-0000-0000BD150000}"/>
    <cellStyle name="Normal 3 16 12" xfId="4939" xr:uid="{00000000-0005-0000-0000-0000BE150000}"/>
    <cellStyle name="Normal 3 16 12 2" xfId="4940" xr:uid="{00000000-0005-0000-0000-0000BF150000}"/>
    <cellStyle name="Normal 3 16 12 2 2" xfId="4941" xr:uid="{00000000-0005-0000-0000-0000C0150000}"/>
    <cellStyle name="Normal 3 16 12 3" xfId="4942" xr:uid="{00000000-0005-0000-0000-0000C1150000}"/>
    <cellStyle name="Normal 3 16 13" xfId="4943" xr:uid="{00000000-0005-0000-0000-0000C2150000}"/>
    <cellStyle name="Normal 3 16 13 2" xfId="4944" xr:uid="{00000000-0005-0000-0000-0000C3150000}"/>
    <cellStyle name="Normal 3 16 13 2 2" xfId="4945" xr:uid="{00000000-0005-0000-0000-0000C4150000}"/>
    <cellStyle name="Normal 3 16 13 3" xfId="4946" xr:uid="{00000000-0005-0000-0000-0000C5150000}"/>
    <cellStyle name="Normal 3 16 14" xfId="4947" xr:uid="{00000000-0005-0000-0000-0000C6150000}"/>
    <cellStyle name="Normal 3 16 14 2" xfId="4948" xr:uid="{00000000-0005-0000-0000-0000C7150000}"/>
    <cellStyle name="Normal 3 16 14 2 2" xfId="4949" xr:uid="{00000000-0005-0000-0000-0000C8150000}"/>
    <cellStyle name="Normal 3 16 14 3" xfId="4950" xr:uid="{00000000-0005-0000-0000-0000C9150000}"/>
    <cellStyle name="Normal 3 16 15" xfId="4951" xr:uid="{00000000-0005-0000-0000-0000CA150000}"/>
    <cellStyle name="Normal 3 16 15 2" xfId="4952" xr:uid="{00000000-0005-0000-0000-0000CB150000}"/>
    <cellStyle name="Normal 3 16 15 2 2" xfId="4953" xr:uid="{00000000-0005-0000-0000-0000CC150000}"/>
    <cellStyle name="Normal 3 16 15 3" xfId="4954" xr:uid="{00000000-0005-0000-0000-0000CD150000}"/>
    <cellStyle name="Normal 3 16 16" xfId="4955" xr:uid="{00000000-0005-0000-0000-0000CE150000}"/>
    <cellStyle name="Normal 3 16 16 2" xfId="4956" xr:uid="{00000000-0005-0000-0000-0000CF150000}"/>
    <cellStyle name="Normal 3 16 16 2 2" xfId="4957" xr:uid="{00000000-0005-0000-0000-0000D0150000}"/>
    <cellStyle name="Normal 3 16 16 3" xfId="4958" xr:uid="{00000000-0005-0000-0000-0000D1150000}"/>
    <cellStyle name="Normal 3 16 17" xfId="4959" xr:uid="{00000000-0005-0000-0000-0000D2150000}"/>
    <cellStyle name="Normal 3 16 17 2" xfId="4960" xr:uid="{00000000-0005-0000-0000-0000D3150000}"/>
    <cellStyle name="Normal 3 16 17 2 2" xfId="4961" xr:uid="{00000000-0005-0000-0000-0000D4150000}"/>
    <cellStyle name="Normal 3 16 17 3" xfId="4962" xr:uid="{00000000-0005-0000-0000-0000D5150000}"/>
    <cellStyle name="Normal 3 16 18" xfId="4963" xr:uid="{00000000-0005-0000-0000-0000D6150000}"/>
    <cellStyle name="Normal 3 16 18 2" xfId="4964" xr:uid="{00000000-0005-0000-0000-0000D7150000}"/>
    <cellStyle name="Normal 3 16 18 2 2" xfId="4965" xr:uid="{00000000-0005-0000-0000-0000D8150000}"/>
    <cellStyle name="Normal 3 16 18 3" xfId="4966" xr:uid="{00000000-0005-0000-0000-0000D9150000}"/>
    <cellStyle name="Normal 3 16 19" xfId="4967" xr:uid="{00000000-0005-0000-0000-0000DA150000}"/>
    <cellStyle name="Normal 3 16 19 2" xfId="4968" xr:uid="{00000000-0005-0000-0000-0000DB150000}"/>
    <cellStyle name="Normal 3 16 19 2 2" xfId="4969" xr:uid="{00000000-0005-0000-0000-0000DC150000}"/>
    <cellStyle name="Normal 3 16 19 3" xfId="4970" xr:uid="{00000000-0005-0000-0000-0000DD150000}"/>
    <cellStyle name="Normal 3 16 2" xfId="4971" xr:uid="{00000000-0005-0000-0000-0000DE150000}"/>
    <cellStyle name="Normal 3 16 2 2" xfId="4972" xr:uid="{00000000-0005-0000-0000-0000DF150000}"/>
    <cellStyle name="Normal 3 16 2 2 2" xfId="4973" xr:uid="{00000000-0005-0000-0000-0000E0150000}"/>
    <cellStyle name="Normal 3 16 2 3" xfId="4974" xr:uid="{00000000-0005-0000-0000-0000E1150000}"/>
    <cellStyle name="Normal 3 16 20" xfId="4975" xr:uid="{00000000-0005-0000-0000-0000E2150000}"/>
    <cellStyle name="Normal 3 16 20 2" xfId="4976" xr:uid="{00000000-0005-0000-0000-0000E3150000}"/>
    <cellStyle name="Normal 3 16 20 2 2" xfId="4977" xr:uid="{00000000-0005-0000-0000-0000E4150000}"/>
    <cellStyle name="Normal 3 16 20 3" xfId="4978" xr:uid="{00000000-0005-0000-0000-0000E5150000}"/>
    <cellStyle name="Normal 3 16 21" xfId="4979" xr:uid="{00000000-0005-0000-0000-0000E6150000}"/>
    <cellStyle name="Normal 3 16 21 2" xfId="4980" xr:uid="{00000000-0005-0000-0000-0000E7150000}"/>
    <cellStyle name="Normal 3 16 21 2 2" xfId="4981" xr:uid="{00000000-0005-0000-0000-0000E8150000}"/>
    <cellStyle name="Normal 3 16 21 3" xfId="4982" xr:uid="{00000000-0005-0000-0000-0000E9150000}"/>
    <cellStyle name="Normal 3 16 22" xfId="4983" xr:uid="{00000000-0005-0000-0000-0000EA150000}"/>
    <cellStyle name="Normal 3 16 22 2" xfId="4984" xr:uid="{00000000-0005-0000-0000-0000EB150000}"/>
    <cellStyle name="Normal 3 16 22 2 2" xfId="4985" xr:uid="{00000000-0005-0000-0000-0000EC150000}"/>
    <cellStyle name="Normal 3 16 22 3" xfId="4986" xr:uid="{00000000-0005-0000-0000-0000ED150000}"/>
    <cellStyle name="Normal 3 16 23" xfId="4987" xr:uid="{00000000-0005-0000-0000-0000EE150000}"/>
    <cellStyle name="Normal 3 16 23 2" xfId="4988" xr:uid="{00000000-0005-0000-0000-0000EF150000}"/>
    <cellStyle name="Normal 3 16 23 2 2" xfId="4989" xr:uid="{00000000-0005-0000-0000-0000F0150000}"/>
    <cellStyle name="Normal 3 16 23 3" xfId="4990" xr:uid="{00000000-0005-0000-0000-0000F1150000}"/>
    <cellStyle name="Normal 3 16 24" xfId="4991" xr:uid="{00000000-0005-0000-0000-0000F2150000}"/>
    <cellStyle name="Normal 3 16 24 2" xfId="4992" xr:uid="{00000000-0005-0000-0000-0000F3150000}"/>
    <cellStyle name="Normal 3 16 25" xfId="4993" xr:uid="{00000000-0005-0000-0000-0000F4150000}"/>
    <cellStyle name="Normal 3 16 3" xfId="4994" xr:uid="{00000000-0005-0000-0000-0000F5150000}"/>
    <cellStyle name="Normal 3 16 3 2" xfId="4995" xr:uid="{00000000-0005-0000-0000-0000F6150000}"/>
    <cellStyle name="Normal 3 16 3 2 2" xfId="4996" xr:uid="{00000000-0005-0000-0000-0000F7150000}"/>
    <cellStyle name="Normal 3 16 3 3" xfId="4997" xr:uid="{00000000-0005-0000-0000-0000F8150000}"/>
    <cellStyle name="Normal 3 16 4" xfId="4998" xr:uid="{00000000-0005-0000-0000-0000F9150000}"/>
    <cellStyle name="Normal 3 16 4 2" xfId="4999" xr:uid="{00000000-0005-0000-0000-0000FA150000}"/>
    <cellStyle name="Normal 3 16 4 2 2" xfId="5000" xr:uid="{00000000-0005-0000-0000-0000FB150000}"/>
    <cellStyle name="Normal 3 16 4 3" xfId="5001" xr:uid="{00000000-0005-0000-0000-0000FC150000}"/>
    <cellStyle name="Normal 3 16 5" xfId="5002" xr:uid="{00000000-0005-0000-0000-0000FD150000}"/>
    <cellStyle name="Normal 3 16 5 2" xfId="5003" xr:uid="{00000000-0005-0000-0000-0000FE150000}"/>
    <cellStyle name="Normal 3 16 5 2 2" xfId="5004" xr:uid="{00000000-0005-0000-0000-0000FF150000}"/>
    <cellStyle name="Normal 3 16 5 3" xfId="5005" xr:uid="{00000000-0005-0000-0000-000000160000}"/>
    <cellStyle name="Normal 3 16 6" xfId="5006" xr:uid="{00000000-0005-0000-0000-000001160000}"/>
    <cellStyle name="Normal 3 16 6 2" xfId="5007" xr:uid="{00000000-0005-0000-0000-000002160000}"/>
    <cellStyle name="Normal 3 16 6 2 2" xfId="5008" xr:uid="{00000000-0005-0000-0000-000003160000}"/>
    <cellStyle name="Normal 3 16 6 3" xfId="5009" xr:uid="{00000000-0005-0000-0000-000004160000}"/>
    <cellStyle name="Normal 3 16 7" xfId="5010" xr:uid="{00000000-0005-0000-0000-000005160000}"/>
    <cellStyle name="Normal 3 16 7 2" xfId="5011" xr:uid="{00000000-0005-0000-0000-000006160000}"/>
    <cellStyle name="Normal 3 16 7 2 2" xfId="5012" xr:uid="{00000000-0005-0000-0000-000007160000}"/>
    <cellStyle name="Normal 3 16 7 3" xfId="5013" xr:uid="{00000000-0005-0000-0000-000008160000}"/>
    <cellStyle name="Normal 3 16 8" xfId="5014" xr:uid="{00000000-0005-0000-0000-000009160000}"/>
    <cellStyle name="Normal 3 16 8 2" xfId="5015" xr:uid="{00000000-0005-0000-0000-00000A160000}"/>
    <cellStyle name="Normal 3 16 8 2 2" xfId="5016" xr:uid="{00000000-0005-0000-0000-00000B160000}"/>
    <cellStyle name="Normal 3 16 8 3" xfId="5017" xr:uid="{00000000-0005-0000-0000-00000C160000}"/>
    <cellStyle name="Normal 3 16 9" xfId="5018" xr:uid="{00000000-0005-0000-0000-00000D160000}"/>
    <cellStyle name="Normal 3 16 9 2" xfId="5019" xr:uid="{00000000-0005-0000-0000-00000E160000}"/>
    <cellStyle name="Normal 3 16 9 2 2" xfId="5020" xr:uid="{00000000-0005-0000-0000-00000F160000}"/>
    <cellStyle name="Normal 3 16 9 3" xfId="5021" xr:uid="{00000000-0005-0000-0000-000010160000}"/>
    <cellStyle name="Normal 3 17" xfId="5022" xr:uid="{00000000-0005-0000-0000-000011160000}"/>
    <cellStyle name="Normal 3 17 10" xfId="5023" xr:uid="{00000000-0005-0000-0000-000012160000}"/>
    <cellStyle name="Normal 3 17 10 2" xfId="5024" xr:uid="{00000000-0005-0000-0000-000013160000}"/>
    <cellStyle name="Normal 3 17 10 2 2" xfId="5025" xr:uid="{00000000-0005-0000-0000-000014160000}"/>
    <cellStyle name="Normal 3 17 10 3" xfId="5026" xr:uid="{00000000-0005-0000-0000-000015160000}"/>
    <cellStyle name="Normal 3 17 11" xfId="5027" xr:uid="{00000000-0005-0000-0000-000016160000}"/>
    <cellStyle name="Normal 3 17 11 2" xfId="5028" xr:uid="{00000000-0005-0000-0000-000017160000}"/>
    <cellStyle name="Normal 3 17 11 2 2" xfId="5029" xr:uid="{00000000-0005-0000-0000-000018160000}"/>
    <cellStyle name="Normal 3 17 11 3" xfId="5030" xr:uid="{00000000-0005-0000-0000-000019160000}"/>
    <cellStyle name="Normal 3 17 12" xfId="5031" xr:uid="{00000000-0005-0000-0000-00001A160000}"/>
    <cellStyle name="Normal 3 17 12 2" xfId="5032" xr:uid="{00000000-0005-0000-0000-00001B160000}"/>
    <cellStyle name="Normal 3 17 12 2 2" xfId="5033" xr:uid="{00000000-0005-0000-0000-00001C160000}"/>
    <cellStyle name="Normal 3 17 12 3" xfId="5034" xr:uid="{00000000-0005-0000-0000-00001D160000}"/>
    <cellStyle name="Normal 3 17 13" xfId="5035" xr:uid="{00000000-0005-0000-0000-00001E160000}"/>
    <cellStyle name="Normal 3 17 13 2" xfId="5036" xr:uid="{00000000-0005-0000-0000-00001F160000}"/>
    <cellStyle name="Normal 3 17 13 2 2" xfId="5037" xr:uid="{00000000-0005-0000-0000-000020160000}"/>
    <cellStyle name="Normal 3 17 13 3" xfId="5038" xr:uid="{00000000-0005-0000-0000-000021160000}"/>
    <cellStyle name="Normal 3 17 14" xfId="5039" xr:uid="{00000000-0005-0000-0000-000022160000}"/>
    <cellStyle name="Normal 3 17 14 2" xfId="5040" xr:uid="{00000000-0005-0000-0000-000023160000}"/>
    <cellStyle name="Normal 3 17 14 2 2" xfId="5041" xr:uid="{00000000-0005-0000-0000-000024160000}"/>
    <cellStyle name="Normal 3 17 14 3" xfId="5042" xr:uid="{00000000-0005-0000-0000-000025160000}"/>
    <cellStyle name="Normal 3 17 15" xfId="5043" xr:uid="{00000000-0005-0000-0000-000026160000}"/>
    <cellStyle name="Normal 3 17 15 2" xfId="5044" xr:uid="{00000000-0005-0000-0000-000027160000}"/>
    <cellStyle name="Normal 3 17 15 2 2" xfId="5045" xr:uid="{00000000-0005-0000-0000-000028160000}"/>
    <cellStyle name="Normal 3 17 15 3" xfId="5046" xr:uid="{00000000-0005-0000-0000-000029160000}"/>
    <cellStyle name="Normal 3 17 16" xfId="5047" xr:uid="{00000000-0005-0000-0000-00002A160000}"/>
    <cellStyle name="Normal 3 17 16 2" xfId="5048" xr:uid="{00000000-0005-0000-0000-00002B160000}"/>
    <cellStyle name="Normal 3 17 16 2 2" xfId="5049" xr:uid="{00000000-0005-0000-0000-00002C160000}"/>
    <cellStyle name="Normal 3 17 16 3" xfId="5050" xr:uid="{00000000-0005-0000-0000-00002D160000}"/>
    <cellStyle name="Normal 3 17 17" xfId="5051" xr:uid="{00000000-0005-0000-0000-00002E160000}"/>
    <cellStyle name="Normal 3 17 17 2" xfId="5052" xr:uid="{00000000-0005-0000-0000-00002F160000}"/>
    <cellStyle name="Normal 3 17 17 2 2" xfId="5053" xr:uid="{00000000-0005-0000-0000-000030160000}"/>
    <cellStyle name="Normal 3 17 17 3" xfId="5054" xr:uid="{00000000-0005-0000-0000-000031160000}"/>
    <cellStyle name="Normal 3 17 18" xfId="5055" xr:uid="{00000000-0005-0000-0000-000032160000}"/>
    <cellStyle name="Normal 3 17 18 2" xfId="5056" xr:uid="{00000000-0005-0000-0000-000033160000}"/>
    <cellStyle name="Normal 3 17 18 2 2" xfId="5057" xr:uid="{00000000-0005-0000-0000-000034160000}"/>
    <cellStyle name="Normal 3 17 18 3" xfId="5058" xr:uid="{00000000-0005-0000-0000-000035160000}"/>
    <cellStyle name="Normal 3 17 19" xfId="5059" xr:uid="{00000000-0005-0000-0000-000036160000}"/>
    <cellStyle name="Normal 3 17 19 2" xfId="5060" xr:uid="{00000000-0005-0000-0000-000037160000}"/>
    <cellStyle name="Normal 3 17 19 2 2" xfId="5061" xr:uid="{00000000-0005-0000-0000-000038160000}"/>
    <cellStyle name="Normal 3 17 19 3" xfId="5062" xr:uid="{00000000-0005-0000-0000-000039160000}"/>
    <cellStyle name="Normal 3 17 2" xfId="5063" xr:uid="{00000000-0005-0000-0000-00003A160000}"/>
    <cellStyle name="Normal 3 17 2 2" xfId="5064" xr:uid="{00000000-0005-0000-0000-00003B160000}"/>
    <cellStyle name="Normal 3 17 2 2 2" xfId="5065" xr:uid="{00000000-0005-0000-0000-00003C160000}"/>
    <cellStyle name="Normal 3 17 2 3" xfId="5066" xr:uid="{00000000-0005-0000-0000-00003D160000}"/>
    <cellStyle name="Normal 3 17 20" xfId="5067" xr:uid="{00000000-0005-0000-0000-00003E160000}"/>
    <cellStyle name="Normal 3 17 20 2" xfId="5068" xr:uid="{00000000-0005-0000-0000-00003F160000}"/>
    <cellStyle name="Normal 3 17 20 2 2" xfId="5069" xr:uid="{00000000-0005-0000-0000-000040160000}"/>
    <cellStyle name="Normal 3 17 20 3" xfId="5070" xr:uid="{00000000-0005-0000-0000-000041160000}"/>
    <cellStyle name="Normal 3 17 21" xfId="5071" xr:uid="{00000000-0005-0000-0000-000042160000}"/>
    <cellStyle name="Normal 3 17 21 2" xfId="5072" xr:uid="{00000000-0005-0000-0000-000043160000}"/>
    <cellStyle name="Normal 3 17 21 2 2" xfId="5073" xr:uid="{00000000-0005-0000-0000-000044160000}"/>
    <cellStyle name="Normal 3 17 21 3" xfId="5074" xr:uid="{00000000-0005-0000-0000-000045160000}"/>
    <cellStyle name="Normal 3 17 22" xfId="5075" xr:uid="{00000000-0005-0000-0000-000046160000}"/>
    <cellStyle name="Normal 3 17 22 2" xfId="5076" xr:uid="{00000000-0005-0000-0000-000047160000}"/>
    <cellStyle name="Normal 3 17 22 2 2" xfId="5077" xr:uid="{00000000-0005-0000-0000-000048160000}"/>
    <cellStyle name="Normal 3 17 22 3" xfId="5078" xr:uid="{00000000-0005-0000-0000-000049160000}"/>
    <cellStyle name="Normal 3 17 23" xfId="5079" xr:uid="{00000000-0005-0000-0000-00004A160000}"/>
    <cellStyle name="Normal 3 17 23 2" xfId="5080" xr:uid="{00000000-0005-0000-0000-00004B160000}"/>
    <cellStyle name="Normal 3 17 23 2 2" xfId="5081" xr:uid="{00000000-0005-0000-0000-00004C160000}"/>
    <cellStyle name="Normal 3 17 23 3" xfId="5082" xr:uid="{00000000-0005-0000-0000-00004D160000}"/>
    <cellStyle name="Normal 3 17 24" xfId="5083" xr:uid="{00000000-0005-0000-0000-00004E160000}"/>
    <cellStyle name="Normal 3 17 24 2" xfId="5084" xr:uid="{00000000-0005-0000-0000-00004F160000}"/>
    <cellStyle name="Normal 3 17 25" xfId="5085" xr:uid="{00000000-0005-0000-0000-000050160000}"/>
    <cellStyle name="Normal 3 17 3" xfId="5086" xr:uid="{00000000-0005-0000-0000-000051160000}"/>
    <cellStyle name="Normal 3 17 3 2" xfId="5087" xr:uid="{00000000-0005-0000-0000-000052160000}"/>
    <cellStyle name="Normal 3 17 3 2 2" xfId="5088" xr:uid="{00000000-0005-0000-0000-000053160000}"/>
    <cellStyle name="Normal 3 17 3 3" xfId="5089" xr:uid="{00000000-0005-0000-0000-000054160000}"/>
    <cellStyle name="Normal 3 17 4" xfId="5090" xr:uid="{00000000-0005-0000-0000-000055160000}"/>
    <cellStyle name="Normal 3 17 4 2" xfId="5091" xr:uid="{00000000-0005-0000-0000-000056160000}"/>
    <cellStyle name="Normal 3 17 4 2 2" xfId="5092" xr:uid="{00000000-0005-0000-0000-000057160000}"/>
    <cellStyle name="Normal 3 17 4 3" xfId="5093" xr:uid="{00000000-0005-0000-0000-000058160000}"/>
    <cellStyle name="Normal 3 17 5" xfId="5094" xr:uid="{00000000-0005-0000-0000-000059160000}"/>
    <cellStyle name="Normal 3 17 5 2" xfId="5095" xr:uid="{00000000-0005-0000-0000-00005A160000}"/>
    <cellStyle name="Normal 3 17 5 2 2" xfId="5096" xr:uid="{00000000-0005-0000-0000-00005B160000}"/>
    <cellStyle name="Normal 3 17 5 3" xfId="5097" xr:uid="{00000000-0005-0000-0000-00005C160000}"/>
    <cellStyle name="Normal 3 17 6" xfId="5098" xr:uid="{00000000-0005-0000-0000-00005D160000}"/>
    <cellStyle name="Normal 3 17 6 2" xfId="5099" xr:uid="{00000000-0005-0000-0000-00005E160000}"/>
    <cellStyle name="Normal 3 17 6 2 2" xfId="5100" xr:uid="{00000000-0005-0000-0000-00005F160000}"/>
    <cellStyle name="Normal 3 17 6 3" xfId="5101" xr:uid="{00000000-0005-0000-0000-000060160000}"/>
    <cellStyle name="Normal 3 17 7" xfId="5102" xr:uid="{00000000-0005-0000-0000-000061160000}"/>
    <cellStyle name="Normal 3 17 7 2" xfId="5103" xr:uid="{00000000-0005-0000-0000-000062160000}"/>
    <cellStyle name="Normal 3 17 7 2 2" xfId="5104" xr:uid="{00000000-0005-0000-0000-000063160000}"/>
    <cellStyle name="Normal 3 17 7 3" xfId="5105" xr:uid="{00000000-0005-0000-0000-000064160000}"/>
    <cellStyle name="Normal 3 17 8" xfId="5106" xr:uid="{00000000-0005-0000-0000-000065160000}"/>
    <cellStyle name="Normal 3 17 8 2" xfId="5107" xr:uid="{00000000-0005-0000-0000-000066160000}"/>
    <cellStyle name="Normal 3 17 8 2 2" xfId="5108" xr:uid="{00000000-0005-0000-0000-000067160000}"/>
    <cellStyle name="Normal 3 17 8 3" xfId="5109" xr:uid="{00000000-0005-0000-0000-000068160000}"/>
    <cellStyle name="Normal 3 17 9" xfId="5110" xr:uid="{00000000-0005-0000-0000-000069160000}"/>
    <cellStyle name="Normal 3 17 9 2" xfId="5111" xr:uid="{00000000-0005-0000-0000-00006A160000}"/>
    <cellStyle name="Normal 3 17 9 2 2" xfId="5112" xr:uid="{00000000-0005-0000-0000-00006B160000}"/>
    <cellStyle name="Normal 3 17 9 3" xfId="5113" xr:uid="{00000000-0005-0000-0000-00006C160000}"/>
    <cellStyle name="Normal 3 18" xfId="5114" xr:uid="{00000000-0005-0000-0000-00006D160000}"/>
    <cellStyle name="Normal 3 18 10" xfId="5115" xr:uid="{00000000-0005-0000-0000-00006E160000}"/>
    <cellStyle name="Normal 3 18 10 2" xfId="5116" xr:uid="{00000000-0005-0000-0000-00006F160000}"/>
    <cellStyle name="Normal 3 18 10 2 2" xfId="5117" xr:uid="{00000000-0005-0000-0000-000070160000}"/>
    <cellStyle name="Normal 3 18 10 3" xfId="5118" xr:uid="{00000000-0005-0000-0000-000071160000}"/>
    <cellStyle name="Normal 3 18 11" xfId="5119" xr:uid="{00000000-0005-0000-0000-000072160000}"/>
    <cellStyle name="Normal 3 18 11 2" xfId="5120" xr:uid="{00000000-0005-0000-0000-000073160000}"/>
    <cellStyle name="Normal 3 18 11 2 2" xfId="5121" xr:uid="{00000000-0005-0000-0000-000074160000}"/>
    <cellStyle name="Normal 3 18 11 3" xfId="5122" xr:uid="{00000000-0005-0000-0000-000075160000}"/>
    <cellStyle name="Normal 3 18 12" xfId="5123" xr:uid="{00000000-0005-0000-0000-000076160000}"/>
    <cellStyle name="Normal 3 18 12 2" xfId="5124" xr:uid="{00000000-0005-0000-0000-000077160000}"/>
    <cellStyle name="Normal 3 18 12 2 2" xfId="5125" xr:uid="{00000000-0005-0000-0000-000078160000}"/>
    <cellStyle name="Normal 3 18 12 3" xfId="5126" xr:uid="{00000000-0005-0000-0000-000079160000}"/>
    <cellStyle name="Normal 3 18 13" xfId="5127" xr:uid="{00000000-0005-0000-0000-00007A160000}"/>
    <cellStyle name="Normal 3 18 13 2" xfId="5128" xr:uid="{00000000-0005-0000-0000-00007B160000}"/>
    <cellStyle name="Normal 3 18 13 2 2" xfId="5129" xr:uid="{00000000-0005-0000-0000-00007C160000}"/>
    <cellStyle name="Normal 3 18 13 3" xfId="5130" xr:uid="{00000000-0005-0000-0000-00007D160000}"/>
    <cellStyle name="Normal 3 18 14" xfId="5131" xr:uid="{00000000-0005-0000-0000-00007E160000}"/>
    <cellStyle name="Normal 3 18 14 2" xfId="5132" xr:uid="{00000000-0005-0000-0000-00007F160000}"/>
    <cellStyle name="Normal 3 18 14 2 2" xfId="5133" xr:uid="{00000000-0005-0000-0000-000080160000}"/>
    <cellStyle name="Normal 3 18 14 3" xfId="5134" xr:uid="{00000000-0005-0000-0000-000081160000}"/>
    <cellStyle name="Normal 3 18 15" xfId="5135" xr:uid="{00000000-0005-0000-0000-000082160000}"/>
    <cellStyle name="Normal 3 18 15 2" xfId="5136" xr:uid="{00000000-0005-0000-0000-000083160000}"/>
    <cellStyle name="Normal 3 18 15 2 2" xfId="5137" xr:uid="{00000000-0005-0000-0000-000084160000}"/>
    <cellStyle name="Normal 3 18 15 3" xfId="5138" xr:uid="{00000000-0005-0000-0000-000085160000}"/>
    <cellStyle name="Normal 3 18 16" xfId="5139" xr:uid="{00000000-0005-0000-0000-000086160000}"/>
    <cellStyle name="Normal 3 18 16 2" xfId="5140" xr:uid="{00000000-0005-0000-0000-000087160000}"/>
    <cellStyle name="Normal 3 18 16 2 2" xfId="5141" xr:uid="{00000000-0005-0000-0000-000088160000}"/>
    <cellStyle name="Normal 3 18 16 3" xfId="5142" xr:uid="{00000000-0005-0000-0000-000089160000}"/>
    <cellStyle name="Normal 3 18 17" xfId="5143" xr:uid="{00000000-0005-0000-0000-00008A160000}"/>
    <cellStyle name="Normal 3 18 17 2" xfId="5144" xr:uid="{00000000-0005-0000-0000-00008B160000}"/>
    <cellStyle name="Normal 3 18 17 2 2" xfId="5145" xr:uid="{00000000-0005-0000-0000-00008C160000}"/>
    <cellStyle name="Normal 3 18 17 3" xfId="5146" xr:uid="{00000000-0005-0000-0000-00008D160000}"/>
    <cellStyle name="Normal 3 18 18" xfId="5147" xr:uid="{00000000-0005-0000-0000-00008E160000}"/>
    <cellStyle name="Normal 3 18 18 2" xfId="5148" xr:uid="{00000000-0005-0000-0000-00008F160000}"/>
    <cellStyle name="Normal 3 18 18 2 2" xfId="5149" xr:uid="{00000000-0005-0000-0000-000090160000}"/>
    <cellStyle name="Normal 3 18 18 3" xfId="5150" xr:uid="{00000000-0005-0000-0000-000091160000}"/>
    <cellStyle name="Normal 3 18 19" xfId="5151" xr:uid="{00000000-0005-0000-0000-000092160000}"/>
    <cellStyle name="Normal 3 18 19 2" xfId="5152" xr:uid="{00000000-0005-0000-0000-000093160000}"/>
    <cellStyle name="Normal 3 18 19 2 2" xfId="5153" xr:uid="{00000000-0005-0000-0000-000094160000}"/>
    <cellStyle name="Normal 3 18 19 3" xfId="5154" xr:uid="{00000000-0005-0000-0000-000095160000}"/>
    <cellStyle name="Normal 3 18 2" xfId="5155" xr:uid="{00000000-0005-0000-0000-000096160000}"/>
    <cellStyle name="Normal 3 18 2 2" xfId="5156" xr:uid="{00000000-0005-0000-0000-000097160000}"/>
    <cellStyle name="Normal 3 18 2 2 2" xfId="5157" xr:uid="{00000000-0005-0000-0000-000098160000}"/>
    <cellStyle name="Normal 3 18 2 3" xfId="5158" xr:uid="{00000000-0005-0000-0000-000099160000}"/>
    <cellStyle name="Normal 3 18 20" xfId="5159" xr:uid="{00000000-0005-0000-0000-00009A160000}"/>
    <cellStyle name="Normal 3 18 20 2" xfId="5160" xr:uid="{00000000-0005-0000-0000-00009B160000}"/>
    <cellStyle name="Normal 3 18 20 2 2" xfId="5161" xr:uid="{00000000-0005-0000-0000-00009C160000}"/>
    <cellStyle name="Normal 3 18 20 3" xfId="5162" xr:uid="{00000000-0005-0000-0000-00009D160000}"/>
    <cellStyle name="Normal 3 18 21" xfId="5163" xr:uid="{00000000-0005-0000-0000-00009E160000}"/>
    <cellStyle name="Normal 3 18 21 2" xfId="5164" xr:uid="{00000000-0005-0000-0000-00009F160000}"/>
    <cellStyle name="Normal 3 18 21 2 2" xfId="5165" xr:uid="{00000000-0005-0000-0000-0000A0160000}"/>
    <cellStyle name="Normal 3 18 21 3" xfId="5166" xr:uid="{00000000-0005-0000-0000-0000A1160000}"/>
    <cellStyle name="Normal 3 18 22" xfId="5167" xr:uid="{00000000-0005-0000-0000-0000A2160000}"/>
    <cellStyle name="Normal 3 18 22 2" xfId="5168" xr:uid="{00000000-0005-0000-0000-0000A3160000}"/>
    <cellStyle name="Normal 3 18 22 2 2" xfId="5169" xr:uid="{00000000-0005-0000-0000-0000A4160000}"/>
    <cellStyle name="Normal 3 18 22 3" xfId="5170" xr:uid="{00000000-0005-0000-0000-0000A5160000}"/>
    <cellStyle name="Normal 3 18 23" xfId="5171" xr:uid="{00000000-0005-0000-0000-0000A6160000}"/>
    <cellStyle name="Normal 3 18 23 2" xfId="5172" xr:uid="{00000000-0005-0000-0000-0000A7160000}"/>
    <cellStyle name="Normal 3 18 23 2 2" xfId="5173" xr:uid="{00000000-0005-0000-0000-0000A8160000}"/>
    <cellStyle name="Normal 3 18 23 3" xfId="5174" xr:uid="{00000000-0005-0000-0000-0000A9160000}"/>
    <cellStyle name="Normal 3 18 24" xfId="5175" xr:uid="{00000000-0005-0000-0000-0000AA160000}"/>
    <cellStyle name="Normal 3 18 24 2" xfId="5176" xr:uid="{00000000-0005-0000-0000-0000AB160000}"/>
    <cellStyle name="Normal 3 18 25" xfId="5177" xr:uid="{00000000-0005-0000-0000-0000AC160000}"/>
    <cellStyle name="Normal 3 18 3" xfId="5178" xr:uid="{00000000-0005-0000-0000-0000AD160000}"/>
    <cellStyle name="Normal 3 18 3 2" xfId="5179" xr:uid="{00000000-0005-0000-0000-0000AE160000}"/>
    <cellStyle name="Normal 3 18 3 2 2" xfId="5180" xr:uid="{00000000-0005-0000-0000-0000AF160000}"/>
    <cellStyle name="Normal 3 18 3 3" xfId="5181" xr:uid="{00000000-0005-0000-0000-0000B0160000}"/>
    <cellStyle name="Normal 3 18 4" xfId="5182" xr:uid="{00000000-0005-0000-0000-0000B1160000}"/>
    <cellStyle name="Normal 3 18 4 2" xfId="5183" xr:uid="{00000000-0005-0000-0000-0000B2160000}"/>
    <cellStyle name="Normal 3 18 4 2 2" xfId="5184" xr:uid="{00000000-0005-0000-0000-0000B3160000}"/>
    <cellStyle name="Normal 3 18 4 3" xfId="5185" xr:uid="{00000000-0005-0000-0000-0000B4160000}"/>
    <cellStyle name="Normal 3 18 5" xfId="5186" xr:uid="{00000000-0005-0000-0000-0000B5160000}"/>
    <cellStyle name="Normal 3 18 5 2" xfId="5187" xr:uid="{00000000-0005-0000-0000-0000B6160000}"/>
    <cellStyle name="Normal 3 18 5 2 2" xfId="5188" xr:uid="{00000000-0005-0000-0000-0000B7160000}"/>
    <cellStyle name="Normal 3 18 5 3" xfId="5189" xr:uid="{00000000-0005-0000-0000-0000B8160000}"/>
    <cellStyle name="Normal 3 18 6" xfId="5190" xr:uid="{00000000-0005-0000-0000-0000B9160000}"/>
    <cellStyle name="Normal 3 18 6 2" xfId="5191" xr:uid="{00000000-0005-0000-0000-0000BA160000}"/>
    <cellStyle name="Normal 3 18 6 2 2" xfId="5192" xr:uid="{00000000-0005-0000-0000-0000BB160000}"/>
    <cellStyle name="Normal 3 18 6 3" xfId="5193" xr:uid="{00000000-0005-0000-0000-0000BC160000}"/>
    <cellStyle name="Normal 3 18 7" xfId="5194" xr:uid="{00000000-0005-0000-0000-0000BD160000}"/>
    <cellStyle name="Normal 3 18 7 2" xfId="5195" xr:uid="{00000000-0005-0000-0000-0000BE160000}"/>
    <cellStyle name="Normal 3 18 7 2 2" xfId="5196" xr:uid="{00000000-0005-0000-0000-0000BF160000}"/>
    <cellStyle name="Normal 3 18 7 3" xfId="5197" xr:uid="{00000000-0005-0000-0000-0000C0160000}"/>
    <cellStyle name="Normal 3 18 8" xfId="5198" xr:uid="{00000000-0005-0000-0000-0000C1160000}"/>
    <cellStyle name="Normal 3 18 8 2" xfId="5199" xr:uid="{00000000-0005-0000-0000-0000C2160000}"/>
    <cellStyle name="Normal 3 18 8 2 2" xfId="5200" xr:uid="{00000000-0005-0000-0000-0000C3160000}"/>
    <cellStyle name="Normal 3 18 8 3" xfId="5201" xr:uid="{00000000-0005-0000-0000-0000C4160000}"/>
    <cellStyle name="Normal 3 18 9" xfId="5202" xr:uid="{00000000-0005-0000-0000-0000C5160000}"/>
    <cellStyle name="Normal 3 18 9 2" xfId="5203" xr:uid="{00000000-0005-0000-0000-0000C6160000}"/>
    <cellStyle name="Normal 3 18 9 2 2" xfId="5204" xr:uid="{00000000-0005-0000-0000-0000C7160000}"/>
    <cellStyle name="Normal 3 18 9 3" xfId="5205" xr:uid="{00000000-0005-0000-0000-0000C8160000}"/>
    <cellStyle name="Normal 3 19" xfId="5206" xr:uid="{00000000-0005-0000-0000-0000C9160000}"/>
    <cellStyle name="Normal 3 19 10" xfId="5207" xr:uid="{00000000-0005-0000-0000-0000CA160000}"/>
    <cellStyle name="Normal 3 19 10 2" xfId="5208" xr:uid="{00000000-0005-0000-0000-0000CB160000}"/>
    <cellStyle name="Normal 3 19 10 2 2" xfId="5209" xr:uid="{00000000-0005-0000-0000-0000CC160000}"/>
    <cellStyle name="Normal 3 19 10 3" xfId="5210" xr:uid="{00000000-0005-0000-0000-0000CD160000}"/>
    <cellStyle name="Normal 3 19 11" xfId="5211" xr:uid="{00000000-0005-0000-0000-0000CE160000}"/>
    <cellStyle name="Normal 3 19 11 2" xfId="5212" xr:uid="{00000000-0005-0000-0000-0000CF160000}"/>
    <cellStyle name="Normal 3 19 11 2 2" xfId="5213" xr:uid="{00000000-0005-0000-0000-0000D0160000}"/>
    <cellStyle name="Normal 3 19 11 3" xfId="5214" xr:uid="{00000000-0005-0000-0000-0000D1160000}"/>
    <cellStyle name="Normal 3 19 12" xfId="5215" xr:uid="{00000000-0005-0000-0000-0000D2160000}"/>
    <cellStyle name="Normal 3 19 12 2" xfId="5216" xr:uid="{00000000-0005-0000-0000-0000D3160000}"/>
    <cellStyle name="Normal 3 19 12 2 2" xfId="5217" xr:uid="{00000000-0005-0000-0000-0000D4160000}"/>
    <cellStyle name="Normal 3 19 12 3" xfId="5218" xr:uid="{00000000-0005-0000-0000-0000D5160000}"/>
    <cellStyle name="Normal 3 19 13" xfId="5219" xr:uid="{00000000-0005-0000-0000-0000D6160000}"/>
    <cellStyle name="Normal 3 19 13 2" xfId="5220" xr:uid="{00000000-0005-0000-0000-0000D7160000}"/>
    <cellStyle name="Normal 3 19 13 2 2" xfId="5221" xr:uid="{00000000-0005-0000-0000-0000D8160000}"/>
    <cellStyle name="Normal 3 19 13 3" xfId="5222" xr:uid="{00000000-0005-0000-0000-0000D9160000}"/>
    <cellStyle name="Normal 3 19 14" xfId="5223" xr:uid="{00000000-0005-0000-0000-0000DA160000}"/>
    <cellStyle name="Normal 3 19 14 2" xfId="5224" xr:uid="{00000000-0005-0000-0000-0000DB160000}"/>
    <cellStyle name="Normal 3 19 14 2 2" xfId="5225" xr:uid="{00000000-0005-0000-0000-0000DC160000}"/>
    <cellStyle name="Normal 3 19 14 3" xfId="5226" xr:uid="{00000000-0005-0000-0000-0000DD160000}"/>
    <cellStyle name="Normal 3 19 15" xfId="5227" xr:uid="{00000000-0005-0000-0000-0000DE160000}"/>
    <cellStyle name="Normal 3 19 15 2" xfId="5228" xr:uid="{00000000-0005-0000-0000-0000DF160000}"/>
    <cellStyle name="Normal 3 19 15 2 2" xfId="5229" xr:uid="{00000000-0005-0000-0000-0000E0160000}"/>
    <cellStyle name="Normal 3 19 15 3" xfId="5230" xr:uid="{00000000-0005-0000-0000-0000E1160000}"/>
    <cellStyle name="Normal 3 19 16" xfId="5231" xr:uid="{00000000-0005-0000-0000-0000E2160000}"/>
    <cellStyle name="Normal 3 19 16 2" xfId="5232" xr:uid="{00000000-0005-0000-0000-0000E3160000}"/>
    <cellStyle name="Normal 3 19 16 2 2" xfId="5233" xr:uid="{00000000-0005-0000-0000-0000E4160000}"/>
    <cellStyle name="Normal 3 19 16 3" xfId="5234" xr:uid="{00000000-0005-0000-0000-0000E5160000}"/>
    <cellStyle name="Normal 3 19 17" xfId="5235" xr:uid="{00000000-0005-0000-0000-0000E6160000}"/>
    <cellStyle name="Normal 3 19 17 2" xfId="5236" xr:uid="{00000000-0005-0000-0000-0000E7160000}"/>
    <cellStyle name="Normal 3 19 17 2 2" xfId="5237" xr:uid="{00000000-0005-0000-0000-0000E8160000}"/>
    <cellStyle name="Normal 3 19 17 3" xfId="5238" xr:uid="{00000000-0005-0000-0000-0000E9160000}"/>
    <cellStyle name="Normal 3 19 18" xfId="5239" xr:uid="{00000000-0005-0000-0000-0000EA160000}"/>
    <cellStyle name="Normal 3 19 18 2" xfId="5240" xr:uid="{00000000-0005-0000-0000-0000EB160000}"/>
    <cellStyle name="Normal 3 19 18 2 2" xfId="5241" xr:uid="{00000000-0005-0000-0000-0000EC160000}"/>
    <cellStyle name="Normal 3 19 18 3" xfId="5242" xr:uid="{00000000-0005-0000-0000-0000ED160000}"/>
    <cellStyle name="Normal 3 19 19" xfId="5243" xr:uid="{00000000-0005-0000-0000-0000EE160000}"/>
    <cellStyle name="Normal 3 19 19 2" xfId="5244" xr:uid="{00000000-0005-0000-0000-0000EF160000}"/>
    <cellStyle name="Normal 3 19 19 2 2" xfId="5245" xr:uid="{00000000-0005-0000-0000-0000F0160000}"/>
    <cellStyle name="Normal 3 19 19 3" xfId="5246" xr:uid="{00000000-0005-0000-0000-0000F1160000}"/>
    <cellStyle name="Normal 3 19 2" xfId="5247" xr:uid="{00000000-0005-0000-0000-0000F2160000}"/>
    <cellStyle name="Normal 3 19 2 2" xfId="5248" xr:uid="{00000000-0005-0000-0000-0000F3160000}"/>
    <cellStyle name="Normal 3 19 2 2 2" xfId="5249" xr:uid="{00000000-0005-0000-0000-0000F4160000}"/>
    <cellStyle name="Normal 3 19 2 3" xfId="5250" xr:uid="{00000000-0005-0000-0000-0000F5160000}"/>
    <cellStyle name="Normal 3 19 20" xfId="5251" xr:uid="{00000000-0005-0000-0000-0000F6160000}"/>
    <cellStyle name="Normal 3 19 20 2" xfId="5252" xr:uid="{00000000-0005-0000-0000-0000F7160000}"/>
    <cellStyle name="Normal 3 19 20 2 2" xfId="5253" xr:uid="{00000000-0005-0000-0000-0000F8160000}"/>
    <cellStyle name="Normal 3 19 20 3" xfId="5254" xr:uid="{00000000-0005-0000-0000-0000F9160000}"/>
    <cellStyle name="Normal 3 19 21" xfId="5255" xr:uid="{00000000-0005-0000-0000-0000FA160000}"/>
    <cellStyle name="Normal 3 19 21 2" xfId="5256" xr:uid="{00000000-0005-0000-0000-0000FB160000}"/>
    <cellStyle name="Normal 3 19 21 2 2" xfId="5257" xr:uid="{00000000-0005-0000-0000-0000FC160000}"/>
    <cellStyle name="Normal 3 19 21 3" xfId="5258" xr:uid="{00000000-0005-0000-0000-0000FD160000}"/>
    <cellStyle name="Normal 3 19 22" xfId="5259" xr:uid="{00000000-0005-0000-0000-0000FE160000}"/>
    <cellStyle name="Normal 3 19 22 2" xfId="5260" xr:uid="{00000000-0005-0000-0000-0000FF160000}"/>
    <cellStyle name="Normal 3 19 22 2 2" xfId="5261" xr:uid="{00000000-0005-0000-0000-000000170000}"/>
    <cellStyle name="Normal 3 19 22 3" xfId="5262" xr:uid="{00000000-0005-0000-0000-000001170000}"/>
    <cellStyle name="Normal 3 19 23" xfId="5263" xr:uid="{00000000-0005-0000-0000-000002170000}"/>
    <cellStyle name="Normal 3 19 23 2" xfId="5264" xr:uid="{00000000-0005-0000-0000-000003170000}"/>
    <cellStyle name="Normal 3 19 23 2 2" xfId="5265" xr:uid="{00000000-0005-0000-0000-000004170000}"/>
    <cellStyle name="Normal 3 19 23 3" xfId="5266" xr:uid="{00000000-0005-0000-0000-000005170000}"/>
    <cellStyle name="Normal 3 19 24" xfId="5267" xr:uid="{00000000-0005-0000-0000-000006170000}"/>
    <cellStyle name="Normal 3 19 24 2" xfId="5268" xr:uid="{00000000-0005-0000-0000-000007170000}"/>
    <cellStyle name="Normal 3 19 25" xfId="5269" xr:uid="{00000000-0005-0000-0000-000008170000}"/>
    <cellStyle name="Normal 3 19 3" xfId="5270" xr:uid="{00000000-0005-0000-0000-000009170000}"/>
    <cellStyle name="Normal 3 19 3 2" xfId="5271" xr:uid="{00000000-0005-0000-0000-00000A170000}"/>
    <cellStyle name="Normal 3 19 3 2 2" xfId="5272" xr:uid="{00000000-0005-0000-0000-00000B170000}"/>
    <cellStyle name="Normal 3 19 3 3" xfId="5273" xr:uid="{00000000-0005-0000-0000-00000C170000}"/>
    <cellStyle name="Normal 3 19 4" xfId="5274" xr:uid="{00000000-0005-0000-0000-00000D170000}"/>
    <cellStyle name="Normal 3 19 4 2" xfId="5275" xr:uid="{00000000-0005-0000-0000-00000E170000}"/>
    <cellStyle name="Normal 3 19 4 2 2" xfId="5276" xr:uid="{00000000-0005-0000-0000-00000F170000}"/>
    <cellStyle name="Normal 3 19 4 3" xfId="5277" xr:uid="{00000000-0005-0000-0000-000010170000}"/>
    <cellStyle name="Normal 3 19 5" xfId="5278" xr:uid="{00000000-0005-0000-0000-000011170000}"/>
    <cellStyle name="Normal 3 19 5 2" xfId="5279" xr:uid="{00000000-0005-0000-0000-000012170000}"/>
    <cellStyle name="Normal 3 19 5 2 2" xfId="5280" xr:uid="{00000000-0005-0000-0000-000013170000}"/>
    <cellStyle name="Normal 3 19 5 3" xfId="5281" xr:uid="{00000000-0005-0000-0000-000014170000}"/>
    <cellStyle name="Normal 3 19 6" xfId="5282" xr:uid="{00000000-0005-0000-0000-000015170000}"/>
    <cellStyle name="Normal 3 19 6 2" xfId="5283" xr:uid="{00000000-0005-0000-0000-000016170000}"/>
    <cellStyle name="Normal 3 19 6 2 2" xfId="5284" xr:uid="{00000000-0005-0000-0000-000017170000}"/>
    <cellStyle name="Normal 3 19 6 3" xfId="5285" xr:uid="{00000000-0005-0000-0000-000018170000}"/>
    <cellStyle name="Normal 3 19 7" xfId="5286" xr:uid="{00000000-0005-0000-0000-000019170000}"/>
    <cellStyle name="Normal 3 19 7 2" xfId="5287" xr:uid="{00000000-0005-0000-0000-00001A170000}"/>
    <cellStyle name="Normal 3 19 7 2 2" xfId="5288" xr:uid="{00000000-0005-0000-0000-00001B170000}"/>
    <cellStyle name="Normal 3 19 7 3" xfId="5289" xr:uid="{00000000-0005-0000-0000-00001C170000}"/>
    <cellStyle name="Normal 3 19 8" xfId="5290" xr:uid="{00000000-0005-0000-0000-00001D170000}"/>
    <cellStyle name="Normal 3 19 8 2" xfId="5291" xr:uid="{00000000-0005-0000-0000-00001E170000}"/>
    <cellStyle name="Normal 3 19 8 2 2" xfId="5292" xr:uid="{00000000-0005-0000-0000-00001F170000}"/>
    <cellStyle name="Normal 3 19 8 3" xfId="5293" xr:uid="{00000000-0005-0000-0000-000020170000}"/>
    <cellStyle name="Normal 3 19 9" xfId="5294" xr:uid="{00000000-0005-0000-0000-000021170000}"/>
    <cellStyle name="Normal 3 19 9 2" xfId="5295" xr:uid="{00000000-0005-0000-0000-000022170000}"/>
    <cellStyle name="Normal 3 19 9 2 2" xfId="5296" xr:uid="{00000000-0005-0000-0000-000023170000}"/>
    <cellStyle name="Normal 3 19 9 3" xfId="5297" xr:uid="{00000000-0005-0000-0000-000024170000}"/>
    <cellStyle name="Normal 3 2" xfId="187" xr:uid="{00000000-0005-0000-0000-000025170000}"/>
    <cellStyle name="Normal 3 2 10" xfId="5298" xr:uid="{00000000-0005-0000-0000-000026170000}"/>
    <cellStyle name="Normal 3 2 10 2" xfId="5299" xr:uid="{00000000-0005-0000-0000-000027170000}"/>
    <cellStyle name="Normal 3 2 10 2 2" xfId="5300" xr:uid="{00000000-0005-0000-0000-000028170000}"/>
    <cellStyle name="Normal 3 2 10 3" xfId="5301" xr:uid="{00000000-0005-0000-0000-000029170000}"/>
    <cellStyle name="Normal 3 2 11" xfId="5302" xr:uid="{00000000-0005-0000-0000-00002A170000}"/>
    <cellStyle name="Normal 3 2 11 2" xfId="5303" xr:uid="{00000000-0005-0000-0000-00002B170000}"/>
    <cellStyle name="Normal 3 2 11 2 2" xfId="5304" xr:uid="{00000000-0005-0000-0000-00002C170000}"/>
    <cellStyle name="Normal 3 2 11 3" xfId="5305" xr:uid="{00000000-0005-0000-0000-00002D170000}"/>
    <cellStyle name="Normal 3 2 12" xfId="5306" xr:uid="{00000000-0005-0000-0000-00002E170000}"/>
    <cellStyle name="Normal 3 2 12 2" xfId="5307" xr:uid="{00000000-0005-0000-0000-00002F170000}"/>
    <cellStyle name="Normal 3 2 12 2 2" xfId="5308" xr:uid="{00000000-0005-0000-0000-000030170000}"/>
    <cellStyle name="Normal 3 2 12 3" xfId="5309" xr:uid="{00000000-0005-0000-0000-000031170000}"/>
    <cellStyle name="Normal 3 2 13" xfId="5310" xr:uid="{00000000-0005-0000-0000-000032170000}"/>
    <cellStyle name="Normal 3 2 13 2" xfId="5311" xr:uid="{00000000-0005-0000-0000-000033170000}"/>
    <cellStyle name="Normal 3 2 13 2 2" xfId="5312" xr:uid="{00000000-0005-0000-0000-000034170000}"/>
    <cellStyle name="Normal 3 2 13 3" xfId="5313" xr:uid="{00000000-0005-0000-0000-000035170000}"/>
    <cellStyle name="Normal 3 2 14" xfId="5314" xr:uid="{00000000-0005-0000-0000-000036170000}"/>
    <cellStyle name="Normal 3 2 14 2" xfId="5315" xr:uid="{00000000-0005-0000-0000-000037170000}"/>
    <cellStyle name="Normal 3 2 14 2 2" xfId="5316" xr:uid="{00000000-0005-0000-0000-000038170000}"/>
    <cellStyle name="Normal 3 2 14 3" xfId="5317" xr:uid="{00000000-0005-0000-0000-000039170000}"/>
    <cellStyle name="Normal 3 2 15" xfId="5318" xr:uid="{00000000-0005-0000-0000-00003A170000}"/>
    <cellStyle name="Normal 3 2 15 2" xfId="5319" xr:uid="{00000000-0005-0000-0000-00003B170000}"/>
    <cellStyle name="Normal 3 2 15 2 2" xfId="5320" xr:uid="{00000000-0005-0000-0000-00003C170000}"/>
    <cellStyle name="Normal 3 2 15 3" xfId="5321" xr:uid="{00000000-0005-0000-0000-00003D170000}"/>
    <cellStyle name="Normal 3 2 16" xfId="5322" xr:uid="{00000000-0005-0000-0000-00003E170000}"/>
    <cellStyle name="Normal 3 2 16 2" xfId="5323" xr:uid="{00000000-0005-0000-0000-00003F170000}"/>
    <cellStyle name="Normal 3 2 16 2 2" xfId="5324" xr:uid="{00000000-0005-0000-0000-000040170000}"/>
    <cellStyle name="Normal 3 2 16 3" xfId="5325" xr:uid="{00000000-0005-0000-0000-000041170000}"/>
    <cellStyle name="Normal 3 2 17" xfId="5326" xr:uid="{00000000-0005-0000-0000-000042170000}"/>
    <cellStyle name="Normal 3 2 17 2" xfId="5327" xr:uid="{00000000-0005-0000-0000-000043170000}"/>
    <cellStyle name="Normal 3 2 17 2 2" xfId="5328" xr:uid="{00000000-0005-0000-0000-000044170000}"/>
    <cellStyle name="Normal 3 2 17 3" xfId="5329" xr:uid="{00000000-0005-0000-0000-000045170000}"/>
    <cellStyle name="Normal 3 2 18" xfId="5330" xr:uid="{00000000-0005-0000-0000-000046170000}"/>
    <cellStyle name="Normal 3 2 18 2" xfId="5331" xr:uid="{00000000-0005-0000-0000-000047170000}"/>
    <cellStyle name="Normal 3 2 18 2 2" xfId="5332" xr:uid="{00000000-0005-0000-0000-000048170000}"/>
    <cellStyle name="Normal 3 2 18 3" xfId="5333" xr:uid="{00000000-0005-0000-0000-000049170000}"/>
    <cellStyle name="Normal 3 2 19" xfId="5334" xr:uid="{00000000-0005-0000-0000-00004A170000}"/>
    <cellStyle name="Normal 3 2 19 2" xfId="5335" xr:uid="{00000000-0005-0000-0000-00004B170000}"/>
    <cellStyle name="Normal 3 2 19 2 2" xfId="5336" xr:uid="{00000000-0005-0000-0000-00004C170000}"/>
    <cellStyle name="Normal 3 2 19 3" xfId="5337" xr:uid="{00000000-0005-0000-0000-00004D170000}"/>
    <cellStyle name="Normal 3 2 2" xfId="188" xr:uid="{00000000-0005-0000-0000-00004E170000}"/>
    <cellStyle name="Normal 3 2 2 10" xfId="5338" xr:uid="{00000000-0005-0000-0000-00004F170000}"/>
    <cellStyle name="Normal 3 2 2 10 2" xfId="5339" xr:uid="{00000000-0005-0000-0000-000050170000}"/>
    <cellStyle name="Normal 3 2 2 10 2 2" xfId="5340" xr:uid="{00000000-0005-0000-0000-000051170000}"/>
    <cellStyle name="Normal 3 2 2 10 3" xfId="5341" xr:uid="{00000000-0005-0000-0000-000052170000}"/>
    <cellStyle name="Normal 3 2 2 11" xfId="5342" xr:uid="{00000000-0005-0000-0000-000053170000}"/>
    <cellStyle name="Normal 3 2 2 11 2" xfId="5343" xr:uid="{00000000-0005-0000-0000-000054170000}"/>
    <cellStyle name="Normal 3 2 2 11 2 2" xfId="5344" xr:uid="{00000000-0005-0000-0000-000055170000}"/>
    <cellStyle name="Normal 3 2 2 11 3" xfId="5345" xr:uid="{00000000-0005-0000-0000-000056170000}"/>
    <cellStyle name="Normal 3 2 2 12" xfId="5346" xr:uid="{00000000-0005-0000-0000-000057170000}"/>
    <cellStyle name="Normal 3 2 2 12 2" xfId="5347" xr:uid="{00000000-0005-0000-0000-000058170000}"/>
    <cellStyle name="Normal 3 2 2 12 2 2" xfId="5348" xr:uid="{00000000-0005-0000-0000-000059170000}"/>
    <cellStyle name="Normal 3 2 2 12 3" xfId="5349" xr:uid="{00000000-0005-0000-0000-00005A170000}"/>
    <cellStyle name="Normal 3 2 2 13" xfId="5350" xr:uid="{00000000-0005-0000-0000-00005B170000}"/>
    <cellStyle name="Normal 3 2 2 13 2" xfId="5351" xr:uid="{00000000-0005-0000-0000-00005C170000}"/>
    <cellStyle name="Normal 3 2 2 13 2 2" xfId="5352" xr:uid="{00000000-0005-0000-0000-00005D170000}"/>
    <cellStyle name="Normal 3 2 2 13 3" xfId="5353" xr:uid="{00000000-0005-0000-0000-00005E170000}"/>
    <cellStyle name="Normal 3 2 2 14" xfId="5354" xr:uid="{00000000-0005-0000-0000-00005F170000}"/>
    <cellStyle name="Normal 3 2 2 14 2" xfId="5355" xr:uid="{00000000-0005-0000-0000-000060170000}"/>
    <cellStyle name="Normal 3 2 2 14 2 2" xfId="5356" xr:uid="{00000000-0005-0000-0000-000061170000}"/>
    <cellStyle name="Normal 3 2 2 14 3" xfId="5357" xr:uid="{00000000-0005-0000-0000-000062170000}"/>
    <cellStyle name="Normal 3 2 2 15" xfId="5358" xr:uid="{00000000-0005-0000-0000-000063170000}"/>
    <cellStyle name="Normal 3 2 2 15 2" xfId="5359" xr:uid="{00000000-0005-0000-0000-000064170000}"/>
    <cellStyle name="Normal 3 2 2 15 2 2" xfId="5360" xr:uid="{00000000-0005-0000-0000-000065170000}"/>
    <cellStyle name="Normal 3 2 2 15 3" xfId="5361" xr:uid="{00000000-0005-0000-0000-000066170000}"/>
    <cellStyle name="Normal 3 2 2 16" xfId="5362" xr:uid="{00000000-0005-0000-0000-000067170000}"/>
    <cellStyle name="Normal 3 2 2 16 2" xfId="5363" xr:uid="{00000000-0005-0000-0000-000068170000}"/>
    <cellStyle name="Normal 3 2 2 16 2 2" xfId="5364" xr:uid="{00000000-0005-0000-0000-000069170000}"/>
    <cellStyle name="Normal 3 2 2 16 3" xfId="5365" xr:uid="{00000000-0005-0000-0000-00006A170000}"/>
    <cellStyle name="Normal 3 2 2 17" xfId="5366" xr:uid="{00000000-0005-0000-0000-00006B170000}"/>
    <cellStyle name="Normal 3 2 2 17 2" xfId="5367" xr:uid="{00000000-0005-0000-0000-00006C170000}"/>
    <cellStyle name="Normal 3 2 2 17 2 2" xfId="5368" xr:uid="{00000000-0005-0000-0000-00006D170000}"/>
    <cellStyle name="Normal 3 2 2 17 3" xfId="5369" xr:uid="{00000000-0005-0000-0000-00006E170000}"/>
    <cellStyle name="Normal 3 2 2 18" xfId="5370" xr:uid="{00000000-0005-0000-0000-00006F170000}"/>
    <cellStyle name="Normal 3 2 2 18 2" xfId="5371" xr:uid="{00000000-0005-0000-0000-000070170000}"/>
    <cellStyle name="Normal 3 2 2 18 2 2" xfId="5372" xr:uid="{00000000-0005-0000-0000-000071170000}"/>
    <cellStyle name="Normal 3 2 2 18 3" xfId="5373" xr:uid="{00000000-0005-0000-0000-000072170000}"/>
    <cellStyle name="Normal 3 2 2 19" xfId="5374" xr:uid="{00000000-0005-0000-0000-000073170000}"/>
    <cellStyle name="Normal 3 2 2 19 2" xfId="5375" xr:uid="{00000000-0005-0000-0000-000074170000}"/>
    <cellStyle name="Normal 3 2 2 19 2 2" xfId="5376" xr:uid="{00000000-0005-0000-0000-000075170000}"/>
    <cellStyle name="Normal 3 2 2 19 3" xfId="5377" xr:uid="{00000000-0005-0000-0000-000076170000}"/>
    <cellStyle name="Normal 3 2 2 2" xfId="5378" xr:uid="{00000000-0005-0000-0000-000077170000}"/>
    <cellStyle name="Normal 3 2 2 2 2" xfId="5379" xr:uid="{00000000-0005-0000-0000-000078170000}"/>
    <cellStyle name="Normal 3 2 2 2 2 2" xfId="5380" xr:uid="{00000000-0005-0000-0000-000079170000}"/>
    <cellStyle name="Normal 3 2 2 2 3" xfId="5381" xr:uid="{00000000-0005-0000-0000-00007A170000}"/>
    <cellStyle name="Normal 3 2 2 20" xfId="5382" xr:uid="{00000000-0005-0000-0000-00007B170000}"/>
    <cellStyle name="Normal 3 2 2 20 2" xfId="5383" xr:uid="{00000000-0005-0000-0000-00007C170000}"/>
    <cellStyle name="Normal 3 2 2 20 2 2" xfId="5384" xr:uid="{00000000-0005-0000-0000-00007D170000}"/>
    <cellStyle name="Normal 3 2 2 20 3" xfId="5385" xr:uid="{00000000-0005-0000-0000-00007E170000}"/>
    <cellStyle name="Normal 3 2 2 21" xfId="5386" xr:uid="{00000000-0005-0000-0000-00007F170000}"/>
    <cellStyle name="Normal 3 2 2 21 2" xfId="5387" xr:uid="{00000000-0005-0000-0000-000080170000}"/>
    <cellStyle name="Normal 3 2 2 21 2 2" xfId="5388" xr:uid="{00000000-0005-0000-0000-000081170000}"/>
    <cellStyle name="Normal 3 2 2 21 3" xfId="5389" xr:uid="{00000000-0005-0000-0000-000082170000}"/>
    <cellStyle name="Normal 3 2 2 22" xfId="5390" xr:uid="{00000000-0005-0000-0000-000083170000}"/>
    <cellStyle name="Normal 3 2 2 22 2" xfId="5391" xr:uid="{00000000-0005-0000-0000-000084170000}"/>
    <cellStyle name="Normal 3 2 2 22 2 2" xfId="5392" xr:uid="{00000000-0005-0000-0000-000085170000}"/>
    <cellStyle name="Normal 3 2 2 22 3" xfId="5393" xr:uid="{00000000-0005-0000-0000-000086170000}"/>
    <cellStyle name="Normal 3 2 2 23" xfId="5394" xr:uid="{00000000-0005-0000-0000-000087170000}"/>
    <cellStyle name="Normal 3 2 2 23 2" xfId="5395" xr:uid="{00000000-0005-0000-0000-000088170000}"/>
    <cellStyle name="Normal 3 2 2 23 2 2" xfId="5396" xr:uid="{00000000-0005-0000-0000-000089170000}"/>
    <cellStyle name="Normal 3 2 2 23 3" xfId="5397" xr:uid="{00000000-0005-0000-0000-00008A170000}"/>
    <cellStyle name="Normal 3 2 2 24" xfId="5398" xr:uid="{00000000-0005-0000-0000-00008B170000}"/>
    <cellStyle name="Normal 3 2 2 24 2" xfId="5399" xr:uid="{00000000-0005-0000-0000-00008C170000}"/>
    <cellStyle name="Normal 3 2 2 24 2 2" xfId="5400" xr:uid="{00000000-0005-0000-0000-00008D170000}"/>
    <cellStyle name="Normal 3 2 2 24 3" xfId="5401" xr:uid="{00000000-0005-0000-0000-00008E170000}"/>
    <cellStyle name="Normal 3 2 2 25" xfId="5402" xr:uid="{00000000-0005-0000-0000-00008F170000}"/>
    <cellStyle name="Normal 3 2 2 25 2" xfId="5403" xr:uid="{00000000-0005-0000-0000-000090170000}"/>
    <cellStyle name="Normal 3 2 2 25 2 2" xfId="5404" xr:uid="{00000000-0005-0000-0000-000091170000}"/>
    <cellStyle name="Normal 3 2 2 25 3" xfId="5405" xr:uid="{00000000-0005-0000-0000-000092170000}"/>
    <cellStyle name="Normal 3 2 2 26" xfId="5406" xr:uid="{00000000-0005-0000-0000-000093170000}"/>
    <cellStyle name="Normal 3 2 2 26 2" xfId="5407" xr:uid="{00000000-0005-0000-0000-000094170000}"/>
    <cellStyle name="Normal 3 2 2 26 2 2" xfId="5408" xr:uid="{00000000-0005-0000-0000-000095170000}"/>
    <cellStyle name="Normal 3 2 2 26 3" xfId="5409" xr:uid="{00000000-0005-0000-0000-000096170000}"/>
    <cellStyle name="Normal 3 2 2 27" xfId="5410" xr:uid="{00000000-0005-0000-0000-000097170000}"/>
    <cellStyle name="Normal 3 2 2 27 2" xfId="5411" xr:uid="{00000000-0005-0000-0000-000098170000}"/>
    <cellStyle name="Normal 3 2 2 27 2 2" xfId="5412" xr:uid="{00000000-0005-0000-0000-000099170000}"/>
    <cellStyle name="Normal 3 2 2 27 3" xfId="5413" xr:uid="{00000000-0005-0000-0000-00009A170000}"/>
    <cellStyle name="Normal 3 2 2 28" xfId="5414" xr:uid="{00000000-0005-0000-0000-00009B170000}"/>
    <cellStyle name="Normal 3 2 2 28 2" xfId="5415" xr:uid="{00000000-0005-0000-0000-00009C170000}"/>
    <cellStyle name="Normal 3 2 2 28 2 2" xfId="5416" xr:uid="{00000000-0005-0000-0000-00009D170000}"/>
    <cellStyle name="Normal 3 2 2 28 3" xfId="5417" xr:uid="{00000000-0005-0000-0000-00009E170000}"/>
    <cellStyle name="Normal 3 2 2 29" xfId="5418" xr:uid="{00000000-0005-0000-0000-00009F170000}"/>
    <cellStyle name="Normal 3 2 2 29 2" xfId="5419" xr:uid="{00000000-0005-0000-0000-0000A0170000}"/>
    <cellStyle name="Normal 3 2 2 29 2 2" xfId="5420" xr:uid="{00000000-0005-0000-0000-0000A1170000}"/>
    <cellStyle name="Normal 3 2 2 29 3" xfId="5421" xr:uid="{00000000-0005-0000-0000-0000A2170000}"/>
    <cellStyle name="Normal 3 2 2 3" xfId="5422" xr:uid="{00000000-0005-0000-0000-0000A3170000}"/>
    <cellStyle name="Normal 3 2 2 3 2" xfId="5423" xr:uid="{00000000-0005-0000-0000-0000A4170000}"/>
    <cellStyle name="Normal 3 2 2 3 2 2" xfId="5424" xr:uid="{00000000-0005-0000-0000-0000A5170000}"/>
    <cellStyle name="Normal 3 2 2 3 3" xfId="5425" xr:uid="{00000000-0005-0000-0000-0000A6170000}"/>
    <cellStyle name="Normal 3 2 2 30" xfId="5426" xr:uid="{00000000-0005-0000-0000-0000A7170000}"/>
    <cellStyle name="Normal 3 2 2 30 2" xfId="5427" xr:uid="{00000000-0005-0000-0000-0000A8170000}"/>
    <cellStyle name="Normal 3 2 2 30 2 2" xfId="5428" xr:uid="{00000000-0005-0000-0000-0000A9170000}"/>
    <cellStyle name="Normal 3 2 2 30 3" xfId="5429" xr:uid="{00000000-0005-0000-0000-0000AA170000}"/>
    <cellStyle name="Normal 3 2 2 31" xfId="5430" xr:uid="{00000000-0005-0000-0000-0000AB170000}"/>
    <cellStyle name="Normal 3 2 2 31 2" xfId="5431" xr:uid="{00000000-0005-0000-0000-0000AC170000}"/>
    <cellStyle name="Normal 3 2 2 31 2 2" xfId="5432" xr:uid="{00000000-0005-0000-0000-0000AD170000}"/>
    <cellStyle name="Normal 3 2 2 31 3" xfId="5433" xr:uid="{00000000-0005-0000-0000-0000AE170000}"/>
    <cellStyle name="Normal 3 2 2 32" xfId="5434" xr:uid="{00000000-0005-0000-0000-0000AF170000}"/>
    <cellStyle name="Normal 3 2 2 32 2" xfId="5435" xr:uid="{00000000-0005-0000-0000-0000B0170000}"/>
    <cellStyle name="Normal 3 2 2 32 2 2" xfId="5436" xr:uid="{00000000-0005-0000-0000-0000B1170000}"/>
    <cellStyle name="Normal 3 2 2 32 3" xfId="5437" xr:uid="{00000000-0005-0000-0000-0000B2170000}"/>
    <cellStyle name="Normal 3 2 2 33" xfId="5438" xr:uid="{00000000-0005-0000-0000-0000B3170000}"/>
    <cellStyle name="Normal 3 2 2 33 2" xfId="5439" xr:uid="{00000000-0005-0000-0000-0000B4170000}"/>
    <cellStyle name="Normal 3 2 2 33 2 2" xfId="5440" xr:uid="{00000000-0005-0000-0000-0000B5170000}"/>
    <cellStyle name="Normal 3 2 2 33 3" xfId="5441" xr:uid="{00000000-0005-0000-0000-0000B6170000}"/>
    <cellStyle name="Normal 3 2 2 34" xfId="5442" xr:uid="{00000000-0005-0000-0000-0000B7170000}"/>
    <cellStyle name="Normal 3 2 2 34 2" xfId="5443" xr:uid="{00000000-0005-0000-0000-0000B8170000}"/>
    <cellStyle name="Normal 3 2 2 35" xfId="5444" xr:uid="{00000000-0005-0000-0000-0000B9170000}"/>
    <cellStyle name="Normal 3 2 2 4" xfId="5445" xr:uid="{00000000-0005-0000-0000-0000BA170000}"/>
    <cellStyle name="Normal 3 2 2 4 2" xfId="5446" xr:uid="{00000000-0005-0000-0000-0000BB170000}"/>
    <cellStyle name="Normal 3 2 2 4 2 2" xfId="5447" xr:uid="{00000000-0005-0000-0000-0000BC170000}"/>
    <cellStyle name="Normal 3 2 2 4 3" xfId="5448" xr:uid="{00000000-0005-0000-0000-0000BD170000}"/>
    <cellStyle name="Normal 3 2 2 5" xfId="5449" xr:uid="{00000000-0005-0000-0000-0000BE170000}"/>
    <cellStyle name="Normal 3 2 2 5 2" xfId="5450" xr:uid="{00000000-0005-0000-0000-0000BF170000}"/>
    <cellStyle name="Normal 3 2 2 5 2 2" xfId="5451" xr:uid="{00000000-0005-0000-0000-0000C0170000}"/>
    <cellStyle name="Normal 3 2 2 5 3" xfId="5452" xr:uid="{00000000-0005-0000-0000-0000C1170000}"/>
    <cellStyle name="Normal 3 2 2 6" xfId="5453" xr:uid="{00000000-0005-0000-0000-0000C2170000}"/>
    <cellStyle name="Normal 3 2 2 6 2" xfId="5454" xr:uid="{00000000-0005-0000-0000-0000C3170000}"/>
    <cellStyle name="Normal 3 2 2 6 2 2" xfId="5455" xr:uid="{00000000-0005-0000-0000-0000C4170000}"/>
    <cellStyle name="Normal 3 2 2 6 3" xfId="5456" xr:uid="{00000000-0005-0000-0000-0000C5170000}"/>
    <cellStyle name="Normal 3 2 2 7" xfId="5457" xr:uid="{00000000-0005-0000-0000-0000C6170000}"/>
    <cellStyle name="Normal 3 2 2 7 2" xfId="5458" xr:uid="{00000000-0005-0000-0000-0000C7170000}"/>
    <cellStyle name="Normal 3 2 2 7 2 2" xfId="5459" xr:uid="{00000000-0005-0000-0000-0000C8170000}"/>
    <cellStyle name="Normal 3 2 2 7 3" xfId="5460" xr:uid="{00000000-0005-0000-0000-0000C9170000}"/>
    <cellStyle name="Normal 3 2 2 8" xfId="5461" xr:uid="{00000000-0005-0000-0000-0000CA170000}"/>
    <cellStyle name="Normal 3 2 2 8 2" xfId="5462" xr:uid="{00000000-0005-0000-0000-0000CB170000}"/>
    <cellStyle name="Normal 3 2 2 8 2 2" xfId="5463" xr:uid="{00000000-0005-0000-0000-0000CC170000}"/>
    <cellStyle name="Normal 3 2 2 8 3" xfId="5464" xr:uid="{00000000-0005-0000-0000-0000CD170000}"/>
    <cellStyle name="Normal 3 2 2 9" xfId="5465" xr:uid="{00000000-0005-0000-0000-0000CE170000}"/>
    <cellStyle name="Normal 3 2 2 9 2" xfId="5466" xr:uid="{00000000-0005-0000-0000-0000CF170000}"/>
    <cellStyle name="Normal 3 2 2 9 2 2" xfId="5467" xr:uid="{00000000-0005-0000-0000-0000D0170000}"/>
    <cellStyle name="Normal 3 2 2 9 3" xfId="5468" xr:uid="{00000000-0005-0000-0000-0000D1170000}"/>
    <cellStyle name="Normal 3 2 20" xfId="5469" xr:uid="{00000000-0005-0000-0000-0000D2170000}"/>
    <cellStyle name="Normal 3 2 20 2" xfId="5470" xr:uid="{00000000-0005-0000-0000-0000D3170000}"/>
    <cellStyle name="Normal 3 2 20 2 2" xfId="5471" xr:uid="{00000000-0005-0000-0000-0000D4170000}"/>
    <cellStyle name="Normal 3 2 20 3" xfId="5472" xr:uid="{00000000-0005-0000-0000-0000D5170000}"/>
    <cellStyle name="Normal 3 2 21" xfId="5473" xr:uid="{00000000-0005-0000-0000-0000D6170000}"/>
    <cellStyle name="Normal 3 2 21 2" xfId="5474" xr:uid="{00000000-0005-0000-0000-0000D7170000}"/>
    <cellStyle name="Normal 3 2 21 2 2" xfId="5475" xr:uid="{00000000-0005-0000-0000-0000D8170000}"/>
    <cellStyle name="Normal 3 2 21 3" xfId="5476" xr:uid="{00000000-0005-0000-0000-0000D9170000}"/>
    <cellStyle name="Normal 3 2 22" xfId="5477" xr:uid="{00000000-0005-0000-0000-0000DA170000}"/>
    <cellStyle name="Normal 3 2 22 2" xfId="5478" xr:uid="{00000000-0005-0000-0000-0000DB170000}"/>
    <cellStyle name="Normal 3 2 22 2 2" xfId="5479" xr:uid="{00000000-0005-0000-0000-0000DC170000}"/>
    <cellStyle name="Normal 3 2 22 3" xfId="5480" xr:uid="{00000000-0005-0000-0000-0000DD170000}"/>
    <cellStyle name="Normal 3 2 23" xfId="5481" xr:uid="{00000000-0005-0000-0000-0000DE170000}"/>
    <cellStyle name="Normal 3 2 23 2" xfId="5482" xr:uid="{00000000-0005-0000-0000-0000DF170000}"/>
    <cellStyle name="Normal 3 2 23 2 2" xfId="5483" xr:uid="{00000000-0005-0000-0000-0000E0170000}"/>
    <cellStyle name="Normal 3 2 23 3" xfId="5484" xr:uid="{00000000-0005-0000-0000-0000E1170000}"/>
    <cellStyle name="Normal 3 2 24" xfId="5485" xr:uid="{00000000-0005-0000-0000-0000E2170000}"/>
    <cellStyle name="Normal 3 2 24 2" xfId="5486" xr:uid="{00000000-0005-0000-0000-0000E3170000}"/>
    <cellStyle name="Normal 3 2 24 2 2" xfId="5487" xr:uid="{00000000-0005-0000-0000-0000E4170000}"/>
    <cellStyle name="Normal 3 2 24 3" xfId="5488" xr:uid="{00000000-0005-0000-0000-0000E5170000}"/>
    <cellStyle name="Normal 3 2 25" xfId="5489" xr:uid="{00000000-0005-0000-0000-0000E6170000}"/>
    <cellStyle name="Normal 3 2 25 2" xfId="5490" xr:uid="{00000000-0005-0000-0000-0000E7170000}"/>
    <cellStyle name="Normal 3 2 25 2 2" xfId="5491" xr:uid="{00000000-0005-0000-0000-0000E8170000}"/>
    <cellStyle name="Normal 3 2 25 3" xfId="5492" xr:uid="{00000000-0005-0000-0000-0000E9170000}"/>
    <cellStyle name="Normal 3 2 26" xfId="5493" xr:uid="{00000000-0005-0000-0000-0000EA170000}"/>
    <cellStyle name="Normal 3 2 26 2" xfId="5494" xr:uid="{00000000-0005-0000-0000-0000EB170000}"/>
    <cellStyle name="Normal 3 2 26 2 2" xfId="5495" xr:uid="{00000000-0005-0000-0000-0000EC170000}"/>
    <cellStyle name="Normal 3 2 26 3" xfId="5496" xr:uid="{00000000-0005-0000-0000-0000ED170000}"/>
    <cellStyle name="Normal 3 2 27" xfId="5497" xr:uid="{00000000-0005-0000-0000-0000EE170000}"/>
    <cellStyle name="Normal 3 2 27 2" xfId="5498" xr:uid="{00000000-0005-0000-0000-0000EF170000}"/>
    <cellStyle name="Normal 3 2 27 2 2" xfId="5499" xr:uid="{00000000-0005-0000-0000-0000F0170000}"/>
    <cellStyle name="Normal 3 2 27 3" xfId="5500" xr:uid="{00000000-0005-0000-0000-0000F1170000}"/>
    <cellStyle name="Normal 3 2 28" xfId="5501" xr:uid="{00000000-0005-0000-0000-0000F2170000}"/>
    <cellStyle name="Normal 3 2 28 2" xfId="5502" xr:uid="{00000000-0005-0000-0000-0000F3170000}"/>
    <cellStyle name="Normal 3 2 28 2 2" xfId="5503" xr:uid="{00000000-0005-0000-0000-0000F4170000}"/>
    <cellStyle name="Normal 3 2 28 3" xfId="5504" xr:uid="{00000000-0005-0000-0000-0000F5170000}"/>
    <cellStyle name="Normal 3 2 29" xfId="5505" xr:uid="{00000000-0005-0000-0000-0000F6170000}"/>
    <cellStyle name="Normal 3 2 29 2" xfId="5506" xr:uid="{00000000-0005-0000-0000-0000F7170000}"/>
    <cellStyle name="Normal 3 2 29 2 2" xfId="5507" xr:uid="{00000000-0005-0000-0000-0000F8170000}"/>
    <cellStyle name="Normal 3 2 29 3" xfId="5508" xr:uid="{00000000-0005-0000-0000-0000F9170000}"/>
    <cellStyle name="Normal 3 2 3" xfId="328" xr:uid="{00000000-0005-0000-0000-0000FA170000}"/>
    <cellStyle name="Normal 3 2 3 2" xfId="5509" xr:uid="{00000000-0005-0000-0000-0000FB170000}"/>
    <cellStyle name="Normal 3 2 3 2 2" xfId="5510" xr:uid="{00000000-0005-0000-0000-0000FC170000}"/>
    <cellStyle name="Normal 3 2 3 3" xfId="5511" xr:uid="{00000000-0005-0000-0000-0000FD170000}"/>
    <cellStyle name="Normal 3 2 30" xfId="5512" xr:uid="{00000000-0005-0000-0000-0000FE170000}"/>
    <cellStyle name="Normal 3 2 30 2" xfId="5513" xr:uid="{00000000-0005-0000-0000-0000FF170000}"/>
    <cellStyle name="Normal 3 2 30 2 2" xfId="5514" xr:uid="{00000000-0005-0000-0000-000000180000}"/>
    <cellStyle name="Normal 3 2 30 3" xfId="5515" xr:uid="{00000000-0005-0000-0000-000001180000}"/>
    <cellStyle name="Normal 3 2 31" xfId="5516" xr:uid="{00000000-0005-0000-0000-000002180000}"/>
    <cellStyle name="Normal 3 2 31 2" xfId="5517" xr:uid="{00000000-0005-0000-0000-000003180000}"/>
    <cellStyle name="Normal 3 2 31 2 2" xfId="5518" xr:uid="{00000000-0005-0000-0000-000004180000}"/>
    <cellStyle name="Normal 3 2 31 3" xfId="5519" xr:uid="{00000000-0005-0000-0000-000005180000}"/>
    <cellStyle name="Normal 3 2 32" xfId="5520" xr:uid="{00000000-0005-0000-0000-000006180000}"/>
    <cellStyle name="Normal 3 2 32 2" xfId="5521" xr:uid="{00000000-0005-0000-0000-000007180000}"/>
    <cellStyle name="Normal 3 2 32 2 2" xfId="5522" xr:uid="{00000000-0005-0000-0000-000008180000}"/>
    <cellStyle name="Normal 3 2 32 3" xfId="5523" xr:uid="{00000000-0005-0000-0000-000009180000}"/>
    <cellStyle name="Normal 3 2 33" xfId="5524" xr:uid="{00000000-0005-0000-0000-00000A180000}"/>
    <cellStyle name="Normal 3 2 33 2" xfId="5525" xr:uid="{00000000-0005-0000-0000-00000B180000}"/>
    <cellStyle name="Normal 3 2 33 2 2" xfId="5526" xr:uid="{00000000-0005-0000-0000-00000C180000}"/>
    <cellStyle name="Normal 3 2 33 3" xfId="5527" xr:uid="{00000000-0005-0000-0000-00000D180000}"/>
    <cellStyle name="Normal 3 2 34" xfId="5528" xr:uid="{00000000-0005-0000-0000-00000E180000}"/>
    <cellStyle name="Normal 3 2 34 2" xfId="5529" xr:uid="{00000000-0005-0000-0000-00000F180000}"/>
    <cellStyle name="Normal 3 2 34 2 2" xfId="5530" xr:uid="{00000000-0005-0000-0000-000010180000}"/>
    <cellStyle name="Normal 3 2 34 3" xfId="5531" xr:uid="{00000000-0005-0000-0000-000011180000}"/>
    <cellStyle name="Normal 3 2 35" xfId="5532" xr:uid="{00000000-0005-0000-0000-000012180000}"/>
    <cellStyle name="Normal 3 2 35 2" xfId="5533" xr:uid="{00000000-0005-0000-0000-000013180000}"/>
    <cellStyle name="Normal 3 2 35 2 2" xfId="5534" xr:uid="{00000000-0005-0000-0000-000014180000}"/>
    <cellStyle name="Normal 3 2 35 3" xfId="5535" xr:uid="{00000000-0005-0000-0000-000015180000}"/>
    <cellStyle name="Normal 3 2 36" xfId="5536" xr:uid="{00000000-0005-0000-0000-000016180000}"/>
    <cellStyle name="Normal 3 2 36 2" xfId="5537" xr:uid="{00000000-0005-0000-0000-000017180000}"/>
    <cellStyle name="Normal 3 2 36 2 2" xfId="5538" xr:uid="{00000000-0005-0000-0000-000018180000}"/>
    <cellStyle name="Normal 3 2 36 3" xfId="5539" xr:uid="{00000000-0005-0000-0000-000019180000}"/>
    <cellStyle name="Normal 3 2 37" xfId="5540" xr:uid="{00000000-0005-0000-0000-00001A180000}"/>
    <cellStyle name="Normal 3 2 37 2" xfId="5541" xr:uid="{00000000-0005-0000-0000-00001B180000}"/>
    <cellStyle name="Normal 3 2 37 2 2" xfId="5542" xr:uid="{00000000-0005-0000-0000-00001C180000}"/>
    <cellStyle name="Normal 3 2 37 3" xfId="5543" xr:uid="{00000000-0005-0000-0000-00001D180000}"/>
    <cellStyle name="Normal 3 2 38" xfId="5544" xr:uid="{00000000-0005-0000-0000-00001E180000}"/>
    <cellStyle name="Normal 3 2 38 2" xfId="5545" xr:uid="{00000000-0005-0000-0000-00001F180000}"/>
    <cellStyle name="Normal 3 2 38 2 2" xfId="5546" xr:uid="{00000000-0005-0000-0000-000020180000}"/>
    <cellStyle name="Normal 3 2 38 3" xfId="5547" xr:uid="{00000000-0005-0000-0000-000021180000}"/>
    <cellStyle name="Normal 3 2 39" xfId="5548" xr:uid="{00000000-0005-0000-0000-000022180000}"/>
    <cellStyle name="Normal 3 2 39 2" xfId="5549" xr:uid="{00000000-0005-0000-0000-000023180000}"/>
    <cellStyle name="Normal 3 2 39 2 2" xfId="5550" xr:uid="{00000000-0005-0000-0000-000024180000}"/>
    <cellStyle name="Normal 3 2 39 3" xfId="5551" xr:uid="{00000000-0005-0000-0000-000025180000}"/>
    <cellStyle name="Normal 3 2 4" xfId="5552" xr:uid="{00000000-0005-0000-0000-000026180000}"/>
    <cellStyle name="Normal 3 2 4 2" xfId="5553" xr:uid="{00000000-0005-0000-0000-000027180000}"/>
    <cellStyle name="Normal 3 2 4 2 2" xfId="5554" xr:uid="{00000000-0005-0000-0000-000028180000}"/>
    <cellStyle name="Normal 3 2 4 3" xfId="5555" xr:uid="{00000000-0005-0000-0000-000029180000}"/>
    <cellStyle name="Normal 3 2 40" xfId="5556" xr:uid="{00000000-0005-0000-0000-00002A180000}"/>
    <cellStyle name="Normal 3 2 40 2" xfId="5557" xr:uid="{00000000-0005-0000-0000-00002B180000}"/>
    <cellStyle name="Normal 3 2 40 2 2" xfId="5558" xr:uid="{00000000-0005-0000-0000-00002C180000}"/>
    <cellStyle name="Normal 3 2 40 3" xfId="5559" xr:uid="{00000000-0005-0000-0000-00002D180000}"/>
    <cellStyle name="Normal 3 2 41" xfId="5560" xr:uid="{00000000-0005-0000-0000-00002E180000}"/>
    <cellStyle name="Normal 3 2 41 2" xfId="5561" xr:uid="{00000000-0005-0000-0000-00002F180000}"/>
    <cellStyle name="Normal 3 2 41 2 2" xfId="5562" xr:uid="{00000000-0005-0000-0000-000030180000}"/>
    <cellStyle name="Normal 3 2 41 3" xfId="5563" xr:uid="{00000000-0005-0000-0000-000031180000}"/>
    <cellStyle name="Normal 3 2 42" xfId="5564" xr:uid="{00000000-0005-0000-0000-000032180000}"/>
    <cellStyle name="Normal 3 2 42 2" xfId="5565" xr:uid="{00000000-0005-0000-0000-000033180000}"/>
    <cellStyle name="Normal 3 2 42 2 2" xfId="5566" xr:uid="{00000000-0005-0000-0000-000034180000}"/>
    <cellStyle name="Normal 3 2 42 3" xfId="5567" xr:uid="{00000000-0005-0000-0000-000035180000}"/>
    <cellStyle name="Normal 3 2 43" xfId="5568" xr:uid="{00000000-0005-0000-0000-000036180000}"/>
    <cellStyle name="Normal 3 2 43 2" xfId="5569" xr:uid="{00000000-0005-0000-0000-000037180000}"/>
    <cellStyle name="Normal 3 2 43 2 2" xfId="5570" xr:uid="{00000000-0005-0000-0000-000038180000}"/>
    <cellStyle name="Normal 3 2 43 3" xfId="5571" xr:uid="{00000000-0005-0000-0000-000039180000}"/>
    <cellStyle name="Normal 3 2 44" xfId="5572" xr:uid="{00000000-0005-0000-0000-00003A180000}"/>
    <cellStyle name="Normal 3 2 44 2" xfId="5573" xr:uid="{00000000-0005-0000-0000-00003B180000}"/>
    <cellStyle name="Normal 3 2 44 2 2" xfId="5574" xr:uid="{00000000-0005-0000-0000-00003C180000}"/>
    <cellStyle name="Normal 3 2 44 3" xfId="5575" xr:uid="{00000000-0005-0000-0000-00003D180000}"/>
    <cellStyle name="Normal 3 2 45" xfId="5576" xr:uid="{00000000-0005-0000-0000-00003E180000}"/>
    <cellStyle name="Normal 3 2 45 2" xfId="5577" xr:uid="{00000000-0005-0000-0000-00003F180000}"/>
    <cellStyle name="Normal 3 2 45 2 2" xfId="5578" xr:uid="{00000000-0005-0000-0000-000040180000}"/>
    <cellStyle name="Normal 3 2 45 3" xfId="5579" xr:uid="{00000000-0005-0000-0000-000041180000}"/>
    <cellStyle name="Normal 3 2 46" xfId="5580" xr:uid="{00000000-0005-0000-0000-000042180000}"/>
    <cellStyle name="Normal 3 2 46 2" xfId="5581" xr:uid="{00000000-0005-0000-0000-000043180000}"/>
    <cellStyle name="Normal 3 2 46 2 2" xfId="5582" xr:uid="{00000000-0005-0000-0000-000044180000}"/>
    <cellStyle name="Normal 3 2 46 3" xfId="5583" xr:uid="{00000000-0005-0000-0000-000045180000}"/>
    <cellStyle name="Normal 3 2 47" xfId="5584" xr:uid="{00000000-0005-0000-0000-000046180000}"/>
    <cellStyle name="Normal 3 2 47 2" xfId="5585" xr:uid="{00000000-0005-0000-0000-000047180000}"/>
    <cellStyle name="Normal 3 2 47 2 2" xfId="5586" xr:uid="{00000000-0005-0000-0000-000048180000}"/>
    <cellStyle name="Normal 3 2 47 3" xfId="5587" xr:uid="{00000000-0005-0000-0000-000049180000}"/>
    <cellStyle name="Normal 3 2 48" xfId="5588" xr:uid="{00000000-0005-0000-0000-00004A180000}"/>
    <cellStyle name="Normal 3 2 48 2" xfId="5589" xr:uid="{00000000-0005-0000-0000-00004B180000}"/>
    <cellStyle name="Normal 3 2 48 2 2" xfId="5590" xr:uid="{00000000-0005-0000-0000-00004C180000}"/>
    <cellStyle name="Normal 3 2 48 3" xfId="5591" xr:uid="{00000000-0005-0000-0000-00004D180000}"/>
    <cellStyle name="Normal 3 2 49" xfId="5592" xr:uid="{00000000-0005-0000-0000-00004E180000}"/>
    <cellStyle name="Normal 3 2 49 2" xfId="5593" xr:uid="{00000000-0005-0000-0000-00004F180000}"/>
    <cellStyle name="Normal 3 2 49 2 2" xfId="5594" xr:uid="{00000000-0005-0000-0000-000050180000}"/>
    <cellStyle name="Normal 3 2 49 3" xfId="5595" xr:uid="{00000000-0005-0000-0000-000051180000}"/>
    <cellStyle name="Normal 3 2 5" xfId="5596" xr:uid="{00000000-0005-0000-0000-000052180000}"/>
    <cellStyle name="Normal 3 2 5 2" xfId="5597" xr:uid="{00000000-0005-0000-0000-000053180000}"/>
    <cellStyle name="Normal 3 2 5 2 2" xfId="5598" xr:uid="{00000000-0005-0000-0000-000054180000}"/>
    <cellStyle name="Normal 3 2 5 3" xfId="5599" xr:uid="{00000000-0005-0000-0000-000055180000}"/>
    <cellStyle name="Normal 3 2 50" xfId="5600" xr:uid="{00000000-0005-0000-0000-000056180000}"/>
    <cellStyle name="Normal 3 2 50 2" xfId="5601" xr:uid="{00000000-0005-0000-0000-000057180000}"/>
    <cellStyle name="Normal 3 2 50 2 2" xfId="5602" xr:uid="{00000000-0005-0000-0000-000058180000}"/>
    <cellStyle name="Normal 3 2 50 3" xfId="5603" xr:uid="{00000000-0005-0000-0000-000059180000}"/>
    <cellStyle name="Normal 3 2 51" xfId="5604" xr:uid="{00000000-0005-0000-0000-00005A180000}"/>
    <cellStyle name="Normal 3 2 51 2" xfId="5605" xr:uid="{00000000-0005-0000-0000-00005B180000}"/>
    <cellStyle name="Normal 3 2 51 2 2" xfId="5606" xr:uid="{00000000-0005-0000-0000-00005C180000}"/>
    <cellStyle name="Normal 3 2 51 3" xfId="5607" xr:uid="{00000000-0005-0000-0000-00005D180000}"/>
    <cellStyle name="Normal 3 2 52" xfId="5608" xr:uid="{00000000-0005-0000-0000-00005E180000}"/>
    <cellStyle name="Normal 3 2 52 2" xfId="5609" xr:uid="{00000000-0005-0000-0000-00005F180000}"/>
    <cellStyle name="Normal 3 2 52 2 2" xfId="5610" xr:uid="{00000000-0005-0000-0000-000060180000}"/>
    <cellStyle name="Normal 3 2 52 3" xfId="5611" xr:uid="{00000000-0005-0000-0000-000061180000}"/>
    <cellStyle name="Normal 3 2 53" xfId="5612" xr:uid="{00000000-0005-0000-0000-000062180000}"/>
    <cellStyle name="Normal 3 2 53 2" xfId="5613" xr:uid="{00000000-0005-0000-0000-000063180000}"/>
    <cellStyle name="Normal 3 2 53 2 2" xfId="5614" xr:uid="{00000000-0005-0000-0000-000064180000}"/>
    <cellStyle name="Normal 3 2 53 3" xfId="5615" xr:uid="{00000000-0005-0000-0000-000065180000}"/>
    <cellStyle name="Normal 3 2 54" xfId="5616" xr:uid="{00000000-0005-0000-0000-000066180000}"/>
    <cellStyle name="Normal 3 2 54 2" xfId="5617" xr:uid="{00000000-0005-0000-0000-000067180000}"/>
    <cellStyle name="Normal 3 2 54 2 2" xfId="5618" xr:uid="{00000000-0005-0000-0000-000068180000}"/>
    <cellStyle name="Normal 3 2 54 3" xfId="5619" xr:uid="{00000000-0005-0000-0000-000069180000}"/>
    <cellStyle name="Normal 3 2 55" xfId="5620" xr:uid="{00000000-0005-0000-0000-00006A180000}"/>
    <cellStyle name="Normal 3 2 55 2" xfId="5621" xr:uid="{00000000-0005-0000-0000-00006B180000}"/>
    <cellStyle name="Normal 3 2 55 2 2" xfId="5622" xr:uid="{00000000-0005-0000-0000-00006C180000}"/>
    <cellStyle name="Normal 3 2 55 3" xfId="5623" xr:uid="{00000000-0005-0000-0000-00006D180000}"/>
    <cellStyle name="Normal 3 2 56" xfId="5624" xr:uid="{00000000-0005-0000-0000-00006E180000}"/>
    <cellStyle name="Normal 3 2 57" xfId="5625" xr:uid="{00000000-0005-0000-0000-00006F180000}"/>
    <cellStyle name="Normal 3 2 57 2" xfId="5626" xr:uid="{00000000-0005-0000-0000-000070180000}"/>
    <cellStyle name="Normal 3 2 58" xfId="5627" xr:uid="{00000000-0005-0000-0000-000071180000}"/>
    <cellStyle name="Normal 3 2 59" xfId="5628" xr:uid="{00000000-0005-0000-0000-000072180000}"/>
    <cellStyle name="Normal 3 2 6" xfId="5629" xr:uid="{00000000-0005-0000-0000-000073180000}"/>
    <cellStyle name="Normal 3 2 6 2" xfId="5630" xr:uid="{00000000-0005-0000-0000-000074180000}"/>
    <cellStyle name="Normal 3 2 6 2 2" xfId="5631" xr:uid="{00000000-0005-0000-0000-000075180000}"/>
    <cellStyle name="Normal 3 2 6 3" xfId="5632" xr:uid="{00000000-0005-0000-0000-000076180000}"/>
    <cellStyle name="Normal 3 2 60" xfId="5633" xr:uid="{00000000-0005-0000-0000-000077180000}"/>
    <cellStyle name="Normal 3 2 7" xfId="5634" xr:uid="{00000000-0005-0000-0000-000078180000}"/>
    <cellStyle name="Normal 3 2 7 2" xfId="5635" xr:uid="{00000000-0005-0000-0000-000079180000}"/>
    <cellStyle name="Normal 3 2 7 2 2" xfId="5636" xr:uid="{00000000-0005-0000-0000-00007A180000}"/>
    <cellStyle name="Normal 3 2 7 3" xfId="5637" xr:uid="{00000000-0005-0000-0000-00007B180000}"/>
    <cellStyle name="Normal 3 2 8" xfId="5638" xr:uid="{00000000-0005-0000-0000-00007C180000}"/>
    <cellStyle name="Normal 3 2 8 2" xfId="5639" xr:uid="{00000000-0005-0000-0000-00007D180000}"/>
    <cellStyle name="Normal 3 2 8 2 2" xfId="5640" xr:uid="{00000000-0005-0000-0000-00007E180000}"/>
    <cellStyle name="Normal 3 2 8 3" xfId="5641" xr:uid="{00000000-0005-0000-0000-00007F180000}"/>
    <cellStyle name="Normal 3 2 9" xfId="5642" xr:uid="{00000000-0005-0000-0000-000080180000}"/>
    <cellStyle name="Normal 3 2 9 2" xfId="5643" xr:uid="{00000000-0005-0000-0000-000081180000}"/>
    <cellStyle name="Normal 3 2 9 2 2" xfId="5644" xr:uid="{00000000-0005-0000-0000-000082180000}"/>
    <cellStyle name="Normal 3 2 9 3" xfId="5645" xr:uid="{00000000-0005-0000-0000-000083180000}"/>
    <cellStyle name="Normal 3 20" xfId="5646" xr:uid="{00000000-0005-0000-0000-000084180000}"/>
    <cellStyle name="Normal 3 20 10" xfId="5647" xr:uid="{00000000-0005-0000-0000-000085180000}"/>
    <cellStyle name="Normal 3 20 10 2" xfId="5648" xr:uid="{00000000-0005-0000-0000-000086180000}"/>
    <cellStyle name="Normal 3 20 10 2 2" xfId="5649" xr:uid="{00000000-0005-0000-0000-000087180000}"/>
    <cellStyle name="Normal 3 20 10 3" xfId="5650" xr:uid="{00000000-0005-0000-0000-000088180000}"/>
    <cellStyle name="Normal 3 20 11" xfId="5651" xr:uid="{00000000-0005-0000-0000-000089180000}"/>
    <cellStyle name="Normal 3 20 11 2" xfId="5652" xr:uid="{00000000-0005-0000-0000-00008A180000}"/>
    <cellStyle name="Normal 3 20 11 2 2" xfId="5653" xr:uid="{00000000-0005-0000-0000-00008B180000}"/>
    <cellStyle name="Normal 3 20 11 3" xfId="5654" xr:uid="{00000000-0005-0000-0000-00008C180000}"/>
    <cellStyle name="Normal 3 20 12" xfId="5655" xr:uid="{00000000-0005-0000-0000-00008D180000}"/>
    <cellStyle name="Normal 3 20 12 2" xfId="5656" xr:uid="{00000000-0005-0000-0000-00008E180000}"/>
    <cellStyle name="Normal 3 20 12 2 2" xfId="5657" xr:uid="{00000000-0005-0000-0000-00008F180000}"/>
    <cellStyle name="Normal 3 20 12 3" xfId="5658" xr:uid="{00000000-0005-0000-0000-000090180000}"/>
    <cellStyle name="Normal 3 20 13" xfId="5659" xr:uid="{00000000-0005-0000-0000-000091180000}"/>
    <cellStyle name="Normal 3 20 13 2" xfId="5660" xr:uid="{00000000-0005-0000-0000-000092180000}"/>
    <cellStyle name="Normal 3 20 13 2 2" xfId="5661" xr:uid="{00000000-0005-0000-0000-000093180000}"/>
    <cellStyle name="Normal 3 20 13 3" xfId="5662" xr:uid="{00000000-0005-0000-0000-000094180000}"/>
    <cellStyle name="Normal 3 20 14" xfId="5663" xr:uid="{00000000-0005-0000-0000-000095180000}"/>
    <cellStyle name="Normal 3 20 14 2" xfId="5664" xr:uid="{00000000-0005-0000-0000-000096180000}"/>
    <cellStyle name="Normal 3 20 14 2 2" xfId="5665" xr:uid="{00000000-0005-0000-0000-000097180000}"/>
    <cellStyle name="Normal 3 20 14 3" xfId="5666" xr:uid="{00000000-0005-0000-0000-000098180000}"/>
    <cellStyle name="Normal 3 20 15" xfId="5667" xr:uid="{00000000-0005-0000-0000-000099180000}"/>
    <cellStyle name="Normal 3 20 15 2" xfId="5668" xr:uid="{00000000-0005-0000-0000-00009A180000}"/>
    <cellStyle name="Normal 3 20 15 2 2" xfId="5669" xr:uid="{00000000-0005-0000-0000-00009B180000}"/>
    <cellStyle name="Normal 3 20 15 3" xfId="5670" xr:uid="{00000000-0005-0000-0000-00009C180000}"/>
    <cellStyle name="Normal 3 20 16" xfId="5671" xr:uid="{00000000-0005-0000-0000-00009D180000}"/>
    <cellStyle name="Normal 3 20 16 2" xfId="5672" xr:uid="{00000000-0005-0000-0000-00009E180000}"/>
    <cellStyle name="Normal 3 20 16 2 2" xfId="5673" xr:uid="{00000000-0005-0000-0000-00009F180000}"/>
    <cellStyle name="Normal 3 20 16 3" xfId="5674" xr:uid="{00000000-0005-0000-0000-0000A0180000}"/>
    <cellStyle name="Normal 3 20 17" xfId="5675" xr:uid="{00000000-0005-0000-0000-0000A1180000}"/>
    <cellStyle name="Normal 3 20 17 2" xfId="5676" xr:uid="{00000000-0005-0000-0000-0000A2180000}"/>
    <cellStyle name="Normal 3 20 17 2 2" xfId="5677" xr:uid="{00000000-0005-0000-0000-0000A3180000}"/>
    <cellStyle name="Normal 3 20 17 3" xfId="5678" xr:uid="{00000000-0005-0000-0000-0000A4180000}"/>
    <cellStyle name="Normal 3 20 18" xfId="5679" xr:uid="{00000000-0005-0000-0000-0000A5180000}"/>
    <cellStyle name="Normal 3 20 18 2" xfId="5680" xr:uid="{00000000-0005-0000-0000-0000A6180000}"/>
    <cellStyle name="Normal 3 20 18 2 2" xfId="5681" xr:uid="{00000000-0005-0000-0000-0000A7180000}"/>
    <cellStyle name="Normal 3 20 18 3" xfId="5682" xr:uid="{00000000-0005-0000-0000-0000A8180000}"/>
    <cellStyle name="Normal 3 20 19" xfId="5683" xr:uid="{00000000-0005-0000-0000-0000A9180000}"/>
    <cellStyle name="Normal 3 20 19 2" xfId="5684" xr:uid="{00000000-0005-0000-0000-0000AA180000}"/>
    <cellStyle name="Normal 3 20 19 2 2" xfId="5685" xr:uid="{00000000-0005-0000-0000-0000AB180000}"/>
    <cellStyle name="Normal 3 20 19 3" xfId="5686" xr:uid="{00000000-0005-0000-0000-0000AC180000}"/>
    <cellStyle name="Normal 3 20 2" xfId="5687" xr:uid="{00000000-0005-0000-0000-0000AD180000}"/>
    <cellStyle name="Normal 3 20 2 2" xfId="5688" xr:uid="{00000000-0005-0000-0000-0000AE180000}"/>
    <cellStyle name="Normal 3 20 2 2 2" xfId="5689" xr:uid="{00000000-0005-0000-0000-0000AF180000}"/>
    <cellStyle name="Normal 3 20 2 3" xfId="5690" xr:uid="{00000000-0005-0000-0000-0000B0180000}"/>
    <cellStyle name="Normal 3 20 20" xfId="5691" xr:uid="{00000000-0005-0000-0000-0000B1180000}"/>
    <cellStyle name="Normal 3 20 20 2" xfId="5692" xr:uid="{00000000-0005-0000-0000-0000B2180000}"/>
    <cellStyle name="Normal 3 20 20 2 2" xfId="5693" xr:uid="{00000000-0005-0000-0000-0000B3180000}"/>
    <cellStyle name="Normal 3 20 20 3" xfId="5694" xr:uid="{00000000-0005-0000-0000-0000B4180000}"/>
    <cellStyle name="Normal 3 20 21" xfId="5695" xr:uid="{00000000-0005-0000-0000-0000B5180000}"/>
    <cellStyle name="Normal 3 20 21 2" xfId="5696" xr:uid="{00000000-0005-0000-0000-0000B6180000}"/>
    <cellStyle name="Normal 3 20 21 2 2" xfId="5697" xr:uid="{00000000-0005-0000-0000-0000B7180000}"/>
    <cellStyle name="Normal 3 20 21 3" xfId="5698" xr:uid="{00000000-0005-0000-0000-0000B8180000}"/>
    <cellStyle name="Normal 3 20 22" xfId="5699" xr:uid="{00000000-0005-0000-0000-0000B9180000}"/>
    <cellStyle name="Normal 3 20 22 2" xfId="5700" xr:uid="{00000000-0005-0000-0000-0000BA180000}"/>
    <cellStyle name="Normal 3 20 22 2 2" xfId="5701" xr:uid="{00000000-0005-0000-0000-0000BB180000}"/>
    <cellStyle name="Normal 3 20 22 3" xfId="5702" xr:uid="{00000000-0005-0000-0000-0000BC180000}"/>
    <cellStyle name="Normal 3 20 23" xfId="5703" xr:uid="{00000000-0005-0000-0000-0000BD180000}"/>
    <cellStyle name="Normal 3 20 23 2" xfId="5704" xr:uid="{00000000-0005-0000-0000-0000BE180000}"/>
    <cellStyle name="Normal 3 20 23 2 2" xfId="5705" xr:uid="{00000000-0005-0000-0000-0000BF180000}"/>
    <cellStyle name="Normal 3 20 23 3" xfId="5706" xr:uid="{00000000-0005-0000-0000-0000C0180000}"/>
    <cellStyle name="Normal 3 20 24" xfId="5707" xr:uid="{00000000-0005-0000-0000-0000C1180000}"/>
    <cellStyle name="Normal 3 20 24 2" xfId="5708" xr:uid="{00000000-0005-0000-0000-0000C2180000}"/>
    <cellStyle name="Normal 3 20 25" xfId="5709" xr:uid="{00000000-0005-0000-0000-0000C3180000}"/>
    <cellStyle name="Normal 3 20 3" xfId="5710" xr:uid="{00000000-0005-0000-0000-0000C4180000}"/>
    <cellStyle name="Normal 3 20 3 2" xfId="5711" xr:uid="{00000000-0005-0000-0000-0000C5180000}"/>
    <cellStyle name="Normal 3 20 3 2 2" xfId="5712" xr:uid="{00000000-0005-0000-0000-0000C6180000}"/>
    <cellStyle name="Normal 3 20 3 3" xfId="5713" xr:uid="{00000000-0005-0000-0000-0000C7180000}"/>
    <cellStyle name="Normal 3 20 4" xfId="5714" xr:uid="{00000000-0005-0000-0000-0000C8180000}"/>
    <cellStyle name="Normal 3 20 4 2" xfId="5715" xr:uid="{00000000-0005-0000-0000-0000C9180000}"/>
    <cellStyle name="Normal 3 20 4 2 2" xfId="5716" xr:uid="{00000000-0005-0000-0000-0000CA180000}"/>
    <cellStyle name="Normal 3 20 4 3" xfId="5717" xr:uid="{00000000-0005-0000-0000-0000CB180000}"/>
    <cellStyle name="Normal 3 20 5" xfId="5718" xr:uid="{00000000-0005-0000-0000-0000CC180000}"/>
    <cellStyle name="Normal 3 20 5 2" xfId="5719" xr:uid="{00000000-0005-0000-0000-0000CD180000}"/>
    <cellStyle name="Normal 3 20 5 2 2" xfId="5720" xr:uid="{00000000-0005-0000-0000-0000CE180000}"/>
    <cellStyle name="Normal 3 20 5 3" xfId="5721" xr:uid="{00000000-0005-0000-0000-0000CF180000}"/>
    <cellStyle name="Normal 3 20 6" xfId="5722" xr:uid="{00000000-0005-0000-0000-0000D0180000}"/>
    <cellStyle name="Normal 3 20 6 2" xfId="5723" xr:uid="{00000000-0005-0000-0000-0000D1180000}"/>
    <cellStyle name="Normal 3 20 6 2 2" xfId="5724" xr:uid="{00000000-0005-0000-0000-0000D2180000}"/>
    <cellStyle name="Normal 3 20 6 3" xfId="5725" xr:uid="{00000000-0005-0000-0000-0000D3180000}"/>
    <cellStyle name="Normal 3 20 7" xfId="5726" xr:uid="{00000000-0005-0000-0000-0000D4180000}"/>
    <cellStyle name="Normal 3 20 7 2" xfId="5727" xr:uid="{00000000-0005-0000-0000-0000D5180000}"/>
    <cellStyle name="Normal 3 20 7 2 2" xfId="5728" xr:uid="{00000000-0005-0000-0000-0000D6180000}"/>
    <cellStyle name="Normal 3 20 7 3" xfId="5729" xr:uid="{00000000-0005-0000-0000-0000D7180000}"/>
    <cellStyle name="Normal 3 20 8" xfId="5730" xr:uid="{00000000-0005-0000-0000-0000D8180000}"/>
    <cellStyle name="Normal 3 20 8 2" xfId="5731" xr:uid="{00000000-0005-0000-0000-0000D9180000}"/>
    <cellStyle name="Normal 3 20 8 2 2" xfId="5732" xr:uid="{00000000-0005-0000-0000-0000DA180000}"/>
    <cellStyle name="Normal 3 20 8 3" xfId="5733" xr:uid="{00000000-0005-0000-0000-0000DB180000}"/>
    <cellStyle name="Normal 3 20 9" xfId="5734" xr:uid="{00000000-0005-0000-0000-0000DC180000}"/>
    <cellStyle name="Normal 3 20 9 2" xfId="5735" xr:uid="{00000000-0005-0000-0000-0000DD180000}"/>
    <cellStyle name="Normal 3 20 9 2 2" xfId="5736" xr:uid="{00000000-0005-0000-0000-0000DE180000}"/>
    <cellStyle name="Normal 3 20 9 3" xfId="5737" xr:uid="{00000000-0005-0000-0000-0000DF180000}"/>
    <cellStyle name="Normal 3 21" xfId="5738" xr:uid="{00000000-0005-0000-0000-0000E0180000}"/>
    <cellStyle name="Normal 3 21 10" xfId="5739" xr:uid="{00000000-0005-0000-0000-0000E1180000}"/>
    <cellStyle name="Normal 3 21 10 2" xfId="5740" xr:uid="{00000000-0005-0000-0000-0000E2180000}"/>
    <cellStyle name="Normal 3 21 10 2 2" xfId="5741" xr:uid="{00000000-0005-0000-0000-0000E3180000}"/>
    <cellStyle name="Normal 3 21 10 3" xfId="5742" xr:uid="{00000000-0005-0000-0000-0000E4180000}"/>
    <cellStyle name="Normal 3 21 11" xfId="5743" xr:uid="{00000000-0005-0000-0000-0000E5180000}"/>
    <cellStyle name="Normal 3 21 11 2" xfId="5744" xr:uid="{00000000-0005-0000-0000-0000E6180000}"/>
    <cellStyle name="Normal 3 21 11 2 2" xfId="5745" xr:uid="{00000000-0005-0000-0000-0000E7180000}"/>
    <cellStyle name="Normal 3 21 11 3" xfId="5746" xr:uid="{00000000-0005-0000-0000-0000E8180000}"/>
    <cellStyle name="Normal 3 21 12" xfId="5747" xr:uid="{00000000-0005-0000-0000-0000E9180000}"/>
    <cellStyle name="Normal 3 21 12 2" xfId="5748" xr:uid="{00000000-0005-0000-0000-0000EA180000}"/>
    <cellStyle name="Normal 3 21 12 2 2" xfId="5749" xr:uid="{00000000-0005-0000-0000-0000EB180000}"/>
    <cellStyle name="Normal 3 21 12 3" xfId="5750" xr:uid="{00000000-0005-0000-0000-0000EC180000}"/>
    <cellStyle name="Normal 3 21 13" xfId="5751" xr:uid="{00000000-0005-0000-0000-0000ED180000}"/>
    <cellStyle name="Normal 3 21 13 2" xfId="5752" xr:uid="{00000000-0005-0000-0000-0000EE180000}"/>
    <cellStyle name="Normal 3 21 13 2 2" xfId="5753" xr:uid="{00000000-0005-0000-0000-0000EF180000}"/>
    <cellStyle name="Normal 3 21 13 3" xfId="5754" xr:uid="{00000000-0005-0000-0000-0000F0180000}"/>
    <cellStyle name="Normal 3 21 14" xfId="5755" xr:uid="{00000000-0005-0000-0000-0000F1180000}"/>
    <cellStyle name="Normal 3 21 14 2" xfId="5756" xr:uid="{00000000-0005-0000-0000-0000F2180000}"/>
    <cellStyle name="Normal 3 21 14 2 2" xfId="5757" xr:uid="{00000000-0005-0000-0000-0000F3180000}"/>
    <cellStyle name="Normal 3 21 14 3" xfId="5758" xr:uid="{00000000-0005-0000-0000-0000F4180000}"/>
    <cellStyle name="Normal 3 21 15" xfId="5759" xr:uid="{00000000-0005-0000-0000-0000F5180000}"/>
    <cellStyle name="Normal 3 21 15 2" xfId="5760" xr:uid="{00000000-0005-0000-0000-0000F6180000}"/>
    <cellStyle name="Normal 3 21 15 2 2" xfId="5761" xr:uid="{00000000-0005-0000-0000-0000F7180000}"/>
    <cellStyle name="Normal 3 21 15 3" xfId="5762" xr:uid="{00000000-0005-0000-0000-0000F8180000}"/>
    <cellStyle name="Normal 3 21 16" xfId="5763" xr:uid="{00000000-0005-0000-0000-0000F9180000}"/>
    <cellStyle name="Normal 3 21 16 2" xfId="5764" xr:uid="{00000000-0005-0000-0000-0000FA180000}"/>
    <cellStyle name="Normal 3 21 16 2 2" xfId="5765" xr:uid="{00000000-0005-0000-0000-0000FB180000}"/>
    <cellStyle name="Normal 3 21 16 3" xfId="5766" xr:uid="{00000000-0005-0000-0000-0000FC180000}"/>
    <cellStyle name="Normal 3 21 17" xfId="5767" xr:uid="{00000000-0005-0000-0000-0000FD180000}"/>
    <cellStyle name="Normal 3 21 17 2" xfId="5768" xr:uid="{00000000-0005-0000-0000-0000FE180000}"/>
    <cellStyle name="Normal 3 21 17 2 2" xfId="5769" xr:uid="{00000000-0005-0000-0000-0000FF180000}"/>
    <cellStyle name="Normal 3 21 17 3" xfId="5770" xr:uid="{00000000-0005-0000-0000-000000190000}"/>
    <cellStyle name="Normal 3 21 18" xfId="5771" xr:uid="{00000000-0005-0000-0000-000001190000}"/>
    <cellStyle name="Normal 3 21 18 2" xfId="5772" xr:uid="{00000000-0005-0000-0000-000002190000}"/>
    <cellStyle name="Normal 3 21 18 2 2" xfId="5773" xr:uid="{00000000-0005-0000-0000-000003190000}"/>
    <cellStyle name="Normal 3 21 18 3" xfId="5774" xr:uid="{00000000-0005-0000-0000-000004190000}"/>
    <cellStyle name="Normal 3 21 19" xfId="5775" xr:uid="{00000000-0005-0000-0000-000005190000}"/>
    <cellStyle name="Normal 3 21 19 2" xfId="5776" xr:uid="{00000000-0005-0000-0000-000006190000}"/>
    <cellStyle name="Normal 3 21 19 2 2" xfId="5777" xr:uid="{00000000-0005-0000-0000-000007190000}"/>
    <cellStyle name="Normal 3 21 19 3" xfId="5778" xr:uid="{00000000-0005-0000-0000-000008190000}"/>
    <cellStyle name="Normal 3 21 2" xfId="5779" xr:uid="{00000000-0005-0000-0000-000009190000}"/>
    <cellStyle name="Normal 3 21 2 2" xfId="5780" xr:uid="{00000000-0005-0000-0000-00000A190000}"/>
    <cellStyle name="Normal 3 21 2 2 2" xfId="5781" xr:uid="{00000000-0005-0000-0000-00000B190000}"/>
    <cellStyle name="Normal 3 21 2 3" xfId="5782" xr:uid="{00000000-0005-0000-0000-00000C190000}"/>
    <cellStyle name="Normal 3 21 20" xfId="5783" xr:uid="{00000000-0005-0000-0000-00000D190000}"/>
    <cellStyle name="Normal 3 21 20 2" xfId="5784" xr:uid="{00000000-0005-0000-0000-00000E190000}"/>
    <cellStyle name="Normal 3 21 20 2 2" xfId="5785" xr:uid="{00000000-0005-0000-0000-00000F190000}"/>
    <cellStyle name="Normal 3 21 20 3" xfId="5786" xr:uid="{00000000-0005-0000-0000-000010190000}"/>
    <cellStyle name="Normal 3 21 21" xfId="5787" xr:uid="{00000000-0005-0000-0000-000011190000}"/>
    <cellStyle name="Normal 3 21 21 2" xfId="5788" xr:uid="{00000000-0005-0000-0000-000012190000}"/>
    <cellStyle name="Normal 3 21 21 2 2" xfId="5789" xr:uid="{00000000-0005-0000-0000-000013190000}"/>
    <cellStyle name="Normal 3 21 21 3" xfId="5790" xr:uid="{00000000-0005-0000-0000-000014190000}"/>
    <cellStyle name="Normal 3 21 22" xfId="5791" xr:uid="{00000000-0005-0000-0000-000015190000}"/>
    <cellStyle name="Normal 3 21 22 2" xfId="5792" xr:uid="{00000000-0005-0000-0000-000016190000}"/>
    <cellStyle name="Normal 3 21 22 2 2" xfId="5793" xr:uid="{00000000-0005-0000-0000-000017190000}"/>
    <cellStyle name="Normal 3 21 22 3" xfId="5794" xr:uid="{00000000-0005-0000-0000-000018190000}"/>
    <cellStyle name="Normal 3 21 23" xfId="5795" xr:uid="{00000000-0005-0000-0000-000019190000}"/>
    <cellStyle name="Normal 3 21 23 2" xfId="5796" xr:uid="{00000000-0005-0000-0000-00001A190000}"/>
    <cellStyle name="Normal 3 21 23 2 2" xfId="5797" xr:uid="{00000000-0005-0000-0000-00001B190000}"/>
    <cellStyle name="Normal 3 21 23 3" xfId="5798" xr:uid="{00000000-0005-0000-0000-00001C190000}"/>
    <cellStyle name="Normal 3 21 24" xfId="5799" xr:uid="{00000000-0005-0000-0000-00001D190000}"/>
    <cellStyle name="Normal 3 21 24 2" xfId="5800" xr:uid="{00000000-0005-0000-0000-00001E190000}"/>
    <cellStyle name="Normal 3 21 25" xfId="5801" xr:uid="{00000000-0005-0000-0000-00001F190000}"/>
    <cellStyle name="Normal 3 21 3" xfId="5802" xr:uid="{00000000-0005-0000-0000-000020190000}"/>
    <cellStyle name="Normal 3 21 3 2" xfId="5803" xr:uid="{00000000-0005-0000-0000-000021190000}"/>
    <cellStyle name="Normal 3 21 3 2 2" xfId="5804" xr:uid="{00000000-0005-0000-0000-000022190000}"/>
    <cellStyle name="Normal 3 21 3 3" xfId="5805" xr:uid="{00000000-0005-0000-0000-000023190000}"/>
    <cellStyle name="Normal 3 21 4" xfId="5806" xr:uid="{00000000-0005-0000-0000-000024190000}"/>
    <cellStyle name="Normal 3 21 4 2" xfId="5807" xr:uid="{00000000-0005-0000-0000-000025190000}"/>
    <cellStyle name="Normal 3 21 4 2 2" xfId="5808" xr:uid="{00000000-0005-0000-0000-000026190000}"/>
    <cellStyle name="Normal 3 21 4 3" xfId="5809" xr:uid="{00000000-0005-0000-0000-000027190000}"/>
    <cellStyle name="Normal 3 21 5" xfId="5810" xr:uid="{00000000-0005-0000-0000-000028190000}"/>
    <cellStyle name="Normal 3 21 5 2" xfId="5811" xr:uid="{00000000-0005-0000-0000-000029190000}"/>
    <cellStyle name="Normal 3 21 5 2 2" xfId="5812" xr:uid="{00000000-0005-0000-0000-00002A190000}"/>
    <cellStyle name="Normal 3 21 5 3" xfId="5813" xr:uid="{00000000-0005-0000-0000-00002B190000}"/>
    <cellStyle name="Normal 3 21 6" xfId="5814" xr:uid="{00000000-0005-0000-0000-00002C190000}"/>
    <cellStyle name="Normal 3 21 6 2" xfId="5815" xr:uid="{00000000-0005-0000-0000-00002D190000}"/>
    <cellStyle name="Normal 3 21 6 2 2" xfId="5816" xr:uid="{00000000-0005-0000-0000-00002E190000}"/>
    <cellStyle name="Normal 3 21 6 3" xfId="5817" xr:uid="{00000000-0005-0000-0000-00002F190000}"/>
    <cellStyle name="Normal 3 21 7" xfId="5818" xr:uid="{00000000-0005-0000-0000-000030190000}"/>
    <cellStyle name="Normal 3 21 7 2" xfId="5819" xr:uid="{00000000-0005-0000-0000-000031190000}"/>
    <cellStyle name="Normal 3 21 7 2 2" xfId="5820" xr:uid="{00000000-0005-0000-0000-000032190000}"/>
    <cellStyle name="Normal 3 21 7 3" xfId="5821" xr:uid="{00000000-0005-0000-0000-000033190000}"/>
    <cellStyle name="Normal 3 21 8" xfId="5822" xr:uid="{00000000-0005-0000-0000-000034190000}"/>
    <cellStyle name="Normal 3 21 8 2" xfId="5823" xr:uid="{00000000-0005-0000-0000-000035190000}"/>
    <cellStyle name="Normal 3 21 8 2 2" xfId="5824" xr:uid="{00000000-0005-0000-0000-000036190000}"/>
    <cellStyle name="Normal 3 21 8 3" xfId="5825" xr:uid="{00000000-0005-0000-0000-000037190000}"/>
    <cellStyle name="Normal 3 21 9" xfId="5826" xr:uid="{00000000-0005-0000-0000-000038190000}"/>
    <cellStyle name="Normal 3 21 9 2" xfId="5827" xr:uid="{00000000-0005-0000-0000-000039190000}"/>
    <cellStyle name="Normal 3 21 9 2 2" xfId="5828" xr:uid="{00000000-0005-0000-0000-00003A190000}"/>
    <cellStyle name="Normal 3 21 9 3" xfId="5829" xr:uid="{00000000-0005-0000-0000-00003B190000}"/>
    <cellStyle name="Normal 3 22" xfId="5830" xr:uid="{00000000-0005-0000-0000-00003C190000}"/>
    <cellStyle name="Normal 3 22 10" xfId="5831" xr:uid="{00000000-0005-0000-0000-00003D190000}"/>
    <cellStyle name="Normal 3 22 10 2" xfId="5832" xr:uid="{00000000-0005-0000-0000-00003E190000}"/>
    <cellStyle name="Normal 3 22 10 2 2" xfId="5833" xr:uid="{00000000-0005-0000-0000-00003F190000}"/>
    <cellStyle name="Normal 3 22 10 3" xfId="5834" xr:uid="{00000000-0005-0000-0000-000040190000}"/>
    <cellStyle name="Normal 3 22 11" xfId="5835" xr:uid="{00000000-0005-0000-0000-000041190000}"/>
    <cellStyle name="Normal 3 22 11 2" xfId="5836" xr:uid="{00000000-0005-0000-0000-000042190000}"/>
    <cellStyle name="Normal 3 22 11 2 2" xfId="5837" xr:uid="{00000000-0005-0000-0000-000043190000}"/>
    <cellStyle name="Normal 3 22 11 3" xfId="5838" xr:uid="{00000000-0005-0000-0000-000044190000}"/>
    <cellStyle name="Normal 3 22 12" xfId="5839" xr:uid="{00000000-0005-0000-0000-000045190000}"/>
    <cellStyle name="Normal 3 22 12 2" xfId="5840" xr:uid="{00000000-0005-0000-0000-000046190000}"/>
    <cellStyle name="Normal 3 22 12 2 2" xfId="5841" xr:uid="{00000000-0005-0000-0000-000047190000}"/>
    <cellStyle name="Normal 3 22 12 3" xfId="5842" xr:uid="{00000000-0005-0000-0000-000048190000}"/>
    <cellStyle name="Normal 3 22 13" xfId="5843" xr:uid="{00000000-0005-0000-0000-000049190000}"/>
    <cellStyle name="Normal 3 22 13 2" xfId="5844" xr:uid="{00000000-0005-0000-0000-00004A190000}"/>
    <cellStyle name="Normal 3 22 13 2 2" xfId="5845" xr:uid="{00000000-0005-0000-0000-00004B190000}"/>
    <cellStyle name="Normal 3 22 13 3" xfId="5846" xr:uid="{00000000-0005-0000-0000-00004C190000}"/>
    <cellStyle name="Normal 3 22 14" xfId="5847" xr:uid="{00000000-0005-0000-0000-00004D190000}"/>
    <cellStyle name="Normal 3 22 14 2" xfId="5848" xr:uid="{00000000-0005-0000-0000-00004E190000}"/>
    <cellStyle name="Normal 3 22 14 2 2" xfId="5849" xr:uid="{00000000-0005-0000-0000-00004F190000}"/>
    <cellStyle name="Normal 3 22 14 3" xfId="5850" xr:uid="{00000000-0005-0000-0000-000050190000}"/>
    <cellStyle name="Normal 3 22 15" xfId="5851" xr:uid="{00000000-0005-0000-0000-000051190000}"/>
    <cellStyle name="Normal 3 22 15 2" xfId="5852" xr:uid="{00000000-0005-0000-0000-000052190000}"/>
    <cellStyle name="Normal 3 22 15 2 2" xfId="5853" xr:uid="{00000000-0005-0000-0000-000053190000}"/>
    <cellStyle name="Normal 3 22 15 3" xfId="5854" xr:uid="{00000000-0005-0000-0000-000054190000}"/>
    <cellStyle name="Normal 3 22 16" xfId="5855" xr:uid="{00000000-0005-0000-0000-000055190000}"/>
    <cellStyle name="Normal 3 22 16 2" xfId="5856" xr:uid="{00000000-0005-0000-0000-000056190000}"/>
    <cellStyle name="Normal 3 22 16 2 2" xfId="5857" xr:uid="{00000000-0005-0000-0000-000057190000}"/>
    <cellStyle name="Normal 3 22 16 3" xfId="5858" xr:uid="{00000000-0005-0000-0000-000058190000}"/>
    <cellStyle name="Normal 3 22 17" xfId="5859" xr:uid="{00000000-0005-0000-0000-000059190000}"/>
    <cellStyle name="Normal 3 22 17 2" xfId="5860" xr:uid="{00000000-0005-0000-0000-00005A190000}"/>
    <cellStyle name="Normal 3 22 17 2 2" xfId="5861" xr:uid="{00000000-0005-0000-0000-00005B190000}"/>
    <cellStyle name="Normal 3 22 17 3" xfId="5862" xr:uid="{00000000-0005-0000-0000-00005C190000}"/>
    <cellStyle name="Normal 3 22 18" xfId="5863" xr:uid="{00000000-0005-0000-0000-00005D190000}"/>
    <cellStyle name="Normal 3 22 18 2" xfId="5864" xr:uid="{00000000-0005-0000-0000-00005E190000}"/>
    <cellStyle name="Normal 3 22 18 2 2" xfId="5865" xr:uid="{00000000-0005-0000-0000-00005F190000}"/>
    <cellStyle name="Normal 3 22 18 3" xfId="5866" xr:uid="{00000000-0005-0000-0000-000060190000}"/>
    <cellStyle name="Normal 3 22 19" xfId="5867" xr:uid="{00000000-0005-0000-0000-000061190000}"/>
    <cellStyle name="Normal 3 22 19 2" xfId="5868" xr:uid="{00000000-0005-0000-0000-000062190000}"/>
    <cellStyle name="Normal 3 22 19 2 2" xfId="5869" xr:uid="{00000000-0005-0000-0000-000063190000}"/>
    <cellStyle name="Normal 3 22 19 3" xfId="5870" xr:uid="{00000000-0005-0000-0000-000064190000}"/>
    <cellStyle name="Normal 3 22 2" xfId="5871" xr:uid="{00000000-0005-0000-0000-000065190000}"/>
    <cellStyle name="Normal 3 22 2 2" xfId="5872" xr:uid="{00000000-0005-0000-0000-000066190000}"/>
    <cellStyle name="Normal 3 22 2 2 2" xfId="5873" xr:uid="{00000000-0005-0000-0000-000067190000}"/>
    <cellStyle name="Normal 3 22 2 3" xfId="5874" xr:uid="{00000000-0005-0000-0000-000068190000}"/>
    <cellStyle name="Normal 3 22 20" xfId="5875" xr:uid="{00000000-0005-0000-0000-000069190000}"/>
    <cellStyle name="Normal 3 22 20 2" xfId="5876" xr:uid="{00000000-0005-0000-0000-00006A190000}"/>
    <cellStyle name="Normal 3 22 20 2 2" xfId="5877" xr:uid="{00000000-0005-0000-0000-00006B190000}"/>
    <cellStyle name="Normal 3 22 20 3" xfId="5878" xr:uid="{00000000-0005-0000-0000-00006C190000}"/>
    <cellStyle name="Normal 3 22 21" xfId="5879" xr:uid="{00000000-0005-0000-0000-00006D190000}"/>
    <cellStyle name="Normal 3 22 21 2" xfId="5880" xr:uid="{00000000-0005-0000-0000-00006E190000}"/>
    <cellStyle name="Normal 3 22 21 2 2" xfId="5881" xr:uid="{00000000-0005-0000-0000-00006F190000}"/>
    <cellStyle name="Normal 3 22 21 3" xfId="5882" xr:uid="{00000000-0005-0000-0000-000070190000}"/>
    <cellStyle name="Normal 3 22 22" xfId="5883" xr:uid="{00000000-0005-0000-0000-000071190000}"/>
    <cellStyle name="Normal 3 22 22 2" xfId="5884" xr:uid="{00000000-0005-0000-0000-000072190000}"/>
    <cellStyle name="Normal 3 22 22 2 2" xfId="5885" xr:uid="{00000000-0005-0000-0000-000073190000}"/>
    <cellStyle name="Normal 3 22 22 3" xfId="5886" xr:uid="{00000000-0005-0000-0000-000074190000}"/>
    <cellStyle name="Normal 3 22 23" xfId="5887" xr:uid="{00000000-0005-0000-0000-000075190000}"/>
    <cellStyle name="Normal 3 22 23 2" xfId="5888" xr:uid="{00000000-0005-0000-0000-000076190000}"/>
    <cellStyle name="Normal 3 22 23 2 2" xfId="5889" xr:uid="{00000000-0005-0000-0000-000077190000}"/>
    <cellStyle name="Normal 3 22 23 3" xfId="5890" xr:uid="{00000000-0005-0000-0000-000078190000}"/>
    <cellStyle name="Normal 3 22 24" xfId="5891" xr:uid="{00000000-0005-0000-0000-000079190000}"/>
    <cellStyle name="Normal 3 22 24 2" xfId="5892" xr:uid="{00000000-0005-0000-0000-00007A190000}"/>
    <cellStyle name="Normal 3 22 25" xfId="5893" xr:uid="{00000000-0005-0000-0000-00007B190000}"/>
    <cellStyle name="Normal 3 22 3" xfId="5894" xr:uid="{00000000-0005-0000-0000-00007C190000}"/>
    <cellStyle name="Normal 3 22 3 2" xfId="5895" xr:uid="{00000000-0005-0000-0000-00007D190000}"/>
    <cellStyle name="Normal 3 22 3 2 2" xfId="5896" xr:uid="{00000000-0005-0000-0000-00007E190000}"/>
    <cellStyle name="Normal 3 22 3 3" xfId="5897" xr:uid="{00000000-0005-0000-0000-00007F190000}"/>
    <cellStyle name="Normal 3 22 4" xfId="5898" xr:uid="{00000000-0005-0000-0000-000080190000}"/>
    <cellStyle name="Normal 3 22 4 2" xfId="5899" xr:uid="{00000000-0005-0000-0000-000081190000}"/>
    <cellStyle name="Normal 3 22 4 2 2" xfId="5900" xr:uid="{00000000-0005-0000-0000-000082190000}"/>
    <cellStyle name="Normal 3 22 4 3" xfId="5901" xr:uid="{00000000-0005-0000-0000-000083190000}"/>
    <cellStyle name="Normal 3 22 5" xfId="5902" xr:uid="{00000000-0005-0000-0000-000084190000}"/>
    <cellStyle name="Normal 3 22 5 2" xfId="5903" xr:uid="{00000000-0005-0000-0000-000085190000}"/>
    <cellStyle name="Normal 3 22 5 2 2" xfId="5904" xr:uid="{00000000-0005-0000-0000-000086190000}"/>
    <cellStyle name="Normal 3 22 5 3" xfId="5905" xr:uid="{00000000-0005-0000-0000-000087190000}"/>
    <cellStyle name="Normal 3 22 6" xfId="5906" xr:uid="{00000000-0005-0000-0000-000088190000}"/>
    <cellStyle name="Normal 3 22 6 2" xfId="5907" xr:uid="{00000000-0005-0000-0000-000089190000}"/>
    <cellStyle name="Normal 3 22 6 2 2" xfId="5908" xr:uid="{00000000-0005-0000-0000-00008A190000}"/>
    <cellStyle name="Normal 3 22 6 3" xfId="5909" xr:uid="{00000000-0005-0000-0000-00008B190000}"/>
    <cellStyle name="Normal 3 22 7" xfId="5910" xr:uid="{00000000-0005-0000-0000-00008C190000}"/>
    <cellStyle name="Normal 3 22 7 2" xfId="5911" xr:uid="{00000000-0005-0000-0000-00008D190000}"/>
    <cellStyle name="Normal 3 22 7 2 2" xfId="5912" xr:uid="{00000000-0005-0000-0000-00008E190000}"/>
    <cellStyle name="Normal 3 22 7 3" xfId="5913" xr:uid="{00000000-0005-0000-0000-00008F190000}"/>
    <cellStyle name="Normal 3 22 8" xfId="5914" xr:uid="{00000000-0005-0000-0000-000090190000}"/>
    <cellStyle name="Normal 3 22 8 2" xfId="5915" xr:uid="{00000000-0005-0000-0000-000091190000}"/>
    <cellStyle name="Normal 3 22 8 2 2" xfId="5916" xr:uid="{00000000-0005-0000-0000-000092190000}"/>
    <cellStyle name="Normal 3 22 8 3" xfId="5917" xr:uid="{00000000-0005-0000-0000-000093190000}"/>
    <cellStyle name="Normal 3 22 9" xfId="5918" xr:uid="{00000000-0005-0000-0000-000094190000}"/>
    <cellStyle name="Normal 3 22 9 2" xfId="5919" xr:uid="{00000000-0005-0000-0000-000095190000}"/>
    <cellStyle name="Normal 3 22 9 2 2" xfId="5920" xr:uid="{00000000-0005-0000-0000-000096190000}"/>
    <cellStyle name="Normal 3 22 9 3" xfId="5921" xr:uid="{00000000-0005-0000-0000-000097190000}"/>
    <cellStyle name="Normal 3 23" xfId="5922" xr:uid="{00000000-0005-0000-0000-000098190000}"/>
    <cellStyle name="Normal 3 23 10" xfId="5923" xr:uid="{00000000-0005-0000-0000-000099190000}"/>
    <cellStyle name="Normal 3 23 10 2" xfId="5924" xr:uid="{00000000-0005-0000-0000-00009A190000}"/>
    <cellStyle name="Normal 3 23 10 2 2" xfId="5925" xr:uid="{00000000-0005-0000-0000-00009B190000}"/>
    <cellStyle name="Normal 3 23 10 3" xfId="5926" xr:uid="{00000000-0005-0000-0000-00009C190000}"/>
    <cellStyle name="Normal 3 23 11" xfId="5927" xr:uid="{00000000-0005-0000-0000-00009D190000}"/>
    <cellStyle name="Normal 3 23 11 2" xfId="5928" xr:uid="{00000000-0005-0000-0000-00009E190000}"/>
    <cellStyle name="Normal 3 23 11 2 2" xfId="5929" xr:uid="{00000000-0005-0000-0000-00009F190000}"/>
    <cellStyle name="Normal 3 23 11 3" xfId="5930" xr:uid="{00000000-0005-0000-0000-0000A0190000}"/>
    <cellStyle name="Normal 3 23 12" xfId="5931" xr:uid="{00000000-0005-0000-0000-0000A1190000}"/>
    <cellStyle name="Normal 3 23 12 2" xfId="5932" xr:uid="{00000000-0005-0000-0000-0000A2190000}"/>
    <cellStyle name="Normal 3 23 12 2 2" xfId="5933" xr:uid="{00000000-0005-0000-0000-0000A3190000}"/>
    <cellStyle name="Normal 3 23 12 3" xfId="5934" xr:uid="{00000000-0005-0000-0000-0000A4190000}"/>
    <cellStyle name="Normal 3 23 13" xfId="5935" xr:uid="{00000000-0005-0000-0000-0000A5190000}"/>
    <cellStyle name="Normal 3 23 13 2" xfId="5936" xr:uid="{00000000-0005-0000-0000-0000A6190000}"/>
    <cellStyle name="Normal 3 23 13 2 2" xfId="5937" xr:uid="{00000000-0005-0000-0000-0000A7190000}"/>
    <cellStyle name="Normal 3 23 13 3" xfId="5938" xr:uid="{00000000-0005-0000-0000-0000A8190000}"/>
    <cellStyle name="Normal 3 23 14" xfId="5939" xr:uid="{00000000-0005-0000-0000-0000A9190000}"/>
    <cellStyle name="Normal 3 23 14 2" xfId="5940" xr:uid="{00000000-0005-0000-0000-0000AA190000}"/>
    <cellStyle name="Normal 3 23 14 2 2" xfId="5941" xr:uid="{00000000-0005-0000-0000-0000AB190000}"/>
    <cellStyle name="Normal 3 23 14 3" xfId="5942" xr:uid="{00000000-0005-0000-0000-0000AC190000}"/>
    <cellStyle name="Normal 3 23 15" xfId="5943" xr:uid="{00000000-0005-0000-0000-0000AD190000}"/>
    <cellStyle name="Normal 3 23 15 2" xfId="5944" xr:uid="{00000000-0005-0000-0000-0000AE190000}"/>
    <cellStyle name="Normal 3 23 15 2 2" xfId="5945" xr:uid="{00000000-0005-0000-0000-0000AF190000}"/>
    <cellStyle name="Normal 3 23 15 3" xfId="5946" xr:uid="{00000000-0005-0000-0000-0000B0190000}"/>
    <cellStyle name="Normal 3 23 16" xfId="5947" xr:uid="{00000000-0005-0000-0000-0000B1190000}"/>
    <cellStyle name="Normal 3 23 16 2" xfId="5948" xr:uid="{00000000-0005-0000-0000-0000B2190000}"/>
    <cellStyle name="Normal 3 23 16 2 2" xfId="5949" xr:uid="{00000000-0005-0000-0000-0000B3190000}"/>
    <cellStyle name="Normal 3 23 16 3" xfId="5950" xr:uid="{00000000-0005-0000-0000-0000B4190000}"/>
    <cellStyle name="Normal 3 23 17" xfId="5951" xr:uid="{00000000-0005-0000-0000-0000B5190000}"/>
    <cellStyle name="Normal 3 23 17 2" xfId="5952" xr:uid="{00000000-0005-0000-0000-0000B6190000}"/>
    <cellStyle name="Normal 3 23 17 2 2" xfId="5953" xr:uid="{00000000-0005-0000-0000-0000B7190000}"/>
    <cellStyle name="Normal 3 23 17 3" xfId="5954" xr:uid="{00000000-0005-0000-0000-0000B8190000}"/>
    <cellStyle name="Normal 3 23 18" xfId="5955" xr:uid="{00000000-0005-0000-0000-0000B9190000}"/>
    <cellStyle name="Normal 3 23 18 2" xfId="5956" xr:uid="{00000000-0005-0000-0000-0000BA190000}"/>
    <cellStyle name="Normal 3 23 18 2 2" xfId="5957" xr:uid="{00000000-0005-0000-0000-0000BB190000}"/>
    <cellStyle name="Normal 3 23 18 3" xfId="5958" xr:uid="{00000000-0005-0000-0000-0000BC190000}"/>
    <cellStyle name="Normal 3 23 19" xfId="5959" xr:uid="{00000000-0005-0000-0000-0000BD190000}"/>
    <cellStyle name="Normal 3 23 19 2" xfId="5960" xr:uid="{00000000-0005-0000-0000-0000BE190000}"/>
    <cellStyle name="Normal 3 23 19 2 2" xfId="5961" xr:uid="{00000000-0005-0000-0000-0000BF190000}"/>
    <cellStyle name="Normal 3 23 19 3" xfId="5962" xr:uid="{00000000-0005-0000-0000-0000C0190000}"/>
    <cellStyle name="Normal 3 23 2" xfId="5963" xr:uid="{00000000-0005-0000-0000-0000C1190000}"/>
    <cellStyle name="Normal 3 23 2 2" xfId="5964" xr:uid="{00000000-0005-0000-0000-0000C2190000}"/>
    <cellStyle name="Normal 3 23 2 2 2" xfId="5965" xr:uid="{00000000-0005-0000-0000-0000C3190000}"/>
    <cellStyle name="Normal 3 23 2 3" xfId="5966" xr:uid="{00000000-0005-0000-0000-0000C4190000}"/>
    <cellStyle name="Normal 3 23 20" xfId="5967" xr:uid="{00000000-0005-0000-0000-0000C5190000}"/>
    <cellStyle name="Normal 3 23 20 2" xfId="5968" xr:uid="{00000000-0005-0000-0000-0000C6190000}"/>
    <cellStyle name="Normal 3 23 20 2 2" xfId="5969" xr:uid="{00000000-0005-0000-0000-0000C7190000}"/>
    <cellStyle name="Normal 3 23 20 3" xfId="5970" xr:uid="{00000000-0005-0000-0000-0000C8190000}"/>
    <cellStyle name="Normal 3 23 21" xfId="5971" xr:uid="{00000000-0005-0000-0000-0000C9190000}"/>
    <cellStyle name="Normal 3 23 21 2" xfId="5972" xr:uid="{00000000-0005-0000-0000-0000CA190000}"/>
    <cellStyle name="Normal 3 23 21 2 2" xfId="5973" xr:uid="{00000000-0005-0000-0000-0000CB190000}"/>
    <cellStyle name="Normal 3 23 21 3" xfId="5974" xr:uid="{00000000-0005-0000-0000-0000CC190000}"/>
    <cellStyle name="Normal 3 23 22" xfId="5975" xr:uid="{00000000-0005-0000-0000-0000CD190000}"/>
    <cellStyle name="Normal 3 23 22 2" xfId="5976" xr:uid="{00000000-0005-0000-0000-0000CE190000}"/>
    <cellStyle name="Normal 3 23 22 2 2" xfId="5977" xr:uid="{00000000-0005-0000-0000-0000CF190000}"/>
    <cellStyle name="Normal 3 23 22 3" xfId="5978" xr:uid="{00000000-0005-0000-0000-0000D0190000}"/>
    <cellStyle name="Normal 3 23 23" xfId="5979" xr:uid="{00000000-0005-0000-0000-0000D1190000}"/>
    <cellStyle name="Normal 3 23 23 2" xfId="5980" xr:uid="{00000000-0005-0000-0000-0000D2190000}"/>
    <cellStyle name="Normal 3 23 23 2 2" xfId="5981" xr:uid="{00000000-0005-0000-0000-0000D3190000}"/>
    <cellStyle name="Normal 3 23 23 3" xfId="5982" xr:uid="{00000000-0005-0000-0000-0000D4190000}"/>
    <cellStyle name="Normal 3 23 24" xfId="5983" xr:uid="{00000000-0005-0000-0000-0000D5190000}"/>
    <cellStyle name="Normal 3 23 24 2" xfId="5984" xr:uid="{00000000-0005-0000-0000-0000D6190000}"/>
    <cellStyle name="Normal 3 23 25" xfId="5985" xr:uid="{00000000-0005-0000-0000-0000D7190000}"/>
    <cellStyle name="Normal 3 23 3" xfId="5986" xr:uid="{00000000-0005-0000-0000-0000D8190000}"/>
    <cellStyle name="Normal 3 23 3 2" xfId="5987" xr:uid="{00000000-0005-0000-0000-0000D9190000}"/>
    <cellStyle name="Normal 3 23 3 2 2" xfId="5988" xr:uid="{00000000-0005-0000-0000-0000DA190000}"/>
    <cellStyle name="Normal 3 23 3 3" xfId="5989" xr:uid="{00000000-0005-0000-0000-0000DB190000}"/>
    <cellStyle name="Normal 3 23 4" xfId="5990" xr:uid="{00000000-0005-0000-0000-0000DC190000}"/>
    <cellStyle name="Normal 3 23 4 2" xfId="5991" xr:uid="{00000000-0005-0000-0000-0000DD190000}"/>
    <cellStyle name="Normal 3 23 4 2 2" xfId="5992" xr:uid="{00000000-0005-0000-0000-0000DE190000}"/>
    <cellStyle name="Normal 3 23 4 3" xfId="5993" xr:uid="{00000000-0005-0000-0000-0000DF190000}"/>
    <cellStyle name="Normal 3 23 5" xfId="5994" xr:uid="{00000000-0005-0000-0000-0000E0190000}"/>
    <cellStyle name="Normal 3 23 5 2" xfId="5995" xr:uid="{00000000-0005-0000-0000-0000E1190000}"/>
    <cellStyle name="Normal 3 23 5 2 2" xfId="5996" xr:uid="{00000000-0005-0000-0000-0000E2190000}"/>
    <cellStyle name="Normal 3 23 5 3" xfId="5997" xr:uid="{00000000-0005-0000-0000-0000E3190000}"/>
    <cellStyle name="Normal 3 23 6" xfId="5998" xr:uid="{00000000-0005-0000-0000-0000E4190000}"/>
    <cellStyle name="Normal 3 23 6 2" xfId="5999" xr:uid="{00000000-0005-0000-0000-0000E5190000}"/>
    <cellStyle name="Normal 3 23 6 2 2" xfId="6000" xr:uid="{00000000-0005-0000-0000-0000E6190000}"/>
    <cellStyle name="Normal 3 23 6 3" xfId="6001" xr:uid="{00000000-0005-0000-0000-0000E7190000}"/>
    <cellStyle name="Normal 3 23 7" xfId="6002" xr:uid="{00000000-0005-0000-0000-0000E8190000}"/>
    <cellStyle name="Normal 3 23 7 2" xfId="6003" xr:uid="{00000000-0005-0000-0000-0000E9190000}"/>
    <cellStyle name="Normal 3 23 7 2 2" xfId="6004" xr:uid="{00000000-0005-0000-0000-0000EA190000}"/>
    <cellStyle name="Normal 3 23 7 3" xfId="6005" xr:uid="{00000000-0005-0000-0000-0000EB190000}"/>
    <cellStyle name="Normal 3 23 8" xfId="6006" xr:uid="{00000000-0005-0000-0000-0000EC190000}"/>
    <cellStyle name="Normal 3 23 8 2" xfId="6007" xr:uid="{00000000-0005-0000-0000-0000ED190000}"/>
    <cellStyle name="Normal 3 23 8 2 2" xfId="6008" xr:uid="{00000000-0005-0000-0000-0000EE190000}"/>
    <cellStyle name="Normal 3 23 8 3" xfId="6009" xr:uid="{00000000-0005-0000-0000-0000EF190000}"/>
    <cellStyle name="Normal 3 23 9" xfId="6010" xr:uid="{00000000-0005-0000-0000-0000F0190000}"/>
    <cellStyle name="Normal 3 23 9 2" xfId="6011" xr:uid="{00000000-0005-0000-0000-0000F1190000}"/>
    <cellStyle name="Normal 3 23 9 2 2" xfId="6012" xr:uid="{00000000-0005-0000-0000-0000F2190000}"/>
    <cellStyle name="Normal 3 23 9 3" xfId="6013" xr:uid="{00000000-0005-0000-0000-0000F3190000}"/>
    <cellStyle name="Normal 3 24" xfId="6014" xr:uid="{00000000-0005-0000-0000-0000F4190000}"/>
    <cellStyle name="Normal 3 24 10" xfId="6015" xr:uid="{00000000-0005-0000-0000-0000F5190000}"/>
    <cellStyle name="Normal 3 24 10 2" xfId="6016" xr:uid="{00000000-0005-0000-0000-0000F6190000}"/>
    <cellStyle name="Normal 3 24 10 2 2" xfId="6017" xr:uid="{00000000-0005-0000-0000-0000F7190000}"/>
    <cellStyle name="Normal 3 24 10 3" xfId="6018" xr:uid="{00000000-0005-0000-0000-0000F8190000}"/>
    <cellStyle name="Normal 3 24 11" xfId="6019" xr:uid="{00000000-0005-0000-0000-0000F9190000}"/>
    <cellStyle name="Normal 3 24 11 2" xfId="6020" xr:uid="{00000000-0005-0000-0000-0000FA190000}"/>
    <cellStyle name="Normal 3 24 11 2 2" xfId="6021" xr:uid="{00000000-0005-0000-0000-0000FB190000}"/>
    <cellStyle name="Normal 3 24 11 3" xfId="6022" xr:uid="{00000000-0005-0000-0000-0000FC190000}"/>
    <cellStyle name="Normal 3 24 12" xfId="6023" xr:uid="{00000000-0005-0000-0000-0000FD190000}"/>
    <cellStyle name="Normal 3 24 12 2" xfId="6024" xr:uid="{00000000-0005-0000-0000-0000FE190000}"/>
    <cellStyle name="Normal 3 24 12 2 2" xfId="6025" xr:uid="{00000000-0005-0000-0000-0000FF190000}"/>
    <cellStyle name="Normal 3 24 12 3" xfId="6026" xr:uid="{00000000-0005-0000-0000-0000001A0000}"/>
    <cellStyle name="Normal 3 24 13" xfId="6027" xr:uid="{00000000-0005-0000-0000-0000011A0000}"/>
    <cellStyle name="Normal 3 24 13 2" xfId="6028" xr:uid="{00000000-0005-0000-0000-0000021A0000}"/>
    <cellStyle name="Normal 3 24 13 2 2" xfId="6029" xr:uid="{00000000-0005-0000-0000-0000031A0000}"/>
    <cellStyle name="Normal 3 24 13 3" xfId="6030" xr:uid="{00000000-0005-0000-0000-0000041A0000}"/>
    <cellStyle name="Normal 3 24 14" xfId="6031" xr:uid="{00000000-0005-0000-0000-0000051A0000}"/>
    <cellStyle name="Normal 3 24 14 2" xfId="6032" xr:uid="{00000000-0005-0000-0000-0000061A0000}"/>
    <cellStyle name="Normal 3 24 14 2 2" xfId="6033" xr:uid="{00000000-0005-0000-0000-0000071A0000}"/>
    <cellStyle name="Normal 3 24 14 3" xfId="6034" xr:uid="{00000000-0005-0000-0000-0000081A0000}"/>
    <cellStyle name="Normal 3 24 15" xfId="6035" xr:uid="{00000000-0005-0000-0000-0000091A0000}"/>
    <cellStyle name="Normal 3 24 15 2" xfId="6036" xr:uid="{00000000-0005-0000-0000-00000A1A0000}"/>
    <cellStyle name="Normal 3 24 15 2 2" xfId="6037" xr:uid="{00000000-0005-0000-0000-00000B1A0000}"/>
    <cellStyle name="Normal 3 24 15 3" xfId="6038" xr:uid="{00000000-0005-0000-0000-00000C1A0000}"/>
    <cellStyle name="Normal 3 24 16" xfId="6039" xr:uid="{00000000-0005-0000-0000-00000D1A0000}"/>
    <cellStyle name="Normal 3 24 16 2" xfId="6040" xr:uid="{00000000-0005-0000-0000-00000E1A0000}"/>
    <cellStyle name="Normal 3 24 16 2 2" xfId="6041" xr:uid="{00000000-0005-0000-0000-00000F1A0000}"/>
    <cellStyle name="Normal 3 24 16 3" xfId="6042" xr:uid="{00000000-0005-0000-0000-0000101A0000}"/>
    <cellStyle name="Normal 3 24 17" xfId="6043" xr:uid="{00000000-0005-0000-0000-0000111A0000}"/>
    <cellStyle name="Normal 3 24 17 2" xfId="6044" xr:uid="{00000000-0005-0000-0000-0000121A0000}"/>
    <cellStyle name="Normal 3 24 17 2 2" xfId="6045" xr:uid="{00000000-0005-0000-0000-0000131A0000}"/>
    <cellStyle name="Normal 3 24 17 3" xfId="6046" xr:uid="{00000000-0005-0000-0000-0000141A0000}"/>
    <cellStyle name="Normal 3 24 18" xfId="6047" xr:uid="{00000000-0005-0000-0000-0000151A0000}"/>
    <cellStyle name="Normal 3 24 18 2" xfId="6048" xr:uid="{00000000-0005-0000-0000-0000161A0000}"/>
    <cellStyle name="Normal 3 24 18 2 2" xfId="6049" xr:uid="{00000000-0005-0000-0000-0000171A0000}"/>
    <cellStyle name="Normal 3 24 18 3" xfId="6050" xr:uid="{00000000-0005-0000-0000-0000181A0000}"/>
    <cellStyle name="Normal 3 24 19" xfId="6051" xr:uid="{00000000-0005-0000-0000-0000191A0000}"/>
    <cellStyle name="Normal 3 24 19 2" xfId="6052" xr:uid="{00000000-0005-0000-0000-00001A1A0000}"/>
    <cellStyle name="Normal 3 24 19 2 2" xfId="6053" xr:uid="{00000000-0005-0000-0000-00001B1A0000}"/>
    <cellStyle name="Normal 3 24 19 3" xfId="6054" xr:uid="{00000000-0005-0000-0000-00001C1A0000}"/>
    <cellStyle name="Normal 3 24 2" xfId="6055" xr:uid="{00000000-0005-0000-0000-00001D1A0000}"/>
    <cellStyle name="Normal 3 24 2 2" xfId="6056" xr:uid="{00000000-0005-0000-0000-00001E1A0000}"/>
    <cellStyle name="Normal 3 24 2 2 2" xfId="6057" xr:uid="{00000000-0005-0000-0000-00001F1A0000}"/>
    <cellStyle name="Normal 3 24 2 3" xfId="6058" xr:uid="{00000000-0005-0000-0000-0000201A0000}"/>
    <cellStyle name="Normal 3 24 20" xfId="6059" xr:uid="{00000000-0005-0000-0000-0000211A0000}"/>
    <cellStyle name="Normal 3 24 20 2" xfId="6060" xr:uid="{00000000-0005-0000-0000-0000221A0000}"/>
    <cellStyle name="Normal 3 24 20 2 2" xfId="6061" xr:uid="{00000000-0005-0000-0000-0000231A0000}"/>
    <cellStyle name="Normal 3 24 20 3" xfId="6062" xr:uid="{00000000-0005-0000-0000-0000241A0000}"/>
    <cellStyle name="Normal 3 24 21" xfId="6063" xr:uid="{00000000-0005-0000-0000-0000251A0000}"/>
    <cellStyle name="Normal 3 24 21 2" xfId="6064" xr:uid="{00000000-0005-0000-0000-0000261A0000}"/>
    <cellStyle name="Normal 3 24 21 2 2" xfId="6065" xr:uid="{00000000-0005-0000-0000-0000271A0000}"/>
    <cellStyle name="Normal 3 24 21 3" xfId="6066" xr:uid="{00000000-0005-0000-0000-0000281A0000}"/>
    <cellStyle name="Normal 3 24 22" xfId="6067" xr:uid="{00000000-0005-0000-0000-0000291A0000}"/>
    <cellStyle name="Normal 3 24 22 2" xfId="6068" xr:uid="{00000000-0005-0000-0000-00002A1A0000}"/>
    <cellStyle name="Normal 3 24 22 2 2" xfId="6069" xr:uid="{00000000-0005-0000-0000-00002B1A0000}"/>
    <cellStyle name="Normal 3 24 22 3" xfId="6070" xr:uid="{00000000-0005-0000-0000-00002C1A0000}"/>
    <cellStyle name="Normal 3 24 23" xfId="6071" xr:uid="{00000000-0005-0000-0000-00002D1A0000}"/>
    <cellStyle name="Normal 3 24 23 2" xfId="6072" xr:uid="{00000000-0005-0000-0000-00002E1A0000}"/>
    <cellStyle name="Normal 3 24 23 2 2" xfId="6073" xr:uid="{00000000-0005-0000-0000-00002F1A0000}"/>
    <cellStyle name="Normal 3 24 23 3" xfId="6074" xr:uid="{00000000-0005-0000-0000-0000301A0000}"/>
    <cellStyle name="Normal 3 24 24" xfId="6075" xr:uid="{00000000-0005-0000-0000-0000311A0000}"/>
    <cellStyle name="Normal 3 24 24 2" xfId="6076" xr:uid="{00000000-0005-0000-0000-0000321A0000}"/>
    <cellStyle name="Normal 3 24 25" xfId="6077" xr:uid="{00000000-0005-0000-0000-0000331A0000}"/>
    <cellStyle name="Normal 3 24 3" xfId="6078" xr:uid="{00000000-0005-0000-0000-0000341A0000}"/>
    <cellStyle name="Normal 3 24 3 2" xfId="6079" xr:uid="{00000000-0005-0000-0000-0000351A0000}"/>
    <cellStyle name="Normal 3 24 3 2 2" xfId="6080" xr:uid="{00000000-0005-0000-0000-0000361A0000}"/>
    <cellStyle name="Normal 3 24 3 3" xfId="6081" xr:uid="{00000000-0005-0000-0000-0000371A0000}"/>
    <cellStyle name="Normal 3 24 4" xfId="6082" xr:uid="{00000000-0005-0000-0000-0000381A0000}"/>
    <cellStyle name="Normal 3 24 4 2" xfId="6083" xr:uid="{00000000-0005-0000-0000-0000391A0000}"/>
    <cellStyle name="Normal 3 24 4 2 2" xfId="6084" xr:uid="{00000000-0005-0000-0000-00003A1A0000}"/>
    <cellStyle name="Normal 3 24 4 3" xfId="6085" xr:uid="{00000000-0005-0000-0000-00003B1A0000}"/>
    <cellStyle name="Normal 3 24 5" xfId="6086" xr:uid="{00000000-0005-0000-0000-00003C1A0000}"/>
    <cellStyle name="Normal 3 24 5 2" xfId="6087" xr:uid="{00000000-0005-0000-0000-00003D1A0000}"/>
    <cellStyle name="Normal 3 24 5 2 2" xfId="6088" xr:uid="{00000000-0005-0000-0000-00003E1A0000}"/>
    <cellStyle name="Normal 3 24 5 3" xfId="6089" xr:uid="{00000000-0005-0000-0000-00003F1A0000}"/>
    <cellStyle name="Normal 3 24 6" xfId="6090" xr:uid="{00000000-0005-0000-0000-0000401A0000}"/>
    <cellStyle name="Normal 3 24 6 2" xfId="6091" xr:uid="{00000000-0005-0000-0000-0000411A0000}"/>
    <cellStyle name="Normal 3 24 6 2 2" xfId="6092" xr:uid="{00000000-0005-0000-0000-0000421A0000}"/>
    <cellStyle name="Normal 3 24 6 3" xfId="6093" xr:uid="{00000000-0005-0000-0000-0000431A0000}"/>
    <cellStyle name="Normal 3 24 7" xfId="6094" xr:uid="{00000000-0005-0000-0000-0000441A0000}"/>
    <cellStyle name="Normal 3 24 7 2" xfId="6095" xr:uid="{00000000-0005-0000-0000-0000451A0000}"/>
    <cellStyle name="Normal 3 24 7 2 2" xfId="6096" xr:uid="{00000000-0005-0000-0000-0000461A0000}"/>
    <cellStyle name="Normal 3 24 7 3" xfId="6097" xr:uid="{00000000-0005-0000-0000-0000471A0000}"/>
    <cellStyle name="Normal 3 24 8" xfId="6098" xr:uid="{00000000-0005-0000-0000-0000481A0000}"/>
    <cellStyle name="Normal 3 24 8 2" xfId="6099" xr:uid="{00000000-0005-0000-0000-0000491A0000}"/>
    <cellStyle name="Normal 3 24 8 2 2" xfId="6100" xr:uid="{00000000-0005-0000-0000-00004A1A0000}"/>
    <cellStyle name="Normal 3 24 8 3" xfId="6101" xr:uid="{00000000-0005-0000-0000-00004B1A0000}"/>
    <cellStyle name="Normal 3 24 9" xfId="6102" xr:uid="{00000000-0005-0000-0000-00004C1A0000}"/>
    <cellStyle name="Normal 3 24 9 2" xfId="6103" xr:uid="{00000000-0005-0000-0000-00004D1A0000}"/>
    <cellStyle name="Normal 3 24 9 2 2" xfId="6104" xr:uid="{00000000-0005-0000-0000-00004E1A0000}"/>
    <cellStyle name="Normal 3 24 9 3" xfId="6105" xr:uid="{00000000-0005-0000-0000-00004F1A0000}"/>
    <cellStyle name="Normal 3 25" xfId="6106" xr:uid="{00000000-0005-0000-0000-0000501A0000}"/>
    <cellStyle name="Normal 3 25 10" xfId="6107" xr:uid="{00000000-0005-0000-0000-0000511A0000}"/>
    <cellStyle name="Normal 3 25 10 2" xfId="6108" xr:uid="{00000000-0005-0000-0000-0000521A0000}"/>
    <cellStyle name="Normal 3 25 10 2 2" xfId="6109" xr:uid="{00000000-0005-0000-0000-0000531A0000}"/>
    <cellStyle name="Normal 3 25 10 3" xfId="6110" xr:uid="{00000000-0005-0000-0000-0000541A0000}"/>
    <cellStyle name="Normal 3 25 11" xfId="6111" xr:uid="{00000000-0005-0000-0000-0000551A0000}"/>
    <cellStyle name="Normal 3 25 11 2" xfId="6112" xr:uid="{00000000-0005-0000-0000-0000561A0000}"/>
    <cellStyle name="Normal 3 25 11 2 2" xfId="6113" xr:uid="{00000000-0005-0000-0000-0000571A0000}"/>
    <cellStyle name="Normal 3 25 11 3" xfId="6114" xr:uid="{00000000-0005-0000-0000-0000581A0000}"/>
    <cellStyle name="Normal 3 25 12" xfId="6115" xr:uid="{00000000-0005-0000-0000-0000591A0000}"/>
    <cellStyle name="Normal 3 25 12 2" xfId="6116" xr:uid="{00000000-0005-0000-0000-00005A1A0000}"/>
    <cellStyle name="Normal 3 25 12 2 2" xfId="6117" xr:uid="{00000000-0005-0000-0000-00005B1A0000}"/>
    <cellStyle name="Normal 3 25 12 3" xfId="6118" xr:uid="{00000000-0005-0000-0000-00005C1A0000}"/>
    <cellStyle name="Normal 3 25 13" xfId="6119" xr:uid="{00000000-0005-0000-0000-00005D1A0000}"/>
    <cellStyle name="Normal 3 25 13 2" xfId="6120" xr:uid="{00000000-0005-0000-0000-00005E1A0000}"/>
    <cellStyle name="Normal 3 25 13 2 2" xfId="6121" xr:uid="{00000000-0005-0000-0000-00005F1A0000}"/>
    <cellStyle name="Normal 3 25 13 3" xfId="6122" xr:uid="{00000000-0005-0000-0000-0000601A0000}"/>
    <cellStyle name="Normal 3 25 14" xfId="6123" xr:uid="{00000000-0005-0000-0000-0000611A0000}"/>
    <cellStyle name="Normal 3 25 14 2" xfId="6124" xr:uid="{00000000-0005-0000-0000-0000621A0000}"/>
    <cellStyle name="Normal 3 25 14 2 2" xfId="6125" xr:uid="{00000000-0005-0000-0000-0000631A0000}"/>
    <cellStyle name="Normal 3 25 14 3" xfId="6126" xr:uid="{00000000-0005-0000-0000-0000641A0000}"/>
    <cellStyle name="Normal 3 25 15" xfId="6127" xr:uid="{00000000-0005-0000-0000-0000651A0000}"/>
    <cellStyle name="Normal 3 25 15 2" xfId="6128" xr:uid="{00000000-0005-0000-0000-0000661A0000}"/>
    <cellStyle name="Normal 3 25 15 2 2" xfId="6129" xr:uid="{00000000-0005-0000-0000-0000671A0000}"/>
    <cellStyle name="Normal 3 25 15 3" xfId="6130" xr:uid="{00000000-0005-0000-0000-0000681A0000}"/>
    <cellStyle name="Normal 3 25 16" xfId="6131" xr:uid="{00000000-0005-0000-0000-0000691A0000}"/>
    <cellStyle name="Normal 3 25 16 2" xfId="6132" xr:uid="{00000000-0005-0000-0000-00006A1A0000}"/>
    <cellStyle name="Normal 3 25 16 2 2" xfId="6133" xr:uid="{00000000-0005-0000-0000-00006B1A0000}"/>
    <cellStyle name="Normal 3 25 16 3" xfId="6134" xr:uid="{00000000-0005-0000-0000-00006C1A0000}"/>
    <cellStyle name="Normal 3 25 17" xfId="6135" xr:uid="{00000000-0005-0000-0000-00006D1A0000}"/>
    <cellStyle name="Normal 3 25 17 2" xfId="6136" xr:uid="{00000000-0005-0000-0000-00006E1A0000}"/>
    <cellStyle name="Normal 3 25 17 2 2" xfId="6137" xr:uid="{00000000-0005-0000-0000-00006F1A0000}"/>
    <cellStyle name="Normal 3 25 17 3" xfId="6138" xr:uid="{00000000-0005-0000-0000-0000701A0000}"/>
    <cellStyle name="Normal 3 25 18" xfId="6139" xr:uid="{00000000-0005-0000-0000-0000711A0000}"/>
    <cellStyle name="Normal 3 25 18 2" xfId="6140" xr:uid="{00000000-0005-0000-0000-0000721A0000}"/>
    <cellStyle name="Normal 3 25 18 2 2" xfId="6141" xr:uid="{00000000-0005-0000-0000-0000731A0000}"/>
    <cellStyle name="Normal 3 25 18 3" xfId="6142" xr:uid="{00000000-0005-0000-0000-0000741A0000}"/>
    <cellStyle name="Normal 3 25 19" xfId="6143" xr:uid="{00000000-0005-0000-0000-0000751A0000}"/>
    <cellStyle name="Normal 3 25 19 2" xfId="6144" xr:uid="{00000000-0005-0000-0000-0000761A0000}"/>
    <cellStyle name="Normal 3 25 19 2 2" xfId="6145" xr:uid="{00000000-0005-0000-0000-0000771A0000}"/>
    <cellStyle name="Normal 3 25 19 3" xfId="6146" xr:uid="{00000000-0005-0000-0000-0000781A0000}"/>
    <cellStyle name="Normal 3 25 2" xfId="6147" xr:uid="{00000000-0005-0000-0000-0000791A0000}"/>
    <cellStyle name="Normal 3 25 2 2" xfId="6148" xr:uid="{00000000-0005-0000-0000-00007A1A0000}"/>
    <cellStyle name="Normal 3 25 2 2 2" xfId="6149" xr:uid="{00000000-0005-0000-0000-00007B1A0000}"/>
    <cellStyle name="Normal 3 25 2 3" xfId="6150" xr:uid="{00000000-0005-0000-0000-00007C1A0000}"/>
    <cellStyle name="Normal 3 25 20" xfId="6151" xr:uid="{00000000-0005-0000-0000-00007D1A0000}"/>
    <cellStyle name="Normal 3 25 20 2" xfId="6152" xr:uid="{00000000-0005-0000-0000-00007E1A0000}"/>
    <cellStyle name="Normal 3 25 20 2 2" xfId="6153" xr:uid="{00000000-0005-0000-0000-00007F1A0000}"/>
    <cellStyle name="Normal 3 25 20 3" xfId="6154" xr:uid="{00000000-0005-0000-0000-0000801A0000}"/>
    <cellStyle name="Normal 3 25 21" xfId="6155" xr:uid="{00000000-0005-0000-0000-0000811A0000}"/>
    <cellStyle name="Normal 3 25 21 2" xfId="6156" xr:uid="{00000000-0005-0000-0000-0000821A0000}"/>
    <cellStyle name="Normal 3 25 21 2 2" xfId="6157" xr:uid="{00000000-0005-0000-0000-0000831A0000}"/>
    <cellStyle name="Normal 3 25 21 3" xfId="6158" xr:uid="{00000000-0005-0000-0000-0000841A0000}"/>
    <cellStyle name="Normal 3 25 22" xfId="6159" xr:uid="{00000000-0005-0000-0000-0000851A0000}"/>
    <cellStyle name="Normal 3 25 22 2" xfId="6160" xr:uid="{00000000-0005-0000-0000-0000861A0000}"/>
    <cellStyle name="Normal 3 25 22 2 2" xfId="6161" xr:uid="{00000000-0005-0000-0000-0000871A0000}"/>
    <cellStyle name="Normal 3 25 22 3" xfId="6162" xr:uid="{00000000-0005-0000-0000-0000881A0000}"/>
    <cellStyle name="Normal 3 25 23" xfId="6163" xr:uid="{00000000-0005-0000-0000-0000891A0000}"/>
    <cellStyle name="Normal 3 25 23 2" xfId="6164" xr:uid="{00000000-0005-0000-0000-00008A1A0000}"/>
    <cellStyle name="Normal 3 25 23 2 2" xfId="6165" xr:uid="{00000000-0005-0000-0000-00008B1A0000}"/>
    <cellStyle name="Normal 3 25 23 3" xfId="6166" xr:uid="{00000000-0005-0000-0000-00008C1A0000}"/>
    <cellStyle name="Normal 3 25 24" xfId="6167" xr:uid="{00000000-0005-0000-0000-00008D1A0000}"/>
    <cellStyle name="Normal 3 25 24 2" xfId="6168" xr:uid="{00000000-0005-0000-0000-00008E1A0000}"/>
    <cellStyle name="Normal 3 25 25" xfId="6169" xr:uid="{00000000-0005-0000-0000-00008F1A0000}"/>
    <cellStyle name="Normal 3 25 3" xfId="6170" xr:uid="{00000000-0005-0000-0000-0000901A0000}"/>
    <cellStyle name="Normal 3 25 3 2" xfId="6171" xr:uid="{00000000-0005-0000-0000-0000911A0000}"/>
    <cellStyle name="Normal 3 25 3 2 2" xfId="6172" xr:uid="{00000000-0005-0000-0000-0000921A0000}"/>
    <cellStyle name="Normal 3 25 3 3" xfId="6173" xr:uid="{00000000-0005-0000-0000-0000931A0000}"/>
    <cellStyle name="Normal 3 25 4" xfId="6174" xr:uid="{00000000-0005-0000-0000-0000941A0000}"/>
    <cellStyle name="Normal 3 25 4 2" xfId="6175" xr:uid="{00000000-0005-0000-0000-0000951A0000}"/>
    <cellStyle name="Normal 3 25 4 2 2" xfId="6176" xr:uid="{00000000-0005-0000-0000-0000961A0000}"/>
    <cellStyle name="Normal 3 25 4 3" xfId="6177" xr:uid="{00000000-0005-0000-0000-0000971A0000}"/>
    <cellStyle name="Normal 3 25 5" xfId="6178" xr:uid="{00000000-0005-0000-0000-0000981A0000}"/>
    <cellStyle name="Normal 3 25 5 2" xfId="6179" xr:uid="{00000000-0005-0000-0000-0000991A0000}"/>
    <cellStyle name="Normal 3 25 5 2 2" xfId="6180" xr:uid="{00000000-0005-0000-0000-00009A1A0000}"/>
    <cellStyle name="Normal 3 25 5 3" xfId="6181" xr:uid="{00000000-0005-0000-0000-00009B1A0000}"/>
    <cellStyle name="Normal 3 25 6" xfId="6182" xr:uid="{00000000-0005-0000-0000-00009C1A0000}"/>
    <cellStyle name="Normal 3 25 6 2" xfId="6183" xr:uid="{00000000-0005-0000-0000-00009D1A0000}"/>
    <cellStyle name="Normal 3 25 6 2 2" xfId="6184" xr:uid="{00000000-0005-0000-0000-00009E1A0000}"/>
    <cellStyle name="Normal 3 25 6 3" xfId="6185" xr:uid="{00000000-0005-0000-0000-00009F1A0000}"/>
    <cellStyle name="Normal 3 25 7" xfId="6186" xr:uid="{00000000-0005-0000-0000-0000A01A0000}"/>
    <cellStyle name="Normal 3 25 7 2" xfId="6187" xr:uid="{00000000-0005-0000-0000-0000A11A0000}"/>
    <cellStyle name="Normal 3 25 7 2 2" xfId="6188" xr:uid="{00000000-0005-0000-0000-0000A21A0000}"/>
    <cellStyle name="Normal 3 25 7 3" xfId="6189" xr:uid="{00000000-0005-0000-0000-0000A31A0000}"/>
    <cellStyle name="Normal 3 25 8" xfId="6190" xr:uid="{00000000-0005-0000-0000-0000A41A0000}"/>
    <cellStyle name="Normal 3 25 8 2" xfId="6191" xr:uid="{00000000-0005-0000-0000-0000A51A0000}"/>
    <cellStyle name="Normal 3 25 8 2 2" xfId="6192" xr:uid="{00000000-0005-0000-0000-0000A61A0000}"/>
    <cellStyle name="Normal 3 25 8 3" xfId="6193" xr:uid="{00000000-0005-0000-0000-0000A71A0000}"/>
    <cellStyle name="Normal 3 25 9" xfId="6194" xr:uid="{00000000-0005-0000-0000-0000A81A0000}"/>
    <cellStyle name="Normal 3 25 9 2" xfId="6195" xr:uid="{00000000-0005-0000-0000-0000A91A0000}"/>
    <cellStyle name="Normal 3 25 9 2 2" xfId="6196" xr:uid="{00000000-0005-0000-0000-0000AA1A0000}"/>
    <cellStyle name="Normal 3 25 9 3" xfId="6197" xr:uid="{00000000-0005-0000-0000-0000AB1A0000}"/>
    <cellStyle name="Normal 3 26" xfId="6198" xr:uid="{00000000-0005-0000-0000-0000AC1A0000}"/>
    <cellStyle name="Normal 3 26 10" xfId="6199" xr:uid="{00000000-0005-0000-0000-0000AD1A0000}"/>
    <cellStyle name="Normal 3 26 10 2" xfId="6200" xr:uid="{00000000-0005-0000-0000-0000AE1A0000}"/>
    <cellStyle name="Normal 3 26 10 2 2" xfId="6201" xr:uid="{00000000-0005-0000-0000-0000AF1A0000}"/>
    <cellStyle name="Normal 3 26 10 3" xfId="6202" xr:uid="{00000000-0005-0000-0000-0000B01A0000}"/>
    <cellStyle name="Normal 3 26 11" xfId="6203" xr:uid="{00000000-0005-0000-0000-0000B11A0000}"/>
    <cellStyle name="Normal 3 26 11 2" xfId="6204" xr:uid="{00000000-0005-0000-0000-0000B21A0000}"/>
    <cellStyle name="Normal 3 26 11 2 2" xfId="6205" xr:uid="{00000000-0005-0000-0000-0000B31A0000}"/>
    <cellStyle name="Normal 3 26 11 3" xfId="6206" xr:uid="{00000000-0005-0000-0000-0000B41A0000}"/>
    <cellStyle name="Normal 3 26 12" xfId="6207" xr:uid="{00000000-0005-0000-0000-0000B51A0000}"/>
    <cellStyle name="Normal 3 26 12 2" xfId="6208" xr:uid="{00000000-0005-0000-0000-0000B61A0000}"/>
    <cellStyle name="Normal 3 26 12 2 2" xfId="6209" xr:uid="{00000000-0005-0000-0000-0000B71A0000}"/>
    <cellStyle name="Normal 3 26 12 3" xfId="6210" xr:uid="{00000000-0005-0000-0000-0000B81A0000}"/>
    <cellStyle name="Normal 3 26 13" xfId="6211" xr:uid="{00000000-0005-0000-0000-0000B91A0000}"/>
    <cellStyle name="Normal 3 26 13 2" xfId="6212" xr:uid="{00000000-0005-0000-0000-0000BA1A0000}"/>
    <cellStyle name="Normal 3 26 13 2 2" xfId="6213" xr:uid="{00000000-0005-0000-0000-0000BB1A0000}"/>
    <cellStyle name="Normal 3 26 13 3" xfId="6214" xr:uid="{00000000-0005-0000-0000-0000BC1A0000}"/>
    <cellStyle name="Normal 3 26 14" xfId="6215" xr:uid="{00000000-0005-0000-0000-0000BD1A0000}"/>
    <cellStyle name="Normal 3 26 14 2" xfId="6216" xr:uid="{00000000-0005-0000-0000-0000BE1A0000}"/>
    <cellStyle name="Normal 3 26 14 2 2" xfId="6217" xr:uid="{00000000-0005-0000-0000-0000BF1A0000}"/>
    <cellStyle name="Normal 3 26 14 3" xfId="6218" xr:uid="{00000000-0005-0000-0000-0000C01A0000}"/>
    <cellStyle name="Normal 3 26 15" xfId="6219" xr:uid="{00000000-0005-0000-0000-0000C11A0000}"/>
    <cellStyle name="Normal 3 26 15 2" xfId="6220" xr:uid="{00000000-0005-0000-0000-0000C21A0000}"/>
    <cellStyle name="Normal 3 26 15 2 2" xfId="6221" xr:uid="{00000000-0005-0000-0000-0000C31A0000}"/>
    <cellStyle name="Normal 3 26 15 3" xfId="6222" xr:uid="{00000000-0005-0000-0000-0000C41A0000}"/>
    <cellStyle name="Normal 3 26 16" xfId="6223" xr:uid="{00000000-0005-0000-0000-0000C51A0000}"/>
    <cellStyle name="Normal 3 26 16 2" xfId="6224" xr:uid="{00000000-0005-0000-0000-0000C61A0000}"/>
    <cellStyle name="Normal 3 26 16 2 2" xfId="6225" xr:uid="{00000000-0005-0000-0000-0000C71A0000}"/>
    <cellStyle name="Normal 3 26 16 3" xfId="6226" xr:uid="{00000000-0005-0000-0000-0000C81A0000}"/>
    <cellStyle name="Normal 3 26 17" xfId="6227" xr:uid="{00000000-0005-0000-0000-0000C91A0000}"/>
    <cellStyle name="Normal 3 26 17 2" xfId="6228" xr:uid="{00000000-0005-0000-0000-0000CA1A0000}"/>
    <cellStyle name="Normal 3 26 17 2 2" xfId="6229" xr:uid="{00000000-0005-0000-0000-0000CB1A0000}"/>
    <cellStyle name="Normal 3 26 17 3" xfId="6230" xr:uid="{00000000-0005-0000-0000-0000CC1A0000}"/>
    <cellStyle name="Normal 3 26 18" xfId="6231" xr:uid="{00000000-0005-0000-0000-0000CD1A0000}"/>
    <cellStyle name="Normal 3 26 18 2" xfId="6232" xr:uid="{00000000-0005-0000-0000-0000CE1A0000}"/>
    <cellStyle name="Normal 3 26 18 2 2" xfId="6233" xr:uid="{00000000-0005-0000-0000-0000CF1A0000}"/>
    <cellStyle name="Normal 3 26 18 3" xfId="6234" xr:uid="{00000000-0005-0000-0000-0000D01A0000}"/>
    <cellStyle name="Normal 3 26 19" xfId="6235" xr:uid="{00000000-0005-0000-0000-0000D11A0000}"/>
    <cellStyle name="Normal 3 26 19 2" xfId="6236" xr:uid="{00000000-0005-0000-0000-0000D21A0000}"/>
    <cellStyle name="Normal 3 26 19 2 2" xfId="6237" xr:uid="{00000000-0005-0000-0000-0000D31A0000}"/>
    <cellStyle name="Normal 3 26 19 3" xfId="6238" xr:uid="{00000000-0005-0000-0000-0000D41A0000}"/>
    <cellStyle name="Normal 3 26 2" xfId="6239" xr:uid="{00000000-0005-0000-0000-0000D51A0000}"/>
    <cellStyle name="Normal 3 26 2 2" xfId="6240" xr:uid="{00000000-0005-0000-0000-0000D61A0000}"/>
    <cellStyle name="Normal 3 26 2 2 2" xfId="6241" xr:uid="{00000000-0005-0000-0000-0000D71A0000}"/>
    <cellStyle name="Normal 3 26 2 3" xfId="6242" xr:uid="{00000000-0005-0000-0000-0000D81A0000}"/>
    <cellStyle name="Normal 3 26 20" xfId="6243" xr:uid="{00000000-0005-0000-0000-0000D91A0000}"/>
    <cellStyle name="Normal 3 26 20 2" xfId="6244" xr:uid="{00000000-0005-0000-0000-0000DA1A0000}"/>
    <cellStyle name="Normal 3 26 20 2 2" xfId="6245" xr:uid="{00000000-0005-0000-0000-0000DB1A0000}"/>
    <cellStyle name="Normal 3 26 20 3" xfId="6246" xr:uid="{00000000-0005-0000-0000-0000DC1A0000}"/>
    <cellStyle name="Normal 3 26 21" xfId="6247" xr:uid="{00000000-0005-0000-0000-0000DD1A0000}"/>
    <cellStyle name="Normal 3 26 21 2" xfId="6248" xr:uid="{00000000-0005-0000-0000-0000DE1A0000}"/>
    <cellStyle name="Normal 3 26 21 2 2" xfId="6249" xr:uid="{00000000-0005-0000-0000-0000DF1A0000}"/>
    <cellStyle name="Normal 3 26 21 3" xfId="6250" xr:uid="{00000000-0005-0000-0000-0000E01A0000}"/>
    <cellStyle name="Normal 3 26 22" xfId="6251" xr:uid="{00000000-0005-0000-0000-0000E11A0000}"/>
    <cellStyle name="Normal 3 26 22 2" xfId="6252" xr:uid="{00000000-0005-0000-0000-0000E21A0000}"/>
    <cellStyle name="Normal 3 26 22 2 2" xfId="6253" xr:uid="{00000000-0005-0000-0000-0000E31A0000}"/>
    <cellStyle name="Normal 3 26 22 3" xfId="6254" xr:uid="{00000000-0005-0000-0000-0000E41A0000}"/>
    <cellStyle name="Normal 3 26 23" xfId="6255" xr:uid="{00000000-0005-0000-0000-0000E51A0000}"/>
    <cellStyle name="Normal 3 26 23 2" xfId="6256" xr:uid="{00000000-0005-0000-0000-0000E61A0000}"/>
    <cellStyle name="Normal 3 26 23 2 2" xfId="6257" xr:uid="{00000000-0005-0000-0000-0000E71A0000}"/>
    <cellStyle name="Normal 3 26 23 3" xfId="6258" xr:uid="{00000000-0005-0000-0000-0000E81A0000}"/>
    <cellStyle name="Normal 3 26 24" xfId="6259" xr:uid="{00000000-0005-0000-0000-0000E91A0000}"/>
    <cellStyle name="Normal 3 26 24 2" xfId="6260" xr:uid="{00000000-0005-0000-0000-0000EA1A0000}"/>
    <cellStyle name="Normal 3 26 25" xfId="6261" xr:uid="{00000000-0005-0000-0000-0000EB1A0000}"/>
    <cellStyle name="Normal 3 26 3" xfId="6262" xr:uid="{00000000-0005-0000-0000-0000EC1A0000}"/>
    <cellStyle name="Normal 3 26 3 2" xfId="6263" xr:uid="{00000000-0005-0000-0000-0000ED1A0000}"/>
    <cellStyle name="Normal 3 26 3 2 2" xfId="6264" xr:uid="{00000000-0005-0000-0000-0000EE1A0000}"/>
    <cellStyle name="Normal 3 26 3 3" xfId="6265" xr:uid="{00000000-0005-0000-0000-0000EF1A0000}"/>
    <cellStyle name="Normal 3 26 4" xfId="6266" xr:uid="{00000000-0005-0000-0000-0000F01A0000}"/>
    <cellStyle name="Normal 3 26 4 2" xfId="6267" xr:uid="{00000000-0005-0000-0000-0000F11A0000}"/>
    <cellStyle name="Normal 3 26 4 2 2" xfId="6268" xr:uid="{00000000-0005-0000-0000-0000F21A0000}"/>
    <cellStyle name="Normal 3 26 4 3" xfId="6269" xr:uid="{00000000-0005-0000-0000-0000F31A0000}"/>
    <cellStyle name="Normal 3 26 5" xfId="6270" xr:uid="{00000000-0005-0000-0000-0000F41A0000}"/>
    <cellStyle name="Normal 3 26 5 2" xfId="6271" xr:uid="{00000000-0005-0000-0000-0000F51A0000}"/>
    <cellStyle name="Normal 3 26 5 2 2" xfId="6272" xr:uid="{00000000-0005-0000-0000-0000F61A0000}"/>
    <cellStyle name="Normal 3 26 5 3" xfId="6273" xr:uid="{00000000-0005-0000-0000-0000F71A0000}"/>
    <cellStyle name="Normal 3 26 6" xfId="6274" xr:uid="{00000000-0005-0000-0000-0000F81A0000}"/>
    <cellStyle name="Normal 3 26 6 2" xfId="6275" xr:uid="{00000000-0005-0000-0000-0000F91A0000}"/>
    <cellStyle name="Normal 3 26 6 2 2" xfId="6276" xr:uid="{00000000-0005-0000-0000-0000FA1A0000}"/>
    <cellStyle name="Normal 3 26 6 3" xfId="6277" xr:uid="{00000000-0005-0000-0000-0000FB1A0000}"/>
    <cellStyle name="Normal 3 26 7" xfId="6278" xr:uid="{00000000-0005-0000-0000-0000FC1A0000}"/>
    <cellStyle name="Normal 3 26 7 2" xfId="6279" xr:uid="{00000000-0005-0000-0000-0000FD1A0000}"/>
    <cellStyle name="Normal 3 26 7 2 2" xfId="6280" xr:uid="{00000000-0005-0000-0000-0000FE1A0000}"/>
    <cellStyle name="Normal 3 26 7 3" xfId="6281" xr:uid="{00000000-0005-0000-0000-0000FF1A0000}"/>
    <cellStyle name="Normal 3 26 8" xfId="6282" xr:uid="{00000000-0005-0000-0000-0000001B0000}"/>
    <cellStyle name="Normal 3 26 8 2" xfId="6283" xr:uid="{00000000-0005-0000-0000-0000011B0000}"/>
    <cellStyle name="Normal 3 26 8 2 2" xfId="6284" xr:uid="{00000000-0005-0000-0000-0000021B0000}"/>
    <cellStyle name="Normal 3 26 8 3" xfId="6285" xr:uid="{00000000-0005-0000-0000-0000031B0000}"/>
    <cellStyle name="Normal 3 26 9" xfId="6286" xr:uid="{00000000-0005-0000-0000-0000041B0000}"/>
    <cellStyle name="Normal 3 26 9 2" xfId="6287" xr:uid="{00000000-0005-0000-0000-0000051B0000}"/>
    <cellStyle name="Normal 3 26 9 2 2" xfId="6288" xr:uid="{00000000-0005-0000-0000-0000061B0000}"/>
    <cellStyle name="Normal 3 26 9 3" xfId="6289" xr:uid="{00000000-0005-0000-0000-0000071B0000}"/>
    <cellStyle name="Normal 3 27" xfId="6290" xr:uid="{00000000-0005-0000-0000-0000081B0000}"/>
    <cellStyle name="Normal 3 27 10" xfId="6291" xr:uid="{00000000-0005-0000-0000-0000091B0000}"/>
    <cellStyle name="Normal 3 27 10 2" xfId="6292" xr:uid="{00000000-0005-0000-0000-00000A1B0000}"/>
    <cellStyle name="Normal 3 27 10 2 2" xfId="6293" xr:uid="{00000000-0005-0000-0000-00000B1B0000}"/>
    <cellStyle name="Normal 3 27 10 3" xfId="6294" xr:uid="{00000000-0005-0000-0000-00000C1B0000}"/>
    <cellStyle name="Normal 3 27 11" xfId="6295" xr:uid="{00000000-0005-0000-0000-00000D1B0000}"/>
    <cellStyle name="Normal 3 27 11 2" xfId="6296" xr:uid="{00000000-0005-0000-0000-00000E1B0000}"/>
    <cellStyle name="Normal 3 27 11 2 2" xfId="6297" xr:uid="{00000000-0005-0000-0000-00000F1B0000}"/>
    <cellStyle name="Normal 3 27 11 3" xfId="6298" xr:uid="{00000000-0005-0000-0000-0000101B0000}"/>
    <cellStyle name="Normal 3 27 12" xfId="6299" xr:uid="{00000000-0005-0000-0000-0000111B0000}"/>
    <cellStyle name="Normal 3 27 12 2" xfId="6300" xr:uid="{00000000-0005-0000-0000-0000121B0000}"/>
    <cellStyle name="Normal 3 27 12 2 2" xfId="6301" xr:uid="{00000000-0005-0000-0000-0000131B0000}"/>
    <cellStyle name="Normal 3 27 12 3" xfId="6302" xr:uid="{00000000-0005-0000-0000-0000141B0000}"/>
    <cellStyle name="Normal 3 27 13" xfId="6303" xr:uid="{00000000-0005-0000-0000-0000151B0000}"/>
    <cellStyle name="Normal 3 27 13 2" xfId="6304" xr:uid="{00000000-0005-0000-0000-0000161B0000}"/>
    <cellStyle name="Normal 3 27 13 2 2" xfId="6305" xr:uid="{00000000-0005-0000-0000-0000171B0000}"/>
    <cellStyle name="Normal 3 27 13 3" xfId="6306" xr:uid="{00000000-0005-0000-0000-0000181B0000}"/>
    <cellStyle name="Normal 3 27 14" xfId="6307" xr:uid="{00000000-0005-0000-0000-0000191B0000}"/>
    <cellStyle name="Normal 3 27 14 2" xfId="6308" xr:uid="{00000000-0005-0000-0000-00001A1B0000}"/>
    <cellStyle name="Normal 3 27 14 2 2" xfId="6309" xr:uid="{00000000-0005-0000-0000-00001B1B0000}"/>
    <cellStyle name="Normal 3 27 14 3" xfId="6310" xr:uid="{00000000-0005-0000-0000-00001C1B0000}"/>
    <cellStyle name="Normal 3 27 15" xfId="6311" xr:uid="{00000000-0005-0000-0000-00001D1B0000}"/>
    <cellStyle name="Normal 3 27 15 2" xfId="6312" xr:uid="{00000000-0005-0000-0000-00001E1B0000}"/>
    <cellStyle name="Normal 3 27 15 2 2" xfId="6313" xr:uid="{00000000-0005-0000-0000-00001F1B0000}"/>
    <cellStyle name="Normal 3 27 15 3" xfId="6314" xr:uid="{00000000-0005-0000-0000-0000201B0000}"/>
    <cellStyle name="Normal 3 27 16" xfId="6315" xr:uid="{00000000-0005-0000-0000-0000211B0000}"/>
    <cellStyle name="Normal 3 27 16 2" xfId="6316" xr:uid="{00000000-0005-0000-0000-0000221B0000}"/>
    <cellStyle name="Normal 3 27 16 2 2" xfId="6317" xr:uid="{00000000-0005-0000-0000-0000231B0000}"/>
    <cellStyle name="Normal 3 27 16 3" xfId="6318" xr:uid="{00000000-0005-0000-0000-0000241B0000}"/>
    <cellStyle name="Normal 3 27 17" xfId="6319" xr:uid="{00000000-0005-0000-0000-0000251B0000}"/>
    <cellStyle name="Normal 3 27 17 2" xfId="6320" xr:uid="{00000000-0005-0000-0000-0000261B0000}"/>
    <cellStyle name="Normal 3 27 17 2 2" xfId="6321" xr:uid="{00000000-0005-0000-0000-0000271B0000}"/>
    <cellStyle name="Normal 3 27 17 3" xfId="6322" xr:uid="{00000000-0005-0000-0000-0000281B0000}"/>
    <cellStyle name="Normal 3 27 18" xfId="6323" xr:uid="{00000000-0005-0000-0000-0000291B0000}"/>
    <cellStyle name="Normal 3 27 18 2" xfId="6324" xr:uid="{00000000-0005-0000-0000-00002A1B0000}"/>
    <cellStyle name="Normal 3 27 18 2 2" xfId="6325" xr:uid="{00000000-0005-0000-0000-00002B1B0000}"/>
    <cellStyle name="Normal 3 27 18 3" xfId="6326" xr:uid="{00000000-0005-0000-0000-00002C1B0000}"/>
    <cellStyle name="Normal 3 27 19" xfId="6327" xr:uid="{00000000-0005-0000-0000-00002D1B0000}"/>
    <cellStyle name="Normal 3 27 19 2" xfId="6328" xr:uid="{00000000-0005-0000-0000-00002E1B0000}"/>
    <cellStyle name="Normal 3 27 19 2 2" xfId="6329" xr:uid="{00000000-0005-0000-0000-00002F1B0000}"/>
    <cellStyle name="Normal 3 27 19 3" xfId="6330" xr:uid="{00000000-0005-0000-0000-0000301B0000}"/>
    <cellStyle name="Normal 3 27 2" xfId="6331" xr:uid="{00000000-0005-0000-0000-0000311B0000}"/>
    <cellStyle name="Normal 3 27 2 2" xfId="6332" xr:uid="{00000000-0005-0000-0000-0000321B0000}"/>
    <cellStyle name="Normal 3 27 2 2 2" xfId="6333" xr:uid="{00000000-0005-0000-0000-0000331B0000}"/>
    <cellStyle name="Normal 3 27 2 3" xfId="6334" xr:uid="{00000000-0005-0000-0000-0000341B0000}"/>
    <cellStyle name="Normal 3 27 20" xfId="6335" xr:uid="{00000000-0005-0000-0000-0000351B0000}"/>
    <cellStyle name="Normal 3 27 20 2" xfId="6336" xr:uid="{00000000-0005-0000-0000-0000361B0000}"/>
    <cellStyle name="Normal 3 27 20 2 2" xfId="6337" xr:uid="{00000000-0005-0000-0000-0000371B0000}"/>
    <cellStyle name="Normal 3 27 20 3" xfId="6338" xr:uid="{00000000-0005-0000-0000-0000381B0000}"/>
    <cellStyle name="Normal 3 27 21" xfId="6339" xr:uid="{00000000-0005-0000-0000-0000391B0000}"/>
    <cellStyle name="Normal 3 27 21 2" xfId="6340" xr:uid="{00000000-0005-0000-0000-00003A1B0000}"/>
    <cellStyle name="Normal 3 27 21 2 2" xfId="6341" xr:uid="{00000000-0005-0000-0000-00003B1B0000}"/>
    <cellStyle name="Normal 3 27 21 3" xfId="6342" xr:uid="{00000000-0005-0000-0000-00003C1B0000}"/>
    <cellStyle name="Normal 3 27 22" xfId="6343" xr:uid="{00000000-0005-0000-0000-00003D1B0000}"/>
    <cellStyle name="Normal 3 27 22 2" xfId="6344" xr:uid="{00000000-0005-0000-0000-00003E1B0000}"/>
    <cellStyle name="Normal 3 27 22 2 2" xfId="6345" xr:uid="{00000000-0005-0000-0000-00003F1B0000}"/>
    <cellStyle name="Normal 3 27 22 3" xfId="6346" xr:uid="{00000000-0005-0000-0000-0000401B0000}"/>
    <cellStyle name="Normal 3 27 23" xfId="6347" xr:uid="{00000000-0005-0000-0000-0000411B0000}"/>
    <cellStyle name="Normal 3 27 23 2" xfId="6348" xr:uid="{00000000-0005-0000-0000-0000421B0000}"/>
    <cellStyle name="Normal 3 27 23 2 2" xfId="6349" xr:uid="{00000000-0005-0000-0000-0000431B0000}"/>
    <cellStyle name="Normal 3 27 23 3" xfId="6350" xr:uid="{00000000-0005-0000-0000-0000441B0000}"/>
    <cellStyle name="Normal 3 27 24" xfId="6351" xr:uid="{00000000-0005-0000-0000-0000451B0000}"/>
    <cellStyle name="Normal 3 27 24 2" xfId="6352" xr:uid="{00000000-0005-0000-0000-0000461B0000}"/>
    <cellStyle name="Normal 3 27 25" xfId="6353" xr:uid="{00000000-0005-0000-0000-0000471B0000}"/>
    <cellStyle name="Normal 3 27 3" xfId="6354" xr:uid="{00000000-0005-0000-0000-0000481B0000}"/>
    <cellStyle name="Normal 3 27 3 2" xfId="6355" xr:uid="{00000000-0005-0000-0000-0000491B0000}"/>
    <cellStyle name="Normal 3 27 3 2 2" xfId="6356" xr:uid="{00000000-0005-0000-0000-00004A1B0000}"/>
    <cellStyle name="Normal 3 27 3 3" xfId="6357" xr:uid="{00000000-0005-0000-0000-00004B1B0000}"/>
    <cellStyle name="Normal 3 27 4" xfId="6358" xr:uid="{00000000-0005-0000-0000-00004C1B0000}"/>
    <cellStyle name="Normal 3 27 4 2" xfId="6359" xr:uid="{00000000-0005-0000-0000-00004D1B0000}"/>
    <cellStyle name="Normal 3 27 4 2 2" xfId="6360" xr:uid="{00000000-0005-0000-0000-00004E1B0000}"/>
    <cellStyle name="Normal 3 27 4 3" xfId="6361" xr:uid="{00000000-0005-0000-0000-00004F1B0000}"/>
    <cellStyle name="Normal 3 27 5" xfId="6362" xr:uid="{00000000-0005-0000-0000-0000501B0000}"/>
    <cellStyle name="Normal 3 27 5 2" xfId="6363" xr:uid="{00000000-0005-0000-0000-0000511B0000}"/>
    <cellStyle name="Normal 3 27 5 2 2" xfId="6364" xr:uid="{00000000-0005-0000-0000-0000521B0000}"/>
    <cellStyle name="Normal 3 27 5 3" xfId="6365" xr:uid="{00000000-0005-0000-0000-0000531B0000}"/>
    <cellStyle name="Normal 3 27 6" xfId="6366" xr:uid="{00000000-0005-0000-0000-0000541B0000}"/>
    <cellStyle name="Normal 3 27 6 2" xfId="6367" xr:uid="{00000000-0005-0000-0000-0000551B0000}"/>
    <cellStyle name="Normal 3 27 6 2 2" xfId="6368" xr:uid="{00000000-0005-0000-0000-0000561B0000}"/>
    <cellStyle name="Normal 3 27 6 3" xfId="6369" xr:uid="{00000000-0005-0000-0000-0000571B0000}"/>
    <cellStyle name="Normal 3 27 7" xfId="6370" xr:uid="{00000000-0005-0000-0000-0000581B0000}"/>
    <cellStyle name="Normal 3 27 7 2" xfId="6371" xr:uid="{00000000-0005-0000-0000-0000591B0000}"/>
    <cellStyle name="Normal 3 27 7 2 2" xfId="6372" xr:uid="{00000000-0005-0000-0000-00005A1B0000}"/>
    <cellStyle name="Normal 3 27 7 3" xfId="6373" xr:uid="{00000000-0005-0000-0000-00005B1B0000}"/>
    <cellStyle name="Normal 3 27 8" xfId="6374" xr:uid="{00000000-0005-0000-0000-00005C1B0000}"/>
    <cellStyle name="Normal 3 27 8 2" xfId="6375" xr:uid="{00000000-0005-0000-0000-00005D1B0000}"/>
    <cellStyle name="Normal 3 27 8 2 2" xfId="6376" xr:uid="{00000000-0005-0000-0000-00005E1B0000}"/>
    <cellStyle name="Normal 3 27 8 3" xfId="6377" xr:uid="{00000000-0005-0000-0000-00005F1B0000}"/>
    <cellStyle name="Normal 3 27 9" xfId="6378" xr:uid="{00000000-0005-0000-0000-0000601B0000}"/>
    <cellStyle name="Normal 3 27 9 2" xfId="6379" xr:uid="{00000000-0005-0000-0000-0000611B0000}"/>
    <cellStyle name="Normal 3 27 9 2 2" xfId="6380" xr:uid="{00000000-0005-0000-0000-0000621B0000}"/>
    <cellStyle name="Normal 3 27 9 3" xfId="6381" xr:uid="{00000000-0005-0000-0000-0000631B0000}"/>
    <cellStyle name="Normal 3 28" xfId="6382" xr:uid="{00000000-0005-0000-0000-0000641B0000}"/>
    <cellStyle name="Normal 3 28 10" xfId="6383" xr:uid="{00000000-0005-0000-0000-0000651B0000}"/>
    <cellStyle name="Normal 3 28 10 2" xfId="6384" xr:uid="{00000000-0005-0000-0000-0000661B0000}"/>
    <cellStyle name="Normal 3 28 10 2 2" xfId="6385" xr:uid="{00000000-0005-0000-0000-0000671B0000}"/>
    <cellStyle name="Normal 3 28 10 3" xfId="6386" xr:uid="{00000000-0005-0000-0000-0000681B0000}"/>
    <cellStyle name="Normal 3 28 11" xfId="6387" xr:uid="{00000000-0005-0000-0000-0000691B0000}"/>
    <cellStyle name="Normal 3 28 11 2" xfId="6388" xr:uid="{00000000-0005-0000-0000-00006A1B0000}"/>
    <cellStyle name="Normal 3 28 11 2 2" xfId="6389" xr:uid="{00000000-0005-0000-0000-00006B1B0000}"/>
    <cellStyle name="Normal 3 28 11 3" xfId="6390" xr:uid="{00000000-0005-0000-0000-00006C1B0000}"/>
    <cellStyle name="Normal 3 28 12" xfId="6391" xr:uid="{00000000-0005-0000-0000-00006D1B0000}"/>
    <cellStyle name="Normal 3 28 12 2" xfId="6392" xr:uid="{00000000-0005-0000-0000-00006E1B0000}"/>
    <cellStyle name="Normal 3 28 12 2 2" xfId="6393" xr:uid="{00000000-0005-0000-0000-00006F1B0000}"/>
    <cellStyle name="Normal 3 28 12 3" xfId="6394" xr:uid="{00000000-0005-0000-0000-0000701B0000}"/>
    <cellStyle name="Normal 3 28 13" xfId="6395" xr:uid="{00000000-0005-0000-0000-0000711B0000}"/>
    <cellStyle name="Normal 3 28 13 2" xfId="6396" xr:uid="{00000000-0005-0000-0000-0000721B0000}"/>
    <cellStyle name="Normal 3 28 13 2 2" xfId="6397" xr:uid="{00000000-0005-0000-0000-0000731B0000}"/>
    <cellStyle name="Normal 3 28 13 3" xfId="6398" xr:uid="{00000000-0005-0000-0000-0000741B0000}"/>
    <cellStyle name="Normal 3 28 14" xfId="6399" xr:uid="{00000000-0005-0000-0000-0000751B0000}"/>
    <cellStyle name="Normal 3 28 14 2" xfId="6400" xr:uid="{00000000-0005-0000-0000-0000761B0000}"/>
    <cellStyle name="Normal 3 28 14 2 2" xfId="6401" xr:uid="{00000000-0005-0000-0000-0000771B0000}"/>
    <cellStyle name="Normal 3 28 14 3" xfId="6402" xr:uid="{00000000-0005-0000-0000-0000781B0000}"/>
    <cellStyle name="Normal 3 28 15" xfId="6403" xr:uid="{00000000-0005-0000-0000-0000791B0000}"/>
    <cellStyle name="Normal 3 28 15 2" xfId="6404" xr:uid="{00000000-0005-0000-0000-00007A1B0000}"/>
    <cellStyle name="Normal 3 28 15 2 2" xfId="6405" xr:uid="{00000000-0005-0000-0000-00007B1B0000}"/>
    <cellStyle name="Normal 3 28 15 3" xfId="6406" xr:uid="{00000000-0005-0000-0000-00007C1B0000}"/>
    <cellStyle name="Normal 3 28 16" xfId="6407" xr:uid="{00000000-0005-0000-0000-00007D1B0000}"/>
    <cellStyle name="Normal 3 28 16 2" xfId="6408" xr:uid="{00000000-0005-0000-0000-00007E1B0000}"/>
    <cellStyle name="Normal 3 28 16 2 2" xfId="6409" xr:uid="{00000000-0005-0000-0000-00007F1B0000}"/>
    <cellStyle name="Normal 3 28 16 3" xfId="6410" xr:uid="{00000000-0005-0000-0000-0000801B0000}"/>
    <cellStyle name="Normal 3 28 17" xfId="6411" xr:uid="{00000000-0005-0000-0000-0000811B0000}"/>
    <cellStyle name="Normal 3 28 17 2" xfId="6412" xr:uid="{00000000-0005-0000-0000-0000821B0000}"/>
    <cellStyle name="Normal 3 28 17 2 2" xfId="6413" xr:uid="{00000000-0005-0000-0000-0000831B0000}"/>
    <cellStyle name="Normal 3 28 17 3" xfId="6414" xr:uid="{00000000-0005-0000-0000-0000841B0000}"/>
    <cellStyle name="Normal 3 28 18" xfId="6415" xr:uid="{00000000-0005-0000-0000-0000851B0000}"/>
    <cellStyle name="Normal 3 28 18 2" xfId="6416" xr:uid="{00000000-0005-0000-0000-0000861B0000}"/>
    <cellStyle name="Normal 3 28 18 2 2" xfId="6417" xr:uid="{00000000-0005-0000-0000-0000871B0000}"/>
    <cellStyle name="Normal 3 28 18 3" xfId="6418" xr:uid="{00000000-0005-0000-0000-0000881B0000}"/>
    <cellStyle name="Normal 3 28 19" xfId="6419" xr:uid="{00000000-0005-0000-0000-0000891B0000}"/>
    <cellStyle name="Normal 3 28 19 2" xfId="6420" xr:uid="{00000000-0005-0000-0000-00008A1B0000}"/>
    <cellStyle name="Normal 3 28 19 2 2" xfId="6421" xr:uid="{00000000-0005-0000-0000-00008B1B0000}"/>
    <cellStyle name="Normal 3 28 19 3" xfId="6422" xr:uid="{00000000-0005-0000-0000-00008C1B0000}"/>
    <cellStyle name="Normal 3 28 2" xfId="6423" xr:uid="{00000000-0005-0000-0000-00008D1B0000}"/>
    <cellStyle name="Normal 3 28 2 2" xfId="6424" xr:uid="{00000000-0005-0000-0000-00008E1B0000}"/>
    <cellStyle name="Normal 3 28 2 2 2" xfId="6425" xr:uid="{00000000-0005-0000-0000-00008F1B0000}"/>
    <cellStyle name="Normal 3 28 2 3" xfId="6426" xr:uid="{00000000-0005-0000-0000-0000901B0000}"/>
    <cellStyle name="Normal 3 28 20" xfId="6427" xr:uid="{00000000-0005-0000-0000-0000911B0000}"/>
    <cellStyle name="Normal 3 28 20 2" xfId="6428" xr:uid="{00000000-0005-0000-0000-0000921B0000}"/>
    <cellStyle name="Normal 3 28 20 2 2" xfId="6429" xr:uid="{00000000-0005-0000-0000-0000931B0000}"/>
    <cellStyle name="Normal 3 28 20 3" xfId="6430" xr:uid="{00000000-0005-0000-0000-0000941B0000}"/>
    <cellStyle name="Normal 3 28 21" xfId="6431" xr:uid="{00000000-0005-0000-0000-0000951B0000}"/>
    <cellStyle name="Normal 3 28 21 2" xfId="6432" xr:uid="{00000000-0005-0000-0000-0000961B0000}"/>
    <cellStyle name="Normal 3 28 21 2 2" xfId="6433" xr:uid="{00000000-0005-0000-0000-0000971B0000}"/>
    <cellStyle name="Normal 3 28 21 3" xfId="6434" xr:uid="{00000000-0005-0000-0000-0000981B0000}"/>
    <cellStyle name="Normal 3 28 22" xfId="6435" xr:uid="{00000000-0005-0000-0000-0000991B0000}"/>
    <cellStyle name="Normal 3 28 22 2" xfId="6436" xr:uid="{00000000-0005-0000-0000-00009A1B0000}"/>
    <cellStyle name="Normal 3 28 22 2 2" xfId="6437" xr:uid="{00000000-0005-0000-0000-00009B1B0000}"/>
    <cellStyle name="Normal 3 28 22 3" xfId="6438" xr:uid="{00000000-0005-0000-0000-00009C1B0000}"/>
    <cellStyle name="Normal 3 28 23" xfId="6439" xr:uid="{00000000-0005-0000-0000-00009D1B0000}"/>
    <cellStyle name="Normal 3 28 23 2" xfId="6440" xr:uid="{00000000-0005-0000-0000-00009E1B0000}"/>
    <cellStyle name="Normal 3 28 23 2 2" xfId="6441" xr:uid="{00000000-0005-0000-0000-00009F1B0000}"/>
    <cellStyle name="Normal 3 28 23 3" xfId="6442" xr:uid="{00000000-0005-0000-0000-0000A01B0000}"/>
    <cellStyle name="Normal 3 28 24" xfId="6443" xr:uid="{00000000-0005-0000-0000-0000A11B0000}"/>
    <cellStyle name="Normal 3 28 24 2" xfId="6444" xr:uid="{00000000-0005-0000-0000-0000A21B0000}"/>
    <cellStyle name="Normal 3 28 25" xfId="6445" xr:uid="{00000000-0005-0000-0000-0000A31B0000}"/>
    <cellStyle name="Normal 3 28 3" xfId="6446" xr:uid="{00000000-0005-0000-0000-0000A41B0000}"/>
    <cellStyle name="Normal 3 28 3 2" xfId="6447" xr:uid="{00000000-0005-0000-0000-0000A51B0000}"/>
    <cellStyle name="Normal 3 28 3 2 2" xfId="6448" xr:uid="{00000000-0005-0000-0000-0000A61B0000}"/>
    <cellStyle name="Normal 3 28 3 3" xfId="6449" xr:uid="{00000000-0005-0000-0000-0000A71B0000}"/>
    <cellStyle name="Normal 3 28 4" xfId="6450" xr:uid="{00000000-0005-0000-0000-0000A81B0000}"/>
    <cellStyle name="Normal 3 28 4 2" xfId="6451" xr:uid="{00000000-0005-0000-0000-0000A91B0000}"/>
    <cellStyle name="Normal 3 28 4 2 2" xfId="6452" xr:uid="{00000000-0005-0000-0000-0000AA1B0000}"/>
    <cellStyle name="Normal 3 28 4 3" xfId="6453" xr:uid="{00000000-0005-0000-0000-0000AB1B0000}"/>
    <cellStyle name="Normal 3 28 5" xfId="6454" xr:uid="{00000000-0005-0000-0000-0000AC1B0000}"/>
    <cellStyle name="Normal 3 28 5 2" xfId="6455" xr:uid="{00000000-0005-0000-0000-0000AD1B0000}"/>
    <cellStyle name="Normal 3 28 5 2 2" xfId="6456" xr:uid="{00000000-0005-0000-0000-0000AE1B0000}"/>
    <cellStyle name="Normal 3 28 5 3" xfId="6457" xr:uid="{00000000-0005-0000-0000-0000AF1B0000}"/>
    <cellStyle name="Normal 3 28 6" xfId="6458" xr:uid="{00000000-0005-0000-0000-0000B01B0000}"/>
    <cellStyle name="Normal 3 28 6 2" xfId="6459" xr:uid="{00000000-0005-0000-0000-0000B11B0000}"/>
    <cellStyle name="Normal 3 28 6 2 2" xfId="6460" xr:uid="{00000000-0005-0000-0000-0000B21B0000}"/>
    <cellStyle name="Normal 3 28 6 3" xfId="6461" xr:uid="{00000000-0005-0000-0000-0000B31B0000}"/>
    <cellStyle name="Normal 3 28 7" xfId="6462" xr:uid="{00000000-0005-0000-0000-0000B41B0000}"/>
    <cellStyle name="Normal 3 28 7 2" xfId="6463" xr:uid="{00000000-0005-0000-0000-0000B51B0000}"/>
    <cellStyle name="Normal 3 28 7 2 2" xfId="6464" xr:uid="{00000000-0005-0000-0000-0000B61B0000}"/>
    <cellStyle name="Normal 3 28 7 3" xfId="6465" xr:uid="{00000000-0005-0000-0000-0000B71B0000}"/>
    <cellStyle name="Normal 3 28 8" xfId="6466" xr:uid="{00000000-0005-0000-0000-0000B81B0000}"/>
    <cellStyle name="Normal 3 28 8 2" xfId="6467" xr:uid="{00000000-0005-0000-0000-0000B91B0000}"/>
    <cellStyle name="Normal 3 28 8 2 2" xfId="6468" xr:uid="{00000000-0005-0000-0000-0000BA1B0000}"/>
    <cellStyle name="Normal 3 28 8 3" xfId="6469" xr:uid="{00000000-0005-0000-0000-0000BB1B0000}"/>
    <cellStyle name="Normal 3 28 9" xfId="6470" xr:uid="{00000000-0005-0000-0000-0000BC1B0000}"/>
    <cellStyle name="Normal 3 28 9 2" xfId="6471" xr:uid="{00000000-0005-0000-0000-0000BD1B0000}"/>
    <cellStyle name="Normal 3 28 9 2 2" xfId="6472" xr:uid="{00000000-0005-0000-0000-0000BE1B0000}"/>
    <cellStyle name="Normal 3 28 9 3" xfId="6473" xr:uid="{00000000-0005-0000-0000-0000BF1B0000}"/>
    <cellStyle name="Normal 3 29" xfId="6474" xr:uid="{00000000-0005-0000-0000-0000C01B0000}"/>
    <cellStyle name="Normal 3 29 10" xfId="6475" xr:uid="{00000000-0005-0000-0000-0000C11B0000}"/>
    <cellStyle name="Normal 3 29 10 2" xfId="6476" xr:uid="{00000000-0005-0000-0000-0000C21B0000}"/>
    <cellStyle name="Normal 3 29 10 2 2" xfId="6477" xr:uid="{00000000-0005-0000-0000-0000C31B0000}"/>
    <cellStyle name="Normal 3 29 10 3" xfId="6478" xr:uid="{00000000-0005-0000-0000-0000C41B0000}"/>
    <cellStyle name="Normal 3 29 11" xfId="6479" xr:uid="{00000000-0005-0000-0000-0000C51B0000}"/>
    <cellStyle name="Normal 3 29 11 2" xfId="6480" xr:uid="{00000000-0005-0000-0000-0000C61B0000}"/>
    <cellStyle name="Normal 3 29 11 2 2" xfId="6481" xr:uid="{00000000-0005-0000-0000-0000C71B0000}"/>
    <cellStyle name="Normal 3 29 11 3" xfId="6482" xr:uid="{00000000-0005-0000-0000-0000C81B0000}"/>
    <cellStyle name="Normal 3 29 12" xfId="6483" xr:uid="{00000000-0005-0000-0000-0000C91B0000}"/>
    <cellStyle name="Normal 3 29 12 2" xfId="6484" xr:uid="{00000000-0005-0000-0000-0000CA1B0000}"/>
    <cellStyle name="Normal 3 29 12 2 2" xfId="6485" xr:uid="{00000000-0005-0000-0000-0000CB1B0000}"/>
    <cellStyle name="Normal 3 29 12 3" xfId="6486" xr:uid="{00000000-0005-0000-0000-0000CC1B0000}"/>
    <cellStyle name="Normal 3 29 13" xfId="6487" xr:uid="{00000000-0005-0000-0000-0000CD1B0000}"/>
    <cellStyle name="Normal 3 29 13 2" xfId="6488" xr:uid="{00000000-0005-0000-0000-0000CE1B0000}"/>
    <cellStyle name="Normal 3 29 13 2 2" xfId="6489" xr:uid="{00000000-0005-0000-0000-0000CF1B0000}"/>
    <cellStyle name="Normal 3 29 13 3" xfId="6490" xr:uid="{00000000-0005-0000-0000-0000D01B0000}"/>
    <cellStyle name="Normal 3 29 14" xfId="6491" xr:uid="{00000000-0005-0000-0000-0000D11B0000}"/>
    <cellStyle name="Normal 3 29 14 2" xfId="6492" xr:uid="{00000000-0005-0000-0000-0000D21B0000}"/>
    <cellStyle name="Normal 3 29 14 2 2" xfId="6493" xr:uid="{00000000-0005-0000-0000-0000D31B0000}"/>
    <cellStyle name="Normal 3 29 14 3" xfId="6494" xr:uid="{00000000-0005-0000-0000-0000D41B0000}"/>
    <cellStyle name="Normal 3 29 15" xfId="6495" xr:uid="{00000000-0005-0000-0000-0000D51B0000}"/>
    <cellStyle name="Normal 3 29 15 2" xfId="6496" xr:uid="{00000000-0005-0000-0000-0000D61B0000}"/>
    <cellStyle name="Normal 3 29 15 2 2" xfId="6497" xr:uid="{00000000-0005-0000-0000-0000D71B0000}"/>
    <cellStyle name="Normal 3 29 15 3" xfId="6498" xr:uid="{00000000-0005-0000-0000-0000D81B0000}"/>
    <cellStyle name="Normal 3 29 16" xfId="6499" xr:uid="{00000000-0005-0000-0000-0000D91B0000}"/>
    <cellStyle name="Normal 3 29 16 2" xfId="6500" xr:uid="{00000000-0005-0000-0000-0000DA1B0000}"/>
    <cellStyle name="Normal 3 29 16 2 2" xfId="6501" xr:uid="{00000000-0005-0000-0000-0000DB1B0000}"/>
    <cellStyle name="Normal 3 29 16 3" xfId="6502" xr:uid="{00000000-0005-0000-0000-0000DC1B0000}"/>
    <cellStyle name="Normal 3 29 17" xfId="6503" xr:uid="{00000000-0005-0000-0000-0000DD1B0000}"/>
    <cellStyle name="Normal 3 29 17 2" xfId="6504" xr:uid="{00000000-0005-0000-0000-0000DE1B0000}"/>
    <cellStyle name="Normal 3 29 17 2 2" xfId="6505" xr:uid="{00000000-0005-0000-0000-0000DF1B0000}"/>
    <cellStyle name="Normal 3 29 17 3" xfId="6506" xr:uid="{00000000-0005-0000-0000-0000E01B0000}"/>
    <cellStyle name="Normal 3 29 18" xfId="6507" xr:uid="{00000000-0005-0000-0000-0000E11B0000}"/>
    <cellStyle name="Normal 3 29 18 2" xfId="6508" xr:uid="{00000000-0005-0000-0000-0000E21B0000}"/>
    <cellStyle name="Normal 3 29 18 2 2" xfId="6509" xr:uid="{00000000-0005-0000-0000-0000E31B0000}"/>
    <cellStyle name="Normal 3 29 18 3" xfId="6510" xr:uid="{00000000-0005-0000-0000-0000E41B0000}"/>
    <cellStyle name="Normal 3 29 19" xfId="6511" xr:uid="{00000000-0005-0000-0000-0000E51B0000}"/>
    <cellStyle name="Normal 3 29 19 2" xfId="6512" xr:uid="{00000000-0005-0000-0000-0000E61B0000}"/>
    <cellStyle name="Normal 3 29 19 2 2" xfId="6513" xr:uid="{00000000-0005-0000-0000-0000E71B0000}"/>
    <cellStyle name="Normal 3 29 19 3" xfId="6514" xr:uid="{00000000-0005-0000-0000-0000E81B0000}"/>
    <cellStyle name="Normal 3 29 2" xfId="6515" xr:uid="{00000000-0005-0000-0000-0000E91B0000}"/>
    <cellStyle name="Normal 3 29 2 2" xfId="6516" xr:uid="{00000000-0005-0000-0000-0000EA1B0000}"/>
    <cellStyle name="Normal 3 29 2 2 2" xfId="6517" xr:uid="{00000000-0005-0000-0000-0000EB1B0000}"/>
    <cellStyle name="Normal 3 29 2 3" xfId="6518" xr:uid="{00000000-0005-0000-0000-0000EC1B0000}"/>
    <cellStyle name="Normal 3 29 20" xfId="6519" xr:uid="{00000000-0005-0000-0000-0000ED1B0000}"/>
    <cellStyle name="Normal 3 29 20 2" xfId="6520" xr:uid="{00000000-0005-0000-0000-0000EE1B0000}"/>
    <cellStyle name="Normal 3 29 20 2 2" xfId="6521" xr:uid="{00000000-0005-0000-0000-0000EF1B0000}"/>
    <cellStyle name="Normal 3 29 20 3" xfId="6522" xr:uid="{00000000-0005-0000-0000-0000F01B0000}"/>
    <cellStyle name="Normal 3 29 21" xfId="6523" xr:uid="{00000000-0005-0000-0000-0000F11B0000}"/>
    <cellStyle name="Normal 3 29 21 2" xfId="6524" xr:uid="{00000000-0005-0000-0000-0000F21B0000}"/>
    <cellStyle name="Normal 3 29 21 2 2" xfId="6525" xr:uid="{00000000-0005-0000-0000-0000F31B0000}"/>
    <cellStyle name="Normal 3 29 21 3" xfId="6526" xr:uid="{00000000-0005-0000-0000-0000F41B0000}"/>
    <cellStyle name="Normal 3 29 22" xfId="6527" xr:uid="{00000000-0005-0000-0000-0000F51B0000}"/>
    <cellStyle name="Normal 3 29 22 2" xfId="6528" xr:uid="{00000000-0005-0000-0000-0000F61B0000}"/>
    <cellStyle name="Normal 3 29 22 2 2" xfId="6529" xr:uid="{00000000-0005-0000-0000-0000F71B0000}"/>
    <cellStyle name="Normal 3 29 22 3" xfId="6530" xr:uid="{00000000-0005-0000-0000-0000F81B0000}"/>
    <cellStyle name="Normal 3 29 23" xfId="6531" xr:uid="{00000000-0005-0000-0000-0000F91B0000}"/>
    <cellStyle name="Normal 3 29 23 2" xfId="6532" xr:uid="{00000000-0005-0000-0000-0000FA1B0000}"/>
    <cellStyle name="Normal 3 29 23 2 2" xfId="6533" xr:uid="{00000000-0005-0000-0000-0000FB1B0000}"/>
    <cellStyle name="Normal 3 29 23 3" xfId="6534" xr:uid="{00000000-0005-0000-0000-0000FC1B0000}"/>
    <cellStyle name="Normal 3 29 24" xfId="6535" xr:uid="{00000000-0005-0000-0000-0000FD1B0000}"/>
    <cellStyle name="Normal 3 29 24 2" xfId="6536" xr:uid="{00000000-0005-0000-0000-0000FE1B0000}"/>
    <cellStyle name="Normal 3 29 25" xfId="6537" xr:uid="{00000000-0005-0000-0000-0000FF1B0000}"/>
    <cellStyle name="Normal 3 29 3" xfId="6538" xr:uid="{00000000-0005-0000-0000-0000001C0000}"/>
    <cellStyle name="Normal 3 29 3 2" xfId="6539" xr:uid="{00000000-0005-0000-0000-0000011C0000}"/>
    <cellStyle name="Normal 3 29 3 2 2" xfId="6540" xr:uid="{00000000-0005-0000-0000-0000021C0000}"/>
    <cellStyle name="Normal 3 29 3 3" xfId="6541" xr:uid="{00000000-0005-0000-0000-0000031C0000}"/>
    <cellStyle name="Normal 3 29 4" xfId="6542" xr:uid="{00000000-0005-0000-0000-0000041C0000}"/>
    <cellStyle name="Normal 3 29 4 2" xfId="6543" xr:uid="{00000000-0005-0000-0000-0000051C0000}"/>
    <cellStyle name="Normal 3 29 4 2 2" xfId="6544" xr:uid="{00000000-0005-0000-0000-0000061C0000}"/>
    <cellStyle name="Normal 3 29 4 3" xfId="6545" xr:uid="{00000000-0005-0000-0000-0000071C0000}"/>
    <cellStyle name="Normal 3 29 5" xfId="6546" xr:uid="{00000000-0005-0000-0000-0000081C0000}"/>
    <cellStyle name="Normal 3 29 5 2" xfId="6547" xr:uid="{00000000-0005-0000-0000-0000091C0000}"/>
    <cellStyle name="Normal 3 29 5 2 2" xfId="6548" xr:uid="{00000000-0005-0000-0000-00000A1C0000}"/>
    <cellStyle name="Normal 3 29 5 3" xfId="6549" xr:uid="{00000000-0005-0000-0000-00000B1C0000}"/>
    <cellStyle name="Normal 3 29 6" xfId="6550" xr:uid="{00000000-0005-0000-0000-00000C1C0000}"/>
    <cellStyle name="Normal 3 29 6 2" xfId="6551" xr:uid="{00000000-0005-0000-0000-00000D1C0000}"/>
    <cellStyle name="Normal 3 29 6 2 2" xfId="6552" xr:uid="{00000000-0005-0000-0000-00000E1C0000}"/>
    <cellStyle name="Normal 3 29 6 3" xfId="6553" xr:uid="{00000000-0005-0000-0000-00000F1C0000}"/>
    <cellStyle name="Normal 3 29 7" xfId="6554" xr:uid="{00000000-0005-0000-0000-0000101C0000}"/>
    <cellStyle name="Normal 3 29 7 2" xfId="6555" xr:uid="{00000000-0005-0000-0000-0000111C0000}"/>
    <cellStyle name="Normal 3 29 7 2 2" xfId="6556" xr:uid="{00000000-0005-0000-0000-0000121C0000}"/>
    <cellStyle name="Normal 3 29 7 3" xfId="6557" xr:uid="{00000000-0005-0000-0000-0000131C0000}"/>
    <cellStyle name="Normal 3 29 8" xfId="6558" xr:uid="{00000000-0005-0000-0000-0000141C0000}"/>
    <cellStyle name="Normal 3 29 8 2" xfId="6559" xr:uid="{00000000-0005-0000-0000-0000151C0000}"/>
    <cellStyle name="Normal 3 29 8 2 2" xfId="6560" xr:uid="{00000000-0005-0000-0000-0000161C0000}"/>
    <cellStyle name="Normal 3 29 8 3" xfId="6561" xr:uid="{00000000-0005-0000-0000-0000171C0000}"/>
    <cellStyle name="Normal 3 29 9" xfId="6562" xr:uid="{00000000-0005-0000-0000-0000181C0000}"/>
    <cellStyle name="Normal 3 29 9 2" xfId="6563" xr:uid="{00000000-0005-0000-0000-0000191C0000}"/>
    <cellStyle name="Normal 3 29 9 2 2" xfId="6564" xr:uid="{00000000-0005-0000-0000-00001A1C0000}"/>
    <cellStyle name="Normal 3 29 9 3" xfId="6565" xr:uid="{00000000-0005-0000-0000-00001B1C0000}"/>
    <cellStyle name="Normal 3 3" xfId="189" xr:uid="{00000000-0005-0000-0000-00001C1C0000}"/>
    <cellStyle name="Normal 3 3 10" xfId="6566" xr:uid="{00000000-0005-0000-0000-00001D1C0000}"/>
    <cellStyle name="Normal 3 3 10 2" xfId="6567" xr:uid="{00000000-0005-0000-0000-00001E1C0000}"/>
    <cellStyle name="Normal 3 3 10 2 2" xfId="6568" xr:uid="{00000000-0005-0000-0000-00001F1C0000}"/>
    <cellStyle name="Normal 3 3 10 3" xfId="6569" xr:uid="{00000000-0005-0000-0000-0000201C0000}"/>
    <cellStyle name="Normal 3 3 11" xfId="6570" xr:uid="{00000000-0005-0000-0000-0000211C0000}"/>
    <cellStyle name="Normal 3 3 11 2" xfId="6571" xr:uid="{00000000-0005-0000-0000-0000221C0000}"/>
    <cellStyle name="Normal 3 3 11 2 2" xfId="6572" xr:uid="{00000000-0005-0000-0000-0000231C0000}"/>
    <cellStyle name="Normal 3 3 11 3" xfId="6573" xr:uid="{00000000-0005-0000-0000-0000241C0000}"/>
    <cellStyle name="Normal 3 3 12" xfId="6574" xr:uid="{00000000-0005-0000-0000-0000251C0000}"/>
    <cellStyle name="Normal 3 3 12 2" xfId="6575" xr:uid="{00000000-0005-0000-0000-0000261C0000}"/>
    <cellStyle name="Normal 3 3 12 2 2" xfId="6576" xr:uid="{00000000-0005-0000-0000-0000271C0000}"/>
    <cellStyle name="Normal 3 3 12 3" xfId="6577" xr:uid="{00000000-0005-0000-0000-0000281C0000}"/>
    <cellStyle name="Normal 3 3 13" xfId="6578" xr:uid="{00000000-0005-0000-0000-0000291C0000}"/>
    <cellStyle name="Normal 3 3 13 2" xfId="6579" xr:uid="{00000000-0005-0000-0000-00002A1C0000}"/>
    <cellStyle name="Normal 3 3 13 2 2" xfId="6580" xr:uid="{00000000-0005-0000-0000-00002B1C0000}"/>
    <cellStyle name="Normal 3 3 13 3" xfId="6581" xr:uid="{00000000-0005-0000-0000-00002C1C0000}"/>
    <cellStyle name="Normal 3 3 14" xfId="6582" xr:uid="{00000000-0005-0000-0000-00002D1C0000}"/>
    <cellStyle name="Normal 3 3 14 2" xfId="6583" xr:uid="{00000000-0005-0000-0000-00002E1C0000}"/>
    <cellStyle name="Normal 3 3 14 2 2" xfId="6584" xr:uid="{00000000-0005-0000-0000-00002F1C0000}"/>
    <cellStyle name="Normal 3 3 14 3" xfId="6585" xr:uid="{00000000-0005-0000-0000-0000301C0000}"/>
    <cellStyle name="Normal 3 3 15" xfId="6586" xr:uid="{00000000-0005-0000-0000-0000311C0000}"/>
    <cellStyle name="Normal 3 3 15 2" xfId="6587" xr:uid="{00000000-0005-0000-0000-0000321C0000}"/>
    <cellStyle name="Normal 3 3 15 2 2" xfId="6588" xr:uid="{00000000-0005-0000-0000-0000331C0000}"/>
    <cellStyle name="Normal 3 3 15 3" xfId="6589" xr:uid="{00000000-0005-0000-0000-0000341C0000}"/>
    <cellStyle name="Normal 3 3 16" xfId="6590" xr:uid="{00000000-0005-0000-0000-0000351C0000}"/>
    <cellStyle name="Normal 3 3 16 2" xfId="6591" xr:uid="{00000000-0005-0000-0000-0000361C0000}"/>
    <cellStyle name="Normal 3 3 16 2 2" xfId="6592" xr:uid="{00000000-0005-0000-0000-0000371C0000}"/>
    <cellStyle name="Normal 3 3 16 3" xfId="6593" xr:uid="{00000000-0005-0000-0000-0000381C0000}"/>
    <cellStyle name="Normal 3 3 17" xfId="6594" xr:uid="{00000000-0005-0000-0000-0000391C0000}"/>
    <cellStyle name="Normal 3 3 17 2" xfId="6595" xr:uid="{00000000-0005-0000-0000-00003A1C0000}"/>
    <cellStyle name="Normal 3 3 17 2 2" xfId="6596" xr:uid="{00000000-0005-0000-0000-00003B1C0000}"/>
    <cellStyle name="Normal 3 3 17 3" xfId="6597" xr:uid="{00000000-0005-0000-0000-00003C1C0000}"/>
    <cellStyle name="Normal 3 3 18" xfId="6598" xr:uid="{00000000-0005-0000-0000-00003D1C0000}"/>
    <cellStyle name="Normal 3 3 18 2" xfId="6599" xr:uid="{00000000-0005-0000-0000-00003E1C0000}"/>
    <cellStyle name="Normal 3 3 18 2 2" xfId="6600" xr:uid="{00000000-0005-0000-0000-00003F1C0000}"/>
    <cellStyle name="Normal 3 3 18 3" xfId="6601" xr:uid="{00000000-0005-0000-0000-0000401C0000}"/>
    <cellStyle name="Normal 3 3 19" xfId="6602" xr:uid="{00000000-0005-0000-0000-0000411C0000}"/>
    <cellStyle name="Normal 3 3 19 2" xfId="6603" xr:uid="{00000000-0005-0000-0000-0000421C0000}"/>
    <cellStyle name="Normal 3 3 19 2 2" xfId="6604" xr:uid="{00000000-0005-0000-0000-0000431C0000}"/>
    <cellStyle name="Normal 3 3 19 3" xfId="6605" xr:uid="{00000000-0005-0000-0000-0000441C0000}"/>
    <cellStyle name="Normal 3 3 2" xfId="190" xr:uid="{00000000-0005-0000-0000-0000451C0000}"/>
    <cellStyle name="Normal 3 3 2 2" xfId="191" xr:uid="{00000000-0005-0000-0000-0000461C0000}"/>
    <cellStyle name="Normal 3 3 2 2 2" xfId="6606" xr:uid="{00000000-0005-0000-0000-0000471C0000}"/>
    <cellStyle name="Normal 3 3 2 3" xfId="6607" xr:uid="{00000000-0005-0000-0000-0000481C0000}"/>
    <cellStyle name="Normal 3 3 20" xfId="6608" xr:uid="{00000000-0005-0000-0000-0000491C0000}"/>
    <cellStyle name="Normal 3 3 20 2" xfId="6609" xr:uid="{00000000-0005-0000-0000-00004A1C0000}"/>
    <cellStyle name="Normal 3 3 20 2 2" xfId="6610" xr:uid="{00000000-0005-0000-0000-00004B1C0000}"/>
    <cellStyle name="Normal 3 3 20 3" xfId="6611" xr:uid="{00000000-0005-0000-0000-00004C1C0000}"/>
    <cellStyle name="Normal 3 3 21" xfId="6612" xr:uid="{00000000-0005-0000-0000-00004D1C0000}"/>
    <cellStyle name="Normal 3 3 21 2" xfId="6613" xr:uid="{00000000-0005-0000-0000-00004E1C0000}"/>
    <cellStyle name="Normal 3 3 21 2 2" xfId="6614" xr:uid="{00000000-0005-0000-0000-00004F1C0000}"/>
    <cellStyle name="Normal 3 3 21 3" xfId="6615" xr:uid="{00000000-0005-0000-0000-0000501C0000}"/>
    <cellStyle name="Normal 3 3 22" xfId="6616" xr:uid="{00000000-0005-0000-0000-0000511C0000}"/>
    <cellStyle name="Normal 3 3 22 2" xfId="6617" xr:uid="{00000000-0005-0000-0000-0000521C0000}"/>
    <cellStyle name="Normal 3 3 22 2 2" xfId="6618" xr:uid="{00000000-0005-0000-0000-0000531C0000}"/>
    <cellStyle name="Normal 3 3 22 3" xfId="6619" xr:uid="{00000000-0005-0000-0000-0000541C0000}"/>
    <cellStyle name="Normal 3 3 23" xfId="6620" xr:uid="{00000000-0005-0000-0000-0000551C0000}"/>
    <cellStyle name="Normal 3 3 23 2" xfId="6621" xr:uid="{00000000-0005-0000-0000-0000561C0000}"/>
    <cellStyle name="Normal 3 3 23 2 2" xfId="6622" xr:uid="{00000000-0005-0000-0000-0000571C0000}"/>
    <cellStyle name="Normal 3 3 23 3" xfId="6623" xr:uid="{00000000-0005-0000-0000-0000581C0000}"/>
    <cellStyle name="Normal 3 3 24" xfId="6624" xr:uid="{00000000-0005-0000-0000-0000591C0000}"/>
    <cellStyle name="Normal 3 3 24 2" xfId="6625" xr:uid="{00000000-0005-0000-0000-00005A1C0000}"/>
    <cellStyle name="Normal 3 3 25" xfId="6626" xr:uid="{00000000-0005-0000-0000-00005B1C0000}"/>
    <cellStyle name="Normal 3 3 3" xfId="6627" xr:uid="{00000000-0005-0000-0000-00005C1C0000}"/>
    <cellStyle name="Normal 3 3 3 2" xfId="6628" xr:uid="{00000000-0005-0000-0000-00005D1C0000}"/>
    <cellStyle name="Normal 3 3 3 2 2" xfId="6629" xr:uid="{00000000-0005-0000-0000-00005E1C0000}"/>
    <cellStyle name="Normal 3 3 3 3" xfId="6630" xr:uid="{00000000-0005-0000-0000-00005F1C0000}"/>
    <cellStyle name="Normal 3 3 4" xfId="6631" xr:uid="{00000000-0005-0000-0000-0000601C0000}"/>
    <cellStyle name="Normal 3 3 4 2" xfId="6632" xr:uid="{00000000-0005-0000-0000-0000611C0000}"/>
    <cellStyle name="Normal 3 3 4 2 2" xfId="6633" xr:uid="{00000000-0005-0000-0000-0000621C0000}"/>
    <cellStyle name="Normal 3 3 4 3" xfId="6634" xr:uid="{00000000-0005-0000-0000-0000631C0000}"/>
    <cellStyle name="Normal 3 3 5" xfId="6635" xr:uid="{00000000-0005-0000-0000-0000641C0000}"/>
    <cellStyle name="Normal 3 3 5 2" xfId="6636" xr:uid="{00000000-0005-0000-0000-0000651C0000}"/>
    <cellStyle name="Normal 3 3 5 2 2" xfId="6637" xr:uid="{00000000-0005-0000-0000-0000661C0000}"/>
    <cellStyle name="Normal 3 3 5 3" xfId="6638" xr:uid="{00000000-0005-0000-0000-0000671C0000}"/>
    <cellStyle name="Normal 3 3 6" xfId="6639" xr:uid="{00000000-0005-0000-0000-0000681C0000}"/>
    <cellStyle name="Normal 3 3 6 2" xfId="6640" xr:uid="{00000000-0005-0000-0000-0000691C0000}"/>
    <cellStyle name="Normal 3 3 6 2 2" xfId="6641" xr:uid="{00000000-0005-0000-0000-00006A1C0000}"/>
    <cellStyle name="Normal 3 3 6 3" xfId="6642" xr:uid="{00000000-0005-0000-0000-00006B1C0000}"/>
    <cellStyle name="Normal 3 3 7" xfId="6643" xr:uid="{00000000-0005-0000-0000-00006C1C0000}"/>
    <cellStyle name="Normal 3 3 7 2" xfId="6644" xr:uid="{00000000-0005-0000-0000-00006D1C0000}"/>
    <cellStyle name="Normal 3 3 7 2 2" xfId="6645" xr:uid="{00000000-0005-0000-0000-00006E1C0000}"/>
    <cellStyle name="Normal 3 3 7 3" xfId="6646" xr:uid="{00000000-0005-0000-0000-00006F1C0000}"/>
    <cellStyle name="Normal 3 3 8" xfId="6647" xr:uid="{00000000-0005-0000-0000-0000701C0000}"/>
    <cellStyle name="Normal 3 3 8 2" xfId="6648" xr:uid="{00000000-0005-0000-0000-0000711C0000}"/>
    <cellStyle name="Normal 3 3 8 2 2" xfId="6649" xr:uid="{00000000-0005-0000-0000-0000721C0000}"/>
    <cellStyle name="Normal 3 3 8 3" xfId="6650" xr:uid="{00000000-0005-0000-0000-0000731C0000}"/>
    <cellStyle name="Normal 3 3 9" xfId="6651" xr:uid="{00000000-0005-0000-0000-0000741C0000}"/>
    <cellStyle name="Normal 3 3 9 2" xfId="6652" xr:uid="{00000000-0005-0000-0000-0000751C0000}"/>
    <cellStyle name="Normal 3 3 9 2 2" xfId="6653" xr:uid="{00000000-0005-0000-0000-0000761C0000}"/>
    <cellStyle name="Normal 3 3 9 3" xfId="6654" xr:uid="{00000000-0005-0000-0000-0000771C0000}"/>
    <cellStyle name="Normal 3 30" xfId="6655" xr:uid="{00000000-0005-0000-0000-0000781C0000}"/>
    <cellStyle name="Normal 3 30 10" xfId="6656" xr:uid="{00000000-0005-0000-0000-0000791C0000}"/>
    <cellStyle name="Normal 3 30 10 2" xfId="6657" xr:uid="{00000000-0005-0000-0000-00007A1C0000}"/>
    <cellStyle name="Normal 3 30 10 2 2" xfId="6658" xr:uid="{00000000-0005-0000-0000-00007B1C0000}"/>
    <cellStyle name="Normal 3 30 10 3" xfId="6659" xr:uid="{00000000-0005-0000-0000-00007C1C0000}"/>
    <cellStyle name="Normal 3 30 11" xfId="6660" xr:uid="{00000000-0005-0000-0000-00007D1C0000}"/>
    <cellStyle name="Normal 3 30 11 2" xfId="6661" xr:uid="{00000000-0005-0000-0000-00007E1C0000}"/>
    <cellStyle name="Normal 3 30 11 2 2" xfId="6662" xr:uid="{00000000-0005-0000-0000-00007F1C0000}"/>
    <cellStyle name="Normal 3 30 11 3" xfId="6663" xr:uid="{00000000-0005-0000-0000-0000801C0000}"/>
    <cellStyle name="Normal 3 30 12" xfId="6664" xr:uid="{00000000-0005-0000-0000-0000811C0000}"/>
    <cellStyle name="Normal 3 30 12 2" xfId="6665" xr:uid="{00000000-0005-0000-0000-0000821C0000}"/>
    <cellStyle name="Normal 3 30 12 2 2" xfId="6666" xr:uid="{00000000-0005-0000-0000-0000831C0000}"/>
    <cellStyle name="Normal 3 30 12 3" xfId="6667" xr:uid="{00000000-0005-0000-0000-0000841C0000}"/>
    <cellStyle name="Normal 3 30 13" xfId="6668" xr:uid="{00000000-0005-0000-0000-0000851C0000}"/>
    <cellStyle name="Normal 3 30 13 2" xfId="6669" xr:uid="{00000000-0005-0000-0000-0000861C0000}"/>
    <cellStyle name="Normal 3 30 13 2 2" xfId="6670" xr:uid="{00000000-0005-0000-0000-0000871C0000}"/>
    <cellStyle name="Normal 3 30 13 3" xfId="6671" xr:uid="{00000000-0005-0000-0000-0000881C0000}"/>
    <cellStyle name="Normal 3 30 14" xfId="6672" xr:uid="{00000000-0005-0000-0000-0000891C0000}"/>
    <cellStyle name="Normal 3 30 14 2" xfId="6673" xr:uid="{00000000-0005-0000-0000-00008A1C0000}"/>
    <cellStyle name="Normal 3 30 14 2 2" xfId="6674" xr:uid="{00000000-0005-0000-0000-00008B1C0000}"/>
    <cellStyle name="Normal 3 30 14 3" xfId="6675" xr:uid="{00000000-0005-0000-0000-00008C1C0000}"/>
    <cellStyle name="Normal 3 30 15" xfId="6676" xr:uid="{00000000-0005-0000-0000-00008D1C0000}"/>
    <cellStyle name="Normal 3 30 15 2" xfId="6677" xr:uid="{00000000-0005-0000-0000-00008E1C0000}"/>
    <cellStyle name="Normal 3 30 15 2 2" xfId="6678" xr:uid="{00000000-0005-0000-0000-00008F1C0000}"/>
    <cellStyle name="Normal 3 30 15 3" xfId="6679" xr:uid="{00000000-0005-0000-0000-0000901C0000}"/>
    <cellStyle name="Normal 3 30 16" xfId="6680" xr:uid="{00000000-0005-0000-0000-0000911C0000}"/>
    <cellStyle name="Normal 3 30 16 2" xfId="6681" xr:uid="{00000000-0005-0000-0000-0000921C0000}"/>
    <cellStyle name="Normal 3 30 16 2 2" xfId="6682" xr:uid="{00000000-0005-0000-0000-0000931C0000}"/>
    <cellStyle name="Normal 3 30 16 3" xfId="6683" xr:uid="{00000000-0005-0000-0000-0000941C0000}"/>
    <cellStyle name="Normal 3 30 17" xfId="6684" xr:uid="{00000000-0005-0000-0000-0000951C0000}"/>
    <cellStyle name="Normal 3 30 17 2" xfId="6685" xr:uid="{00000000-0005-0000-0000-0000961C0000}"/>
    <cellStyle name="Normal 3 30 17 2 2" xfId="6686" xr:uid="{00000000-0005-0000-0000-0000971C0000}"/>
    <cellStyle name="Normal 3 30 17 3" xfId="6687" xr:uid="{00000000-0005-0000-0000-0000981C0000}"/>
    <cellStyle name="Normal 3 30 18" xfId="6688" xr:uid="{00000000-0005-0000-0000-0000991C0000}"/>
    <cellStyle name="Normal 3 30 18 2" xfId="6689" xr:uid="{00000000-0005-0000-0000-00009A1C0000}"/>
    <cellStyle name="Normal 3 30 18 2 2" xfId="6690" xr:uid="{00000000-0005-0000-0000-00009B1C0000}"/>
    <cellStyle name="Normal 3 30 18 3" xfId="6691" xr:uid="{00000000-0005-0000-0000-00009C1C0000}"/>
    <cellStyle name="Normal 3 30 19" xfId="6692" xr:uid="{00000000-0005-0000-0000-00009D1C0000}"/>
    <cellStyle name="Normal 3 30 19 2" xfId="6693" xr:uid="{00000000-0005-0000-0000-00009E1C0000}"/>
    <cellStyle name="Normal 3 30 19 2 2" xfId="6694" xr:uid="{00000000-0005-0000-0000-00009F1C0000}"/>
    <cellStyle name="Normal 3 30 19 3" xfId="6695" xr:uid="{00000000-0005-0000-0000-0000A01C0000}"/>
    <cellStyle name="Normal 3 30 2" xfId="6696" xr:uid="{00000000-0005-0000-0000-0000A11C0000}"/>
    <cellStyle name="Normal 3 30 2 2" xfId="6697" xr:uid="{00000000-0005-0000-0000-0000A21C0000}"/>
    <cellStyle name="Normal 3 30 2 2 2" xfId="6698" xr:uid="{00000000-0005-0000-0000-0000A31C0000}"/>
    <cellStyle name="Normal 3 30 2 3" xfId="6699" xr:uid="{00000000-0005-0000-0000-0000A41C0000}"/>
    <cellStyle name="Normal 3 30 20" xfId="6700" xr:uid="{00000000-0005-0000-0000-0000A51C0000}"/>
    <cellStyle name="Normal 3 30 20 2" xfId="6701" xr:uid="{00000000-0005-0000-0000-0000A61C0000}"/>
    <cellStyle name="Normal 3 30 20 2 2" xfId="6702" xr:uid="{00000000-0005-0000-0000-0000A71C0000}"/>
    <cellStyle name="Normal 3 30 20 3" xfId="6703" xr:uid="{00000000-0005-0000-0000-0000A81C0000}"/>
    <cellStyle name="Normal 3 30 21" xfId="6704" xr:uid="{00000000-0005-0000-0000-0000A91C0000}"/>
    <cellStyle name="Normal 3 30 21 2" xfId="6705" xr:uid="{00000000-0005-0000-0000-0000AA1C0000}"/>
    <cellStyle name="Normal 3 30 21 2 2" xfId="6706" xr:uid="{00000000-0005-0000-0000-0000AB1C0000}"/>
    <cellStyle name="Normal 3 30 21 3" xfId="6707" xr:uid="{00000000-0005-0000-0000-0000AC1C0000}"/>
    <cellStyle name="Normal 3 30 22" xfId="6708" xr:uid="{00000000-0005-0000-0000-0000AD1C0000}"/>
    <cellStyle name="Normal 3 30 22 2" xfId="6709" xr:uid="{00000000-0005-0000-0000-0000AE1C0000}"/>
    <cellStyle name="Normal 3 30 22 2 2" xfId="6710" xr:uid="{00000000-0005-0000-0000-0000AF1C0000}"/>
    <cellStyle name="Normal 3 30 22 3" xfId="6711" xr:uid="{00000000-0005-0000-0000-0000B01C0000}"/>
    <cellStyle name="Normal 3 30 23" xfId="6712" xr:uid="{00000000-0005-0000-0000-0000B11C0000}"/>
    <cellStyle name="Normal 3 30 23 2" xfId="6713" xr:uid="{00000000-0005-0000-0000-0000B21C0000}"/>
    <cellStyle name="Normal 3 30 23 2 2" xfId="6714" xr:uid="{00000000-0005-0000-0000-0000B31C0000}"/>
    <cellStyle name="Normal 3 30 23 3" xfId="6715" xr:uid="{00000000-0005-0000-0000-0000B41C0000}"/>
    <cellStyle name="Normal 3 30 24" xfId="6716" xr:uid="{00000000-0005-0000-0000-0000B51C0000}"/>
    <cellStyle name="Normal 3 30 24 2" xfId="6717" xr:uid="{00000000-0005-0000-0000-0000B61C0000}"/>
    <cellStyle name="Normal 3 30 25" xfId="6718" xr:uid="{00000000-0005-0000-0000-0000B71C0000}"/>
    <cellStyle name="Normal 3 30 3" xfId="6719" xr:uid="{00000000-0005-0000-0000-0000B81C0000}"/>
    <cellStyle name="Normal 3 30 3 2" xfId="6720" xr:uid="{00000000-0005-0000-0000-0000B91C0000}"/>
    <cellStyle name="Normal 3 30 3 2 2" xfId="6721" xr:uid="{00000000-0005-0000-0000-0000BA1C0000}"/>
    <cellStyle name="Normal 3 30 3 3" xfId="6722" xr:uid="{00000000-0005-0000-0000-0000BB1C0000}"/>
    <cellStyle name="Normal 3 30 4" xfId="6723" xr:uid="{00000000-0005-0000-0000-0000BC1C0000}"/>
    <cellStyle name="Normal 3 30 4 2" xfId="6724" xr:uid="{00000000-0005-0000-0000-0000BD1C0000}"/>
    <cellStyle name="Normal 3 30 4 2 2" xfId="6725" xr:uid="{00000000-0005-0000-0000-0000BE1C0000}"/>
    <cellStyle name="Normal 3 30 4 3" xfId="6726" xr:uid="{00000000-0005-0000-0000-0000BF1C0000}"/>
    <cellStyle name="Normal 3 30 5" xfId="6727" xr:uid="{00000000-0005-0000-0000-0000C01C0000}"/>
    <cellStyle name="Normal 3 30 5 2" xfId="6728" xr:uid="{00000000-0005-0000-0000-0000C11C0000}"/>
    <cellStyle name="Normal 3 30 5 2 2" xfId="6729" xr:uid="{00000000-0005-0000-0000-0000C21C0000}"/>
    <cellStyle name="Normal 3 30 5 3" xfId="6730" xr:uid="{00000000-0005-0000-0000-0000C31C0000}"/>
    <cellStyle name="Normal 3 30 6" xfId="6731" xr:uid="{00000000-0005-0000-0000-0000C41C0000}"/>
    <cellStyle name="Normal 3 30 6 2" xfId="6732" xr:uid="{00000000-0005-0000-0000-0000C51C0000}"/>
    <cellStyle name="Normal 3 30 6 2 2" xfId="6733" xr:uid="{00000000-0005-0000-0000-0000C61C0000}"/>
    <cellStyle name="Normal 3 30 6 3" xfId="6734" xr:uid="{00000000-0005-0000-0000-0000C71C0000}"/>
    <cellStyle name="Normal 3 30 7" xfId="6735" xr:uid="{00000000-0005-0000-0000-0000C81C0000}"/>
    <cellStyle name="Normal 3 30 7 2" xfId="6736" xr:uid="{00000000-0005-0000-0000-0000C91C0000}"/>
    <cellStyle name="Normal 3 30 7 2 2" xfId="6737" xr:uid="{00000000-0005-0000-0000-0000CA1C0000}"/>
    <cellStyle name="Normal 3 30 7 3" xfId="6738" xr:uid="{00000000-0005-0000-0000-0000CB1C0000}"/>
    <cellStyle name="Normal 3 30 8" xfId="6739" xr:uid="{00000000-0005-0000-0000-0000CC1C0000}"/>
    <cellStyle name="Normal 3 30 8 2" xfId="6740" xr:uid="{00000000-0005-0000-0000-0000CD1C0000}"/>
    <cellStyle name="Normal 3 30 8 2 2" xfId="6741" xr:uid="{00000000-0005-0000-0000-0000CE1C0000}"/>
    <cellStyle name="Normal 3 30 8 3" xfId="6742" xr:uid="{00000000-0005-0000-0000-0000CF1C0000}"/>
    <cellStyle name="Normal 3 30 9" xfId="6743" xr:uid="{00000000-0005-0000-0000-0000D01C0000}"/>
    <cellStyle name="Normal 3 30 9 2" xfId="6744" xr:uid="{00000000-0005-0000-0000-0000D11C0000}"/>
    <cellStyle name="Normal 3 30 9 2 2" xfId="6745" xr:uid="{00000000-0005-0000-0000-0000D21C0000}"/>
    <cellStyle name="Normal 3 30 9 3" xfId="6746" xr:uid="{00000000-0005-0000-0000-0000D31C0000}"/>
    <cellStyle name="Normal 3 31" xfId="6747" xr:uid="{00000000-0005-0000-0000-0000D41C0000}"/>
    <cellStyle name="Normal 3 31 10" xfId="6748" xr:uid="{00000000-0005-0000-0000-0000D51C0000}"/>
    <cellStyle name="Normal 3 31 10 2" xfId="6749" xr:uid="{00000000-0005-0000-0000-0000D61C0000}"/>
    <cellStyle name="Normal 3 31 10 2 2" xfId="6750" xr:uid="{00000000-0005-0000-0000-0000D71C0000}"/>
    <cellStyle name="Normal 3 31 10 3" xfId="6751" xr:uid="{00000000-0005-0000-0000-0000D81C0000}"/>
    <cellStyle name="Normal 3 31 11" xfId="6752" xr:uid="{00000000-0005-0000-0000-0000D91C0000}"/>
    <cellStyle name="Normal 3 31 11 2" xfId="6753" xr:uid="{00000000-0005-0000-0000-0000DA1C0000}"/>
    <cellStyle name="Normal 3 31 11 2 2" xfId="6754" xr:uid="{00000000-0005-0000-0000-0000DB1C0000}"/>
    <cellStyle name="Normal 3 31 11 3" xfId="6755" xr:uid="{00000000-0005-0000-0000-0000DC1C0000}"/>
    <cellStyle name="Normal 3 31 12" xfId="6756" xr:uid="{00000000-0005-0000-0000-0000DD1C0000}"/>
    <cellStyle name="Normal 3 31 12 2" xfId="6757" xr:uid="{00000000-0005-0000-0000-0000DE1C0000}"/>
    <cellStyle name="Normal 3 31 12 2 2" xfId="6758" xr:uid="{00000000-0005-0000-0000-0000DF1C0000}"/>
    <cellStyle name="Normal 3 31 12 3" xfId="6759" xr:uid="{00000000-0005-0000-0000-0000E01C0000}"/>
    <cellStyle name="Normal 3 31 13" xfId="6760" xr:uid="{00000000-0005-0000-0000-0000E11C0000}"/>
    <cellStyle name="Normal 3 31 13 2" xfId="6761" xr:uid="{00000000-0005-0000-0000-0000E21C0000}"/>
    <cellStyle name="Normal 3 31 13 2 2" xfId="6762" xr:uid="{00000000-0005-0000-0000-0000E31C0000}"/>
    <cellStyle name="Normal 3 31 13 3" xfId="6763" xr:uid="{00000000-0005-0000-0000-0000E41C0000}"/>
    <cellStyle name="Normal 3 31 14" xfId="6764" xr:uid="{00000000-0005-0000-0000-0000E51C0000}"/>
    <cellStyle name="Normal 3 31 14 2" xfId="6765" xr:uid="{00000000-0005-0000-0000-0000E61C0000}"/>
    <cellStyle name="Normal 3 31 14 2 2" xfId="6766" xr:uid="{00000000-0005-0000-0000-0000E71C0000}"/>
    <cellStyle name="Normal 3 31 14 3" xfId="6767" xr:uid="{00000000-0005-0000-0000-0000E81C0000}"/>
    <cellStyle name="Normal 3 31 15" xfId="6768" xr:uid="{00000000-0005-0000-0000-0000E91C0000}"/>
    <cellStyle name="Normal 3 31 15 2" xfId="6769" xr:uid="{00000000-0005-0000-0000-0000EA1C0000}"/>
    <cellStyle name="Normal 3 31 15 2 2" xfId="6770" xr:uid="{00000000-0005-0000-0000-0000EB1C0000}"/>
    <cellStyle name="Normal 3 31 15 3" xfId="6771" xr:uid="{00000000-0005-0000-0000-0000EC1C0000}"/>
    <cellStyle name="Normal 3 31 16" xfId="6772" xr:uid="{00000000-0005-0000-0000-0000ED1C0000}"/>
    <cellStyle name="Normal 3 31 16 2" xfId="6773" xr:uid="{00000000-0005-0000-0000-0000EE1C0000}"/>
    <cellStyle name="Normal 3 31 16 2 2" xfId="6774" xr:uid="{00000000-0005-0000-0000-0000EF1C0000}"/>
    <cellStyle name="Normal 3 31 16 3" xfId="6775" xr:uid="{00000000-0005-0000-0000-0000F01C0000}"/>
    <cellStyle name="Normal 3 31 17" xfId="6776" xr:uid="{00000000-0005-0000-0000-0000F11C0000}"/>
    <cellStyle name="Normal 3 31 17 2" xfId="6777" xr:uid="{00000000-0005-0000-0000-0000F21C0000}"/>
    <cellStyle name="Normal 3 31 17 2 2" xfId="6778" xr:uid="{00000000-0005-0000-0000-0000F31C0000}"/>
    <cellStyle name="Normal 3 31 17 3" xfId="6779" xr:uid="{00000000-0005-0000-0000-0000F41C0000}"/>
    <cellStyle name="Normal 3 31 18" xfId="6780" xr:uid="{00000000-0005-0000-0000-0000F51C0000}"/>
    <cellStyle name="Normal 3 31 18 2" xfId="6781" xr:uid="{00000000-0005-0000-0000-0000F61C0000}"/>
    <cellStyle name="Normal 3 31 18 2 2" xfId="6782" xr:uid="{00000000-0005-0000-0000-0000F71C0000}"/>
    <cellStyle name="Normal 3 31 18 3" xfId="6783" xr:uid="{00000000-0005-0000-0000-0000F81C0000}"/>
    <cellStyle name="Normal 3 31 19" xfId="6784" xr:uid="{00000000-0005-0000-0000-0000F91C0000}"/>
    <cellStyle name="Normal 3 31 19 2" xfId="6785" xr:uid="{00000000-0005-0000-0000-0000FA1C0000}"/>
    <cellStyle name="Normal 3 31 19 2 2" xfId="6786" xr:uid="{00000000-0005-0000-0000-0000FB1C0000}"/>
    <cellStyle name="Normal 3 31 19 3" xfId="6787" xr:uid="{00000000-0005-0000-0000-0000FC1C0000}"/>
    <cellStyle name="Normal 3 31 2" xfId="6788" xr:uid="{00000000-0005-0000-0000-0000FD1C0000}"/>
    <cellStyle name="Normal 3 31 2 2" xfId="6789" xr:uid="{00000000-0005-0000-0000-0000FE1C0000}"/>
    <cellStyle name="Normal 3 31 2 2 2" xfId="6790" xr:uid="{00000000-0005-0000-0000-0000FF1C0000}"/>
    <cellStyle name="Normal 3 31 2 3" xfId="6791" xr:uid="{00000000-0005-0000-0000-0000001D0000}"/>
    <cellStyle name="Normal 3 31 20" xfId="6792" xr:uid="{00000000-0005-0000-0000-0000011D0000}"/>
    <cellStyle name="Normal 3 31 20 2" xfId="6793" xr:uid="{00000000-0005-0000-0000-0000021D0000}"/>
    <cellStyle name="Normal 3 31 20 2 2" xfId="6794" xr:uid="{00000000-0005-0000-0000-0000031D0000}"/>
    <cellStyle name="Normal 3 31 20 3" xfId="6795" xr:uid="{00000000-0005-0000-0000-0000041D0000}"/>
    <cellStyle name="Normal 3 31 21" xfId="6796" xr:uid="{00000000-0005-0000-0000-0000051D0000}"/>
    <cellStyle name="Normal 3 31 21 2" xfId="6797" xr:uid="{00000000-0005-0000-0000-0000061D0000}"/>
    <cellStyle name="Normal 3 31 21 2 2" xfId="6798" xr:uid="{00000000-0005-0000-0000-0000071D0000}"/>
    <cellStyle name="Normal 3 31 21 3" xfId="6799" xr:uid="{00000000-0005-0000-0000-0000081D0000}"/>
    <cellStyle name="Normal 3 31 22" xfId="6800" xr:uid="{00000000-0005-0000-0000-0000091D0000}"/>
    <cellStyle name="Normal 3 31 22 2" xfId="6801" xr:uid="{00000000-0005-0000-0000-00000A1D0000}"/>
    <cellStyle name="Normal 3 31 22 2 2" xfId="6802" xr:uid="{00000000-0005-0000-0000-00000B1D0000}"/>
    <cellStyle name="Normal 3 31 22 3" xfId="6803" xr:uid="{00000000-0005-0000-0000-00000C1D0000}"/>
    <cellStyle name="Normal 3 31 23" xfId="6804" xr:uid="{00000000-0005-0000-0000-00000D1D0000}"/>
    <cellStyle name="Normal 3 31 23 2" xfId="6805" xr:uid="{00000000-0005-0000-0000-00000E1D0000}"/>
    <cellStyle name="Normal 3 31 23 2 2" xfId="6806" xr:uid="{00000000-0005-0000-0000-00000F1D0000}"/>
    <cellStyle name="Normal 3 31 23 3" xfId="6807" xr:uid="{00000000-0005-0000-0000-0000101D0000}"/>
    <cellStyle name="Normal 3 31 24" xfId="6808" xr:uid="{00000000-0005-0000-0000-0000111D0000}"/>
    <cellStyle name="Normal 3 31 24 2" xfId="6809" xr:uid="{00000000-0005-0000-0000-0000121D0000}"/>
    <cellStyle name="Normal 3 31 25" xfId="6810" xr:uid="{00000000-0005-0000-0000-0000131D0000}"/>
    <cellStyle name="Normal 3 31 3" xfId="6811" xr:uid="{00000000-0005-0000-0000-0000141D0000}"/>
    <cellStyle name="Normal 3 31 3 2" xfId="6812" xr:uid="{00000000-0005-0000-0000-0000151D0000}"/>
    <cellStyle name="Normal 3 31 3 2 2" xfId="6813" xr:uid="{00000000-0005-0000-0000-0000161D0000}"/>
    <cellStyle name="Normal 3 31 3 3" xfId="6814" xr:uid="{00000000-0005-0000-0000-0000171D0000}"/>
    <cellStyle name="Normal 3 31 4" xfId="6815" xr:uid="{00000000-0005-0000-0000-0000181D0000}"/>
    <cellStyle name="Normal 3 31 4 2" xfId="6816" xr:uid="{00000000-0005-0000-0000-0000191D0000}"/>
    <cellStyle name="Normal 3 31 4 2 2" xfId="6817" xr:uid="{00000000-0005-0000-0000-00001A1D0000}"/>
    <cellStyle name="Normal 3 31 4 3" xfId="6818" xr:uid="{00000000-0005-0000-0000-00001B1D0000}"/>
    <cellStyle name="Normal 3 31 5" xfId="6819" xr:uid="{00000000-0005-0000-0000-00001C1D0000}"/>
    <cellStyle name="Normal 3 31 5 2" xfId="6820" xr:uid="{00000000-0005-0000-0000-00001D1D0000}"/>
    <cellStyle name="Normal 3 31 5 2 2" xfId="6821" xr:uid="{00000000-0005-0000-0000-00001E1D0000}"/>
    <cellStyle name="Normal 3 31 5 3" xfId="6822" xr:uid="{00000000-0005-0000-0000-00001F1D0000}"/>
    <cellStyle name="Normal 3 31 6" xfId="6823" xr:uid="{00000000-0005-0000-0000-0000201D0000}"/>
    <cellStyle name="Normal 3 31 6 2" xfId="6824" xr:uid="{00000000-0005-0000-0000-0000211D0000}"/>
    <cellStyle name="Normal 3 31 6 2 2" xfId="6825" xr:uid="{00000000-0005-0000-0000-0000221D0000}"/>
    <cellStyle name="Normal 3 31 6 3" xfId="6826" xr:uid="{00000000-0005-0000-0000-0000231D0000}"/>
    <cellStyle name="Normal 3 31 7" xfId="6827" xr:uid="{00000000-0005-0000-0000-0000241D0000}"/>
    <cellStyle name="Normal 3 31 7 2" xfId="6828" xr:uid="{00000000-0005-0000-0000-0000251D0000}"/>
    <cellStyle name="Normal 3 31 7 2 2" xfId="6829" xr:uid="{00000000-0005-0000-0000-0000261D0000}"/>
    <cellStyle name="Normal 3 31 7 3" xfId="6830" xr:uid="{00000000-0005-0000-0000-0000271D0000}"/>
    <cellStyle name="Normal 3 31 8" xfId="6831" xr:uid="{00000000-0005-0000-0000-0000281D0000}"/>
    <cellStyle name="Normal 3 31 8 2" xfId="6832" xr:uid="{00000000-0005-0000-0000-0000291D0000}"/>
    <cellStyle name="Normal 3 31 8 2 2" xfId="6833" xr:uid="{00000000-0005-0000-0000-00002A1D0000}"/>
    <cellStyle name="Normal 3 31 8 3" xfId="6834" xr:uid="{00000000-0005-0000-0000-00002B1D0000}"/>
    <cellStyle name="Normal 3 31 9" xfId="6835" xr:uid="{00000000-0005-0000-0000-00002C1D0000}"/>
    <cellStyle name="Normal 3 31 9 2" xfId="6836" xr:uid="{00000000-0005-0000-0000-00002D1D0000}"/>
    <cellStyle name="Normal 3 31 9 2 2" xfId="6837" xr:uid="{00000000-0005-0000-0000-00002E1D0000}"/>
    <cellStyle name="Normal 3 31 9 3" xfId="6838" xr:uid="{00000000-0005-0000-0000-00002F1D0000}"/>
    <cellStyle name="Normal 3 32" xfId="6839" xr:uid="{00000000-0005-0000-0000-0000301D0000}"/>
    <cellStyle name="Normal 3 32 10" xfId="6840" xr:uid="{00000000-0005-0000-0000-0000311D0000}"/>
    <cellStyle name="Normal 3 32 10 2" xfId="6841" xr:uid="{00000000-0005-0000-0000-0000321D0000}"/>
    <cellStyle name="Normal 3 32 10 2 2" xfId="6842" xr:uid="{00000000-0005-0000-0000-0000331D0000}"/>
    <cellStyle name="Normal 3 32 10 3" xfId="6843" xr:uid="{00000000-0005-0000-0000-0000341D0000}"/>
    <cellStyle name="Normal 3 32 11" xfId="6844" xr:uid="{00000000-0005-0000-0000-0000351D0000}"/>
    <cellStyle name="Normal 3 32 11 2" xfId="6845" xr:uid="{00000000-0005-0000-0000-0000361D0000}"/>
    <cellStyle name="Normal 3 32 11 2 2" xfId="6846" xr:uid="{00000000-0005-0000-0000-0000371D0000}"/>
    <cellStyle name="Normal 3 32 11 3" xfId="6847" xr:uid="{00000000-0005-0000-0000-0000381D0000}"/>
    <cellStyle name="Normal 3 32 12" xfId="6848" xr:uid="{00000000-0005-0000-0000-0000391D0000}"/>
    <cellStyle name="Normal 3 32 12 2" xfId="6849" xr:uid="{00000000-0005-0000-0000-00003A1D0000}"/>
    <cellStyle name="Normal 3 32 12 2 2" xfId="6850" xr:uid="{00000000-0005-0000-0000-00003B1D0000}"/>
    <cellStyle name="Normal 3 32 12 3" xfId="6851" xr:uid="{00000000-0005-0000-0000-00003C1D0000}"/>
    <cellStyle name="Normal 3 32 13" xfId="6852" xr:uid="{00000000-0005-0000-0000-00003D1D0000}"/>
    <cellStyle name="Normal 3 32 13 2" xfId="6853" xr:uid="{00000000-0005-0000-0000-00003E1D0000}"/>
    <cellStyle name="Normal 3 32 13 2 2" xfId="6854" xr:uid="{00000000-0005-0000-0000-00003F1D0000}"/>
    <cellStyle name="Normal 3 32 13 3" xfId="6855" xr:uid="{00000000-0005-0000-0000-0000401D0000}"/>
    <cellStyle name="Normal 3 32 14" xfId="6856" xr:uid="{00000000-0005-0000-0000-0000411D0000}"/>
    <cellStyle name="Normal 3 32 14 2" xfId="6857" xr:uid="{00000000-0005-0000-0000-0000421D0000}"/>
    <cellStyle name="Normal 3 32 14 2 2" xfId="6858" xr:uid="{00000000-0005-0000-0000-0000431D0000}"/>
    <cellStyle name="Normal 3 32 14 3" xfId="6859" xr:uid="{00000000-0005-0000-0000-0000441D0000}"/>
    <cellStyle name="Normal 3 32 15" xfId="6860" xr:uid="{00000000-0005-0000-0000-0000451D0000}"/>
    <cellStyle name="Normal 3 32 15 2" xfId="6861" xr:uid="{00000000-0005-0000-0000-0000461D0000}"/>
    <cellStyle name="Normal 3 32 15 2 2" xfId="6862" xr:uid="{00000000-0005-0000-0000-0000471D0000}"/>
    <cellStyle name="Normal 3 32 15 3" xfId="6863" xr:uid="{00000000-0005-0000-0000-0000481D0000}"/>
    <cellStyle name="Normal 3 32 16" xfId="6864" xr:uid="{00000000-0005-0000-0000-0000491D0000}"/>
    <cellStyle name="Normal 3 32 16 2" xfId="6865" xr:uid="{00000000-0005-0000-0000-00004A1D0000}"/>
    <cellStyle name="Normal 3 32 16 2 2" xfId="6866" xr:uid="{00000000-0005-0000-0000-00004B1D0000}"/>
    <cellStyle name="Normal 3 32 16 3" xfId="6867" xr:uid="{00000000-0005-0000-0000-00004C1D0000}"/>
    <cellStyle name="Normal 3 32 17" xfId="6868" xr:uid="{00000000-0005-0000-0000-00004D1D0000}"/>
    <cellStyle name="Normal 3 32 17 2" xfId="6869" xr:uid="{00000000-0005-0000-0000-00004E1D0000}"/>
    <cellStyle name="Normal 3 32 17 2 2" xfId="6870" xr:uid="{00000000-0005-0000-0000-00004F1D0000}"/>
    <cellStyle name="Normal 3 32 17 3" xfId="6871" xr:uid="{00000000-0005-0000-0000-0000501D0000}"/>
    <cellStyle name="Normal 3 32 18" xfId="6872" xr:uid="{00000000-0005-0000-0000-0000511D0000}"/>
    <cellStyle name="Normal 3 32 18 2" xfId="6873" xr:uid="{00000000-0005-0000-0000-0000521D0000}"/>
    <cellStyle name="Normal 3 32 18 2 2" xfId="6874" xr:uid="{00000000-0005-0000-0000-0000531D0000}"/>
    <cellStyle name="Normal 3 32 18 3" xfId="6875" xr:uid="{00000000-0005-0000-0000-0000541D0000}"/>
    <cellStyle name="Normal 3 32 19" xfId="6876" xr:uid="{00000000-0005-0000-0000-0000551D0000}"/>
    <cellStyle name="Normal 3 32 19 2" xfId="6877" xr:uid="{00000000-0005-0000-0000-0000561D0000}"/>
    <cellStyle name="Normal 3 32 19 2 2" xfId="6878" xr:uid="{00000000-0005-0000-0000-0000571D0000}"/>
    <cellStyle name="Normal 3 32 19 3" xfId="6879" xr:uid="{00000000-0005-0000-0000-0000581D0000}"/>
    <cellStyle name="Normal 3 32 2" xfId="6880" xr:uid="{00000000-0005-0000-0000-0000591D0000}"/>
    <cellStyle name="Normal 3 32 2 2" xfId="6881" xr:uid="{00000000-0005-0000-0000-00005A1D0000}"/>
    <cellStyle name="Normal 3 32 2 2 2" xfId="6882" xr:uid="{00000000-0005-0000-0000-00005B1D0000}"/>
    <cellStyle name="Normal 3 32 2 3" xfId="6883" xr:uid="{00000000-0005-0000-0000-00005C1D0000}"/>
    <cellStyle name="Normal 3 32 20" xfId="6884" xr:uid="{00000000-0005-0000-0000-00005D1D0000}"/>
    <cellStyle name="Normal 3 32 20 2" xfId="6885" xr:uid="{00000000-0005-0000-0000-00005E1D0000}"/>
    <cellStyle name="Normal 3 32 20 2 2" xfId="6886" xr:uid="{00000000-0005-0000-0000-00005F1D0000}"/>
    <cellStyle name="Normal 3 32 20 3" xfId="6887" xr:uid="{00000000-0005-0000-0000-0000601D0000}"/>
    <cellStyle name="Normal 3 32 21" xfId="6888" xr:uid="{00000000-0005-0000-0000-0000611D0000}"/>
    <cellStyle name="Normal 3 32 21 2" xfId="6889" xr:uid="{00000000-0005-0000-0000-0000621D0000}"/>
    <cellStyle name="Normal 3 32 21 2 2" xfId="6890" xr:uid="{00000000-0005-0000-0000-0000631D0000}"/>
    <cellStyle name="Normal 3 32 21 3" xfId="6891" xr:uid="{00000000-0005-0000-0000-0000641D0000}"/>
    <cellStyle name="Normal 3 32 22" xfId="6892" xr:uid="{00000000-0005-0000-0000-0000651D0000}"/>
    <cellStyle name="Normal 3 32 22 2" xfId="6893" xr:uid="{00000000-0005-0000-0000-0000661D0000}"/>
    <cellStyle name="Normal 3 32 22 2 2" xfId="6894" xr:uid="{00000000-0005-0000-0000-0000671D0000}"/>
    <cellStyle name="Normal 3 32 22 3" xfId="6895" xr:uid="{00000000-0005-0000-0000-0000681D0000}"/>
    <cellStyle name="Normal 3 32 23" xfId="6896" xr:uid="{00000000-0005-0000-0000-0000691D0000}"/>
    <cellStyle name="Normal 3 32 23 2" xfId="6897" xr:uid="{00000000-0005-0000-0000-00006A1D0000}"/>
    <cellStyle name="Normal 3 32 23 2 2" xfId="6898" xr:uid="{00000000-0005-0000-0000-00006B1D0000}"/>
    <cellStyle name="Normal 3 32 23 3" xfId="6899" xr:uid="{00000000-0005-0000-0000-00006C1D0000}"/>
    <cellStyle name="Normal 3 32 24" xfId="6900" xr:uid="{00000000-0005-0000-0000-00006D1D0000}"/>
    <cellStyle name="Normal 3 32 24 2" xfId="6901" xr:uid="{00000000-0005-0000-0000-00006E1D0000}"/>
    <cellStyle name="Normal 3 32 25" xfId="6902" xr:uid="{00000000-0005-0000-0000-00006F1D0000}"/>
    <cellStyle name="Normal 3 32 3" xfId="6903" xr:uid="{00000000-0005-0000-0000-0000701D0000}"/>
    <cellStyle name="Normal 3 32 3 2" xfId="6904" xr:uid="{00000000-0005-0000-0000-0000711D0000}"/>
    <cellStyle name="Normal 3 32 3 2 2" xfId="6905" xr:uid="{00000000-0005-0000-0000-0000721D0000}"/>
    <cellStyle name="Normal 3 32 3 3" xfId="6906" xr:uid="{00000000-0005-0000-0000-0000731D0000}"/>
    <cellStyle name="Normal 3 32 4" xfId="6907" xr:uid="{00000000-0005-0000-0000-0000741D0000}"/>
    <cellStyle name="Normal 3 32 4 2" xfId="6908" xr:uid="{00000000-0005-0000-0000-0000751D0000}"/>
    <cellStyle name="Normal 3 32 4 2 2" xfId="6909" xr:uid="{00000000-0005-0000-0000-0000761D0000}"/>
    <cellStyle name="Normal 3 32 4 3" xfId="6910" xr:uid="{00000000-0005-0000-0000-0000771D0000}"/>
    <cellStyle name="Normal 3 32 5" xfId="6911" xr:uid="{00000000-0005-0000-0000-0000781D0000}"/>
    <cellStyle name="Normal 3 32 5 2" xfId="6912" xr:uid="{00000000-0005-0000-0000-0000791D0000}"/>
    <cellStyle name="Normal 3 32 5 2 2" xfId="6913" xr:uid="{00000000-0005-0000-0000-00007A1D0000}"/>
    <cellStyle name="Normal 3 32 5 3" xfId="6914" xr:uid="{00000000-0005-0000-0000-00007B1D0000}"/>
    <cellStyle name="Normal 3 32 6" xfId="6915" xr:uid="{00000000-0005-0000-0000-00007C1D0000}"/>
    <cellStyle name="Normal 3 32 6 2" xfId="6916" xr:uid="{00000000-0005-0000-0000-00007D1D0000}"/>
    <cellStyle name="Normal 3 32 6 2 2" xfId="6917" xr:uid="{00000000-0005-0000-0000-00007E1D0000}"/>
    <cellStyle name="Normal 3 32 6 3" xfId="6918" xr:uid="{00000000-0005-0000-0000-00007F1D0000}"/>
    <cellStyle name="Normal 3 32 7" xfId="6919" xr:uid="{00000000-0005-0000-0000-0000801D0000}"/>
    <cellStyle name="Normal 3 32 7 2" xfId="6920" xr:uid="{00000000-0005-0000-0000-0000811D0000}"/>
    <cellStyle name="Normal 3 32 7 2 2" xfId="6921" xr:uid="{00000000-0005-0000-0000-0000821D0000}"/>
    <cellStyle name="Normal 3 32 7 3" xfId="6922" xr:uid="{00000000-0005-0000-0000-0000831D0000}"/>
    <cellStyle name="Normal 3 32 8" xfId="6923" xr:uid="{00000000-0005-0000-0000-0000841D0000}"/>
    <cellStyle name="Normal 3 32 8 2" xfId="6924" xr:uid="{00000000-0005-0000-0000-0000851D0000}"/>
    <cellStyle name="Normal 3 32 8 2 2" xfId="6925" xr:uid="{00000000-0005-0000-0000-0000861D0000}"/>
    <cellStyle name="Normal 3 32 8 3" xfId="6926" xr:uid="{00000000-0005-0000-0000-0000871D0000}"/>
    <cellStyle name="Normal 3 32 9" xfId="6927" xr:uid="{00000000-0005-0000-0000-0000881D0000}"/>
    <cellStyle name="Normal 3 32 9 2" xfId="6928" xr:uid="{00000000-0005-0000-0000-0000891D0000}"/>
    <cellStyle name="Normal 3 32 9 2 2" xfId="6929" xr:uid="{00000000-0005-0000-0000-00008A1D0000}"/>
    <cellStyle name="Normal 3 32 9 3" xfId="6930" xr:uid="{00000000-0005-0000-0000-00008B1D0000}"/>
    <cellStyle name="Normal 3 33" xfId="6931" xr:uid="{00000000-0005-0000-0000-00008C1D0000}"/>
    <cellStyle name="Normal 3 33 10" xfId="6932" xr:uid="{00000000-0005-0000-0000-00008D1D0000}"/>
    <cellStyle name="Normal 3 33 10 2" xfId="6933" xr:uid="{00000000-0005-0000-0000-00008E1D0000}"/>
    <cellStyle name="Normal 3 33 10 2 2" xfId="6934" xr:uid="{00000000-0005-0000-0000-00008F1D0000}"/>
    <cellStyle name="Normal 3 33 10 3" xfId="6935" xr:uid="{00000000-0005-0000-0000-0000901D0000}"/>
    <cellStyle name="Normal 3 33 11" xfId="6936" xr:uid="{00000000-0005-0000-0000-0000911D0000}"/>
    <cellStyle name="Normal 3 33 11 2" xfId="6937" xr:uid="{00000000-0005-0000-0000-0000921D0000}"/>
    <cellStyle name="Normal 3 33 11 2 2" xfId="6938" xr:uid="{00000000-0005-0000-0000-0000931D0000}"/>
    <cellStyle name="Normal 3 33 11 3" xfId="6939" xr:uid="{00000000-0005-0000-0000-0000941D0000}"/>
    <cellStyle name="Normal 3 33 12" xfId="6940" xr:uid="{00000000-0005-0000-0000-0000951D0000}"/>
    <cellStyle name="Normal 3 33 12 2" xfId="6941" xr:uid="{00000000-0005-0000-0000-0000961D0000}"/>
    <cellStyle name="Normal 3 33 12 2 2" xfId="6942" xr:uid="{00000000-0005-0000-0000-0000971D0000}"/>
    <cellStyle name="Normal 3 33 12 3" xfId="6943" xr:uid="{00000000-0005-0000-0000-0000981D0000}"/>
    <cellStyle name="Normal 3 33 13" xfId="6944" xr:uid="{00000000-0005-0000-0000-0000991D0000}"/>
    <cellStyle name="Normal 3 33 13 2" xfId="6945" xr:uid="{00000000-0005-0000-0000-00009A1D0000}"/>
    <cellStyle name="Normal 3 33 13 2 2" xfId="6946" xr:uid="{00000000-0005-0000-0000-00009B1D0000}"/>
    <cellStyle name="Normal 3 33 13 3" xfId="6947" xr:uid="{00000000-0005-0000-0000-00009C1D0000}"/>
    <cellStyle name="Normal 3 33 14" xfId="6948" xr:uid="{00000000-0005-0000-0000-00009D1D0000}"/>
    <cellStyle name="Normal 3 33 14 2" xfId="6949" xr:uid="{00000000-0005-0000-0000-00009E1D0000}"/>
    <cellStyle name="Normal 3 33 14 2 2" xfId="6950" xr:uid="{00000000-0005-0000-0000-00009F1D0000}"/>
    <cellStyle name="Normal 3 33 14 3" xfId="6951" xr:uid="{00000000-0005-0000-0000-0000A01D0000}"/>
    <cellStyle name="Normal 3 33 15" xfId="6952" xr:uid="{00000000-0005-0000-0000-0000A11D0000}"/>
    <cellStyle name="Normal 3 33 15 2" xfId="6953" xr:uid="{00000000-0005-0000-0000-0000A21D0000}"/>
    <cellStyle name="Normal 3 33 15 2 2" xfId="6954" xr:uid="{00000000-0005-0000-0000-0000A31D0000}"/>
    <cellStyle name="Normal 3 33 15 3" xfId="6955" xr:uid="{00000000-0005-0000-0000-0000A41D0000}"/>
    <cellStyle name="Normal 3 33 16" xfId="6956" xr:uid="{00000000-0005-0000-0000-0000A51D0000}"/>
    <cellStyle name="Normal 3 33 16 2" xfId="6957" xr:uid="{00000000-0005-0000-0000-0000A61D0000}"/>
    <cellStyle name="Normal 3 33 16 2 2" xfId="6958" xr:uid="{00000000-0005-0000-0000-0000A71D0000}"/>
    <cellStyle name="Normal 3 33 16 3" xfId="6959" xr:uid="{00000000-0005-0000-0000-0000A81D0000}"/>
    <cellStyle name="Normal 3 33 17" xfId="6960" xr:uid="{00000000-0005-0000-0000-0000A91D0000}"/>
    <cellStyle name="Normal 3 33 17 2" xfId="6961" xr:uid="{00000000-0005-0000-0000-0000AA1D0000}"/>
    <cellStyle name="Normal 3 33 17 2 2" xfId="6962" xr:uid="{00000000-0005-0000-0000-0000AB1D0000}"/>
    <cellStyle name="Normal 3 33 17 3" xfId="6963" xr:uid="{00000000-0005-0000-0000-0000AC1D0000}"/>
    <cellStyle name="Normal 3 33 18" xfId="6964" xr:uid="{00000000-0005-0000-0000-0000AD1D0000}"/>
    <cellStyle name="Normal 3 33 18 2" xfId="6965" xr:uid="{00000000-0005-0000-0000-0000AE1D0000}"/>
    <cellStyle name="Normal 3 33 18 2 2" xfId="6966" xr:uid="{00000000-0005-0000-0000-0000AF1D0000}"/>
    <cellStyle name="Normal 3 33 18 3" xfId="6967" xr:uid="{00000000-0005-0000-0000-0000B01D0000}"/>
    <cellStyle name="Normal 3 33 19" xfId="6968" xr:uid="{00000000-0005-0000-0000-0000B11D0000}"/>
    <cellStyle name="Normal 3 33 19 2" xfId="6969" xr:uid="{00000000-0005-0000-0000-0000B21D0000}"/>
    <cellStyle name="Normal 3 33 19 2 2" xfId="6970" xr:uid="{00000000-0005-0000-0000-0000B31D0000}"/>
    <cellStyle name="Normal 3 33 19 3" xfId="6971" xr:uid="{00000000-0005-0000-0000-0000B41D0000}"/>
    <cellStyle name="Normal 3 33 2" xfId="6972" xr:uid="{00000000-0005-0000-0000-0000B51D0000}"/>
    <cellStyle name="Normal 3 33 2 2" xfId="6973" xr:uid="{00000000-0005-0000-0000-0000B61D0000}"/>
    <cellStyle name="Normal 3 33 2 2 2" xfId="6974" xr:uid="{00000000-0005-0000-0000-0000B71D0000}"/>
    <cellStyle name="Normal 3 33 2 3" xfId="6975" xr:uid="{00000000-0005-0000-0000-0000B81D0000}"/>
    <cellStyle name="Normal 3 33 20" xfId="6976" xr:uid="{00000000-0005-0000-0000-0000B91D0000}"/>
    <cellStyle name="Normal 3 33 20 2" xfId="6977" xr:uid="{00000000-0005-0000-0000-0000BA1D0000}"/>
    <cellStyle name="Normal 3 33 20 2 2" xfId="6978" xr:uid="{00000000-0005-0000-0000-0000BB1D0000}"/>
    <cellStyle name="Normal 3 33 20 3" xfId="6979" xr:uid="{00000000-0005-0000-0000-0000BC1D0000}"/>
    <cellStyle name="Normal 3 33 21" xfId="6980" xr:uid="{00000000-0005-0000-0000-0000BD1D0000}"/>
    <cellStyle name="Normal 3 33 21 2" xfId="6981" xr:uid="{00000000-0005-0000-0000-0000BE1D0000}"/>
    <cellStyle name="Normal 3 33 21 2 2" xfId="6982" xr:uid="{00000000-0005-0000-0000-0000BF1D0000}"/>
    <cellStyle name="Normal 3 33 21 3" xfId="6983" xr:uid="{00000000-0005-0000-0000-0000C01D0000}"/>
    <cellStyle name="Normal 3 33 22" xfId="6984" xr:uid="{00000000-0005-0000-0000-0000C11D0000}"/>
    <cellStyle name="Normal 3 33 22 2" xfId="6985" xr:uid="{00000000-0005-0000-0000-0000C21D0000}"/>
    <cellStyle name="Normal 3 33 22 2 2" xfId="6986" xr:uid="{00000000-0005-0000-0000-0000C31D0000}"/>
    <cellStyle name="Normal 3 33 22 3" xfId="6987" xr:uid="{00000000-0005-0000-0000-0000C41D0000}"/>
    <cellStyle name="Normal 3 33 23" xfId="6988" xr:uid="{00000000-0005-0000-0000-0000C51D0000}"/>
    <cellStyle name="Normal 3 33 23 2" xfId="6989" xr:uid="{00000000-0005-0000-0000-0000C61D0000}"/>
    <cellStyle name="Normal 3 33 23 2 2" xfId="6990" xr:uid="{00000000-0005-0000-0000-0000C71D0000}"/>
    <cellStyle name="Normal 3 33 23 3" xfId="6991" xr:uid="{00000000-0005-0000-0000-0000C81D0000}"/>
    <cellStyle name="Normal 3 33 24" xfId="6992" xr:uid="{00000000-0005-0000-0000-0000C91D0000}"/>
    <cellStyle name="Normal 3 33 24 2" xfId="6993" xr:uid="{00000000-0005-0000-0000-0000CA1D0000}"/>
    <cellStyle name="Normal 3 33 25" xfId="6994" xr:uid="{00000000-0005-0000-0000-0000CB1D0000}"/>
    <cellStyle name="Normal 3 33 3" xfId="6995" xr:uid="{00000000-0005-0000-0000-0000CC1D0000}"/>
    <cellStyle name="Normal 3 33 3 2" xfId="6996" xr:uid="{00000000-0005-0000-0000-0000CD1D0000}"/>
    <cellStyle name="Normal 3 33 3 2 2" xfId="6997" xr:uid="{00000000-0005-0000-0000-0000CE1D0000}"/>
    <cellStyle name="Normal 3 33 3 3" xfId="6998" xr:uid="{00000000-0005-0000-0000-0000CF1D0000}"/>
    <cellStyle name="Normal 3 33 4" xfId="6999" xr:uid="{00000000-0005-0000-0000-0000D01D0000}"/>
    <cellStyle name="Normal 3 33 4 2" xfId="7000" xr:uid="{00000000-0005-0000-0000-0000D11D0000}"/>
    <cellStyle name="Normal 3 33 4 2 2" xfId="7001" xr:uid="{00000000-0005-0000-0000-0000D21D0000}"/>
    <cellStyle name="Normal 3 33 4 3" xfId="7002" xr:uid="{00000000-0005-0000-0000-0000D31D0000}"/>
    <cellStyle name="Normal 3 33 5" xfId="7003" xr:uid="{00000000-0005-0000-0000-0000D41D0000}"/>
    <cellStyle name="Normal 3 33 5 2" xfId="7004" xr:uid="{00000000-0005-0000-0000-0000D51D0000}"/>
    <cellStyle name="Normal 3 33 5 2 2" xfId="7005" xr:uid="{00000000-0005-0000-0000-0000D61D0000}"/>
    <cellStyle name="Normal 3 33 5 3" xfId="7006" xr:uid="{00000000-0005-0000-0000-0000D71D0000}"/>
    <cellStyle name="Normal 3 33 6" xfId="7007" xr:uid="{00000000-0005-0000-0000-0000D81D0000}"/>
    <cellStyle name="Normal 3 33 6 2" xfId="7008" xr:uid="{00000000-0005-0000-0000-0000D91D0000}"/>
    <cellStyle name="Normal 3 33 6 2 2" xfId="7009" xr:uid="{00000000-0005-0000-0000-0000DA1D0000}"/>
    <cellStyle name="Normal 3 33 6 3" xfId="7010" xr:uid="{00000000-0005-0000-0000-0000DB1D0000}"/>
    <cellStyle name="Normal 3 33 7" xfId="7011" xr:uid="{00000000-0005-0000-0000-0000DC1D0000}"/>
    <cellStyle name="Normal 3 33 7 2" xfId="7012" xr:uid="{00000000-0005-0000-0000-0000DD1D0000}"/>
    <cellStyle name="Normal 3 33 7 2 2" xfId="7013" xr:uid="{00000000-0005-0000-0000-0000DE1D0000}"/>
    <cellStyle name="Normal 3 33 7 3" xfId="7014" xr:uid="{00000000-0005-0000-0000-0000DF1D0000}"/>
    <cellStyle name="Normal 3 33 8" xfId="7015" xr:uid="{00000000-0005-0000-0000-0000E01D0000}"/>
    <cellStyle name="Normal 3 33 8 2" xfId="7016" xr:uid="{00000000-0005-0000-0000-0000E11D0000}"/>
    <cellStyle name="Normal 3 33 8 2 2" xfId="7017" xr:uid="{00000000-0005-0000-0000-0000E21D0000}"/>
    <cellStyle name="Normal 3 33 8 3" xfId="7018" xr:uid="{00000000-0005-0000-0000-0000E31D0000}"/>
    <cellStyle name="Normal 3 33 9" xfId="7019" xr:uid="{00000000-0005-0000-0000-0000E41D0000}"/>
    <cellStyle name="Normal 3 33 9 2" xfId="7020" xr:uid="{00000000-0005-0000-0000-0000E51D0000}"/>
    <cellStyle name="Normal 3 33 9 2 2" xfId="7021" xr:uid="{00000000-0005-0000-0000-0000E61D0000}"/>
    <cellStyle name="Normal 3 33 9 3" xfId="7022" xr:uid="{00000000-0005-0000-0000-0000E71D0000}"/>
    <cellStyle name="Normal 3 34" xfId="7023" xr:uid="{00000000-0005-0000-0000-0000E81D0000}"/>
    <cellStyle name="Normal 3 34 2" xfId="7024" xr:uid="{00000000-0005-0000-0000-0000E91D0000}"/>
    <cellStyle name="Normal 3 34 2 2" xfId="7025" xr:uid="{00000000-0005-0000-0000-0000EA1D0000}"/>
    <cellStyle name="Normal 3 34 3" xfId="7026" xr:uid="{00000000-0005-0000-0000-0000EB1D0000}"/>
    <cellStyle name="Normal 3 35" xfId="7027" xr:uid="{00000000-0005-0000-0000-0000EC1D0000}"/>
    <cellStyle name="Normal 3 35 2" xfId="7028" xr:uid="{00000000-0005-0000-0000-0000ED1D0000}"/>
    <cellStyle name="Normal 3 35 2 2" xfId="7029" xr:uid="{00000000-0005-0000-0000-0000EE1D0000}"/>
    <cellStyle name="Normal 3 35 3" xfId="7030" xr:uid="{00000000-0005-0000-0000-0000EF1D0000}"/>
    <cellStyle name="Normal 3 36" xfId="7031" xr:uid="{00000000-0005-0000-0000-0000F01D0000}"/>
    <cellStyle name="Normal 3 36 2" xfId="7032" xr:uid="{00000000-0005-0000-0000-0000F11D0000}"/>
    <cellStyle name="Normal 3 36 2 2" xfId="7033" xr:uid="{00000000-0005-0000-0000-0000F21D0000}"/>
    <cellStyle name="Normal 3 36 3" xfId="7034" xr:uid="{00000000-0005-0000-0000-0000F31D0000}"/>
    <cellStyle name="Normal 3 37" xfId="7035" xr:uid="{00000000-0005-0000-0000-0000F41D0000}"/>
    <cellStyle name="Normal 3 37 2" xfId="7036" xr:uid="{00000000-0005-0000-0000-0000F51D0000}"/>
    <cellStyle name="Normal 3 37 2 2" xfId="7037" xr:uid="{00000000-0005-0000-0000-0000F61D0000}"/>
    <cellStyle name="Normal 3 37 3" xfId="7038" xr:uid="{00000000-0005-0000-0000-0000F71D0000}"/>
    <cellStyle name="Normal 3 38" xfId="7039" xr:uid="{00000000-0005-0000-0000-0000F81D0000}"/>
    <cellStyle name="Normal 3 38 2" xfId="7040" xr:uid="{00000000-0005-0000-0000-0000F91D0000}"/>
    <cellStyle name="Normal 3 38 2 2" xfId="7041" xr:uid="{00000000-0005-0000-0000-0000FA1D0000}"/>
    <cellStyle name="Normal 3 38 3" xfId="7042" xr:uid="{00000000-0005-0000-0000-0000FB1D0000}"/>
    <cellStyle name="Normal 3 39" xfId="7043" xr:uid="{00000000-0005-0000-0000-0000FC1D0000}"/>
    <cellStyle name="Normal 3 39 2" xfId="7044" xr:uid="{00000000-0005-0000-0000-0000FD1D0000}"/>
    <cellStyle name="Normal 3 39 2 2" xfId="7045" xr:uid="{00000000-0005-0000-0000-0000FE1D0000}"/>
    <cellStyle name="Normal 3 39 3" xfId="7046" xr:uid="{00000000-0005-0000-0000-0000FF1D0000}"/>
    <cellStyle name="Normal 3 4" xfId="192" xr:uid="{00000000-0005-0000-0000-0000001E0000}"/>
    <cellStyle name="Normal 3 4 10" xfId="7047" xr:uid="{00000000-0005-0000-0000-0000011E0000}"/>
    <cellStyle name="Normal 3 4 10 2" xfId="7048" xr:uid="{00000000-0005-0000-0000-0000021E0000}"/>
    <cellStyle name="Normal 3 4 10 2 2" xfId="7049" xr:uid="{00000000-0005-0000-0000-0000031E0000}"/>
    <cellStyle name="Normal 3 4 10 3" xfId="7050" xr:uid="{00000000-0005-0000-0000-0000041E0000}"/>
    <cellStyle name="Normal 3 4 11" xfId="7051" xr:uid="{00000000-0005-0000-0000-0000051E0000}"/>
    <cellStyle name="Normal 3 4 11 2" xfId="7052" xr:uid="{00000000-0005-0000-0000-0000061E0000}"/>
    <cellStyle name="Normal 3 4 11 2 2" xfId="7053" xr:uid="{00000000-0005-0000-0000-0000071E0000}"/>
    <cellStyle name="Normal 3 4 11 3" xfId="7054" xr:uid="{00000000-0005-0000-0000-0000081E0000}"/>
    <cellStyle name="Normal 3 4 12" xfId="7055" xr:uid="{00000000-0005-0000-0000-0000091E0000}"/>
    <cellStyle name="Normal 3 4 12 2" xfId="7056" xr:uid="{00000000-0005-0000-0000-00000A1E0000}"/>
    <cellStyle name="Normal 3 4 12 2 2" xfId="7057" xr:uid="{00000000-0005-0000-0000-00000B1E0000}"/>
    <cellStyle name="Normal 3 4 12 3" xfId="7058" xr:uid="{00000000-0005-0000-0000-00000C1E0000}"/>
    <cellStyle name="Normal 3 4 13" xfId="7059" xr:uid="{00000000-0005-0000-0000-00000D1E0000}"/>
    <cellStyle name="Normal 3 4 13 2" xfId="7060" xr:uid="{00000000-0005-0000-0000-00000E1E0000}"/>
    <cellStyle name="Normal 3 4 13 2 2" xfId="7061" xr:uid="{00000000-0005-0000-0000-00000F1E0000}"/>
    <cellStyle name="Normal 3 4 13 3" xfId="7062" xr:uid="{00000000-0005-0000-0000-0000101E0000}"/>
    <cellStyle name="Normal 3 4 14" xfId="7063" xr:uid="{00000000-0005-0000-0000-0000111E0000}"/>
    <cellStyle name="Normal 3 4 14 2" xfId="7064" xr:uid="{00000000-0005-0000-0000-0000121E0000}"/>
    <cellStyle name="Normal 3 4 14 2 2" xfId="7065" xr:uid="{00000000-0005-0000-0000-0000131E0000}"/>
    <cellStyle name="Normal 3 4 14 3" xfId="7066" xr:uid="{00000000-0005-0000-0000-0000141E0000}"/>
    <cellStyle name="Normal 3 4 15" xfId="7067" xr:uid="{00000000-0005-0000-0000-0000151E0000}"/>
    <cellStyle name="Normal 3 4 15 2" xfId="7068" xr:uid="{00000000-0005-0000-0000-0000161E0000}"/>
    <cellStyle name="Normal 3 4 15 2 2" xfId="7069" xr:uid="{00000000-0005-0000-0000-0000171E0000}"/>
    <cellStyle name="Normal 3 4 15 3" xfId="7070" xr:uid="{00000000-0005-0000-0000-0000181E0000}"/>
    <cellStyle name="Normal 3 4 16" xfId="7071" xr:uid="{00000000-0005-0000-0000-0000191E0000}"/>
    <cellStyle name="Normal 3 4 16 2" xfId="7072" xr:uid="{00000000-0005-0000-0000-00001A1E0000}"/>
    <cellStyle name="Normal 3 4 16 2 2" xfId="7073" xr:uid="{00000000-0005-0000-0000-00001B1E0000}"/>
    <cellStyle name="Normal 3 4 16 3" xfId="7074" xr:uid="{00000000-0005-0000-0000-00001C1E0000}"/>
    <cellStyle name="Normal 3 4 17" xfId="7075" xr:uid="{00000000-0005-0000-0000-00001D1E0000}"/>
    <cellStyle name="Normal 3 4 17 2" xfId="7076" xr:uid="{00000000-0005-0000-0000-00001E1E0000}"/>
    <cellStyle name="Normal 3 4 17 2 2" xfId="7077" xr:uid="{00000000-0005-0000-0000-00001F1E0000}"/>
    <cellStyle name="Normal 3 4 17 3" xfId="7078" xr:uid="{00000000-0005-0000-0000-0000201E0000}"/>
    <cellStyle name="Normal 3 4 18" xfId="7079" xr:uid="{00000000-0005-0000-0000-0000211E0000}"/>
    <cellStyle name="Normal 3 4 18 2" xfId="7080" xr:uid="{00000000-0005-0000-0000-0000221E0000}"/>
    <cellStyle name="Normal 3 4 18 2 2" xfId="7081" xr:uid="{00000000-0005-0000-0000-0000231E0000}"/>
    <cellStyle name="Normal 3 4 18 3" xfId="7082" xr:uid="{00000000-0005-0000-0000-0000241E0000}"/>
    <cellStyle name="Normal 3 4 19" xfId="7083" xr:uid="{00000000-0005-0000-0000-0000251E0000}"/>
    <cellStyle name="Normal 3 4 19 2" xfId="7084" xr:uid="{00000000-0005-0000-0000-0000261E0000}"/>
    <cellStyle name="Normal 3 4 19 2 2" xfId="7085" xr:uid="{00000000-0005-0000-0000-0000271E0000}"/>
    <cellStyle name="Normal 3 4 19 3" xfId="7086" xr:uid="{00000000-0005-0000-0000-0000281E0000}"/>
    <cellStyle name="Normal 3 4 2" xfId="7087" xr:uid="{00000000-0005-0000-0000-0000291E0000}"/>
    <cellStyle name="Normal 3 4 2 2" xfId="7088" xr:uid="{00000000-0005-0000-0000-00002A1E0000}"/>
    <cellStyle name="Normal 3 4 2 2 2" xfId="7089" xr:uid="{00000000-0005-0000-0000-00002B1E0000}"/>
    <cellStyle name="Normal 3 4 2 3" xfId="7090" xr:uid="{00000000-0005-0000-0000-00002C1E0000}"/>
    <cellStyle name="Normal 3 4 20" xfId="7091" xr:uid="{00000000-0005-0000-0000-00002D1E0000}"/>
    <cellStyle name="Normal 3 4 20 2" xfId="7092" xr:uid="{00000000-0005-0000-0000-00002E1E0000}"/>
    <cellStyle name="Normal 3 4 20 2 2" xfId="7093" xr:uid="{00000000-0005-0000-0000-00002F1E0000}"/>
    <cellStyle name="Normal 3 4 20 3" xfId="7094" xr:uid="{00000000-0005-0000-0000-0000301E0000}"/>
    <cellStyle name="Normal 3 4 21" xfId="7095" xr:uid="{00000000-0005-0000-0000-0000311E0000}"/>
    <cellStyle name="Normal 3 4 21 2" xfId="7096" xr:uid="{00000000-0005-0000-0000-0000321E0000}"/>
    <cellStyle name="Normal 3 4 21 2 2" xfId="7097" xr:uid="{00000000-0005-0000-0000-0000331E0000}"/>
    <cellStyle name="Normal 3 4 21 3" xfId="7098" xr:uid="{00000000-0005-0000-0000-0000341E0000}"/>
    <cellStyle name="Normal 3 4 22" xfId="7099" xr:uid="{00000000-0005-0000-0000-0000351E0000}"/>
    <cellStyle name="Normal 3 4 22 2" xfId="7100" xr:uid="{00000000-0005-0000-0000-0000361E0000}"/>
    <cellStyle name="Normal 3 4 22 2 2" xfId="7101" xr:uid="{00000000-0005-0000-0000-0000371E0000}"/>
    <cellStyle name="Normal 3 4 22 3" xfId="7102" xr:uid="{00000000-0005-0000-0000-0000381E0000}"/>
    <cellStyle name="Normal 3 4 23" xfId="7103" xr:uid="{00000000-0005-0000-0000-0000391E0000}"/>
    <cellStyle name="Normal 3 4 23 2" xfId="7104" xr:uid="{00000000-0005-0000-0000-00003A1E0000}"/>
    <cellStyle name="Normal 3 4 23 2 2" xfId="7105" xr:uid="{00000000-0005-0000-0000-00003B1E0000}"/>
    <cellStyle name="Normal 3 4 23 3" xfId="7106" xr:uid="{00000000-0005-0000-0000-00003C1E0000}"/>
    <cellStyle name="Normal 3 4 24" xfId="7107" xr:uid="{00000000-0005-0000-0000-00003D1E0000}"/>
    <cellStyle name="Normal 3 4 24 2" xfId="7108" xr:uid="{00000000-0005-0000-0000-00003E1E0000}"/>
    <cellStyle name="Normal 3 4 25" xfId="7109" xr:uid="{00000000-0005-0000-0000-00003F1E0000}"/>
    <cellStyle name="Normal 3 4 3" xfId="7110" xr:uid="{00000000-0005-0000-0000-0000401E0000}"/>
    <cellStyle name="Normal 3 4 3 2" xfId="7111" xr:uid="{00000000-0005-0000-0000-0000411E0000}"/>
    <cellStyle name="Normal 3 4 3 2 2" xfId="7112" xr:uid="{00000000-0005-0000-0000-0000421E0000}"/>
    <cellStyle name="Normal 3 4 3 3" xfId="7113" xr:uid="{00000000-0005-0000-0000-0000431E0000}"/>
    <cellStyle name="Normal 3 4 4" xfId="7114" xr:uid="{00000000-0005-0000-0000-0000441E0000}"/>
    <cellStyle name="Normal 3 4 4 2" xfId="7115" xr:uid="{00000000-0005-0000-0000-0000451E0000}"/>
    <cellStyle name="Normal 3 4 4 2 2" xfId="7116" xr:uid="{00000000-0005-0000-0000-0000461E0000}"/>
    <cellStyle name="Normal 3 4 4 3" xfId="7117" xr:uid="{00000000-0005-0000-0000-0000471E0000}"/>
    <cellStyle name="Normal 3 4 5" xfId="7118" xr:uid="{00000000-0005-0000-0000-0000481E0000}"/>
    <cellStyle name="Normal 3 4 5 2" xfId="7119" xr:uid="{00000000-0005-0000-0000-0000491E0000}"/>
    <cellStyle name="Normal 3 4 5 2 2" xfId="7120" xr:uid="{00000000-0005-0000-0000-00004A1E0000}"/>
    <cellStyle name="Normal 3 4 5 3" xfId="7121" xr:uid="{00000000-0005-0000-0000-00004B1E0000}"/>
    <cellStyle name="Normal 3 4 6" xfId="7122" xr:uid="{00000000-0005-0000-0000-00004C1E0000}"/>
    <cellStyle name="Normal 3 4 6 2" xfId="7123" xr:uid="{00000000-0005-0000-0000-00004D1E0000}"/>
    <cellStyle name="Normal 3 4 6 2 2" xfId="7124" xr:uid="{00000000-0005-0000-0000-00004E1E0000}"/>
    <cellStyle name="Normal 3 4 6 3" xfId="7125" xr:uid="{00000000-0005-0000-0000-00004F1E0000}"/>
    <cellStyle name="Normal 3 4 7" xfId="7126" xr:uid="{00000000-0005-0000-0000-0000501E0000}"/>
    <cellStyle name="Normal 3 4 7 2" xfId="7127" xr:uid="{00000000-0005-0000-0000-0000511E0000}"/>
    <cellStyle name="Normal 3 4 7 2 2" xfId="7128" xr:uid="{00000000-0005-0000-0000-0000521E0000}"/>
    <cellStyle name="Normal 3 4 7 3" xfId="7129" xr:uid="{00000000-0005-0000-0000-0000531E0000}"/>
    <cellStyle name="Normal 3 4 8" xfId="7130" xr:uid="{00000000-0005-0000-0000-0000541E0000}"/>
    <cellStyle name="Normal 3 4 8 2" xfId="7131" xr:uid="{00000000-0005-0000-0000-0000551E0000}"/>
    <cellStyle name="Normal 3 4 8 2 2" xfId="7132" xr:uid="{00000000-0005-0000-0000-0000561E0000}"/>
    <cellStyle name="Normal 3 4 8 3" xfId="7133" xr:uid="{00000000-0005-0000-0000-0000571E0000}"/>
    <cellStyle name="Normal 3 4 9" xfId="7134" xr:uid="{00000000-0005-0000-0000-0000581E0000}"/>
    <cellStyle name="Normal 3 4 9 2" xfId="7135" xr:uid="{00000000-0005-0000-0000-0000591E0000}"/>
    <cellStyle name="Normal 3 4 9 2 2" xfId="7136" xr:uid="{00000000-0005-0000-0000-00005A1E0000}"/>
    <cellStyle name="Normal 3 4 9 3" xfId="7137" xr:uid="{00000000-0005-0000-0000-00005B1E0000}"/>
    <cellStyle name="Normal 3 40" xfId="7138" xr:uid="{00000000-0005-0000-0000-00005C1E0000}"/>
    <cellStyle name="Normal 3 40 2" xfId="7139" xr:uid="{00000000-0005-0000-0000-00005D1E0000}"/>
    <cellStyle name="Normal 3 40 2 2" xfId="7140" xr:uid="{00000000-0005-0000-0000-00005E1E0000}"/>
    <cellStyle name="Normal 3 40 3" xfId="7141" xr:uid="{00000000-0005-0000-0000-00005F1E0000}"/>
    <cellStyle name="Normal 3 41" xfId="7142" xr:uid="{00000000-0005-0000-0000-0000601E0000}"/>
    <cellStyle name="Normal 3 41 2" xfId="7143" xr:uid="{00000000-0005-0000-0000-0000611E0000}"/>
    <cellStyle name="Normal 3 41 2 2" xfId="7144" xr:uid="{00000000-0005-0000-0000-0000621E0000}"/>
    <cellStyle name="Normal 3 41 3" xfId="7145" xr:uid="{00000000-0005-0000-0000-0000631E0000}"/>
    <cellStyle name="Normal 3 42" xfId="7146" xr:uid="{00000000-0005-0000-0000-0000641E0000}"/>
    <cellStyle name="Normal 3 42 2" xfId="7147" xr:uid="{00000000-0005-0000-0000-0000651E0000}"/>
    <cellStyle name="Normal 3 42 2 2" xfId="7148" xr:uid="{00000000-0005-0000-0000-0000661E0000}"/>
    <cellStyle name="Normal 3 42 3" xfId="7149" xr:uid="{00000000-0005-0000-0000-0000671E0000}"/>
    <cellStyle name="Normal 3 43" xfId="7150" xr:uid="{00000000-0005-0000-0000-0000681E0000}"/>
    <cellStyle name="Normal 3 43 2" xfId="7151" xr:uid="{00000000-0005-0000-0000-0000691E0000}"/>
    <cellStyle name="Normal 3 43 2 2" xfId="7152" xr:uid="{00000000-0005-0000-0000-00006A1E0000}"/>
    <cellStyle name="Normal 3 43 3" xfId="7153" xr:uid="{00000000-0005-0000-0000-00006B1E0000}"/>
    <cellStyle name="Normal 3 44" xfId="7154" xr:uid="{00000000-0005-0000-0000-00006C1E0000}"/>
    <cellStyle name="Normal 3 44 2" xfId="7155" xr:uid="{00000000-0005-0000-0000-00006D1E0000}"/>
    <cellStyle name="Normal 3 44 2 2" xfId="7156" xr:uid="{00000000-0005-0000-0000-00006E1E0000}"/>
    <cellStyle name="Normal 3 44 3" xfId="7157" xr:uid="{00000000-0005-0000-0000-00006F1E0000}"/>
    <cellStyle name="Normal 3 45" xfId="7158" xr:uid="{00000000-0005-0000-0000-0000701E0000}"/>
    <cellStyle name="Normal 3 45 2" xfId="7159" xr:uid="{00000000-0005-0000-0000-0000711E0000}"/>
    <cellStyle name="Normal 3 45 2 2" xfId="7160" xr:uid="{00000000-0005-0000-0000-0000721E0000}"/>
    <cellStyle name="Normal 3 45 3" xfId="7161" xr:uid="{00000000-0005-0000-0000-0000731E0000}"/>
    <cellStyle name="Normal 3 46" xfId="7162" xr:uid="{00000000-0005-0000-0000-0000741E0000}"/>
    <cellStyle name="Normal 3 46 2" xfId="7163" xr:uid="{00000000-0005-0000-0000-0000751E0000}"/>
    <cellStyle name="Normal 3 46 2 2" xfId="7164" xr:uid="{00000000-0005-0000-0000-0000761E0000}"/>
    <cellStyle name="Normal 3 46 3" xfId="7165" xr:uid="{00000000-0005-0000-0000-0000771E0000}"/>
    <cellStyle name="Normal 3 47" xfId="7166" xr:uid="{00000000-0005-0000-0000-0000781E0000}"/>
    <cellStyle name="Normal 3 47 2" xfId="7167" xr:uid="{00000000-0005-0000-0000-0000791E0000}"/>
    <cellStyle name="Normal 3 47 2 2" xfId="7168" xr:uid="{00000000-0005-0000-0000-00007A1E0000}"/>
    <cellStyle name="Normal 3 47 3" xfId="7169" xr:uid="{00000000-0005-0000-0000-00007B1E0000}"/>
    <cellStyle name="Normal 3 48" xfId="7170" xr:uid="{00000000-0005-0000-0000-00007C1E0000}"/>
    <cellStyle name="Normal 3 48 2" xfId="7171" xr:uid="{00000000-0005-0000-0000-00007D1E0000}"/>
    <cellStyle name="Normal 3 48 2 2" xfId="7172" xr:uid="{00000000-0005-0000-0000-00007E1E0000}"/>
    <cellStyle name="Normal 3 48 3" xfId="7173" xr:uid="{00000000-0005-0000-0000-00007F1E0000}"/>
    <cellStyle name="Normal 3 49" xfId="7174" xr:uid="{00000000-0005-0000-0000-0000801E0000}"/>
    <cellStyle name="Normal 3 49 2" xfId="7175" xr:uid="{00000000-0005-0000-0000-0000811E0000}"/>
    <cellStyle name="Normal 3 49 2 2" xfId="7176" xr:uid="{00000000-0005-0000-0000-0000821E0000}"/>
    <cellStyle name="Normal 3 49 3" xfId="7177" xr:uid="{00000000-0005-0000-0000-0000831E0000}"/>
    <cellStyle name="Normal 3 5" xfId="7178" xr:uid="{00000000-0005-0000-0000-0000841E0000}"/>
    <cellStyle name="Normal 3 5 10" xfId="7179" xr:uid="{00000000-0005-0000-0000-0000851E0000}"/>
    <cellStyle name="Normal 3 5 10 2" xfId="7180" xr:uid="{00000000-0005-0000-0000-0000861E0000}"/>
    <cellStyle name="Normal 3 5 10 2 2" xfId="7181" xr:uid="{00000000-0005-0000-0000-0000871E0000}"/>
    <cellStyle name="Normal 3 5 10 3" xfId="7182" xr:uid="{00000000-0005-0000-0000-0000881E0000}"/>
    <cellStyle name="Normal 3 5 11" xfId="7183" xr:uid="{00000000-0005-0000-0000-0000891E0000}"/>
    <cellStyle name="Normal 3 5 11 2" xfId="7184" xr:uid="{00000000-0005-0000-0000-00008A1E0000}"/>
    <cellStyle name="Normal 3 5 11 2 2" xfId="7185" xr:uid="{00000000-0005-0000-0000-00008B1E0000}"/>
    <cellStyle name="Normal 3 5 11 3" xfId="7186" xr:uid="{00000000-0005-0000-0000-00008C1E0000}"/>
    <cellStyle name="Normal 3 5 12" xfId="7187" xr:uid="{00000000-0005-0000-0000-00008D1E0000}"/>
    <cellStyle name="Normal 3 5 12 2" xfId="7188" xr:uid="{00000000-0005-0000-0000-00008E1E0000}"/>
    <cellStyle name="Normal 3 5 12 2 2" xfId="7189" xr:uid="{00000000-0005-0000-0000-00008F1E0000}"/>
    <cellStyle name="Normal 3 5 12 3" xfId="7190" xr:uid="{00000000-0005-0000-0000-0000901E0000}"/>
    <cellStyle name="Normal 3 5 13" xfId="7191" xr:uid="{00000000-0005-0000-0000-0000911E0000}"/>
    <cellStyle name="Normal 3 5 13 2" xfId="7192" xr:uid="{00000000-0005-0000-0000-0000921E0000}"/>
    <cellStyle name="Normal 3 5 13 2 2" xfId="7193" xr:uid="{00000000-0005-0000-0000-0000931E0000}"/>
    <cellStyle name="Normal 3 5 13 3" xfId="7194" xr:uid="{00000000-0005-0000-0000-0000941E0000}"/>
    <cellStyle name="Normal 3 5 14" xfId="7195" xr:uid="{00000000-0005-0000-0000-0000951E0000}"/>
    <cellStyle name="Normal 3 5 14 2" xfId="7196" xr:uid="{00000000-0005-0000-0000-0000961E0000}"/>
    <cellStyle name="Normal 3 5 14 2 2" xfId="7197" xr:uid="{00000000-0005-0000-0000-0000971E0000}"/>
    <cellStyle name="Normal 3 5 14 3" xfId="7198" xr:uid="{00000000-0005-0000-0000-0000981E0000}"/>
    <cellStyle name="Normal 3 5 15" xfId="7199" xr:uid="{00000000-0005-0000-0000-0000991E0000}"/>
    <cellStyle name="Normal 3 5 15 2" xfId="7200" xr:uid="{00000000-0005-0000-0000-00009A1E0000}"/>
    <cellStyle name="Normal 3 5 15 2 2" xfId="7201" xr:uid="{00000000-0005-0000-0000-00009B1E0000}"/>
    <cellStyle name="Normal 3 5 15 3" xfId="7202" xr:uid="{00000000-0005-0000-0000-00009C1E0000}"/>
    <cellStyle name="Normal 3 5 16" xfId="7203" xr:uid="{00000000-0005-0000-0000-00009D1E0000}"/>
    <cellStyle name="Normal 3 5 16 2" xfId="7204" xr:uid="{00000000-0005-0000-0000-00009E1E0000}"/>
    <cellStyle name="Normal 3 5 16 2 2" xfId="7205" xr:uid="{00000000-0005-0000-0000-00009F1E0000}"/>
    <cellStyle name="Normal 3 5 16 3" xfId="7206" xr:uid="{00000000-0005-0000-0000-0000A01E0000}"/>
    <cellStyle name="Normal 3 5 17" xfId="7207" xr:uid="{00000000-0005-0000-0000-0000A11E0000}"/>
    <cellStyle name="Normal 3 5 17 2" xfId="7208" xr:uid="{00000000-0005-0000-0000-0000A21E0000}"/>
    <cellStyle name="Normal 3 5 17 2 2" xfId="7209" xr:uid="{00000000-0005-0000-0000-0000A31E0000}"/>
    <cellStyle name="Normal 3 5 17 3" xfId="7210" xr:uid="{00000000-0005-0000-0000-0000A41E0000}"/>
    <cellStyle name="Normal 3 5 18" xfId="7211" xr:uid="{00000000-0005-0000-0000-0000A51E0000}"/>
    <cellStyle name="Normal 3 5 18 2" xfId="7212" xr:uid="{00000000-0005-0000-0000-0000A61E0000}"/>
    <cellStyle name="Normal 3 5 18 2 2" xfId="7213" xr:uid="{00000000-0005-0000-0000-0000A71E0000}"/>
    <cellStyle name="Normal 3 5 18 3" xfId="7214" xr:uid="{00000000-0005-0000-0000-0000A81E0000}"/>
    <cellStyle name="Normal 3 5 19" xfId="7215" xr:uid="{00000000-0005-0000-0000-0000A91E0000}"/>
    <cellStyle name="Normal 3 5 19 2" xfId="7216" xr:uid="{00000000-0005-0000-0000-0000AA1E0000}"/>
    <cellStyle name="Normal 3 5 19 2 2" xfId="7217" xr:uid="{00000000-0005-0000-0000-0000AB1E0000}"/>
    <cellStyle name="Normal 3 5 19 3" xfId="7218" xr:uid="{00000000-0005-0000-0000-0000AC1E0000}"/>
    <cellStyle name="Normal 3 5 2" xfId="7219" xr:uid="{00000000-0005-0000-0000-0000AD1E0000}"/>
    <cellStyle name="Normal 3 5 2 2" xfId="7220" xr:uid="{00000000-0005-0000-0000-0000AE1E0000}"/>
    <cellStyle name="Normal 3 5 2 2 2" xfId="7221" xr:uid="{00000000-0005-0000-0000-0000AF1E0000}"/>
    <cellStyle name="Normal 3 5 2 3" xfId="7222" xr:uid="{00000000-0005-0000-0000-0000B01E0000}"/>
    <cellStyle name="Normal 3 5 20" xfId="7223" xr:uid="{00000000-0005-0000-0000-0000B11E0000}"/>
    <cellStyle name="Normal 3 5 20 2" xfId="7224" xr:uid="{00000000-0005-0000-0000-0000B21E0000}"/>
    <cellStyle name="Normal 3 5 20 2 2" xfId="7225" xr:uid="{00000000-0005-0000-0000-0000B31E0000}"/>
    <cellStyle name="Normal 3 5 20 3" xfId="7226" xr:uid="{00000000-0005-0000-0000-0000B41E0000}"/>
    <cellStyle name="Normal 3 5 21" xfId="7227" xr:uid="{00000000-0005-0000-0000-0000B51E0000}"/>
    <cellStyle name="Normal 3 5 21 2" xfId="7228" xr:uid="{00000000-0005-0000-0000-0000B61E0000}"/>
    <cellStyle name="Normal 3 5 21 2 2" xfId="7229" xr:uid="{00000000-0005-0000-0000-0000B71E0000}"/>
    <cellStyle name="Normal 3 5 21 3" xfId="7230" xr:uid="{00000000-0005-0000-0000-0000B81E0000}"/>
    <cellStyle name="Normal 3 5 22" xfId="7231" xr:uid="{00000000-0005-0000-0000-0000B91E0000}"/>
    <cellStyle name="Normal 3 5 22 2" xfId="7232" xr:uid="{00000000-0005-0000-0000-0000BA1E0000}"/>
    <cellStyle name="Normal 3 5 22 2 2" xfId="7233" xr:uid="{00000000-0005-0000-0000-0000BB1E0000}"/>
    <cellStyle name="Normal 3 5 22 3" xfId="7234" xr:uid="{00000000-0005-0000-0000-0000BC1E0000}"/>
    <cellStyle name="Normal 3 5 23" xfId="7235" xr:uid="{00000000-0005-0000-0000-0000BD1E0000}"/>
    <cellStyle name="Normal 3 5 23 2" xfId="7236" xr:uid="{00000000-0005-0000-0000-0000BE1E0000}"/>
    <cellStyle name="Normal 3 5 23 2 2" xfId="7237" xr:uid="{00000000-0005-0000-0000-0000BF1E0000}"/>
    <cellStyle name="Normal 3 5 23 3" xfId="7238" xr:uid="{00000000-0005-0000-0000-0000C01E0000}"/>
    <cellStyle name="Normal 3 5 24" xfId="7239" xr:uid="{00000000-0005-0000-0000-0000C11E0000}"/>
    <cellStyle name="Normal 3 5 24 2" xfId="7240" xr:uid="{00000000-0005-0000-0000-0000C21E0000}"/>
    <cellStyle name="Normal 3 5 25" xfId="7241" xr:uid="{00000000-0005-0000-0000-0000C31E0000}"/>
    <cellStyle name="Normal 3 5 3" xfId="7242" xr:uid="{00000000-0005-0000-0000-0000C41E0000}"/>
    <cellStyle name="Normal 3 5 3 2" xfId="7243" xr:uid="{00000000-0005-0000-0000-0000C51E0000}"/>
    <cellStyle name="Normal 3 5 3 2 2" xfId="7244" xr:uid="{00000000-0005-0000-0000-0000C61E0000}"/>
    <cellStyle name="Normal 3 5 3 3" xfId="7245" xr:uid="{00000000-0005-0000-0000-0000C71E0000}"/>
    <cellStyle name="Normal 3 5 4" xfId="7246" xr:uid="{00000000-0005-0000-0000-0000C81E0000}"/>
    <cellStyle name="Normal 3 5 4 2" xfId="7247" xr:uid="{00000000-0005-0000-0000-0000C91E0000}"/>
    <cellStyle name="Normal 3 5 4 2 2" xfId="7248" xr:uid="{00000000-0005-0000-0000-0000CA1E0000}"/>
    <cellStyle name="Normal 3 5 4 3" xfId="7249" xr:uid="{00000000-0005-0000-0000-0000CB1E0000}"/>
    <cellStyle name="Normal 3 5 5" xfId="7250" xr:uid="{00000000-0005-0000-0000-0000CC1E0000}"/>
    <cellStyle name="Normal 3 5 5 2" xfId="7251" xr:uid="{00000000-0005-0000-0000-0000CD1E0000}"/>
    <cellStyle name="Normal 3 5 5 2 2" xfId="7252" xr:uid="{00000000-0005-0000-0000-0000CE1E0000}"/>
    <cellStyle name="Normal 3 5 5 3" xfId="7253" xr:uid="{00000000-0005-0000-0000-0000CF1E0000}"/>
    <cellStyle name="Normal 3 5 6" xfId="7254" xr:uid="{00000000-0005-0000-0000-0000D01E0000}"/>
    <cellStyle name="Normal 3 5 6 2" xfId="7255" xr:uid="{00000000-0005-0000-0000-0000D11E0000}"/>
    <cellStyle name="Normal 3 5 6 2 2" xfId="7256" xr:uid="{00000000-0005-0000-0000-0000D21E0000}"/>
    <cellStyle name="Normal 3 5 6 3" xfId="7257" xr:uid="{00000000-0005-0000-0000-0000D31E0000}"/>
    <cellStyle name="Normal 3 5 7" xfId="7258" xr:uid="{00000000-0005-0000-0000-0000D41E0000}"/>
    <cellStyle name="Normal 3 5 7 2" xfId="7259" xr:uid="{00000000-0005-0000-0000-0000D51E0000}"/>
    <cellStyle name="Normal 3 5 7 2 2" xfId="7260" xr:uid="{00000000-0005-0000-0000-0000D61E0000}"/>
    <cellStyle name="Normal 3 5 7 3" xfId="7261" xr:uid="{00000000-0005-0000-0000-0000D71E0000}"/>
    <cellStyle name="Normal 3 5 8" xfId="7262" xr:uid="{00000000-0005-0000-0000-0000D81E0000}"/>
    <cellStyle name="Normal 3 5 8 2" xfId="7263" xr:uid="{00000000-0005-0000-0000-0000D91E0000}"/>
    <cellStyle name="Normal 3 5 8 2 2" xfId="7264" xr:uid="{00000000-0005-0000-0000-0000DA1E0000}"/>
    <cellStyle name="Normal 3 5 8 3" xfId="7265" xr:uid="{00000000-0005-0000-0000-0000DB1E0000}"/>
    <cellStyle name="Normal 3 5 9" xfId="7266" xr:uid="{00000000-0005-0000-0000-0000DC1E0000}"/>
    <cellStyle name="Normal 3 5 9 2" xfId="7267" xr:uid="{00000000-0005-0000-0000-0000DD1E0000}"/>
    <cellStyle name="Normal 3 5 9 2 2" xfId="7268" xr:uid="{00000000-0005-0000-0000-0000DE1E0000}"/>
    <cellStyle name="Normal 3 5 9 3" xfId="7269" xr:uid="{00000000-0005-0000-0000-0000DF1E0000}"/>
    <cellStyle name="Normal 3 50" xfId="7270" xr:uid="{00000000-0005-0000-0000-0000E01E0000}"/>
    <cellStyle name="Normal 3 50 2" xfId="7271" xr:uid="{00000000-0005-0000-0000-0000E11E0000}"/>
    <cellStyle name="Normal 3 50 2 2" xfId="7272" xr:uid="{00000000-0005-0000-0000-0000E21E0000}"/>
    <cellStyle name="Normal 3 50 3" xfId="7273" xr:uid="{00000000-0005-0000-0000-0000E31E0000}"/>
    <cellStyle name="Normal 3 51" xfId="7274" xr:uid="{00000000-0005-0000-0000-0000E41E0000}"/>
    <cellStyle name="Normal 3 51 2" xfId="7275" xr:uid="{00000000-0005-0000-0000-0000E51E0000}"/>
    <cellStyle name="Normal 3 51 2 2" xfId="7276" xr:uid="{00000000-0005-0000-0000-0000E61E0000}"/>
    <cellStyle name="Normal 3 51 3" xfId="7277" xr:uid="{00000000-0005-0000-0000-0000E71E0000}"/>
    <cellStyle name="Normal 3 52" xfId="7278" xr:uid="{00000000-0005-0000-0000-0000E81E0000}"/>
    <cellStyle name="Normal 3 52 2" xfId="7279" xr:uid="{00000000-0005-0000-0000-0000E91E0000}"/>
    <cellStyle name="Normal 3 52 2 2" xfId="7280" xr:uid="{00000000-0005-0000-0000-0000EA1E0000}"/>
    <cellStyle name="Normal 3 52 3" xfId="7281" xr:uid="{00000000-0005-0000-0000-0000EB1E0000}"/>
    <cellStyle name="Normal 3 53" xfId="7282" xr:uid="{00000000-0005-0000-0000-0000EC1E0000}"/>
    <cellStyle name="Normal 3 53 2" xfId="7283" xr:uid="{00000000-0005-0000-0000-0000ED1E0000}"/>
    <cellStyle name="Normal 3 53 2 2" xfId="7284" xr:uid="{00000000-0005-0000-0000-0000EE1E0000}"/>
    <cellStyle name="Normal 3 53 3" xfId="7285" xr:uid="{00000000-0005-0000-0000-0000EF1E0000}"/>
    <cellStyle name="Normal 3 54" xfId="7286" xr:uid="{00000000-0005-0000-0000-0000F01E0000}"/>
    <cellStyle name="Normal 3 54 2" xfId="7287" xr:uid="{00000000-0005-0000-0000-0000F11E0000}"/>
    <cellStyle name="Normal 3 54 2 2" xfId="7288" xr:uid="{00000000-0005-0000-0000-0000F21E0000}"/>
    <cellStyle name="Normal 3 54 3" xfId="7289" xr:uid="{00000000-0005-0000-0000-0000F31E0000}"/>
    <cellStyle name="Normal 3 55" xfId="7290" xr:uid="{00000000-0005-0000-0000-0000F41E0000}"/>
    <cellStyle name="Normal 3 55 2" xfId="7291" xr:uid="{00000000-0005-0000-0000-0000F51E0000}"/>
    <cellStyle name="Normal 3 55 2 2" xfId="7292" xr:uid="{00000000-0005-0000-0000-0000F61E0000}"/>
    <cellStyle name="Normal 3 55 3" xfId="7293" xr:uid="{00000000-0005-0000-0000-0000F71E0000}"/>
    <cellStyle name="Normal 3 56" xfId="7294" xr:uid="{00000000-0005-0000-0000-0000F81E0000}"/>
    <cellStyle name="Normal 3 56 2" xfId="7295" xr:uid="{00000000-0005-0000-0000-0000F91E0000}"/>
    <cellStyle name="Normal 3 56 2 2" xfId="7296" xr:uid="{00000000-0005-0000-0000-0000FA1E0000}"/>
    <cellStyle name="Normal 3 56 3" xfId="7297" xr:uid="{00000000-0005-0000-0000-0000FB1E0000}"/>
    <cellStyle name="Normal 3 57" xfId="7298" xr:uid="{00000000-0005-0000-0000-0000FC1E0000}"/>
    <cellStyle name="Normal 3 57 2" xfId="7299" xr:uid="{00000000-0005-0000-0000-0000FD1E0000}"/>
    <cellStyle name="Normal 3 57 2 2" xfId="7300" xr:uid="{00000000-0005-0000-0000-0000FE1E0000}"/>
    <cellStyle name="Normal 3 57 3" xfId="7301" xr:uid="{00000000-0005-0000-0000-0000FF1E0000}"/>
    <cellStyle name="Normal 3 58" xfId="7302" xr:uid="{00000000-0005-0000-0000-0000001F0000}"/>
    <cellStyle name="Normal 3 58 2" xfId="7303" xr:uid="{00000000-0005-0000-0000-0000011F0000}"/>
    <cellStyle name="Normal 3 58 2 2" xfId="7304" xr:uid="{00000000-0005-0000-0000-0000021F0000}"/>
    <cellStyle name="Normal 3 58 3" xfId="7305" xr:uid="{00000000-0005-0000-0000-0000031F0000}"/>
    <cellStyle name="Normal 3 59" xfId="7306" xr:uid="{00000000-0005-0000-0000-0000041F0000}"/>
    <cellStyle name="Normal 3 59 2" xfId="7307" xr:uid="{00000000-0005-0000-0000-0000051F0000}"/>
    <cellStyle name="Normal 3 59 2 2" xfId="7308" xr:uid="{00000000-0005-0000-0000-0000061F0000}"/>
    <cellStyle name="Normal 3 59 3" xfId="7309" xr:uid="{00000000-0005-0000-0000-0000071F0000}"/>
    <cellStyle name="Normal 3 6" xfId="7310" xr:uid="{00000000-0005-0000-0000-0000081F0000}"/>
    <cellStyle name="Normal 3 6 10" xfId="7311" xr:uid="{00000000-0005-0000-0000-0000091F0000}"/>
    <cellStyle name="Normal 3 6 10 2" xfId="7312" xr:uid="{00000000-0005-0000-0000-00000A1F0000}"/>
    <cellStyle name="Normal 3 6 10 2 2" xfId="7313" xr:uid="{00000000-0005-0000-0000-00000B1F0000}"/>
    <cellStyle name="Normal 3 6 10 3" xfId="7314" xr:uid="{00000000-0005-0000-0000-00000C1F0000}"/>
    <cellStyle name="Normal 3 6 11" xfId="7315" xr:uid="{00000000-0005-0000-0000-00000D1F0000}"/>
    <cellStyle name="Normal 3 6 11 2" xfId="7316" xr:uid="{00000000-0005-0000-0000-00000E1F0000}"/>
    <cellStyle name="Normal 3 6 11 2 2" xfId="7317" xr:uid="{00000000-0005-0000-0000-00000F1F0000}"/>
    <cellStyle name="Normal 3 6 11 3" xfId="7318" xr:uid="{00000000-0005-0000-0000-0000101F0000}"/>
    <cellStyle name="Normal 3 6 12" xfId="7319" xr:uid="{00000000-0005-0000-0000-0000111F0000}"/>
    <cellStyle name="Normal 3 6 12 2" xfId="7320" xr:uid="{00000000-0005-0000-0000-0000121F0000}"/>
    <cellStyle name="Normal 3 6 12 2 2" xfId="7321" xr:uid="{00000000-0005-0000-0000-0000131F0000}"/>
    <cellStyle name="Normal 3 6 12 3" xfId="7322" xr:uid="{00000000-0005-0000-0000-0000141F0000}"/>
    <cellStyle name="Normal 3 6 13" xfId="7323" xr:uid="{00000000-0005-0000-0000-0000151F0000}"/>
    <cellStyle name="Normal 3 6 13 2" xfId="7324" xr:uid="{00000000-0005-0000-0000-0000161F0000}"/>
    <cellStyle name="Normal 3 6 13 2 2" xfId="7325" xr:uid="{00000000-0005-0000-0000-0000171F0000}"/>
    <cellStyle name="Normal 3 6 13 3" xfId="7326" xr:uid="{00000000-0005-0000-0000-0000181F0000}"/>
    <cellStyle name="Normal 3 6 14" xfId="7327" xr:uid="{00000000-0005-0000-0000-0000191F0000}"/>
    <cellStyle name="Normal 3 6 14 2" xfId="7328" xr:uid="{00000000-0005-0000-0000-00001A1F0000}"/>
    <cellStyle name="Normal 3 6 14 2 2" xfId="7329" xr:uid="{00000000-0005-0000-0000-00001B1F0000}"/>
    <cellStyle name="Normal 3 6 14 3" xfId="7330" xr:uid="{00000000-0005-0000-0000-00001C1F0000}"/>
    <cellStyle name="Normal 3 6 15" xfId="7331" xr:uid="{00000000-0005-0000-0000-00001D1F0000}"/>
    <cellStyle name="Normal 3 6 15 2" xfId="7332" xr:uid="{00000000-0005-0000-0000-00001E1F0000}"/>
    <cellStyle name="Normal 3 6 15 2 2" xfId="7333" xr:uid="{00000000-0005-0000-0000-00001F1F0000}"/>
    <cellStyle name="Normal 3 6 15 3" xfId="7334" xr:uid="{00000000-0005-0000-0000-0000201F0000}"/>
    <cellStyle name="Normal 3 6 16" xfId="7335" xr:uid="{00000000-0005-0000-0000-0000211F0000}"/>
    <cellStyle name="Normal 3 6 16 2" xfId="7336" xr:uid="{00000000-0005-0000-0000-0000221F0000}"/>
    <cellStyle name="Normal 3 6 16 2 2" xfId="7337" xr:uid="{00000000-0005-0000-0000-0000231F0000}"/>
    <cellStyle name="Normal 3 6 16 3" xfId="7338" xr:uid="{00000000-0005-0000-0000-0000241F0000}"/>
    <cellStyle name="Normal 3 6 17" xfId="7339" xr:uid="{00000000-0005-0000-0000-0000251F0000}"/>
    <cellStyle name="Normal 3 6 17 2" xfId="7340" xr:uid="{00000000-0005-0000-0000-0000261F0000}"/>
    <cellStyle name="Normal 3 6 17 2 2" xfId="7341" xr:uid="{00000000-0005-0000-0000-0000271F0000}"/>
    <cellStyle name="Normal 3 6 17 3" xfId="7342" xr:uid="{00000000-0005-0000-0000-0000281F0000}"/>
    <cellStyle name="Normal 3 6 18" xfId="7343" xr:uid="{00000000-0005-0000-0000-0000291F0000}"/>
    <cellStyle name="Normal 3 6 18 2" xfId="7344" xr:uid="{00000000-0005-0000-0000-00002A1F0000}"/>
    <cellStyle name="Normal 3 6 18 2 2" xfId="7345" xr:uid="{00000000-0005-0000-0000-00002B1F0000}"/>
    <cellStyle name="Normal 3 6 18 3" xfId="7346" xr:uid="{00000000-0005-0000-0000-00002C1F0000}"/>
    <cellStyle name="Normal 3 6 19" xfId="7347" xr:uid="{00000000-0005-0000-0000-00002D1F0000}"/>
    <cellStyle name="Normal 3 6 19 2" xfId="7348" xr:uid="{00000000-0005-0000-0000-00002E1F0000}"/>
    <cellStyle name="Normal 3 6 19 2 2" xfId="7349" xr:uid="{00000000-0005-0000-0000-00002F1F0000}"/>
    <cellStyle name="Normal 3 6 19 3" xfId="7350" xr:uid="{00000000-0005-0000-0000-0000301F0000}"/>
    <cellStyle name="Normal 3 6 2" xfId="7351" xr:uid="{00000000-0005-0000-0000-0000311F0000}"/>
    <cellStyle name="Normal 3 6 2 2" xfId="7352" xr:uid="{00000000-0005-0000-0000-0000321F0000}"/>
    <cellStyle name="Normal 3 6 2 2 2" xfId="7353" xr:uid="{00000000-0005-0000-0000-0000331F0000}"/>
    <cellStyle name="Normal 3 6 2 3" xfId="7354" xr:uid="{00000000-0005-0000-0000-0000341F0000}"/>
    <cellStyle name="Normal 3 6 20" xfId="7355" xr:uid="{00000000-0005-0000-0000-0000351F0000}"/>
    <cellStyle name="Normal 3 6 20 2" xfId="7356" xr:uid="{00000000-0005-0000-0000-0000361F0000}"/>
    <cellStyle name="Normal 3 6 20 2 2" xfId="7357" xr:uid="{00000000-0005-0000-0000-0000371F0000}"/>
    <cellStyle name="Normal 3 6 20 3" xfId="7358" xr:uid="{00000000-0005-0000-0000-0000381F0000}"/>
    <cellStyle name="Normal 3 6 21" xfId="7359" xr:uid="{00000000-0005-0000-0000-0000391F0000}"/>
    <cellStyle name="Normal 3 6 21 2" xfId="7360" xr:uid="{00000000-0005-0000-0000-00003A1F0000}"/>
    <cellStyle name="Normal 3 6 21 2 2" xfId="7361" xr:uid="{00000000-0005-0000-0000-00003B1F0000}"/>
    <cellStyle name="Normal 3 6 21 3" xfId="7362" xr:uid="{00000000-0005-0000-0000-00003C1F0000}"/>
    <cellStyle name="Normal 3 6 22" xfId="7363" xr:uid="{00000000-0005-0000-0000-00003D1F0000}"/>
    <cellStyle name="Normal 3 6 22 2" xfId="7364" xr:uid="{00000000-0005-0000-0000-00003E1F0000}"/>
    <cellStyle name="Normal 3 6 22 2 2" xfId="7365" xr:uid="{00000000-0005-0000-0000-00003F1F0000}"/>
    <cellStyle name="Normal 3 6 22 3" xfId="7366" xr:uid="{00000000-0005-0000-0000-0000401F0000}"/>
    <cellStyle name="Normal 3 6 23" xfId="7367" xr:uid="{00000000-0005-0000-0000-0000411F0000}"/>
    <cellStyle name="Normal 3 6 23 2" xfId="7368" xr:uid="{00000000-0005-0000-0000-0000421F0000}"/>
    <cellStyle name="Normal 3 6 23 2 2" xfId="7369" xr:uid="{00000000-0005-0000-0000-0000431F0000}"/>
    <cellStyle name="Normal 3 6 23 3" xfId="7370" xr:uid="{00000000-0005-0000-0000-0000441F0000}"/>
    <cellStyle name="Normal 3 6 24" xfId="7371" xr:uid="{00000000-0005-0000-0000-0000451F0000}"/>
    <cellStyle name="Normal 3 6 24 2" xfId="7372" xr:uid="{00000000-0005-0000-0000-0000461F0000}"/>
    <cellStyle name="Normal 3 6 25" xfId="7373" xr:uid="{00000000-0005-0000-0000-0000471F0000}"/>
    <cellStyle name="Normal 3 6 3" xfId="7374" xr:uid="{00000000-0005-0000-0000-0000481F0000}"/>
    <cellStyle name="Normal 3 6 3 2" xfId="7375" xr:uid="{00000000-0005-0000-0000-0000491F0000}"/>
    <cellStyle name="Normal 3 6 3 2 2" xfId="7376" xr:uid="{00000000-0005-0000-0000-00004A1F0000}"/>
    <cellStyle name="Normal 3 6 3 3" xfId="7377" xr:uid="{00000000-0005-0000-0000-00004B1F0000}"/>
    <cellStyle name="Normal 3 6 4" xfId="7378" xr:uid="{00000000-0005-0000-0000-00004C1F0000}"/>
    <cellStyle name="Normal 3 6 4 2" xfId="7379" xr:uid="{00000000-0005-0000-0000-00004D1F0000}"/>
    <cellStyle name="Normal 3 6 4 2 2" xfId="7380" xr:uid="{00000000-0005-0000-0000-00004E1F0000}"/>
    <cellStyle name="Normal 3 6 4 3" xfId="7381" xr:uid="{00000000-0005-0000-0000-00004F1F0000}"/>
    <cellStyle name="Normal 3 6 5" xfId="7382" xr:uid="{00000000-0005-0000-0000-0000501F0000}"/>
    <cellStyle name="Normal 3 6 5 2" xfId="7383" xr:uid="{00000000-0005-0000-0000-0000511F0000}"/>
    <cellStyle name="Normal 3 6 5 2 2" xfId="7384" xr:uid="{00000000-0005-0000-0000-0000521F0000}"/>
    <cellStyle name="Normal 3 6 5 3" xfId="7385" xr:uid="{00000000-0005-0000-0000-0000531F0000}"/>
    <cellStyle name="Normal 3 6 6" xfId="7386" xr:uid="{00000000-0005-0000-0000-0000541F0000}"/>
    <cellStyle name="Normal 3 6 6 2" xfId="7387" xr:uid="{00000000-0005-0000-0000-0000551F0000}"/>
    <cellStyle name="Normal 3 6 6 2 2" xfId="7388" xr:uid="{00000000-0005-0000-0000-0000561F0000}"/>
    <cellStyle name="Normal 3 6 6 3" xfId="7389" xr:uid="{00000000-0005-0000-0000-0000571F0000}"/>
    <cellStyle name="Normal 3 6 7" xfId="7390" xr:uid="{00000000-0005-0000-0000-0000581F0000}"/>
    <cellStyle name="Normal 3 6 7 2" xfId="7391" xr:uid="{00000000-0005-0000-0000-0000591F0000}"/>
    <cellStyle name="Normal 3 6 7 2 2" xfId="7392" xr:uid="{00000000-0005-0000-0000-00005A1F0000}"/>
    <cellStyle name="Normal 3 6 7 3" xfId="7393" xr:uid="{00000000-0005-0000-0000-00005B1F0000}"/>
    <cellStyle name="Normal 3 6 8" xfId="7394" xr:uid="{00000000-0005-0000-0000-00005C1F0000}"/>
    <cellStyle name="Normal 3 6 8 2" xfId="7395" xr:uid="{00000000-0005-0000-0000-00005D1F0000}"/>
    <cellStyle name="Normal 3 6 8 2 2" xfId="7396" xr:uid="{00000000-0005-0000-0000-00005E1F0000}"/>
    <cellStyle name="Normal 3 6 8 3" xfId="7397" xr:uid="{00000000-0005-0000-0000-00005F1F0000}"/>
    <cellStyle name="Normal 3 6 9" xfId="7398" xr:uid="{00000000-0005-0000-0000-0000601F0000}"/>
    <cellStyle name="Normal 3 6 9 2" xfId="7399" xr:uid="{00000000-0005-0000-0000-0000611F0000}"/>
    <cellStyle name="Normal 3 6 9 2 2" xfId="7400" xr:uid="{00000000-0005-0000-0000-0000621F0000}"/>
    <cellStyle name="Normal 3 6 9 3" xfId="7401" xr:uid="{00000000-0005-0000-0000-0000631F0000}"/>
    <cellStyle name="Normal 3 60" xfId="7402" xr:uid="{00000000-0005-0000-0000-0000641F0000}"/>
    <cellStyle name="Normal 3 60 2" xfId="7403" xr:uid="{00000000-0005-0000-0000-0000651F0000}"/>
    <cellStyle name="Normal 3 60 2 2" xfId="7404" xr:uid="{00000000-0005-0000-0000-0000661F0000}"/>
    <cellStyle name="Normal 3 60 3" xfId="7405" xr:uid="{00000000-0005-0000-0000-0000671F0000}"/>
    <cellStyle name="Normal 3 61" xfId="7406" xr:uid="{00000000-0005-0000-0000-0000681F0000}"/>
    <cellStyle name="Normal 3 61 2" xfId="7407" xr:uid="{00000000-0005-0000-0000-0000691F0000}"/>
    <cellStyle name="Normal 3 61 2 2" xfId="7408" xr:uid="{00000000-0005-0000-0000-00006A1F0000}"/>
    <cellStyle name="Normal 3 61 3" xfId="7409" xr:uid="{00000000-0005-0000-0000-00006B1F0000}"/>
    <cellStyle name="Normal 3 62" xfId="7410" xr:uid="{00000000-0005-0000-0000-00006C1F0000}"/>
    <cellStyle name="Normal 3 62 2" xfId="7411" xr:uid="{00000000-0005-0000-0000-00006D1F0000}"/>
    <cellStyle name="Normal 3 62 2 2" xfId="7412" xr:uid="{00000000-0005-0000-0000-00006E1F0000}"/>
    <cellStyle name="Normal 3 62 3" xfId="7413" xr:uid="{00000000-0005-0000-0000-00006F1F0000}"/>
    <cellStyle name="Normal 3 63" xfId="7414" xr:uid="{00000000-0005-0000-0000-0000701F0000}"/>
    <cellStyle name="Normal 3 63 2" xfId="7415" xr:uid="{00000000-0005-0000-0000-0000711F0000}"/>
    <cellStyle name="Normal 3 63 2 2" xfId="7416" xr:uid="{00000000-0005-0000-0000-0000721F0000}"/>
    <cellStyle name="Normal 3 63 3" xfId="7417" xr:uid="{00000000-0005-0000-0000-0000731F0000}"/>
    <cellStyle name="Normal 3 64" xfId="7418" xr:uid="{00000000-0005-0000-0000-0000741F0000}"/>
    <cellStyle name="Normal 3 64 2" xfId="7419" xr:uid="{00000000-0005-0000-0000-0000751F0000}"/>
    <cellStyle name="Normal 3 64 2 2" xfId="7420" xr:uid="{00000000-0005-0000-0000-0000761F0000}"/>
    <cellStyle name="Normal 3 64 3" xfId="7421" xr:uid="{00000000-0005-0000-0000-0000771F0000}"/>
    <cellStyle name="Normal 3 65" xfId="7422" xr:uid="{00000000-0005-0000-0000-0000781F0000}"/>
    <cellStyle name="Normal 3 65 2" xfId="7423" xr:uid="{00000000-0005-0000-0000-0000791F0000}"/>
    <cellStyle name="Normal 3 65 2 2" xfId="7424" xr:uid="{00000000-0005-0000-0000-00007A1F0000}"/>
    <cellStyle name="Normal 3 65 3" xfId="7425" xr:uid="{00000000-0005-0000-0000-00007B1F0000}"/>
    <cellStyle name="Normal 3 66" xfId="193" xr:uid="{00000000-0005-0000-0000-00007C1F0000}"/>
    <cellStyle name="Normal 3 67" xfId="7426" xr:uid="{00000000-0005-0000-0000-00007D1F0000}"/>
    <cellStyle name="Normal 3 68" xfId="7427" xr:uid="{00000000-0005-0000-0000-00007E1F0000}"/>
    <cellStyle name="Normal 3 69" xfId="9221" xr:uid="{4A08E22E-4E17-4587-9E30-E0D633E90573}"/>
    <cellStyle name="Normal 3 7" xfId="7428" xr:uid="{00000000-0005-0000-0000-00007F1F0000}"/>
    <cellStyle name="Normal 3 7 10" xfId="7429" xr:uid="{00000000-0005-0000-0000-0000801F0000}"/>
    <cellStyle name="Normal 3 7 10 2" xfId="7430" xr:uid="{00000000-0005-0000-0000-0000811F0000}"/>
    <cellStyle name="Normal 3 7 10 2 2" xfId="7431" xr:uid="{00000000-0005-0000-0000-0000821F0000}"/>
    <cellStyle name="Normal 3 7 10 3" xfId="7432" xr:uid="{00000000-0005-0000-0000-0000831F0000}"/>
    <cellStyle name="Normal 3 7 11" xfId="7433" xr:uid="{00000000-0005-0000-0000-0000841F0000}"/>
    <cellStyle name="Normal 3 7 11 2" xfId="7434" xr:uid="{00000000-0005-0000-0000-0000851F0000}"/>
    <cellStyle name="Normal 3 7 11 2 2" xfId="7435" xr:uid="{00000000-0005-0000-0000-0000861F0000}"/>
    <cellStyle name="Normal 3 7 11 3" xfId="7436" xr:uid="{00000000-0005-0000-0000-0000871F0000}"/>
    <cellStyle name="Normal 3 7 12" xfId="7437" xr:uid="{00000000-0005-0000-0000-0000881F0000}"/>
    <cellStyle name="Normal 3 7 12 2" xfId="7438" xr:uid="{00000000-0005-0000-0000-0000891F0000}"/>
    <cellStyle name="Normal 3 7 12 2 2" xfId="7439" xr:uid="{00000000-0005-0000-0000-00008A1F0000}"/>
    <cellStyle name="Normal 3 7 12 3" xfId="7440" xr:uid="{00000000-0005-0000-0000-00008B1F0000}"/>
    <cellStyle name="Normal 3 7 13" xfId="7441" xr:uid="{00000000-0005-0000-0000-00008C1F0000}"/>
    <cellStyle name="Normal 3 7 13 2" xfId="7442" xr:uid="{00000000-0005-0000-0000-00008D1F0000}"/>
    <cellStyle name="Normal 3 7 13 2 2" xfId="7443" xr:uid="{00000000-0005-0000-0000-00008E1F0000}"/>
    <cellStyle name="Normal 3 7 13 3" xfId="7444" xr:uid="{00000000-0005-0000-0000-00008F1F0000}"/>
    <cellStyle name="Normal 3 7 14" xfId="7445" xr:uid="{00000000-0005-0000-0000-0000901F0000}"/>
    <cellStyle name="Normal 3 7 14 2" xfId="7446" xr:uid="{00000000-0005-0000-0000-0000911F0000}"/>
    <cellStyle name="Normal 3 7 14 2 2" xfId="7447" xr:uid="{00000000-0005-0000-0000-0000921F0000}"/>
    <cellStyle name="Normal 3 7 14 3" xfId="7448" xr:uid="{00000000-0005-0000-0000-0000931F0000}"/>
    <cellStyle name="Normal 3 7 15" xfId="7449" xr:uid="{00000000-0005-0000-0000-0000941F0000}"/>
    <cellStyle name="Normal 3 7 15 2" xfId="7450" xr:uid="{00000000-0005-0000-0000-0000951F0000}"/>
    <cellStyle name="Normal 3 7 15 2 2" xfId="7451" xr:uid="{00000000-0005-0000-0000-0000961F0000}"/>
    <cellStyle name="Normal 3 7 15 3" xfId="7452" xr:uid="{00000000-0005-0000-0000-0000971F0000}"/>
    <cellStyle name="Normal 3 7 16" xfId="7453" xr:uid="{00000000-0005-0000-0000-0000981F0000}"/>
    <cellStyle name="Normal 3 7 16 2" xfId="7454" xr:uid="{00000000-0005-0000-0000-0000991F0000}"/>
    <cellStyle name="Normal 3 7 16 2 2" xfId="7455" xr:uid="{00000000-0005-0000-0000-00009A1F0000}"/>
    <cellStyle name="Normal 3 7 16 3" xfId="7456" xr:uid="{00000000-0005-0000-0000-00009B1F0000}"/>
    <cellStyle name="Normal 3 7 17" xfId="7457" xr:uid="{00000000-0005-0000-0000-00009C1F0000}"/>
    <cellStyle name="Normal 3 7 17 2" xfId="7458" xr:uid="{00000000-0005-0000-0000-00009D1F0000}"/>
    <cellStyle name="Normal 3 7 17 2 2" xfId="7459" xr:uid="{00000000-0005-0000-0000-00009E1F0000}"/>
    <cellStyle name="Normal 3 7 17 3" xfId="7460" xr:uid="{00000000-0005-0000-0000-00009F1F0000}"/>
    <cellStyle name="Normal 3 7 18" xfId="7461" xr:uid="{00000000-0005-0000-0000-0000A01F0000}"/>
    <cellStyle name="Normal 3 7 18 2" xfId="7462" xr:uid="{00000000-0005-0000-0000-0000A11F0000}"/>
    <cellStyle name="Normal 3 7 18 2 2" xfId="7463" xr:uid="{00000000-0005-0000-0000-0000A21F0000}"/>
    <cellStyle name="Normal 3 7 18 3" xfId="7464" xr:uid="{00000000-0005-0000-0000-0000A31F0000}"/>
    <cellStyle name="Normal 3 7 19" xfId="7465" xr:uid="{00000000-0005-0000-0000-0000A41F0000}"/>
    <cellStyle name="Normal 3 7 19 2" xfId="7466" xr:uid="{00000000-0005-0000-0000-0000A51F0000}"/>
    <cellStyle name="Normal 3 7 19 2 2" xfId="7467" xr:uid="{00000000-0005-0000-0000-0000A61F0000}"/>
    <cellStyle name="Normal 3 7 19 3" xfId="7468" xr:uid="{00000000-0005-0000-0000-0000A71F0000}"/>
    <cellStyle name="Normal 3 7 2" xfId="7469" xr:uid="{00000000-0005-0000-0000-0000A81F0000}"/>
    <cellStyle name="Normal 3 7 2 2" xfId="7470" xr:uid="{00000000-0005-0000-0000-0000A91F0000}"/>
    <cellStyle name="Normal 3 7 2 2 2" xfId="7471" xr:uid="{00000000-0005-0000-0000-0000AA1F0000}"/>
    <cellStyle name="Normal 3 7 2 3" xfId="7472" xr:uid="{00000000-0005-0000-0000-0000AB1F0000}"/>
    <cellStyle name="Normal 3 7 20" xfId="7473" xr:uid="{00000000-0005-0000-0000-0000AC1F0000}"/>
    <cellStyle name="Normal 3 7 20 2" xfId="7474" xr:uid="{00000000-0005-0000-0000-0000AD1F0000}"/>
    <cellStyle name="Normal 3 7 20 2 2" xfId="7475" xr:uid="{00000000-0005-0000-0000-0000AE1F0000}"/>
    <cellStyle name="Normal 3 7 20 3" xfId="7476" xr:uid="{00000000-0005-0000-0000-0000AF1F0000}"/>
    <cellStyle name="Normal 3 7 21" xfId="7477" xr:uid="{00000000-0005-0000-0000-0000B01F0000}"/>
    <cellStyle name="Normal 3 7 21 2" xfId="7478" xr:uid="{00000000-0005-0000-0000-0000B11F0000}"/>
    <cellStyle name="Normal 3 7 21 2 2" xfId="7479" xr:uid="{00000000-0005-0000-0000-0000B21F0000}"/>
    <cellStyle name="Normal 3 7 21 3" xfId="7480" xr:uid="{00000000-0005-0000-0000-0000B31F0000}"/>
    <cellStyle name="Normal 3 7 22" xfId="7481" xr:uid="{00000000-0005-0000-0000-0000B41F0000}"/>
    <cellStyle name="Normal 3 7 22 2" xfId="7482" xr:uid="{00000000-0005-0000-0000-0000B51F0000}"/>
    <cellStyle name="Normal 3 7 22 2 2" xfId="7483" xr:uid="{00000000-0005-0000-0000-0000B61F0000}"/>
    <cellStyle name="Normal 3 7 22 3" xfId="7484" xr:uid="{00000000-0005-0000-0000-0000B71F0000}"/>
    <cellStyle name="Normal 3 7 23" xfId="7485" xr:uid="{00000000-0005-0000-0000-0000B81F0000}"/>
    <cellStyle name="Normal 3 7 23 2" xfId="7486" xr:uid="{00000000-0005-0000-0000-0000B91F0000}"/>
    <cellStyle name="Normal 3 7 23 2 2" xfId="7487" xr:uid="{00000000-0005-0000-0000-0000BA1F0000}"/>
    <cellStyle name="Normal 3 7 23 3" xfId="7488" xr:uid="{00000000-0005-0000-0000-0000BB1F0000}"/>
    <cellStyle name="Normal 3 7 24" xfId="7489" xr:uid="{00000000-0005-0000-0000-0000BC1F0000}"/>
    <cellStyle name="Normal 3 7 24 2" xfId="7490" xr:uid="{00000000-0005-0000-0000-0000BD1F0000}"/>
    <cellStyle name="Normal 3 7 25" xfId="7491" xr:uid="{00000000-0005-0000-0000-0000BE1F0000}"/>
    <cellStyle name="Normal 3 7 3" xfId="7492" xr:uid="{00000000-0005-0000-0000-0000BF1F0000}"/>
    <cellStyle name="Normal 3 7 3 2" xfId="7493" xr:uid="{00000000-0005-0000-0000-0000C01F0000}"/>
    <cellStyle name="Normal 3 7 3 2 2" xfId="7494" xr:uid="{00000000-0005-0000-0000-0000C11F0000}"/>
    <cellStyle name="Normal 3 7 3 3" xfId="7495" xr:uid="{00000000-0005-0000-0000-0000C21F0000}"/>
    <cellStyle name="Normal 3 7 4" xfId="7496" xr:uid="{00000000-0005-0000-0000-0000C31F0000}"/>
    <cellStyle name="Normal 3 7 4 2" xfId="7497" xr:uid="{00000000-0005-0000-0000-0000C41F0000}"/>
    <cellStyle name="Normal 3 7 4 2 2" xfId="7498" xr:uid="{00000000-0005-0000-0000-0000C51F0000}"/>
    <cellStyle name="Normal 3 7 4 3" xfId="7499" xr:uid="{00000000-0005-0000-0000-0000C61F0000}"/>
    <cellStyle name="Normal 3 7 5" xfId="7500" xr:uid="{00000000-0005-0000-0000-0000C71F0000}"/>
    <cellStyle name="Normal 3 7 5 2" xfId="7501" xr:uid="{00000000-0005-0000-0000-0000C81F0000}"/>
    <cellStyle name="Normal 3 7 5 2 2" xfId="7502" xr:uid="{00000000-0005-0000-0000-0000C91F0000}"/>
    <cellStyle name="Normal 3 7 5 3" xfId="7503" xr:uid="{00000000-0005-0000-0000-0000CA1F0000}"/>
    <cellStyle name="Normal 3 7 6" xfId="7504" xr:uid="{00000000-0005-0000-0000-0000CB1F0000}"/>
    <cellStyle name="Normal 3 7 6 2" xfId="7505" xr:uid="{00000000-0005-0000-0000-0000CC1F0000}"/>
    <cellStyle name="Normal 3 7 6 2 2" xfId="7506" xr:uid="{00000000-0005-0000-0000-0000CD1F0000}"/>
    <cellStyle name="Normal 3 7 6 3" xfId="7507" xr:uid="{00000000-0005-0000-0000-0000CE1F0000}"/>
    <cellStyle name="Normal 3 7 7" xfId="7508" xr:uid="{00000000-0005-0000-0000-0000CF1F0000}"/>
    <cellStyle name="Normal 3 7 7 2" xfId="7509" xr:uid="{00000000-0005-0000-0000-0000D01F0000}"/>
    <cellStyle name="Normal 3 7 7 2 2" xfId="7510" xr:uid="{00000000-0005-0000-0000-0000D11F0000}"/>
    <cellStyle name="Normal 3 7 7 3" xfId="7511" xr:uid="{00000000-0005-0000-0000-0000D21F0000}"/>
    <cellStyle name="Normal 3 7 8" xfId="7512" xr:uid="{00000000-0005-0000-0000-0000D31F0000}"/>
    <cellStyle name="Normal 3 7 8 2" xfId="7513" xr:uid="{00000000-0005-0000-0000-0000D41F0000}"/>
    <cellStyle name="Normal 3 7 8 2 2" xfId="7514" xr:uid="{00000000-0005-0000-0000-0000D51F0000}"/>
    <cellStyle name="Normal 3 7 8 3" xfId="7515" xr:uid="{00000000-0005-0000-0000-0000D61F0000}"/>
    <cellStyle name="Normal 3 7 9" xfId="7516" xr:uid="{00000000-0005-0000-0000-0000D71F0000}"/>
    <cellStyle name="Normal 3 7 9 2" xfId="7517" xr:uid="{00000000-0005-0000-0000-0000D81F0000}"/>
    <cellStyle name="Normal 3 7 9 2 2" xfId="7518" xr:uid="{00000000-0005-0000-0000-0000D91F0000}"/>
    <cellStyle name="Normal 3 7 9 3" xfId="7519" xr:uid="{00000000-0005-0000-0000-0000DA1F0000}"/>
    <cellStyle name="Normal 3 8" xfId="7520" xr:uid="{00000000-0005-0000-0000-0000DB1F0000}"/>
    <cellStyle name="Normal 3 8 10" xfId="7521" xr:uid="{00000000-0005-0000-0000-0000DC1F0000}"/>
    <cellStyle name="Normal 3 8 10 2" xfId="7522" xr:uid="{00000000-0005-0000-0000-0000DD1F0000}"/>
    <cellStyle name="Normal 3 8 10 2 2" xfId="7523" xr:uid="{00000000-0005-0000-0000-0000DE1F0000}"/>
    <cellStyle name="Normal 3 8 10 3" xfId="7524" xr:uid="{00000000-0005-0000-0000-0000DF1F0000}"/>
    <cellStyle name="Normal 3 8 11" xfId="7525" xr:uid="{00000000-0005-0000-0000-0000E01F0000}"/>
    <cellStyle name="Normal 3 8 11 2" xfId="7526" xr:uid="{00000000-0005-0000-0000-0000E11F0000}"/>
    <cellStyle name="Normal 3 8 11 2 2" xfId="7527" xr:uid="{00000000-0005-0000-0000-0000E21F0000}"/>
    <cellStyle name="Normal 3 8 11 3" xfId="7528" xr:uid="{00000000-0005-0000-0000-0000E31F0000}"/>
    <cellStyle name="Normal 3 8 12" xfId="7529" xr:uid="{00000000-0005-0000-0000-0000E41F0000}"/>
    <cellStyle name="Normal 3 8 12 2" xfId="7530" xr:uid="{00000000-0005-0000-0000-0000E51F0000}"/>
    <cellStyle name="Normal 3 8 12 2 2" xfId="7531" xr:uid="{00000000-0005-0000-0000-0000E61F0000}"/>
    <cellStyle name="Normal 3 8 12 3" xfId="7532" xr:uid="{00000000-0005-0000-0000-0000E71F0000}"/>
    <cellStyle name="Normal 3 8 13" xfId="7533" xr:uid="{00000000-0005-0000-0000-0000E81F0000}"/>
    <cellStyle name="Normal 3 8 13 2" xfId="7534" xr:uid="{00000000-0005-0000-0000-0000E91F0000}"/>
    <cellStyle name="Normal 3 8 13 2 2" xfId="7535" xr:uid="{00000000-0005-0000-0000-0000EA1F0000}"/>
    <cellStyle name="Normal 3 8 13 3" xfId="7536" xr:uid="{00000000-0005-0000-0000-0000EB1F0000}"/>
    <cellStyle name="Normal 3 8 14" xfId="7537" xr:uid="{00000000-0005-0000-0000-0000EC1F0000}"/>
    <cellStyle name="Normal 3 8 14 2" xfId="7538" xr:uid="{00000000-0005-0000-0000-0000ED1F0000}"/>
    <cellStyle name="Normal 3 8 14 2 2" xfId="7539" xr:uid="{00000000-0005-0000-0000-0000EE1F0000}"/>
    <cellStyle name="Normal 3 8 14 3" xfId="7540" xr:uid="{00000000-0005-0000-0000-0000EF1F0000}"/>
    <cellStyle name="Normal 3 8 15" xfId="7541" xr:uid="{00000000-0005-0000-0000-0000F01F0000}"/>
    <cellStyle name="Normal 3 8 15 2" xfId="7542" xr:uid="{00000000-0005-0000-0000-0000F11F0000}"/>
    <cellStyle name="Normal 3 8 15 2 2" xfId="7543" xr:uid="{00000000-0005-0000-0000-0000F21F0000}"/>
    <cellStyle name="Normal 3 8 15 3" xfId="7544" xr:uid="{00000000-0005-0000-0000-0000F31F0000}"/>
    <cellStyle name="Normal 3 8 16" xfId="7545" xr:uid="{00000000-0005-0000-0000-0000F41F0000}"/>
    <cellStyle name="Normal 3 8 16 2" xfId="7546" xr:uid="{00000000-0005-0000-0000-0000F51F0000}"/>
    <cellStyle name="Normal 3 8 16 2 2" xfId="7547" xr:uid="{00000000-0005-0000-0000-0000F61F0000}"/>
    <cellStyle name="Normal 3 8 16 3" xfId="7548" xr:uid="{00000000-0005-0000-0000-0000F71F0000}"/>
    <cellStyle name="Normal 3 8 17" xfId="7549" xr:uid="{00000000-0005-0000-0000-0000F81F0000}"/>
    <cellStyle name="Normal 3 8 17 2" xfId="7550" xr:uid="{00000000-0005-0000-0000-0000F91F0000}"/>
    <cellStyle name="Normal 3 8 17 2 2" xfId="7551" xr:uid="{00000000-0005-0000-0000-0000FA1F0000}"/>
    <cellStyle name="Normal 3 8 17 3" xfId="7552" xr:uid="{00000000-0005-0000-0000-0000FB1F0000}"/>
    <cellStyle name="Normal 3 8 18" xfId="7553" xr:uid="{00000000-0005-0000-0000-0000FC1F0000}"/>
    <cellStyle name="Normal 3 8 18 2" xfId="7554" xr:uid="{00000000-0005-0000-0000-0000FD1F0000}"/>
    <cellStyle name="Normal 3 8 18 2 2" xfId="7555" xr:uid="{00000000-0005-0000-0000-0000FE1F0000}"/>
    <cellStyle name="Normal 3 8 18 3" xfId="7556" xr:uid="{00000000-0005-0000-0000-0000FF1F0000}"/>
    <cellStyle name="Normal 3 8 19" xfId="7557" xr:uid="{00000000-0005-0000-0000-000000200000}"/>
    <cellStyle name="Normal 3 8 19 2" xfId="7558" xr:uid="{00000000-0005-0000-0000-000001200000}"/>
    <cellStyle name="Normal 3 8 19 2 2" xfId="7559" xr:uid="{00000000-0005-0000-0000-000002200000}"/>
    <cellStyle name="Normal 3 8 19 3" xfId="7560" xr:uid="{00000000-0005-0000-0000-000003200000}"/>
    <cellStyle name="Normal 3 8 2" xfId="7561" xr:uid="{00000000-0005-0000-0000-000004200000}"/>
    <cellStyle name="Normal 3 8 2 2" xfId="7562" xr:uid="{00000000-0005-0000-0000-000005200000}"/>
    <cellStyle name="Normal 3 8 2 2 2" xfId="7563" xr:uid="{00000000-0005-0000-0000-000006200000}"/>
    <cellStyle name="Normal 3 8 2 3" xfId="7564" xr:uid="{00000000-0005-0000-0000-000007200000}"/>
    <cellStyle name="Normal 3 8 20" xfId="7565" xr:uid="{00000000-0005-0000-0000-000008200000}"/>
    <cellStyle name="Normal 3 8 20 2" xfId="7566" xr:uid="{00000000-0005-0000-0000-000009200000}"/>
    <cellStyle name="Normal 3 8 20 2 2" xfId="7567" xr:uid="{00000000-0005-0000-0000-00000A200000}"/>
    <cellStyle name="Normal 3 8 20 3" xfId="7568" xr:uid="{00000000-0005-0000-0000-00000B200000}"/>
    <cellStyle name="Normal 3 8 21" xfId="7569" xr:uid="{00000000-0005-0000-0000-00000C200000}"/>
    <cellStyle name="Normal 3 8 21 2" xfId="7570" xr:uid="{00000000-0005-0000-0000-00000D200000}"/>
    <cellStyle name="Normal 3 8 21 2 2" xfId="7571" xr:uid="{00000000-0005-0000-0000-00000E200000}"/>
    <cellStyle name="Normal 3 8 21 3" xfId="7572" xr:uid="{00000000-0005-0000-0000-00000F200000}"/>
    <cellStyle name="Normal 3 8 22" xfId="7573" xr:uid="{00000000-0005-0000-0000-000010200000}"/>
    <cellStyle name="Normal 3 8 22 2" xfId="7574" xr:uid="{00000000-0005-0000-0000-000011200000}"/>
    <cellStyle name="Normal 3 8 22 2 2" xfId="7575" xr:uid="{00000000-0005-0000-0000-000012200000}"/>
    <cellStyle name="Normal 3 8 22 3" xfId="7576" xr:uid="{00000000-0005-0000-0000-000013200000}"/>
    <cellStyle name="Normal 3 8 23" xfId="7577" xr:uid="{00000000-0005-0000-0000-000014200000}"/>
    <cellStyle name="Normal 3 8 23 2" xfId="7578" xr:uid="{00000000-0005-0000-0000-000015200000}"/>
    <cellStyle name="Normal 3 8 23 2 2" xfId="7579" xr:uid="{00000000-0005-0000-0000-000016200000}"/>
    <cellStyle name="Normal 3 8 23 3" xfId="7580" xr:uid="{00000000-0005-0000-0000-000017200000}"/>
    <cellStyle name="Normal 3 8 24" xfId="7581" xr:uid="{00000000-0005-0000-0000-000018200000}"/>
    <cellStyle name="Normal 3 8 24 2" xfId="7582" xr:uid="{00000000-0005-0000-0000-000019200000}"/>
    <cellStyle name="Normal 3 8 25" xfId="7583" xr:uid="{00000000-0005-0000-0000-00001A200000}"/>
    <cellStyle name="Normal 3 8 3" xfId="7584" xr:uid="{00000000-0005-0000-0000-00001B200000}"/>
    <cellStyle name="Normal 3 8 3 2" xfId="7585" xr:uid="{00000000-0005-0000-0000-00001C200000}"/>
    <cellStyle name="Normal 3 8 3 2 2" xfId="7586" xr:uid="{00000000-0005-0000-0000-00001D200000}"/>
    <cellStyle name="Normal 3 8 3 3" xfId="7587" xr:uid="{00000000-0005-0000-0000-00001E200000}"/>
    <cellStyle name="Normal 3 8 4" xfId="7588" xr:uid="{00000000-0005-0000-0000-00001F200000}"/>
    <cellStyle name="Normal 3 8 4 2" xfId="7589" xr:uid="{00000000-0005-0000-0000-000020200000}"/>
    <cellStyle name="Normal 3 8 4 2 2" xfId="7590" xr:uid="{00000000-0005-0000-0000-000021200000}"/>
    <cellStyle name="Normal 3 8 4 3" xfId="7591" xr:uid="{00000000-0005-0000-0000-000022200000}"/>
    <cellStyle name="Normal 3 8 5" xfId="7592" xr:uid="{00000000-0005-0000-0000-000023200000}"/>
    <cellStyle name="Normal 3 8 5 2" xfId="7593" xr:uid="{00000000-0005-0000-0000-000024200000}"/>
    <cellStyle name="Normal 3 8 5 2 2" xfId="7594" xr:uid="{00000000-0005-0000-0000-000025200000}"/>
    <cellStyle name="Normal 3 8 5 3" xfId="7595" xr:uid="{00000000-0005-0000-0000-000026200000}"/>
    <cellStyle name="Normal 3 8 6" xfId="7596" xr:uid="{00000000-0005-0000-0000-000027200000}"/>
    <cellStyle name="Normal 3 8 6 2" xfId="7597" xr:uid="{00000000-0005-0000-0000-000028200000}"/>
    <cellStyle name="Normal 3 8 6 2 2" xfId="7598" xr:uid="{00000000-0005-0000-0000-000029200000}"/>
    <cellStyle name="Normal 3 8 6 3" xfId="7599" xr:uid="{00000000-0005-0000-0000-00002A200000}"/>
    <cellStyle name="Normal 3 8 7" xfId="7600" xr:uid="{00000000-0005-0000-0000-00002B200000}"/>
    <cellStyle name="Normal 3 8 7 2" xfId="7601" xr:uid="{00000000-0005-0000-0000-00002C200000}"/>
    <cellStyle name="Normal 3 8 7 2 2" xfId="7602" xr:uid="{00000000-0005-0000-0000-00002D200000}"/>
    <cellStyle name="Normal 3 8 7 3" xfId="7603" xr:uid="{00000000-0005-0000-0000-00002E200000}"/>
    <cellStyle name="Normal 3 8 8" xfId="7604" xr:uid="{00000000-0005-0000-0000-00002F200000}"/>
    <cellStyle name="Normal 3 8 8 2" xfId="7605" xr:uid="{00000000-0005-0000-0000-000030200000}"/>
    <cellStyle name="Normal 3 8 8 2 2" xfId="7606" xr:uid="{00000000-0005-0000-0000-000031200000}"/>
    <cellStyle name="Normal 3 8 8 3" xfId="7607" xr:uid="{00000000-0005-0000-0000-000032200000}"/>
    <cellStyle name="Normal 3 8 9" xfId="7608" xr:uid="{00000000-0005-0000-0000-000033200000}"/>
    <cellStyle name="Normal 3 8 9 2" xfId="7609" xr:uid="{00000000-0005-0000-0000-000034200000}"/>
    <cellStyle name="Normal 3 8 9 2 2" xfId="7610" xr:uid="{00000000-0005-0000-0000-000035200000}"/>
    <cellStyle name="Normal 3 8 9 3" xfId="7611" xr:uid="{00000000-0005-0000-0000-000036200000}"/>
    <cellStyle name="Normal 3 9" xfId="7612" xr:uid="{00000000-0005-0000-0000-000037200000}"/>
    <cellStyle name="Normal 3 9 10" xfId="7613" xr:uid="{00000000-0005-0000-0000-000038200000}"/>
    <cellStyle name="Normal 3 9 10 2" xfId="7614" xr:uid="{00000000-0005-0000-0000-000039200000}"/>
    <cellStyle name="Normal 3 9 10 2 2" xfId="7615" xr:uid="{00000000-0005-0000-0000-00003A200000}"/>
    <cellStyle name="Normal 3 9 10 3" xfId="7616" xr:uid="{00000000-0005-0000-0000-00003B200000}"/>
    <cellStyle name="Normal 3 9 11" xfId="7617" xr:uid="{00000000-0005-0000-0000-00003C200000}"/>
    <cellStyle name="Normal 3 9 11 2" xfId="7618" xr:uid="{00000000-0005-0000-0000-00003D200000}"/>
    <cellStyle name="Normal 3 9 11 2 2" xfId="7619" xr:uid="{00000000-0005-0000-0000-00003E200000}"/>
    <cellStyle name="Normal 3 9 11 3" xfId="7620" xr:uid="{00000000-0005-0000-0000-00003F200000}"/>
    <cellStyle name="Normal 3 9 12" xfId="7621" xr:uid="{00000000-0005-0000-0000-000040200000}"/>
    <cellStyle name="Normal 3 9 12 2" xfId="7622" xr:uid="{00000000-0005-0000-0000-000041200000}"/>
    <cellStyle name="Normal 3 9 12 2 2" xfId="7623" xr:uid="{00000000-0005-0000-0000-000042200000}"/>
    <cellStyle name="Normal 3 9 12 3" xfId="7624" xr:uid="{00000000-0005-0000-0000-000043200000}"/>
    <cellStyle name="Normal 3 9 13" xfId="7625" xr:uid="{00000000-0005-0000-0000-000044200000}"/>
    <cellStyle name="Normal 3 9 13 2" xfId="7626" xr:uid="{00000000-0005-0000-0000-000045200000}"/>
    <cellStyle name="Normal 3 9 13 2 2" xfId="7627" xr:uid="{00000000-0005-0000-0000-000046200000}"/>
    <cellStyle name="Normal 3 9 13 3" xfId="7628" xr:uid="{00000000-0005-0000-0000-000047200000}"/>
    <cellStyle name="Normal 3 9 14" xfId="7629" xr:uid="{00000000-0005-0000-0000-000048200000}"/>
    <cellStyle name="Normal 3 9 14 2" xfId="7630" xr:uid="{00000000-0005-0000-0000-000049200000}"/>
    <cellStyle name="Normal 3 9 14 2 2" xfId="7631" xr:uid="{00000000-0005-0000-0000-00004A200000}"/>
    <cellStyle name="Normal 3 9 14 3" xfId="7632" xr:uid="{00000000-0005-0000-0000-00004B200000}"/>
    <cellStyle name="Normal 3 9 15" xfId="7633" xr:uid="{00000000-0005-0000-0000-00004C200000}"/>
    <cellStyle name="Normal 3 9 15 2" xfId="7634" xr:uid="{00000000-0005-0000-0000-00004D200000}"/>
    <cellStyle name="Normal 3 9 15 2 2" xfId="7635" xr:uid="{00000000-0005-0000-0000-00004E200000}"/>
    <cellStyle name="Normal 3 9 15 3" xfId="7636" xr:uid="{00000000-0005-0000-0000-00004F200000}"/>
    <cellStyle name="Normal 3 9 16" xfId="7637" xr:uid="{00000000-0005-0000-0000-000050200000}"/>
    <cellStyle name="Normal 3 9 16 2" xfId="7638" xr:uid="{00000000-0005-0000-0000-000051200000}"/>
    <cellStyle name="Normal 3 9 16 2 2" xfId="7639" xr:uid="{00000000-0005-0000-0000-000052200000}"/>
    <cellStyle name="Normal 3 9 16 3" xfId="7640" xr:uid="{00000000-0005-0000-0000-000053200000}"/>
    <cellStyle name="Normal 3 9 17" xfId="7641" xr:uid="{00000000-0005-0000-0000-000054200000}"/>
    <cellStyle name="Normal 3 9 17 2" xfId="7642" xr:uid="{00000000-0005-0000-0000-000055200000}"/>
    <cellStyle name="Normal 3 9 17 2 2" xfId="7643" xr:uid="{00000000-0005-0000-0000-000056200000}"/>
    <cellStyle name="Normal 3 9 17 3" xfId="7644" xr:uid="{00000000-0005-0000-0000-000057200000}"/>
    <cellStyle name="Normal 3 9 18" xfId="7645" xr:uid="{00000000-0005-0000-0000-000058200000}"/>
    <cellStyle name="Normal 3 9 18 2" xfId="7646" xr:uid="{00000000-0005-0000-0000-000059200000}"/>
    <cellStyle name="Normal 3 9 18 2 2" xfId="7647" xr:uid="{00000000-0005-0000-0000-00005A200000}"/>
    <cellStyle name="Normal 3 9 18 3" xfId="7648" xr:uid="{00000000-0005-0000-0000-00005B200000}"/>
    <cellStyle name="Normal 3 9 19" xfId="7649" xr:uid="{00000000-0005-0000-0000-00005C200000}"/>
    <cellStyle name="Normal 3 9 19 2" xfId="7650" xr:uid="{00000000-0005-0000-0000-00005D200000}"/>
    <cellStyle name="Normal 3 9 19 2 2" xfId="7651" xr:uid="{00000000-0005-0000-0000-00005E200000}"/>
    <cellStyle name="Normal 3 9 19 3" xfId="7652" xr:uid="{00000000-0005-0000-0000-00005F200000}"/>
    <cellStyle name="Normal 3 9 2" xfId="7653" xr:uid="{00000000-0005-0000-0000-000060200000}"/>
    <cellStyle name="Normal 3 9 2 2" xfId="7654" xr:uid="{00000000-0005-0000-0000-000061200000}"/>
    <cellStyle name="Normal 3 9 2 2 2" xfId="7655" xr:uid="{00000000-0005-0000-0000-000062200000}"/>
    <cellStyle name="Normal 3 9 2 3" xfId="7656" xr:uid="{00000000-0005-0000-0000-000063200000}"/>
    <cellStyle name="Normal 3 9 20" xfId="7657" xr:uid="{00000000-0005-0000-0000-000064200000}"/>
    <cellStyle name="Normal 3 9 20 2" xfId="7658" xr:uid="{00000000-0005-0000-0000-000065200000}"/>
    <cellStyle name="Normal 3 9 20 2 2" xfId="7659" xr:uid="{00000000-0005-0000-0000-000066200000}"/>
    <cellStyle name="Normal 3 9 20 3" xfId="7660" xr:uid="{00000000-0005-0000-0000-000067200000}"/>
    <cellStyle name="Normal 3 9 21" xfId="7661" xr:uid="{00000000-0005-0000-0000-000068200000}"/>
    <cellStyle name="Normal 3 9 21 2" xfId="7662" xr:uid="{00000000-0005-0000-0000-000069200000}"/>
    <cellStyle name="Normal 3 9 21 2 2" xfId="7663" xr:uid="{00000000-0005-0000-0000-00006A200000}"/>
    <cellStyle name="Normal 3 9 21 3" xfId="7664" xr:uid="{00000000-0005-0000-0000-00006B200000}"/>
    <cellStyle name="Normal 3 9 22" xfId="7665" xr:uid="{00000000-0005-0000-0000-00006C200000}"/>
    <cellStyle name="Normal 3 9 22 2" xfId="7666" xr:uid="{00000000-0005-0000-0000-00006D200000}"/>
    <cellStyle name="Normal 3 9 22 2 2" xfId="7667" xr:uid="{00000000-0005-0000-0000-00006E200000}"/>
    <cellStyle name="Normal 3 9 22 3" xfId="7668" xr:uid="{00000000-0005-0000-0000-00006F200000}"/>
    <cellStyle name="Normal 3 9 23" xfId="7669" xr:uid="{00000000-0005-0000-0000-000070200000}"/>
    <cellStyle name="Normal 3 9 23 2" xfId="7670" xr:uid="{00000000-0005-0000-0000-000071200000}"/>
    <cellStyle name="Normal 3 9 23 2 2" xfId="7671" xr:uid="{00000000-0005-0000-0000-000072200000}"/>
    <cellStyle name="Normal 3 9 23 3" xfId="7672" xr:uid="{00000000-0005-0000-0000-000073200000}"/>
    <cellStyle name="Normal 3 9 24" xfId="7673" xr:uid="{00000000-0005-0000-0000-000074200000}"/>
    <cellStyle name="Normal 3 9 24 2" xfId="7674" xr:uid="{00000000-0005-0000-0000-000075200000}"/>
    <cellStyle name="Normal 3 9 25" xfId="7675" xr:uid="{00000000-0005-0000-0000-000076200000}"/>
    <cellStyle name="Normal 3 9 3" xfId="7676" xr:uid="{00000000-0005-0000-0000-000077200000}"/>
    <cellStyle name="Normal 3 9 3 2" xfId="7677" xr:uid="{00000000-0005-0000-0000-000078200000}"/>
    <cellStyle name="Normal 3 9 3 2 2" xfId="7678" xr:uid="{00000000-0005-0000-0000-000079200000}"/>
    <cellStyle name="Normal 3 9 3 3" xfId="7679" xr:uid="{00000000-0005-0000-0000-00007A200000}"/>
    <cellStyle name="Normal 3 9 4" xfId="7680" xr:uid="{00000000-0005-0000-0000-00007B200000}"/>
    <cellStyle name="Normal 3 9 4 2" xfId="7681" xr:uid="{00000000-0005-0000-0000-00007C200000}"/>
    <cellStyle name="Normal 3 9 4 2 2" xfId="7682" xr:uid="{00000000-0005-0000-0000-00007D200000}"/>
    <cellStyle name="Normal 3 9 4 3" xfId="7683" xr:uid="{00000000-0005-0000-0000-00007E200000}"/>
    <cellStyle name="Normal 3 9 5" xfId="7684" xr:uid="{00000000-0005-0000-0000-00007F200000}"/>
    <cellStyle name="Normal 3 9 5 2" xfId="7685" xr:uid="{00000000-0005-0000-0000-000080200000}"/>
    <cellStyle name="Normal 3 9 5 2 2" xfId="7686" xr:uid="{00000000-0005-0000-0000-000081200000}"/>
    <cellStyle name="Normal 3 9 5 3" xfId="7687" xr:uid="{00000000-0005-0000-0000-000082200000}"/>
    <cellStyle name="Normal 3 9 6" xfId="7688" xr:uid="{00000000-0005-0000-0000-000083200000}"/>
    <cellStyle name="Normal 3 9 6 2" xfId="7689" xr:uid="{00000000-0005-0000-0000-000084200000}"/>
    <cellStyle name="Normal 3 9 6 2 2" xfId="7690" xr:uid="{00000000-0005-0000-0000-000085200000}"/>
    <cellStyle name="Normal 3 9 6 3" xfId="7691" xr:uid="{00000000-0005-0000-0000-000086200000}"/>
    <cellStyle name="Normal 3 9 7" xfId="7692" xr:uid="{00000000-0005-0000-0000-000087200000}"/>
    <cellStyle name="Normal 3 9 7 2" xfId="7693" xr:uid="{00000000-0005-0000-0000-000088200000}"/>
    <cellStyle name="Normal 3 9 7 2 2" xfId="7694" xr:uid="{00000000-0005-0000-0000-000089200000}"/>
    <cellStyle name="Normal 3 9 7 3" xfId="7695" xr:uid="{00000000-0005-0000-0000-00008A200000}"/>
    <cellStyle name="Normal 3 9 8" xfId="7696" xr:uid="{00000000-0005-0000-0000-00008B200000}"/>
    <cellStyle name="Normal 3 9 8 2" xfId="7697" xr:uid="{00000000-0005-0000-0000-00008C200000}"/>
    <cellStyle name="Normal 3 9 8 2 2" xfId="7698" xr:uid="{00000000-0005-0000-0000-00008D200000}"/>
    <cellStyle name="Normal 3 9 8 3" xfId="7699" xr:uid="{00000000-0005-0000-0000-00008E200000}"/>
    <cellStyle name="Normal 3 9 9" xfId="7700" xr:uid="{00000000-0005-0000-0000-00008F200000}"/>
    <cellStyle name="Normal 3 9 9 2" xfId="7701" xr:uid="{00000000-0005-0000-0000-000090200000}"/>
    <cellStyle name="Normal 3 9 9 2 2" xfId="7702" xr:uid="{00000000-0005-0000-0000-000091200000}"/>
    <cellStyle name="Normal 3 9 9 3" xfId="7703" xr:uid="{00000000-0005-0000-0000-000092200000}"/>
    <cellStyle name="Normal 30" xfId="329" xr:uid="{00000000-0005-0000-0000-000093200000}"/>
    <cellStyle name="Normal 31" xfId="330" xr:uid="{00000000-0005-0000-0000-000094200000}"/>
    <cellStyle name="Normal 32" xfId="331" xr:uid="{00000000-0005-0000-0000-000095200000}"/>
    <cellStyle name="Normal 33" xfId="332" xr:uid="{00000000-0005-0000-0000-000096200000}"/>
    <cellStyle name="Normal 34" xfId="333" xr:uid="{00000000-0005-0000-0000-000097200000}"/>
    <cellStyle name="Normal 35" xfId="334" xr:uid="{00000000-0005-0000-0000-000098200000}"/>
    <cellStyle name="Normal 36" xfId="335" xr:uid="{00000000-0005-0000-0000-000099200000}"/>
    <cellStyle name="Normal 37" xfId="336" xr:uid="{00000000-0005-0000-0000-00009A200000}"/>
    <cellStyle name="Normal 38" xfId="337" xr:uid="{00000000-0005-0000-0000-00009B200000}"/>
    <cellStyle name="Normal 39" xfId="338" xr:uid="{00000000-0005-0000-0000-00009C200000}"/>
    <cellStyle name="Normal 4" xfId="194" xr:uid="{00000000-0005-0000-0000-00009D200000}"/>
    <cellStyle name="Normal 4 10" xfId="9183" xr:uid="{CB2EE386-D821-4B4D-A78E-5157729663BD}"/>
    <cellStyle name="Normal 4 2" xfId="195" xr:uid="{00000000-0005-0000-0000-00009E200000}"/>
    <cellStyle name="Normal 4 2 2" xfId="7704" xr:uid="{00000000-0005-0000-0000-00009F200000}"/>
    <cellStyle name="Normal 4 2 2 2" xfId="9151" xr:uid="{00000000-0005-0000-0000-0000A0200000}"/>
    <cellStyle name="Normal 4 2 3" xfId="7705" xr:uid="{00000000-0005-0000-0000-0000A1200000}"/>
    <cellStyle name="Normal 4 2 3 2" xfId="7706" xr:uid="{00000000-0005-0000-0000-0000A2200000}"/>
    <cellStyle name="Normal 4 2 4" xfId="7707" xr:uid="{00000000-0005-0000-0000-0000A3200000}"/>
    <cellStyle name="Normal 4 2 5" xfId="9129" xr:uid="{00000000-0005-0000-0000-0000A4200000}"/>
    <cellStyle name="Normal 4 2 6" xfId="9222" xr:uid="{03241AAE-9C24-4092-AC33-D33852F8FBC8}"/>
    <cellStyle name="Normal 4 3" xfId="196" xr:uid="{00000000-0005-0000-0000-0000A5200000}"/>
    <cellStyle name="Normal 4 3 2" xfId="197" xr:uid="{00000000-0005-0000-0000-0000A6200000}"/>
    <cellStyle name="Normal 4 3 2 2" xfId="198" xr:uid="{00000000-0005-0000-0000-0000A7200000}"/>
    <cellStyle name="Normal 4 3 2 2 2" xfId="8857" xr:uid="{00000000-0005-0000-0000-0000A8200000}"/>
    <cellStyle name="Normal 4 3 2 3" xfId="199" xr:uid="{00000000-0005-0000-0000-0000A9200000}"/>
    <cellStyle name="Normal 4 3 2 3 2" xfId="8858" xr:uid="{00000000-0005-0000-0000-0000AA200000}"/>
    <cellStyle name="Normal 4 3 2 4" xfId="8859" xr:uid="{00000000-0005-0000-0000-0000AB200000}"/>
    <cellStyle name="Normal 4 3 2 5" xfId="8860" xr:uid="{00000000-0005-0000-0000-0000AC200000}"/>
    <cellStyle name="Normal 4 3 3" xfId="200" xr:uid="{00000000-0005-0000-0000-0000AD200000}"/>
    <cellStyle name="Normal 4 3 3 2" xfId="8861" xr:uid="{00000000-0005-0000-0000-0000AE200000}"/>
    <cellStyle name="Normal 4 3 4" xfId="7708" xr:uid="{00000000-0005-0000-0000-0000AF200000}"/>
    <cellStyle name="Normal 4 3 4 2" xfId="8862" xr:uid="{00000000-0005-0000-0000-0000B0200000}"/>
    <cellStyle name="Normal 4 3 5" xfId="8863" xr:uid="{00000000-0005-0000-0000-0000B1200000}"/>
    <cellStyle name="Normal 4 3 5 2" xfId="8864" xr:uid="{00000000-0005-0000-0000-0000B2200000}"/>
    <cellStyle name="Normal 4 3 6" xfId="8865" xr:uid="{00000000-0005-0000-0000-0000B3200000}"/>
    <cellStyle name="Normal 4 3 7" xfId="8866" xr:uid="{00000000-0005-0000-0000-0000B4200000}"/>
    <cellStyle name="Normal 4 4" xfId="201" xr:uid="{00000000-0005-0000-0000-0000B5200000}"/>
    <cellStyle name="Normal 4 4 2" xfId="202" xr:uid="{00000000-0005-0000-0000-0000B6200000}"/>
    <cellStyle name="Normal 4 4 2 2" xfId="8867" xr:uid="{00000000-0005-0000-0000-0000B7200000}"/>
    <cellStyle name="Normal 4 4 2 3" xfId="8868" xr:uid="{00000000-0005-0000-0000-0000B8200000}"/>
    <cellStyle name="Normal 4 4 3" xfId="203" xr:uid="{00000000-0005-0000-0000-0000B9200000}"/>
    <cellStyle name="Normal 4 4 3 2" xfId="8869" xr:uid="{00000000-0005-0000-0000-0000BA200000}"/>
    <cellStyle name="Normal 4 4 4" xfId="8870" xr:uid="{00000000-0005-0000-0000-0000BB200000}"/>
    <cellStyle name="Normal 4 4 5" xfId="8871" xr:uid="{00000000-0005-0000-0000-0000BC200000}"/>
    <cellStyle name="Normal 4 5" xfId="204" xr:uid="{00000000-0005-0000-0000-0000BD200000}"/>
    <cellStyle name="Normal 4 5 2" xfId="205" xr:uid="{00000000-0005-0000-0000-0000BE200000}"/>
    <cellStyle name="Normal 4 5 2 2" xfId="8872" xr:uid="{00000000-0005-0000-0000-0000BF200000}"/>
    <cellStyle name="Normal 4 5 3" xfId="339" xr:uid="{00000000-0005-0000-0000-0000C0200000}"/>
    <cellStyle name="Normal 4 5 3 2" xfId="8873" xr:uid="{00000000-0005-0000-0000-0000C1200000}"/>
    <cellStyle name="Normal 4 5 4" xfId="8874" xr:uid="{00000000-0005-0000-0000-0000C2200000}"/>
    <cellStyle name="Normal 4 5 5" xfId="8875" xr:uid="{00000000-0005-0000-0000-0000C3200000}"/>
    <cellStyle name="Normal 4 6" xfId="340" xr:uid="{00000000-0005-0000-0000-0000C4200000}"/>
    <cellStyle name="Normal 4 6 2" xfId="8876" xr:uid="{00000000-0005-0000-0000-0000C5200000}"/>
    <cellStyle name="Normal 4 7" xfId="341" xr:uid="{00000000-0005-0000-0000-0000C6200000}"/>
    <cellStyle name="Normal 4 7 2" xfId="8877" xr:uid="{00000000-0005-0000-0000-0000C7200000}"/>
    <cellStyle name="Normal 4 8" xfId="7709" xr:uid="{00000000-0005-0000-0000-0000C8200000}"/>
    <cellStyle name="Normal 4 8 2" xfId="8173" xr:uid="{00000000-0005-0000-0000-0000C9200000}"/>
    <cellStyle name="Normal 4 9" xfId="7710" xr:uid="{00000000-0005-0000-0000-0000CA200000}"/>
    <cellStyle name="Normal 40" xfId="342" xr:uid="{00000000-0005-0000-0000-0000CB200000}"/>
    <cellStyle name="Normal 41" xfId="343" xr:uid="{00000000-0005-0000-0000-0000CC200000}"/>
    <cellStyle name="Normal 42" xfId="344" xr:uid="{00000000-0005-0000-0000-0000CD200000}"/>
    <cellStyle name="Normal 43" xfId="345" xr:uid="{00000000-0005-0000-0000-0000CE200000}"/>
    <cellStyle name="Normal 44" xfId="346" xr:uid="{00000000-0005-0000-0000-0000CF200000}"/>
    <cellStyle name="Normal 45" xfId="347" xr:uid="{00000000-0005-0000-0000-0000D0200000}"/>
    <cellStyle name="Normal 46" xfId="348" xr:uid="{00000000-0005-0000-0000-0000D1200000}"/>
    <cellStyle name="Normal 47" xfId="349" xr:uid="{00000000-0005-0000-0000-0000D2200000}"/>
    <cellStyle name="Normal 48" xfId="350" xr:uid="{00000000-0005-0000-0000-0000D3200000}"/>
    <cellStyle name="Normal 48 2" xfId="351" xr:uid="{00000000-0005-0000-0000-0000D4200000}"/>
    <cellStyle name="Normal 49" xfId="352" xr:uid="{00000000-0005-0000-0000-0000D5200000}"/>
    <cellStyle name="Normal 5" xfId="206" xr:uid="{00000000-0005-0000-0000-0000D6200000}"/>
    <cellStyle name="Normal 5 10" xfId="7711" xr:uid="{00000000-0005-0000-0000-0000D7200000}"/>
    <cellStyle name="Normal 5 10 2" xfId="7712" xr:uid="{00000000-0005-0000-0000-0000D8200000}"/>
    <cellStyle name="Normal 5 10 2 2" xfId="7713" xr:uid="{00000000-0005-0000-0000-0000D9200000}"/>
    <cellStyle name="Normal 5 10 3" xfId="7714" xr:uid="{00000000-0005-0000-0000-0000DA200000}"/>
    <cellStyle name="Normal 5 11" xfId="7715" xr:uid="{00000000-0005-0000-0000-0000DB200000}"/>
    <cellStyle name="Normal 5 11 2" xfId="7716" xr:uid="{00000000-0005-0000-0000-0000DC200000}"/>
    <cellStyle name="Normal 5 11 2 2" xfId="7717" xr:uid="{00000000-0005-0000-0000-0000DD200000}"/>
    <cellStyle name="Normal 5 11 3" xfId="7718" xr:uid="{00000000-0005-0000-0000-0000DE200000}"/>
    <cellStyle name="Normal 5 12" xfId="7719" xr:uid="{00000000-0005-0000-0000-0000DF200000}"/>
    <cellStyle name="Normal 5 12 2" xfId="7720" xr:uid="{00000000-0005-0000-0000-0000E0200000}"/>
    <cellStyle name="Normal 5 12 2 2" xfId="7721" xr:uid="{00000000-0005-0000-0000-0000E1200000}"/>
    <cellStyle name="Normal 5 12 3" xfId="7722" xr:uid="{00000000-0005-0000-0000-0000E2200000}"/>
    <cellStyle name="Normal 5 13" xfId="7723" xr:uid="{00000000-0005-0000-0000-0000E3200000}"/>
    <cellStyle name="Normal 5 13 2" xfId="7724" xr:uid="{00000000-0005-0000-0000-0000E4200000}"/>
    <cellStyle name="Normal 5 13 2 2" xfId="7725" xr:uid="{00000000-0005-0000-0000-0000E5200000}"/>
    <cellStyle name="Normal 5 13 3" xfId="7726" xr:uid="{00000000-0005-0000-0000-0000E6200000}"/>
    <cellStyle name="Normal 5 14" xfId="7727" xr:uid="{00000000-0005-0000-0000-0000E7200000}"/>
    <cellStyle name="Normal 5 14 2" xfId="7728" xr:uid="{00000000-0005-0000-0000-0000E8200000}"/>
    <cellStyle name="Normal 5 14 2 2" xfId="7729" xr:uid="{00000000-0005-0000-0000-0000E9200000}"/>
    <cellStyle name="Normal 5 14 3" xfId="7730" xr:uid="{00000000-0005-0000-0000-0000EA200000}"/>
    <cellStyle name="Normal 5 15" xfId="7731" xr:uid="{00000000-0005-0000-0000-0000EB200000}"/>
    <cellStyle name="Normal 5 15 2" xfId="7732" xr:uid="{00000000-0005-0000-0000-0000EC200000}"/>
    <cellStyle name="Normal 5 15 2 2" xfId="7733" xr:uid="{00000000-0005-0000-0000-0000ED200000}"/>
    <cellStyle name="Normal 5 15 3" xfId="7734" xr:uid="{00000000-0005-0000-0000-0000EE200000}"/>
    <cellStyle name="Normal 5 16" xfId="7735" xr:uid="{00000000-0005-0000-0000-0000EF200000}"/>
    <cellStyle name="Normal 5 16 2" xfId="7736" xr:uid="{00000000-0005-0000-0000-0000F0200000}"/>
    <cellStyle name="Normal 5 16 2 2" xfId="7737" xr:uid="{00000000-0005-0000-0000-0000F1200000}"/>
    <cellStyle name="Normal 5 16 3" xfId="7738" xr:uid="{00000000-0005-0000-0000-0000F2200000}"/>
    <cellStyle name="Normal 5 17" xfId="7739" xr:uid="{00000000-0005-0000-0000-0000F3200000}"/>
    <cellStyle name="Normal 5 17 2" xfId="7740" xr:uid="{00000000-0005-0000-0000-0000F4200000}"/>
    <cellStyle name="Normal 5 17 2 2" xfId="7741" xr:uid="{00000000-0005-0000-0000-0000F5200000}"/>
    <cellStyle name="Normal 5 17 3" xfId="7742" xr:uid="{00000000-0005-0000-0000-0000F6200000}"/>
    <cellStyle name="Normal 5 18" xfId="7743" xr:uid="{00000000-0005-0000-0000-0000F7200000}"/>
    <cellStyle name="Normal 5 18 2" xfId="7744" xr:uid="{00000000-0005-0000-0000-0000F8200000}"/>
    <cellStyle name="Normal 5 18 2 2" xfId="7745" xr:uid="{00000000-0005-0000-0000-0000F9200000}"/>
    <cellStyle name="Normal 5 18 3" xfId="7746" xr:uid="{00000000-0005-0000-0000-0000FA200000}"/>
    <cellStyle name="Normal 5 19" xfId="7747" xr:uid="{00000000-0005-0000-0000-0000FB200000}"/>
    <cellStyle name="Normal 5 19 2" xfId="7748" xr:uid="{00000000-0005-0000-0000-0000FC200000}"/>
    <cellStyle name="Normal 5 19 2 2" xfId="7749" xr:uid="{00000000-0005-0000-0000-0000FD200000}"/>
    <cellStyle name="Normal 5 19 3" xfId="7750" xr:uid="{00000000-0005-0000-0000-0000FE200000}"/>
    <cellStyle name="Normal 5 2" xfId="207" xr:uid="{00000000-0005-0000-0000-0000FF200000}"/>
    <cellStyle name="Normal 5 2 10" xfId="7751" xr:uid="{00000000-0005-0000-0000-000000210000}"/>
    <cellStyle name="Normal 5 2 10 2" xfId="7752" xr:uid="{00000000-0005-0000-0000-000001210000}"/>
    <cellStyle name="Normal 5 2 10 2 2" xfId="7753" xr:uid="{00000000-0005-0000-0000-000002210000}"/>
    <cellStyle name="Normal 5 2 10 3" xfId="7754" xr:uid="{00000000-0005-0000-0000-000003210000}"/>
    <cellStyle name="Normal 5 2 11" xfId="7755" xr:uid="{00000000-0005-0000-0000-000004210000}"/>
    <cellStyle name="Normal 5 2 11 2" xfId="7756" xr:uid="{00000000-0005-0000-0000-000005210000}"/>
    <cellStyle name="Normal 5 2 11 2 2" xfId="7757" xr:uid="{00000000-0005-0000-0000-000006210000}"/>
    <cellStyle name="Normal 5 2 11 3" xfId="7758" xr:uid="{00000000-0005-0000-0000-000007210000}"/>
    <cellStyle name="Normal 5 2 12" xfId="7759" xr:uid="{00000000-0005-0000-0000-000008210000}"/>
    <cellStyle name="Normal 5 2 12 2" xfId="7760" xr:uid="{00000000-0005-0000-0000-000009210000}"/>
    <cellStyle name="Normal 5 2 12 2 2" xfId="7761" xr:uid="{00000000-0005-0000-0000-00000A210000}"/>
    <cellStyle name="Normal 5 2 12 3" xfId="7762" xr:uid="{00000000-0005-0000-0000-00000B210000}"/>
    <cellStyle name="Normal 5 2 13" xfId="7763" xr:uid="{00000000-0005-0000-0000-00000C210000}"/>
    <cellStyle name="Normal 5 2 13 2" xfId="7764" xr:uid="{00000000-0005-0000-0000-00000D210000}"/>
    <cellStyle name="Normal 5 2 13 2 2" xfId="7765" xr:uid="{00000000-0005-0000-0000-00000E210000}"/>
    <cellStyle name="Normal 5 2 13 3" xfId="7766" xr:uid="{00000000-0005-0000-0000-00000F210000}"/>
    <cellStyle name="Normal 5 2 14" xfId="7767" xr:uid="{00000000-0005-0000-0000-000010210000}"/>
    <cellStyle name="Normal 5 2 14 2" xfId="7768" xr:uid="{00000000-0005-0000-0000-000011210000}"/>
    <cellStyle name="Normal 5 2 14 2 2" xfId="7769" xr:uid="{00000000-0005-0000-0000-000012210000}"/>
    <cellStyle name="Normal 5 2 14 3" xfId="7770" xr:uid="{00000000-0005-0000-0000-000013210000}"/>
    <cellStyle name="Normal 5 2 15" xfId="7771" xr:uid="{00000000-0005-0000-0000-000014210000}"/>
    <cellStyle name="Normal 5 2 15 2" xfId="7772" xr:uid="{00000000-0005-0000-0000-000015210000}"/>
    <cellStyle name="Normal 5 2 15 2 2" xfId="7773" xr:uid="{00000000-0005-0000-0000-000016210000}"/>
    <cellStyle name="Normal 5 2 15 3" xfId="7774" xr:uid="{00000000-0005-0000-0000-000017210000}"/>
    <cellStyle name="Normal 5 2 16" xfId="7775" xr:uid="{00000000-0005-0000-0000-000018210000}"/>
    <cellStyle name="Normal 5 2 16 2" xfId="7776" xr:uid="{00000000-0005-0000-0000-000019210000}"/>
    <cellStyle name="Normal 5 2 16 2 2" xfId="7777" xr:uid="{00000000-0005-0000-0000-00001A210000}"/>
    <cellStyle name="Normal 5 2 16 3" xfId="7778" xr:uid="{00000000-0005-0000-0000-00001B210000}"/>
    <cellStyle name="Normal 5 2 17" xfId="7779" xr:uid="{00000000-0005-0000-0000-00001C210000}"/>
    <cellStyle name="Normal 5 2 17 2" xfId="7780" xr:uid="{00000000-0005-0000-0000-00001D210000}"/>
    <cellStyle name="Normal 5 2 17 2 2" xfId="7781" xr:uid="{00000000-0005-0000-0000-00001E210000}"/>
    <cellStyle name="Normal 5 2 17 3" xfId="7782" xr:uid="{00000000-0005-0000-0000-00001F210000}"/>
    <cellStyle name="Normal 5 2 18" xfId="7783" xr:uid="{00000000-0005-0000-0000-000020210000}"/>
    <cellStyle name="Normal 5 2 18 2" xfId="7784" xr:uid="{00000000-0005-0000-0000-000021210000}"/>
    <cellStyle name="Normal 5 2 18 2 2" xfId="7785" xr:uid="{00000000-0005-0000-0000-000022210000}"/>
    <cellStyle name="Normal 5 2 18 3" xfId="7786" xr:uid="{00000000-0005-0000-0000-000023210000}"/>
    <cellStyle name="Normal 5 2 19" xfId="7787" xr:uid="{00000000-0005-0000-0000-000024210000}"/>
    <cellStyle name="Normal 5 2 19 2" xfId="7788" xr:uid="{00000000-0005-0000-0000-000025210000}"/>
    <cellStyle name="Normal 5 2 19 2 2" xfId="7789" xr:uid="{00000000-0005-0000-0000-000026210000}"/>
    <cellStyle name="Normal 5 2 19 3" xfId="7790" xr:uid="{00000000-0005-0000-0000-000027210000}"/>
    <cellStyle name="Normal 5 2 2" xfId="7791" xr:uid="{00000000-0005-0000-0000-000028210000}"/>
    <cellStyle name="Normal 5 2 2 2" xfId="7792" xr:uid="{00000000-0005-0000-0000-000029210000}"/>
    <cellStyle name="Normal 5 2 2 2 2" xfId="7793" xr:uid="{00000000-0005-0000-0000-00002A210000}"/>
    <cellStyle name="Normal 5 2 2 3" xfId="7794" xr:uid="{00000000-0005-0000-0000-00002B210000}"/>
    <cellStyle name="Normal 5 2 2 4" xfId="9153" xr:uid="{00000000-0005-0000-0000-00002C210000}"/>
    <cellStyle name="Normal 5 2 20" xfId="7795" xr:uid="{00000000-0005-0000-0000-00002D210000}"/>
    <cellStyle name="Normal 5 2 20 2" xfId="7796" xr:uid="{00000000-0005-0000-0000-00002E210000}"/>
    <cellStyle name="Normal 5 2 20 2 2" xfId="7797" xr:uid="{00000000-0005-0000-0000-00002F210000}"/>
    <cellStyle name="Normal 5 2 20 3" xfId="7798" xr:uid="{00000000-0005-0000-0000-000030210000}"/>
    <cellStyle name="Normal 5 2 21" xfId="7799" xr:uid="{00000000-0005-0000-0000-000031210000}"/>
    <cellStyle name="Normal 5 2 21 2" xfId="7800" xr:uid="{00000000-0005-0000-0000-000032210000}"/>
    <cellStyle name="Normal 5 2 21 2 2" xfId="7801" xr:uid="{00000000-0005-0000-0000-000033210000}"/>
    <cellStyle name="Normal 5 2 21 3" xfId="7802" xr:uid="{00000000-0005-0000-0000-000034210000}"/>
    <cellStyle name="Normal 5 2 22" xfId="7803" xr:uid="{00000000-0005-0000-0000-000035210000}"/>
    <cellStyle name="Normal 5 2 22 2" xfId="7804" xr:uid="{00000000-0005-0000-0000-000036210000}"/>
    <cellStyle name="Normal 5 2 22 2 2" xfId="7805" xr:uid="{00000000-0005-0000-0000-000037210000}"/>
    <cellStyle name="Normal 5 2 22 3" xfId="7806" xr:uid="{00000000-0005-0000-0000-000038210000}"/>
    <cellStyle name="Normal 5 2 23" xfId="7807" xr:uid="{00000000-0005-0000-0000-000039210000}"/>
    <cellStyle name="Normal 5 2 23 2" xfId="7808" xr:uid="{00000000-0005-0000-0000-00003A210000}"/>
    <cellStyle name="Normal 5 2 23 2 2" xfId="7809" xr:uid="{00000000-0005-0000-0000-00003B210000}"/>
    <cellStyle name="Normal 5 2 23 3" xfId="7810" xr:uid="{00000000-0005-0000-0000-00003C210000}"/>
    <cellStyle name="Normal 5 2 24" xfId="7811" xr:uid="{00000000-0005-0000-0000-00003D210000}"/>
    <cellStyle name="Normal 5 2 25" xfId="7812" xr:uid="{00000000-0005-0000-0000-00003E210000}"/>
    <cellStyle name="Normal 5 2 25 2" xfId="7813" xr:uid="{00000000-0005-0000-0000-00003F210000}"/>
    <cellStyle name="Normal 5 2 26" xfId="7814" xr:uid="{00000000-0005-0000-0000-000040210000}"/>
    <cellStyle name="Normal 5 2 27" xfId="9131" xr:uid="{00000000-0005-0000-0000-000041210000}"/>
    <cellStyle name="Normal 5 2 3" xfId="7815" xr:uid="{00000000-0005-0000-0000-000042210000}"/>
    <cellStyle name="Normal 5 2 3 2" xfId="7816" xr:uid="{00000000-0005-0000-0000-000043210000}"/>
    <cellStyle name="Normal 5 2 3 2 2" xfId="7817" xr:uid="{00000000-0005-0000-0000-000044210000}"/>
    <cellStyle name="Normal 5 2 3 3" xfId="7818" xr:uid="{00000000-0005-0000-0000-000045210000}"/>
    <cellStyle name="Normal 5 2 4" xfId="7819" xr:uid="{00000000-0005-0000-0000-000046210000}"/>
    <cellStyle name="Normal 5 2 4 2" xfId="7820" xr:uid="{00000000-0005-0000-0000-000047210000}"/>
    <cellStyle name="Normal 5 2 4 2 2" xfId="7821" xr:uid="{00000000-0005-0000-0000-000048210000}"/>
    <cellStyle name="Normal 5 2 4 3" xfId="7822" xr:uid="{00000000-0005-0000-0000-000049210000}"/>
    <cellStyle name="Normal 5 2 5" xfId="7823" xr:uid="{00000000-0005-0000-0000-00004A210000}"/>
    <cellStyle name="Normal 5 2 5 2" xfId="7824" xr:uid="{00000000-0005-0000-0000-00004B210000}"/>
    <cellStyle name="Normal 5 2 5 2 2" xfId="7825" xr:uid="{00000000-0005-0000-0000-00004C210000}"/>
    <cellStyle name="Normal 5 2 5 3" xfId="7826" xr:uid="{00000000-0005-0000-0000-00004D210000}"/>
    <cellStyle name="Normal 5 2 6" xfId="7827" xr:uid="{00000000-0005-0000-0000-00004E210000}"/>
    <cellStyle name="Normal 5 2 6 2" xfId="7828" xr:uid="{00000000-0005-0000-0000-00004F210000}"/>
    <cellStyle name="Normal 5 2 6 2 2" xfId="7829" xr:uid="{00000000-0005-0000-0000-000050210000}"/>
    <cellStyle name="Normal 5 2 6 3" xfId="7830" xr:uid="{00000000-0005-0000-0000-000051210000}"/>
    <cellStyle name="Normal 5 2 7" xfId="7831" xr:uid="{00000000-0005-0000-0000-000052210000}"/>
    <cellStyle name="Normal 5 2 7 2" xfId="7832" xr:uid="{00000000-0005-0000-0000-000053210000}"/>
    <cellStyle name="Normal 5 2 7 2 2" xfId="7833" xr:uid="{00000000-0005-0000-0000-000054210000}"/>
    <cellStyle name="Normal 5 2 7 3" xfId="7834" xr:uid="{00000000-0005-0000-0000-000055210000}"/>
    <cellStyle name="Normal 5 2 8" xfId="7835" xr:uid="{00000000-0005-0000-0000-000056210000}"/>
    <cellStyle name="Normal 5 2 8 2" xfId="7836" xr:uid="{00000000-0005-0000-0000-000057210000}"/>
    <cellStyle name="Normal 5 2 8 2 2" xfId="7837" xr:uid="{00000000-0005-0000-0000-000058210000}"/>
    <cellStyle name="Normal 5 2 8 3" xfId="7838" xr:uid="{00000000-0005-0000-0000-000059210000}"/>
    <cellStyle name="Normal 5 2 9" xfId="7839" xr:uid="{00000000-0005-0000-0000-00005A210000}"/>
    <cellStyle name="Normal 5 2 9 2" xfId="7840" xr:uid="{00000000-0005-0000-0000-00005B210000}"/>
    <cellStyle name="Normal 5 2 9 2 2" xfId="7841" xr:uid="{00000000-0005-0000-0000-00005C210000}"/>
    <cellStyle name="Normal 5 2 9 3" xfId="7842" xr:uid="{00000000-0005-0000-0000-00005D210000}"/>
    <cellStyle name="Normal 5 20" xfId="7843" xr:uid="{00000000-0005-0000-0000-00005E210000}"/>
    <cellStyle name="Normal 5 20 2" xfId="7844" xr:uid="{00000000-0005-0000-0000-00005F210000}"/>
    <cellStyle name="Normal 5 20 2 2" xfId="7845" xr:uid="{00000000-0005-0000-0000-000060210000}"/>
    <cellStyle name="Normal 5 20 3" xfId="7846" xr:uid="{00000000-0005-0000-0000-000061210000}"/>
    <cellStyle name="Normal 5 21" xfId="7847" xr:uid="{00000000-0005-0000-0000-000062210000}"/>
    <cellStyle name="Normal 5 21 2" xfId="7848" xr:uid="{00000000-0005-0000-0000-000063210000}"/>
    <cellStyle name="Normal 5 21 2 2" xfId="7849" xr:uid="{00000000-0005-0000-0000-000064210000}"/>
    <cellStyle name="Normal 5 21 3" xfId="7850" xr:uid="{00000000-0005-0000-0000-000065210000}"/>
    <cellStyle name="Normal 5 22" xfId="7851" xr:uid="{00000000-0005-0000-0000-000066210000}"/>
    <cellStyle name="Normal 5 22 2" xfId="7852" xr:uid="{00000000-0005-0000-0000-000067210000}"/>
    <cellStyle name="Normal 5 22 2 2" xfId="7853" xr:uid="{00000000-0005-0000-0000-000068210000}"/>
    <cellStyle name="Normal 5 22 3" xfId="7854" xr:uid="{00000000-0005-0000-0000-000069210000}"/>
    <cellStyle name="Normal 5 23" xfId="7855" xr:uid="{00000000-0005-0000-0000-00006A210000}"/>
    <cellStyle name="Normal 5 23 2" xfId="7856" xr:uid="{00000000-0005-0000-0000-00006B210000}"/>
    <cellStyle name="Normal 5 23 2 2" xfId="7857" xr:uid="{00000000-0005-0000-0000-00006C210000}"/>
    <cellStyle name="Normal 5 23 3" xfId="7858" xr:uid="{00000000-0005-0000-0000-00006D210000}"/>
    <cellStyle name="Normal 5 24" xfId="7859" xr:uid="{00000000-0005-0000-0000-00006E210000}"/>
    <cellStyle name="Normal 5 24 2" xfId="7860" xr:uid="{00000000-0005-0000-0000-00006F210000}"/>
    <cellStyle name="Normal 5 24 2 2" xfId="7861" xr:uid="{00000000-0005-0000-0000-000070210000}"/>
    <cellStyle name="Normal 5 24 3" xfId="7862" xr:uid="{00000000-0005-0000-0000-000071210000}"/>
    <cellStyle name="Normal 5 25" xfId="7863" xr:uid="{00000000-0005-0000-0000-000072210000}"/>
    <cellStyle name="Normal 5 26" xfId="7864" xr:uid="{00000000-0005-0000-0000-000073210000}"/>
    <cellStyle name="Normal 5 26 2" xfId="7865" xr:uid="{00000000-0005-0000-0000-000074210000}"/>
    <cellStyle name="Normal 5 27" xfId="7866" xr:uid="{00000000-0005-0000-0000-000075210000}"/>
    <cellStyle name="Normal 5 28" xfId="7867" xr:uid="{00000000-0005-0000-0000-000076210000}"/>
    <cellStyle name="Normal 5 3" xfId="7868" xr:uid="{00000000-0005-0000-0000-000077210000}"/>
    <cellStyle name="Normal 5 3 2" xfId="7869" xr:uid="{00000000-0005-0000-0000-000078210000}"/>
    <cellStyle name="Normal 5 3 2 2" xfId="7870" xr:uid="{00000000-0005-0000-0000-000079210000}"/>
    <cellStyle name="Normal 5 3 2 2 2" xfId="8879" xr:uid="{00000000-0005-0000-0000-00007A210000}"/>
    <cellStyle name="Normal 5 3 2 2 3" xfId="8878" xr:uid="{00000000-0005-0000-0000-00007B210000}"/>
    <cellStyle name="Normal 5 3 2 3" xfId="8880" xr:uid="{00000000-0005-0000-0000-00007C210000}"/>
    <cellStyle name="Normal 5 3 2 3 2" xfId="8881" xr:uid="{00000000-0005-0000-0000-00007D210000}"/>
    <cellStyle name="Normal 5 3 2 4" xfId="8882" xr:uid="{00000000-0005-0000-0000-00007E210000}"/>
    <cellStyle name="Normal 5 3 3" xfId="7871" xr:uid="{00000000-0005-0000-0000-00007F210000}"/>
    <cellStyle name="Normal 5 3 3 2" xfId="8884" xr:uid="{00000000-0005-0000-0000-000080210000}"/>
    <cellStyle name="Normal 5 3 3 3" xfId="8883" xr:uid="{00000000-0005-0000-0000-000081210000}"/>
    <cellStyle name="Normal 5 3 4" xfId="8885" xr:uid="{00000000-0005-0000-0000-000082210000}"/>
    <cellStyle name="Normal 5 3 4 2" xfId="8886" xr:uid="{00000000-0005-0000-0000-000083210000}"/>
    <cellStyle name="Normal 5 3 5" xfId="8887" xr:uid="{00000000-0005-0000-0000-000084210000}"/>
    <cellStyle name="Normal 5 4" xfId="7872" xr:uid="{00000000-0005-0000-0000-000085210000}"/>
    <cellStyle name="Normal 5 4 2" xfId="7873" xr:uid="{00000000-0005-0000-0000-000086210000}"/>
    <cellStyle name="Normal 5 4 2 2" xfId="7874" xr:uid="{00000000-0005-0000-0000-000087210000}"/>
    <cellStyle name="Normal 5 4 2 2 2" xfId="8889" xr:uid="{00000000-0005-0000-0000-000088210000}"/>
    <cellStyle name="Normal 5 4 2 2 3" xfId="8888" xr:uid="{00000000-0005-0000-0000-000089210000}"/>
    <cellStyle name="Normal 5 4 2 3" xfId="8890" xr:uid="{00000000-0005-0000-0000-00008A210000}"/>
    <cellStyle name="Normal 5 4 2 3 2" xfId="8891" xr:uid="{00000000-0005-0000-0000-00008B210000}"/>
    <cellStyle name="Normal 5 4 2 4" xfId="8892" xr:uid="{00000000-0005-0000-0000-00008C210000}"/>
    <cellStyle name="Normal 5 4 3" xfId="7875" xr:uid="{00000000-0005-0000-0000-00008D210000}"/>
    <cellStyle name="Normal 5 4 3 2" xfId="8894" xr:uid="{00000000-0005-0000-0000-00008E210000}"/>
    <cellStyle name="Normal 5 4 3 3" xfId="8893" xr:uid="{00000000-0005-0000-0000-00008F210000}"/>
    <cellStyle name="Normal 5 4 4" xfId="8895" xr:uid="{00000000-0005-0000-0000-000090210000}"/>
    <cellStyle name="Normal 5 4 4 2" xfId="8896" xr:uid="{00000000-0005-0000-0000-000091210000}"/>
    <cellStyle name="Normal 5 4 5" xfId="8897" xr:uid="{00000000-0005-0000-0000-000092210000}"/>
    <cellStyle name="Normal 5 5" xfId="7876" xr:uid="{00000000-0005-0000-0000-000093210000}"/>
    <cellStyle name="Normal 5 5 2" xfId="7877" xr:uid="{00000000-0005-0000-0000-000094210000}"/>
    <cellStyle name="Normal 5 5 2 2" xfId="7878" xr:uid="{00000000-0005-0000-0000-000095210000}"/>
    <cellStyle name="Normal 5 5 2 2 2" xfId="8899" xr:uid="{00000000-0005-0000-0000-000096210000}"/>
    <cellStyle name="Normal 5 5 2 2 3" xfId="8898" xr:uid="{00000000-0005-0000-0000-000097210000}"/>
    <cellStyle name="Normal 5 5 2 3" xfId="8900" xr:uid="{00000000-0005-0000-0000-000098210000}"/>
    <cellStyle name="Normal 5 5 2 3 2" xfId="8901" xr:uid="{00000000-0005-0000-0000-000099210000}"/>
    <cellStyle name="Normal 5 5 2 4" xfId="8902" xr:uid="{00000000-0005-0000-0000-00009A210000}"/>
    <cellStyle name="Normal 5 5 3" xfId="7879" xr:uid="{00000000-0005-0000-0000-00009B210000}"/>
    <cellStyle name="Normal 5 5 3 2" xfId="8904" xr:uid="{00000000-0005-0000-0000-00009C210000}"/>
    <cellStyle name="Normal 5 5 3 3" xfId="8903" xr:uid="{00000000-0005-0000-0000-00009D210000}"/>
    <cellStyle name="Normal 5 5 4" xfId="8905" xr:uid="{00000000-0005-0000-0000-00009E210000}"/>
    <cellStyle name="Normal 5 5 4 2" xfId="8906" xr:uid="{00000000-0005-0000-0000-00009F210000}"/>
    <cellStyle name="Normal 5 5 5" xfId="8907" xr:uid="{00000000-0005-0000-0000-0000A0210000}"/>
    <cellStyle name="Normal 5 6" xfId="7880" xr:uid="{00000000-0005-0000-0000-0000A1210000}"/>
    <cellStyle name="Normal 5 6 2" xfId="7881" xr:uid="{00000000-0005-0000-0000-0000A2210000}"/>
    <cellStyle name="Normal 5 6 2 2" xfId="7882" xr:uid="{00000000-0005-0000-0000-0000A3210000}"/>
    <cellStyle name="Normal 5 6 2 2 2" xfId="8909" xr:uid="{00000000-0005-0000-0000-0000A4210000}"/>
    <cellStyle name="Normal 5 6 2 2 3" xfId="8908" xr:uid="{00000000-0005-0000-0000-0000A5210000}"/>
    <cellStyle name="Normal 5 6 2 3" xfId="8910" xr:uid="{00000000-0005-0000-0000-0000A6210000}"/>
    <cellStyle name="Normal 5 6 2 3 2" xfId="8911" xr:uid="{00000000-0005-0000-0000-0000A7210000}"/>
    <cellStyle name="Normal 5 6 2 4" xfId="8912" xr:uid="{00000000-0005-0000-0000-0000A8210000}"/>
    <cellStyle name="Normal 5 6 3" xfId="7883" xr:uid="{00000000-0005-0000-0000-0000A9210000}"/>
    <cellStyle name="Normal 5 6 3 2" xfId="8914" xr:uid="{00000000-0005-0000-0000-0000AA210000}"/>
    <cellStyle name="Normal 5 6 3 3" xfId="8913" xr:uid="{00000000-0005-0000-0000-0000AB210000}"/>
    <cellStyle name="Normal 5 6 4" xfId="8915" xr:uid="{00000000-0005-0000-0000-0000AC210000}"/>
    <cellStyle name="Normal 5 6 4 2" xfId="8916" xr:uid="{00000000-0005-0000-0000-0000AD210000}"/>
    <cellStyle name="Normal 5 6 5" xfId="8917" xr:uid="{00000000-0005-0000-0000-0000AE210000}"/>
    <cellStyle name="Normal 5 7" xfId="7884" xr:uid="{00000000-0005-0000-0000-0000AF210000}"/>
    <cellStyle name="Normal 5 7 2" xfId="7885" xr:uid="{00000000-0005-0000-0000-0000B0210000}"/>
    <cellStyle name="Normal 5 7 2 2" xfId="7886" xr:uid="{00000000-0005-0000-0000-0000B1210000}"/>
    <cellStyle name="Normal 5 7 3" xfId="7887" xr:uid="{00000000-0005-0000-0000-0000B2210000}"/>
    <cellStyle name="Normal 5 8" xfId="7888" xr:uid="{00000000-0005-0000-0000-0000B3210000}"/>
    <cellStyle name="Normal 5 8 2" xfId="7889" xr:uid="{00000000-0005-0000-0000-0000B4210000}"/>
    <cellStyle name="Normal 5 8 2 2" xfId="7890" xr:uid="{00000000-0005-0000-0000-0000B5210000}"/>
    <cellStyle name="Normal 5 8 3" xfId="7891" xr:uid="{00000000-0005-0000-0000-0000B6210000}"/>
    <cellStyle name="Normal 5 9" xfId="7892" xr:uid="{00000000-0005-0000-0000-0000B7210000}"/>
    <cellStyle name="Normal 5 9 2" xfId="7893" xr:uid="{00000000-0005-0000-0000-0000B8210000}"/>
    <cellStyle name="Normal 5 9 2 2" xfId="7894" xr:uid="{00000000-0005-0000-0000-0000B9210000}"/>
    <cellStyle name="Normal 5 9 3" xfId="7895" xr:uid="{00000000-0005-0000-0000-0000BA210000}"/>
    <cellStyle name="Normal 50" xfId="353" xr:uid="{00000000-0005-0000-0000-0000BB210000}"/>
    <cellStyle name="Normal 51" xfId="10" xr:uid="{00000000-0005-0000-0000-0000BC210000}"/>
    <cellStyle name="Normal 51 2" xfId="7896" xr:uid="{00000000-0005-0000-0000-0000BD210000}"/>
    <cellStyle name="Normal 6" xfId="208" xr:uid="{00000000-0005-0000-0000-0000BE210000}"/>
    <cellStyle name="Normal 6 2" xfId="7897" xr:uid="{00000000-0005-0000-0000-0000BF210000}"/>
    <cellStyle name="Normal 6 2 2" xfId="8174" xr:uid="{00000000-0005-0000-0000-0000C0210000}"/>
    <cellStyle name="Normal 6 3" xfId="7898" xr:uid="{00000000-0005-0000-0000-0000C1210000}"/>
    <cellStyle name="Normal 6 3 2" xfId="7899" xr:uid="{00000000-0005-0000-0000-0000C2210000}"/>
    <cellStyle name="Normal 6 3 3" xfId="8175" xr:uid="{00000000-0005-0000-0000-0000C3210000}"/>
    <cellStyle name="Normal 6 4" xfId="7900" xr:uid="{00000000-0005-0000-0000-0000C4210000}"/>
    <cellStyle name="Normal 6 4 2" xfId="8176" xr:uid="{00000000-0005-0000-0000-0000C5210000}"/>
    <cellStyle name="Normal 6 5" xfId="7901" xr:uid="{00000000-0005-0000-0000-0000C6210000}"/>
    <cellStyle name="Normal 6 6" xfId="9230" xr:uid="{455E4714-508B-4539-B90B-BA7AB22EB1A1}"/>
    <cellStyle name="Normal 65" xfId="9232" xr:uid="{AF765F76-080E-49A3-A9F4-1D7350F25050}"/>
    <cellStyle name="Normal 66" xfId="9231" xr:uid="{004B45FC-BE0A-4B6F-B726-10694D77F236}"/>
    <cellStyle name="Normal 7" xfId="209" xr:uid="{00000000-0005-0000-0000-0000C7210000}"/>
    <cellStyle name="Normal 7 10" xfId="7902" xr:uid="{00000000-0005-0000-0000-0000C8210000}"/>
    <cellStyle name="Normal 7 10 2" xfId="7903" xr:uid="{00000000-0005-0000-0000-0000C9210000}"/>
    <cellStyle name="Normal 7 10 2 2" xfId="7904" xr:uid="{00000000-0005-0000-0000-0000CA210000}"/>
    <cellStyle name="Normal 7 10 3" xfId="7905" xr:uid="{00000000-0005-0000-0000-0000CB210000}"/>
    <cellStyle name="Normal 7 11" xfId="7906" xr:uid="{00000000-0005-0000-0000-0000CC210000}"/>
    <cellStyle name="Normal 7 11 2" xfId="7907" xr:uid="{00000000-0005-0000-0000-0000CD210000}"/>
    <cellStyle name="Normal 7 11 2 2" xfId="7908" xr:uid="{00000000-0005-0000-0000-0000CE210000}"/>
    <cellStyle name="Normal 7 11 3" xfId="7909" xr:uid="{00000000-0005-0000-0000-0000CF210000}"/>
    <cellStyle name="Normal 7 12" xfId="7910" xr:uid="{00000000-0005-0000-0000-0000D0210000}"/>
    <cellStyle name="Normal 7 12 2" xfId="7911" xr:uid="{00000000-0005-0000-0000-0000D1210000}"/>
    <cellStyle name="Normal 7 12 2 2" xfId="7912" xr:uid="{00000000-0005-0000-0000-0000D2210000}"/>
    <cellStyle name="Normal 7 12 3" xfId="7913" xr:uid="{00000000-0005-0000-0000-0000D3210000}"/>
    <cellStyle name="Normal 7 13" xfId="7914" xr:uid="{00000000-0005-0000-0000-0000D4210000}"/>
    <cellStyle name="Normal 7 13 2" xfId="7915" xr:uid="{00000000-0005-0000-0000-0000D5210000}"/>
    <cellStyle name="Normal 7 13 2 2" xfId="7916" xr:uid="{00000000-0005-0000-0000-0000D6210000}"/>
    <cellStyle name="Normal 7 13 3" xfId="7917" xr:uid="{00000000-0005-0000-0000-0000D7210000}"/>
    <cellStyle name="Normal 7 14" xfId="7918" xr:uid="{00000000-0005-0000-0000-0000D8210000}"/>
    <cellStyle name="Normal 7 14 2" xfId="7919" xr:uid="{00000000-0005-0000-0000-0000D9210000}"/>
    <cellStyle name="Normal 7 14 2 2" xfId="7920" xr:uid="{00000000-0005-0000-0000-0000DA210000}"/>
    <cellStyle name="Normal 7 14 3" xfId="7921" xr:uid="{00000000-0005-0000-0000-0000DB210000}"/>
    <cellStyle name="Normal 7 15" xfId="7922" xr:uid="{00000000-0005-0000-0000-0000DC210000}"/>
    <cellStyle name="Normal 7 15 2" xfId="7923" xr:uid="{00000000-0005-0000-0000-0000DD210000}"/>
    <cellStyle name="Normal 7 15 2 2" xfId="7924" xr:uid="{00000000-0005-0000-0000-0000DE210000}"/>
    <cellStyle name="Normal 7 15 3" xfId="7925" xr:uid="{00000000-0005-0000-0000-0000DF210000}"/>
    <cellStyle name="Normal 7 16" xfId="7926" xr:uid="{00000000-0005-0000-0000-0000E0210000}"/>
    <cellStyle name="Normal 7 16 2" xfId="7927" xr:uid="{00000000-0005-0000-0000-0000E1210000}"/>
    <cellStyle name="Normal 7 16 2 2" xfId="7928" xr:uid="{00000000-0005-0000-0000-0000E2210000}"/>
    <cellStyle name="Normal 7 16 3" xfId="7929" xr:uid="{00000000-0005-0000-0000-0000E3210000}"/>
    <cellStyle name="Normal 7 17" xfId="7930" xr:uid="{00000000-0005-0000-0000-0000E4210000}"/>
    <cellStyle name="Normal 7 17 2" xfId="7931" xr:uid="{00000000-0005-0000-0000-0000E5210000}"/>
    <cellStyle name="Normal 7 17 2 2" xfId="7932" xr:uid="{00000000-0005-0000-0000-0000E6210000}"/>
    <cellStyle name="Normal 7 17 3" xfId="7933" xr:uid="{00000000-0005-0000-0000-0000E7210000}"/>
    <cellStyle name="Normal 7 18" xfId="7934" xr:uid="{00000000-0005-0000-0000-0000E8210000}"/>
    <cellStyle name="Normal 7 18 2" xfId="7935" xr:uid="{00000000-0005-0000-0000-0000E9210000}"/>
    <cellStyle name="Normal 7 18 2 2" xfId="7936" xr:uid="{00000000-0005-0000-0000-0000EA210000}"/>
    <cellStyle name="Normal 7 18 3" xfId="7937" xr:uid="{00000000-0005-0000-0000-0000EB210000}"/>
    <cellStyle name="Normal 7 19" xfId="7938" xr:uid="{00000000-0005-0000-0000-0000EC210000}"/>
    <cellStyle name="Normal 7 19 2" xfId="7939" xr:uid="{00000000-0005-0000-0000-0000ED210000}"/>
    <cellStyle name="Normal 7 19 2 2" xfId="7940" xr:uid="{00000000-0005-0000-0000-0000EE210000}"/>
    <cellStyle name="Normal 7 19 3" xfId="7941" xr:uid="{00000000-0005-0000-0000-0000EF210000}"/>
    <cellStyle name="Normal 7 2" xfId="210" xr:uid="{00000000-0005-0000-0000-0000F0210000}"/>
    <cellStyle name="Normal 7 2 10" xfId="7942" xr:uid="{00000000-0005-0000-0000-0000F1210000}"/>
    <cellStyle name="Normal 7 2 10 2" xfId="7943" xr:uid="{00000000-0005-0000-0000-0000F2210000}"/>
    <cellStyle name="Normal 7 2 10 2 2" xfId="7944" xr:uid="{00000000-0005-0000-0000-0000F3210000}"/>
    <cellStyle name="Normal 7 2 10 3" xfId="7945" xr:uid="{00000000-0005-0000-0000-0000F4210000}"/>
    <cellStyle name="Normal 7 2 11" xfId="7946" xr:uid="{00000000-0005-0000-0000-0000F5210000}"/>
    <cellStyle name="Normal 7 2 11 2" xfId="7947" xr:uid="{00000000-0005-0000-0000-0000F6210000}"/>
    <cellStyle name="Normal 7 2 11 2 2" xfId="7948" xr:uid="{00000000-0005-0000-0000-0000F7210000}"/>
    <cellStyle name="Normal 7 2 11 3" xfId="7949" xr:uid="{00000000-0005-0000-0000-0000F8210000}"/>
    <cellStyle name="Normal 7 2 12" xfId="7950" xr:uid="{00000000-0005-0000-0000-0000F9210000}"/>
    <cellStyle name="Normal 7 2 12 2" xfId="7951" xr:uid="{00000000-0005-0000-0000-0000FA210000}"/>
    <cellStyle name="Normal 7 2 12 2 2" xfId="7952" xr:uid="{00000000-0005-0000-0000-0000FB210000}"/>
    <cellStyle name="Normal 7 2 12 3" xfId="7953" xr:uid="{00000000-0005-0000-0000-0000FC210000}"/>
    <cellStyle name="Normal 7 2 13" xfId="7954" xr:uid="{00000000-0005-0000-0000-0000FD210000}"/>
    <cellStyle name="Normal 7 2 13 2" xfId="7955" xr:uid="{00000000-0005-0000-0000-0000FE210000}"/>
    <cellStyle name="Normal 7 2 13 2 2" xfId="7956" xr:uid="{00000000-0005-0000-0000-0000FF210000}"/>
    <cellStyle name="Normal 7 2 13 3" xfId="7957" xr:uid="{00000000-0005-0000-0000-000000220000}"/>
    <cellStyle name="Normal 7 2 14" xfId="7958" xr:uid="{00000000-0005-0000-0000-000001220000}"/>
    <cellStyle name="Normal 7 2 14 2" xfId="7959" xr:uid="{00000000-0005-0000-0000-000002220000}"/>
    <cellStyle name="Normal 7 2 14 2 2" xfId="7960" xr:uid="{00000000-0005-0000-0000-000003220000}"/>
    <cellStyle name="Normal 7 2 14 3" xfId="7961" xr:uid="{00000000-0005-0000-0000-000004220000}"/>
    <cellStyle name="Normal 7 2 15" xfId="7962" xr:uid="{00000000-0005-0000-0000-000005220000}"/>
    <cellStyle name="Normal 7 2 15 2" xfId="7963" xr:uid="{00000000-0005-0000-0000-000006220000}"/>
    <cellStyle name="Normal 7 2 15 2 2" xfId="7964" xr:uid="{00000000-0005-0000-0000-000007220000}"/>
    <cellStyle name="Normal 7 2 15 3" xfId="7965" xr:uid="{00000000-0005-0000-0000-000008220000}"/>
    <cellStyle name="Normal 7 2 16" xfId="7966" xr:uid="{00000000-0005-0000-0000-000009220000}"/>
    <cellStyle name="Normal 7 2 16 2" xfId="7967" xr:uid="{00000000-0005-0000-0000-00000A220000}"/>
    <cellStyle name="Normal 7 2 16 2 2" xfId="7968" xr:uid="{00000000-0005-0000-0000-00000B220000}"/>
    <cellStyle name="Normal 7 2 16 3" xfId="7969" xr:uid="{00000000-0005-0000-0000-00000C220000}"/>
    <cellStyle name="Normal 7 2 17" xfId="7970" xr:uid="{00000000-0005-0000-0000-00000D220000}"/>
    <cellStyle name="Normal 7 2 17 2" xfId="7971" xr:uid="{00000000-0005-0000-0000-00000E220000}"/>
    <cellStyle name="Normal 7 2 17 2 2" xfId="7972" xr:uid="{00000000-0005-0000-0000-00000F220000}"/>
    <cellStyle name="Normal 7 2 17 3" xfId="7973" xr:uid="{00000000-0005-0000-0000-000010220000}"/>
    <cellStyle name="Normal 7 2 18" xfId="7974" xr:uid="{00000000-0005-0000-0000-000011220000}"/>
    <cellStyle name="Normal 7 2 18 2" xfId="7975" xr:uid="{00000000-0005-0000-0000-000012220000}"/>
    <cellStyle name="Normal 7 2 18 2 2" xfId="7976" xr:uid="{00000000-0005-0000-0000-000013220000}"/>
    <cellStyle name="Normal 7 2 18 3" xfId="7977" xr:uid="{00000000-0005-0000-0000-000014220000}"/>
    <cellStyle name="Normal 7 2 19" xfId="7978" xr:uid="{00000000-0005-0000-0000-000015220000}"/>
    <cellStyle name="Normal 7 2 19 2" xfId="7979" xr:uid="{00000000-0005-0000-0000-000016220000}"/>
    <cellStyle name="Normal 7 2 19 2 2" xfId="7980" xr:uid="{00000000-0005-0000-0000-000017220000}"/>
    <cellStyle name="Normal 7 2 19 3" xfId="7981" xr:uid="{00000000-0005-0000-0000-000018220000}"/>
    <cellStyle name="Normal 7 2 2" xfId="7982" xr:uid="{00000000-0005-0000-0000-000019220000}"/>
    <cellStyle name="Normal 7 2 2 2" xfId="7983" xr:uid="{00000000-0005-0000-0000-00001A220000}"/>
    <cellStyle name="Normal 7 2 2 2 2" xfId="7984" xr:uid="{00000000-0005-0000-0000-00001B220000}"/>
    <cellStyle name="Normal 7 2 2 3" xfId="7985" xr:uid="{00000000-0005-0000-0000-00001C220000}"/>
    <cellStyle name="Normal 7 2 2 4" xfId="9154" xr:uid="{00000000-0005-0000-0000-00001D220000}"/>
    <cellStyle name="Normal 7 2 20" xfId="7986" xr:uid="{00000000-0005-0000-0000-00001E220000}"/>
    <cellStyle name="Normal 7 2 20 2" xfId="7987" xr:uid="{00000000-0005-0000-0000-00001F220000}"/>
    <cellStyle name="Normal 7 2 20 2 2" xfId="7988" xr:uid="{00000000-0005-0000-0000-000020220000}"/>
    <cellStyle name="Normal 7 2 20 3" xfId="7989" xr:uid="{00000000-0005-0000-0000-000021220000}"/>
    <cellStyle name="Normal 7 2 21" xfId="7990" xr:uid="{00000000-0005-0000-0000-000022220000}"/>
    <cellStyle name="Normal 7 2 21 2" xfId="7991" xr:uid="{00000000-0005-0000-0000-000023220000}"/>
    <cellStyle name="Normal 7 2 21 2 2" xfId="7992" xr:uid="{00000000-0005-0000-0000-000024220000}"/>
    <cellStyle name="Normal 7 2 21 3" xfId="7993" xr:uid="{00000000-0005-0000-0000-000025220000}"/>
    <cellStyle name="Normal 7 2 22" xfId="7994" xr:uid="{00000000-0005-0000-0000-000026220000}"/>
    <cellStyle name="Normal 7 2 22 2" xfId="7995" xr:uid="{00000000-0005-0000-0000-000027220000}"/>
    <cellStyle name="Normal 7 2 22 2 2" xfId="7996" xr:uid="{00000000-0005-0000-0000-000028220000}"/>
    <cellStyle name="Normal 7 2 22 3" xfId="7997" xr:uid="{00000000-0005-0000-0000-000029220000}"/>
    <cellStyle name="Normal 7 2 23" xfId="7998" xr:uid="{00000000-0005-0000-0000-00002A220000}"/>
    <cellStyle name="Normal 7 2 23 2" xfId="7999" xr:uid="{00000000-0005-0000-0000-00002B220000}"/>
    <cellStyle name="Normal 7 2 23 2 2" xfId="8000" xr:uid="{00000000-0005-0000-0000-00002C220000}"/>
    <cellStyle name="Normal 7 2 23 3" xfId="8001" xr:uid="{00000000-0005-0000-0000-00002D220000}"/>
    <cellStyle name="Normal 7 2 24" xfId="8002" xr:uid="{00000000-0005-0000-0000-00002E220000}"/>
    <cellStyle name="Normal 7 2 25" xfId="8003" xr:uid="{00000000-0005-0000-0000-00002F220000}"/>
    <cellStyle name="Normal 7 2 25 2" xfId="8004" xr:uid="{00000000-0005-0000-0000-000030220000}"/>
    <cellStyle name="Normal 7 2 26" xfId="8005" xr:uid="{00000000-0005-0000-0000-000031220000}"/>
    <cellStyle name="Normal 7 2 27" xfId="9132" xr:uid="{00000000-0005-0000-0000-000032220000}"/>
    <cellStyle name="Normal 7 2 3" xfId="8006" xr:uid="{00000000-0005-0000-0000-000033220000}"/>
    <cellStyle name="Normal 7 2 3 2" xfId="8007" xr:uid="{00000000-0005-0000-0000-000034220000}"/>
    <cellStyle name="Normal 7 2 3 2 2" xfId="8008" xr:uid="{00000000-0005-0000-0000-000035220000}"/>
    <cellStyle name="Normal 7 2 3 3" xfId="8009" xr:uid="{00000000-0005-0000-0000-000036220000}"/>
    <cellStyle name="Normal 7 2 4" xfId="8010" xr:uid="{00000000-0005-0000-0000-000037220000}"/>
    <cellStyle name="Normal 7 2 4 2" xfId="8011" xr:uid="{00000000-0005-0000-0000-000038220000}"/>
    <cellStyle name="Normal 7 2 4 2 2" xfId="8012" xr:uid="{00000000-0005-0000-0000-000039220000}"/>
    <cellStyle name="Normal 7 2 4 3" xfId="8013" xr:uid="{00000000-0005-0000-0000-00003A220000}"/>
    <cellStyle name="Normal 7 2 5" xfId="8014" xr:uid="{00000000-0005-0000-0000-00003B220000}"/>
    <cellStyle name="Normal 7 2 5 2" xfId="8015" xr:uid="{00000000-0005-0000-0000-00003C220000}"/>
    <cellStyle name="Normal 7 2 5 2 2" xfId="8016" xr:uid="{00000000-0005-0000-0000-00003D220000}"/>
    <cellStyle name="Normal 7 2 5 3" xfId="8017" xr:uid="{00000000-0005-0000-0000-00003E220000}"/>
    <cellStyle name="Normal 7 2 6" xfId="8018" xr:uid="{00000000-0005-0000-0000-00003F220000}"/>
    <cellStyle name="Normal 7 2 6 2" xfId="8019" xr:uid="{00000000-0005-0000-0000-000040220000}"/>
    <cellStyle name="Normal 7 2 6 2 2" xfId="8020" xr:uid="{00000000-0005-0000-0000-000041220000}"/>
    <cellStyle name="Normal 7 2 6 3" xfId="8021" xr:uid="{00000000-0005-0000-0000-000042220000}"/>
    <cellStyle name="Normal 7 2 7" xfId="8022" xr:uid="{00000000-0005-0000-0000-000043220000}"/>
    <cellStyle name="Normal 7 2 7 2" xfId="8023" xr:uid="{00000000-0005-0000-0000-000044220000}"/>
    <cellStyle name="Normal 7 2 7 2 2" xfId="8024" xr:uid="{00000000-0005-0000-0000-000045220000}"/>
    <cellStyle name="Normal 7 2 7 3" xfId="8025" xr:uid="{00000000-0005-0000-0000-000046220000}"/>
    <cellStyle name="Normal 7 2 8" xfId="8026" xr:uid="{00000000-0005-0000-0000-000047220000}"/>
    <cellStyle name="Normal 7 2 8 2" xfId="8027" xr:uid="{00000000-0005-0000-0000-000048220000}"/>
    <cellStyle name="Normal 7 2 8 2 2" xfId="8028" xr:uid="{00000000-0005-0000-0000-000049220000}"/>
    <cellStyle name="Normal 7 2 8 3" xfId="8029" xr:uid="{00000000-0005-0000-0000-00004A220000}"/>
    <cellStyle name="Normal 7 2 9" xfId="8030" xr:uid="{00000000-0005-0000-0000-00004B220000}"/>
    <cellStyle name="Normal 7 2 9 2" xfId="8031" xr:uid="{00000000-0005-0000-0000-00004C220000}"/>
    <cellStyle name="Normal 7 2 9 2 2" xfId="8032" xr:uid="{00000000-0005-0000-0000-00004D220000}"/>
    <cellStyle name="Normal 7 2 9 3" xfId="8033" xr:uid="{00000000-0005-0000-0000-00004E220000}"/>
    <cellStyle name="Normal 7 20" xfId="8034" xr:uid="{00000000-0005-0000-0000-00004F220000}"/>
    <cellStyle name="Normal 7 20 2" xfId="8035" xr:uid="{00000000-0005-0000-0000-000050220000}"/>
    <cellStyle name="Normal 7 20 2 2" xfId="8036" xr:uid="{00000000-0005-0000-0000-000051220000}"/>
    <cellStyle name="Normal 7 20 3" xfId="8037" xr:uid="{00000000-0005-0000-0000-000052220000}"/>
    <cellStyle name="Normal 7 21" xfId="8038" xr:uid="{00000000-0005-0000-0000-000053220000}"/>
    <cellStyle name="Normal 7 21 2" xfId="8039" xr:uid="{00000000-0005-0000-0000-000054220000}"/>
    <cellStyle name="Normal 7 21 2 2" xfId="8040" xr:uid="{00000000-0005-0000-0000-000055220000}"/>
    <cellStyle name="Normal 7 21 3" xfId="8041" xr:uid="{00000000-0005-0000-0000-000056220000}"/>
    <cellStyle name="Normal 7 22" xfId="8042" xr:uid="{00000000-0005-0000-0000-000057220000}"/>
    <cellStyle name="Normal 7 22 2" xfId="8043" xr:uid="{00000000-0005-0000-0000-000058220000}"/>
    <cellStyle name="Normal 7 22 2 2" xfId="8044" xr:uid="{00000000-0005-0000-0000-000059220000}"/>
    <cellStyle name="Normal 7 22 3" xfId="8045" xr:uid="{00000000-0005-0000-0000-00005A220000}"/>
    <cellStyle name="Normal 7 23" xfId="8046" xr:uid="{00000000-0005-0000-0000-00005B220000}"/>
    <cellStyle name="Normal 7 23 2" xfId="8047" xr:uid="{00000000-0005-0000-0000-00005C220000}"/>
    <cellStyle name="Normal 7 23 2 2" xfId="8048" xr:uid="{00000000-0005-0000-0000-00005D220000}"/>
    <cellStyle name="Normal 7 23 3" xfId="8049" xr:uid="{00000000-0005-0000-0000-00005E220000}"/>
    <cellStyle name="Normal 7 24" xfId="8050" xr:uid="{00000000-0005-0000-0000-00005F220000}"/>
    <cellStyle name="Normal 7 24 2" xfId="8051" xr:uid="{00000000-0005-0000-0000-000060220000}"/>
    <cellStyle name="Normal 7 24 2 2" xfId="8052" xr:uid="{00000000-0005-0000-0000-000061220000}"/>
    <cellStyle name="Normal 7 24 3" xfId="8053" xr:uid="{00000000-0005-0000-0000-000062220000}"/>
    <cellStyle name="Normal 7 25" xfId="8054" xr:uid="{00000000-0005-0000-0000-000063220000}"/>
    <cellStyle name="Normal 7 26" xfId="8055" xr:uid="{00000000-0005-0000-0000-000064220000}"/>
    <cellStyle name="Normal 7 26 2" xfId="8056" xr:uid="{00000000-0005-0000-0000-000065220000}"/>
    <cellStyle name="Normal 7 27" xfId="8057" xr:uid="{00000000-0005-0000-0000-000066220000}"/>
    <cellStyle name="Normal 7 28" xfId="9123" xr:uid="{00000000-0005-0000-0000-000067220000}"/>
    <cellStyle name="Normal 7 3" xfId="8058" xr:uid="{00000000-0005-0000-0000-000068220000}"/>
    <cellStyle name="Normal 7 3 2" xfId="8059" xr:uid="{00000000-0005-0000-0000-000069220000}"/>
    <cellStyle name="Normal 7 3 2 2" xfId="8060" xr:uid="{00000000-0005-0000-0000-00006A220000}"/>
    <cellStyle name="Normal 7 3 2 3" xfId="9150" xr:uid="{00000000-0005-0000-0000-00006B220000}"/>
    <cellStyle name="Normal 7 3 3" xfId="8061" xr:uid="{00000000-0005-0000-0000-00006C220000}"/>
    <cellStyle name="Normal 7 3 4" xfId="9128" xr:uid="{00000000-0005-0000-0000-00006D220000}"/>
    <cellStyle name="Normal 7 4" xfId="8062" xr:uid="{00000000-0005-0000-0000-00006E220000}"/>
    <cellStyle name="Normal 7 4 2" xfId="8063" xr:uid="{00000000-0005-0000-0000-00006F220000}"/>
    <cellStyle name="Normal 7 4 2 2" xfId="8064" xr:uid="{00000000-0005-0000-0000-000070220000}"/>
    <cellStyle name="Normal 7 4 3" xfId="8065" xr:uid="{00000000-0005-0000-0000-000071220000}"/>
    <cellStyle name="Normal 7 4 4" xfId="9148" xr:uid="{00000000-0005-0000-0000-000072220000}"/>
    <cellStyle name="Normal 7 5" xfId="8066" xr:uid="{00000000-0005-0000-0000-000073220000}"/>
    <cellStyle name="Normal 7 5 2" xfId="8067" xr:uid="{00000000-0005-0000-0000-000074220000}"/>
    <cellStyle name="Normal 7 5 2 2" xfId="8068" xr:uid="{00000000-0005-0000-0000-000075220000}"/>
    <cellStyle name="Normal 7 5 3" xfId="8069" xr:uid="{00000000-0005-0000-0000-000076220000}"/>
    <cellStyle name="Normal 7 6" xfId="8070" xr:uid="{00000000-0005-0000-0000-000077220000}"/>
    <cellStyle name="Normal 7 6 2" xfId="8071" xr:uid="{00000000-0005-0000-0000-000078220000}"/>
    <cellStyle name="Normal 7 6 2 2" xfId="8072" xr:uid="{00000000-0005-0000-0000-000079220000}"/>
    <cellStyle name="Normal 7 6 3" xfId="8073" xr:uid="{00000000-0005-0000-0000-00007A220000}"/>
    <cellStyle name="Normal 7 7" xfId="8074" xr:uid="{00000000-0005-0000-0000-00007B220000}"/>
    <cellStyle name="Normal 7 7 2" xfId="8075" xr:uid="{00000000-0005-0000-0000-00007C220000}"/>
    <cellStyle name="Normal 7 7 2 2" xfId="8076" xr:uid="{00000000-0005-0000-0000-00007D220000}"/>
    <cellStyle name="Normal 7 7 3" xfId="8077" xr:uid="{00000000-0005-0000-0000-00007E220000}"/>
    <cellStyle name="Normal 7 8" xfId="8078" xr:uid="{00000000-0005-0000-0000-00007F220000}"/>
    <cellStyle name="Normal 7 8 2" xfId="8079" xr:uid="{00000000-0005-0000-0000-000080220000}"/>
    <cellStyle name="Normal 7 8 2 2" xfId="8080" xr:uid="{00000000-0005-0000-0000-000081220000}"/>
    <cellStyle name="Normal 7 8 3" xfId="8081" xr:uid="{00000000-0005-0000-0000-000082220000}"/>
    <cellStyle name="Normal 7 9" xfId="8082" xr:uid="{00000000-0005-0000-0000-000083220000}"/>
    <cellStyle name="Normal 7 9 2" xfId="8083" xr:uid="{00000000-0005-0000-0000-000084220000}"/>
    <cellStyle name="Normal 7 9 2 2" xfId="8084" xr:uid="{00000000-0005-0000-0000-000085220000}"/>
    <cellStyle name="Normal 7 9 3" xfId="8085" xr:uid="{00000000-0005-0000-0000-000086220000}"/>
    <cellStyle name="Normal 8" xfId="211" xr:uid="{00000000-0005-0000-0000-000087220000}"/>
    <cellStyle name="Normal 8 2" xfId="212" xr:uid="{00000000-0005-0000-0000-000088220000}"/>
    <cellStyle name="Normal 8 2 2" xfId="8086" xr:uid="{00000000-0005-0000-0000-000089220000}"/>
    <cellStyle name="Normal 8 2 2 2" xfId="9155" xr:uid="{00000000-0005-0000-0000-00008A220000}"/>
    <cellStyle name="Normal 8 2 3" xfId="9133" xr:uid="{00000000-0005-0000-0000-00008B220000}"/>
    <cellStyle name="Normal 8 3" xfId="8087" xr:uid="{00000000-0005-0000-0000-00008C220000}"/>
    <cellStyle name="Normal 8 3 2" xfId="8088" xr:uid="{00000000-0005-0000-0000-00008D220000}"/>
    <cellStyle name="Normal 8 3 3" xfId="8089" xr:uid="{00000000-0005-0000-0000-00008E220000}"/>
    <cellStyle name="Normal 8 4" xfId="8090" xr:uid="{00000000-0005-0000-0000-00008F220000}"/>
    <cellStyle name="Normal 8 4 2" xfId="8091" xr:uid="{00000000-0005-0000-0000-000090220000}"/>
    <cellStyle name="Normal 8 4 3" xfId="8092" xr:uid="{00000000-0005-0000-0000-000091220000}"/>
    <cellStyle name="Normal 8 5" xfId="8093" xr:uid="{00000000-0005-0000-0000-000092220000}"/>
    <cellStyle name="Normal 8 6" xfId="8094" xr:uid="{00000000-0005-0000-0000-000093220000}"/>
    <cellStyle name="Normal 8 7" xfId="8095" xr:uid="{00000000-0005-0000-0000-000094220000}"/>
    <cellStyle name="Normal 8 8" xfId="8096" xr:uid="{00000000-0005-0000-0000-000095220000}"/>
    <cellStyle name="Normal 9" xfId="213" xr:uid="{00000000-0005-0000-0000-000096220000}"/>
    <cellStyle name="Normal 9 2" xfId="214" xr:uid="{00000000-0005-0000-0000-000097220000}"/>
    <cellStyle name="Normal 9 2 2" xfId="8097" xr:uid="{00000000-0005-0000-0000-000098220000}"/>
    <cellStyle name="Normal 9 2 2 2" xfId="8918" xr:uid="{00000000-0005-0000-0000-000099220000}"/>
    <cellStyle name="Normal 9 3" xfId="354" xr:uid="{00000000-0005-0000-0000-00009A220000}"/>
    <cellStyle name="Normal 9 4" xfId="8098" xr:uid="{00000000-0005-0000-0000-00009B220000}"/>
    <cellStyle name="Normal 9 5" xfId="8099" xr:uid="{00000000-0005-0000-0000-00009C220000}"/>
    <cellStyle name="Normal_EStarWASHERResTiersFY07v1_3_postJan07" xfId="8159" xr:uid="{00000000-0005-0000-0000-00009D220000}"/>
    <cellStyle name="Normal_EStarWASHERResTiersFY07v1_3_postJan07 2" xfId="9" xr:uid="{00000000-0005-0000-0000-00009E220000}"/>
    <cellStyle name="Normal_MTDUCT" xfId="8" xr:uid="{00000000-0005-0000-0000-00009F220000}"/>
    <cellStyle name="Normal_prodraft-248-c_TEDWtest" xfId="9104" xr:uid="{00000000-0005-0000-0000-0000A3220000}"/>
    <cellStyle name="Note 2" xfId="215" xr:uid="{00000000-0005-0000-0000-0000A4220000}"/>
    <cellStyle name="Note 2 10" xfId="9112" xr:uid="{00000000-0005-0000-0000-0000A5220000}"/>
    <cellStyle name="Note 2 11" xfId="9224" xr:uid="{AAB891D7-658F-486B-AA17-7116E60E59AC}"/>
    <cellStyle name="Note 2 2" xfId="355" xr:uid="{00000000-0005-0000-0000-0000A6220000}"/>
    <cellStyle name="Note 2 2 2" xfId="8100" xr:uid="{00000000-0005-0000-0000-0000A7220000}"/>
    <cellStyle name="Note 2 2 2 2" xfId="8919" xr:uid="{00000000-0005-0000-0000-0000A8220000}"/>
    <cellStyle name="Note 2 2 2 2 2" xfId="8920" xr:uid="{00000000-0005-0000-0000-0000A9220000}"/>
    <cellStyle name="Note 2 2 2 3" xfId="8921" xr:uid="{00000000-0005-0000-0000-0000AA220000}"/>
    <cellStyle name="Note 2 2 2 3 2" xfId="8922" xr:uid="{00000000-0005-0000-0000-0000AB220000}"/>
    <cellStyle name="Note 2 2 2 4" xfId="8923" xr:uid="{00000000-0005-0000-0000-0000AC220000}"/>
    <cellStyle name="Note 2 2 3" xfId="8924" xr:uid="{00000000-0005-0000-0000-0000AD220000}"/>
    <cellStyle name="Note 2 2 3 2" xfId="8925" xr:uid="{00000000-0005-0000-0000-0000AE220000}"/>
    <cellStyle name="Note 2 2 4" xfId="8926" xr:uid="{00000000-0005-0000-0000-0000AF220000}"/>
    <cellStyle name="Note 2 2 4 2" xfId="8927" xr:uid="{00000000-0005-0000-0000-0000B0220000}"/>
    <cellStyle name="Note 2 2 5" xfId="8928" xr:uid="{00000000-0005-0000-0000-0000B1220000}"/>
    <cellStyle name="Note 2 2 6" xfId="8929" xr:uid="{00000000-0005-0000-0000-0000B2220000}"/>
    <cellStyle name="Note 2 2 7" xfId="9170" xr:uid="{00000000-0005-0000-0000-0000B3220000}"/>
    <cellStyle name="Note 2 3" xfId="8101" xr:uid="{00000000-0005-0000-0000-0000B4220000}"/>
    <cellStyle name="Note 2 3 2" xfId="8102" xr:uid="{00000000-0005-0000-0000-0000B5220000}"/>
    <cellStyle name="Note 2 3 2 2" xfId="8930" xr:uid="{00000000-0005-0000-0000-0000B6220000}"/>
    <cellStyle name="Note 2 3 2 2 2" xfId="8931" xr:uid="{00000000-0005-0000-0000-0000B7220000}"/>
    <cellStyle name="Note 2 3 2 3" xfId="8932" xr:uid="{00000000-0005-0000-0000-0000B8220000}"/>
    <cellStyle name="Note 2 3 2 3 2" xfId="8933" xr:uid="{00000000-0005-0000-0000-0000B9220000}"/>
    <cellStyle name="Note 2 3 2 4" xfId="8934" xr:uid="{00000000-0005-0000-0000-0000BA220000}"/>
    <cellStyle name="Note 2 3 3" xfId="8935" xr:uid="{00000000-0005-0000-0000-0000BB220000}"/>
    <cellStyle name="Note 2 3 3 2" xfId="8936" xr:uid="{00000000-0005-0000-0000-0000BC220000}"/>
    <cellStyle name="Note 2 3 4" xfId="8937" xr:uid="{00000000-0005-0000-0000-0000BD220000}"/>
    <cellStyle name="Note 2 3 4 2" xfId="8938" xr:uid="{00000000-0005-0000-0000-0000BE220000}"/>
    <cellStyle name="Note 2 3 5" xfId="8939" xr:uid="{00000000-0005-0000-0000-0000BF220000}"/>
    <cellStyle name="Note 2 4" xfId="8103" xr:uid="{00000000-0005-0000-0000-0000C0220000}"/>
    <cellStyle name="Note 2 4 2" xfId="8104" xr:uid="{00000000-0005-0000-0000-0000C1220000}"/>
    <cellStyle name="Note 2 4 2 2" xfId="8940" xr:uid="{00000000-0005-0000-0000-0000C2220000}"/>
    <cellStyle name="Note 2 4 2 2 2" xfId="8941" xr:uid="{00000000-0005-0000-0000-0000C3220000}"/>
    <cellStyle name="Note 2 4 2 3" xfId="8942" xr:uid="{00000000-0005-0000-0000-0000C4220000}"/>
    <cellStyle name="Note 2 4 2 3 2" xfId="8943" xr:uid="{00000000-0005-0000-0000-0000C5220000}"/>
    <cellStyle name="Note 2 4 2 4" xfId="8944" xr:uid="{00000000-0005-0000-0000-0000C6220000}"/>
    <cellStyle name="Note 2 4 3" xfId="8945" xr:uid="{00000000-0005-0000-0000-0000C7220000}"/>
    <cellStyle name="Note 2 4 3 2" xfId="8946" xr:uid="{00000000-0005-0000-0000-0000C8220000}"/>
    <cellStyle name="Note 2 4 4" xfId="8947" xr:uid="{00000000-0005-0000-0000-0000C9220000}"/>
    <cellStyle name="Note 2 4 4 2" xfId="8948" xr:uid="{00000000-0005-0000-0000-0000CA220000}"/>
    <cellStyle name="Note 2 4 5" xfId="8949" xr:uid="{00000000-0005-0000-0000-0000CB220000}"/>
    <cellStyle name="Note 2 5" xfId="8105" xr:uid="{00000000-0005-0000-0000-0000CC220000}"/>
    <cellStyle name="Note 2 5 2" xfId="8950" xr:uid="{00000000-0005-0000-0000-0000CD220000}"/>
    <cellStyle name="Note 2 5 2 2" xfId="8951" xr:uid="{00000000-0005-0000-0000-0000CE220000}"/>
    <cellStyle name="Note 2 5 3" xfId="8952" xr:uid="{00000000-0005-0000-0000-0000CF220000}"/>
    <cellStyle name="Note 2 5 3 2" xfId="8953" xr:uid="{00000000-0005-0000-0000-0000D0220000}"/>
    <cellStyle name="Note 2 5 4" xfId="8954" xr:uid="{00000000-0005-0000-0000-0000D1220000}"/>
    <cellStyle name="Note 2 6" xfId="8955" xr:uid="{00000000-0005-0000-0000-0000D2220000}"/>
    <cellStyle name="Note 2 6 2" xfId="8956" xr:uid="{00000000-0005-0000-0000-0000D3220000}"/>
    <cellStyle name="Note 2 7" xfId="8957" xr:uid="{00000000-0005-0000-0000-0000D4220000}"/>
    <cellStyle name="Note 2 7 2" xfId="8958" xr:uid="{00000000-0005-0000-0000-0000D5220000}"/>
    <cellStyle name="Note 2 8" xfId="8959" xr:uid="{00000000-0005-0000-0000-0000D6220000}"/>
    <cellStyle name="Note 2 8 2" xfId="8960" xr:uid="{00000000-0005-0000-0000-0000D7220000}"/>
    <cellStyle name="Note 2 9" xfId="9115" xr:uid="{00000000-0005-0000-0000-0000D8220000}"/>
    <cellStyle name="Note 3" xfId="216" xr:uid="{00000000-0005-0000-0000-0000D9220000}"/>
    <cellStyle name="Note 3 2" xfId="9166" xr:uid="{00000000-0005-0000-0000-0000DA220000}"/>
    <cellStyle name="Note 3 3" xfId="9223" xr:uid="{559AD5DC-1B72-48F9-AA6A-1D299B5BE733}"/>
    <cellStyle name="Note 4" xfId="8106" xr:uid="{00000000-0005-0000-0000-0000DB220000}"/>
    <cellStyle name="Note 4 2" xfId="9177" xr:uid="{00000000-0005-0000-0000-0000DC220000}"/>
    <cellStyle name="Note 5" xfId="8107" xr:uid="{00000000-0005-0000-0000-0000DD220000}"/>
    <cellStyle name="Note 5 2" xfId="8108" xr:uid="{00000000-0005-0000-0000-0000DE220000}"/>
    <cellStyle name="Note 5 2 2" xfId="9179" xr:uid="{00000000-0005-0000-0000-0000DF220000}"/>
    <cellStyle name="Note 5 3" xfId="9178" xr:uid="{00000000-0005-0000-0000-0000E0220000}"/>
    <cellStyle name="Output 2" xfId="217" xr:uid="{00000000-0005-0000-0000-0000E1220000}"/>
    <cellStyle name="Output 2 2" xfId="356" xr:uid="{00000000-0005-0000-0000-0000E2220000}"/>
    <cellStyle name="Output 2 2 2" xfId="8165" xr:uid="{00000000-0005-0000-0000-0000E3220000}"/>
    <cellStyle name="Output 2 2 3" xfId="9171" xr:uid="{00000000-0005-0000-0000-0000E4220000}"/>
    <cellStyle name="Output 2 3" xfId="8162" xr:uid="{00000000-0005-0000-0000-0000E5220000}"/>
    <cellStyle name="Output 2 4" xfId="9116" xr:uid="{00000000-0005-0000-0000-0000E6220000}"/>
    <cellStyle name="Output 3" xfId="357" xr:uid="{00000000-0005-0000-0000-0000E7220000}"/>
    <cellStyle name="Output 3 2" xfId="8166" xr:uid="{00000000-0005-0000-0000-0000E8220000}"/>
    <cellStyle name="Output 3 3" xfId="9172" xr:uid="{00000000-0005-0000-0000-0000E9220000}"/>
    <cellStyle name="Percent" xfId="2" builtinId="5"/>
    <cellStyle name="Percent 10" xfId="7" xr:uid="{00000000-0005-0000-0000-0000EB220000}"/>
    <cellStyle name="Percent 2" xfId="218" xr:uid="{00000000-0005-0000-0000-0000EC220000}"/>
    <cellStyle name="Percent 2 10" xfId="12" xr:uid="{00000000-0005-0000-0000-0000ED220000}"/>
    <cellStyle name="Percent 2 11" xfId="9122" xr:uid="{00000000-0005-0000-0000-0000EE220000}"/>
    <cellStyle name="Percent 2 12" xfId="9182" xr:uid="{66B266C3-9B17-4322-846A-8B803B0CCE24}"/>
    <cellStyle name="Percent 2 2" xfId="219" xr:uid="{00000000-0005-0000-0000-0000EF220000}"/>
    <cellStyle name="Percent 2 2 2" xfId="220" xr:uid="{00000000-0005-0000-0000-0000F0220000}"/>
    <cellStyle name="Percent 2 2 2 2" xfId="221" xr:uid="{00000000-0005-0000-0000-0000F1220000}"/>
    <cellStyle name="Percent 2 2 2 2 2" xfId="8109" xr:uid="{00000000-0005-0000-0000-0000F2220000}"/>
    <cellStyle name="Percent 2 2 2 2 2 2" xfId="9162" xr:uid="{00000000-0005-0000-0000-0000F3220000}"/>
    <cellStyle name="Percent 2 2 2 2 3" xfId="9146" xr:uid="{00000000-0005-0000-0000-0000F4220000}"/>
    <cellStyle name="Percent 2 2 2 3" xfId="358" xr:uid="{00000000-0005-0000-0000-0000F5220000}"/>
    <cellStyle name="Percent 2 2 2 4" xfId="8110" xr:uid="{00000000-0005-0000-0000-0000F6220000}"/>
    <cellStyle name="Percent 2 2 3" xfId="222" xr:uid="{00000000-0005-0000-0000-0000F7220000}"/>
    <cellStyle name="Percent 2 2 3 2" xfId="8961" xr:uid="{00000000-0005-0000-0000-0000F8220000}"/>
    <cellStyle name="Percent 2 2 4" xfId="359" xr:uid="{00000000-0005-0000-0000-0000F9220000}"/>
    <cellStyle name="Percent 2 2 4 2" xfId="8111" xr:uid="{00000000-0005-0000-0000-0000FA220000}"/>
    <cellStyle name="Percent 2 2 5" xfId="8112" xr:uid="{00000000-0005-0000-0000-0000FB220000}"/>
    <cellStyle name="Percent 2 2 6" xfId="8113" xr:uid="{00000000-0005-0000-0000-0000FC220000}"/>
    <cellStyle name="Percent 2 2 7" xfId="8114" xr:uid="{00000000-0005-0000-0000-0000FD220000}"/>
    <cellStyle name="Percent 2 2 8" xfId="8115" xr:uid="{00000000-0005-0000-0000-0000FE220000}"/>
    <cellStyle name="Percent 2 2 9" xfId="9225" xr:uid="{8EA80EEC-6C98-4FE0-8687-C9A5F2608B20}"/>
    <cellStyle name="Percent 2 3" xfId="223" xr:uid="{00000000-0005-0000-0000-0000FF220000}"/>
    <cellStyle name="Percent 2 3 2" xfId="360" xr:uid="{00000000-0005-0000-0000-000000230000}"/>
    <cellStyle name="Percent 2 3 2 10" xfId="8962" xr:uid="{00000000-0005-0000-0000-000001230000}"/>
    <cellStyle name="Percent 2 3 2 2" xfId="8116" xr:uid="{00000000-0005-0000-0000-000002230000}"/>
    <cellStyle name="Percent 2 3 2 2 2" xfId="8117" xr:uid="{00000000-0005-0000-0000-000003230000}"/>
    <cellStyle name="Percent 2 3 2 2 2 2" xfId="8963" xr:uid="{00000000-0005-0000-0000-000004230000}"/>
    <cellStyle name="Percent 2 3 2 2 2 2 2" xfId="8964" xr:uid="{00000000-0005-0000-0000-000005230000}"/>
    <cellStyle name="Percent 2 3 2 2 2 3" xfId="8965" xr:uid="{00000000-0005-0000-0000-000006230000}"/>
    <cellStyle name="Percent 2 3 2 2 2 3 2" xfId="8966" xr:uid="{00000000-0005-0000-0000-000007230000}"/>
    <cellStyle name="Percent 2 3 2 2 2 4" xfId="8967" xr:uid="{00000000-0005-0000-0000-000008230000}"/>
    <cellStyle name="Percent 2 3 2 2 3" xfId="8968" xr:uid="{00000000-0005-0000-0000-000009230000}"/>
    <cellStyle name="Percent 2 3 2 2 3 2" xfId="8969" xr:uid="{00000000-0005-0000-0000-00000A230000}"/>
    <cellStyle name="Percent 2 3 2 2 4" xfId="8970" xr:uid="{00000000-0005-0000-0000-00000B230000}"/>
    <cellStyle name="Percent 2 3 2 2 4 2" xfId="8971" xr:uid="{00000000-0005-0000-0000-00000C230000}"/>
    <cellStyle name="Percent 2 3 2 2 5" xfId="8972" xr:uid="{00000000-0005-0000-0000-00000D230000}"/>
    <cellStyle name="Percent 2 3 2 3" xfId="8118" xr:uid="{00000000-0005-0000-0000-00000E230000}"/>
    <cellStyle name="Percent 2 3 2 3 2" xfId="8119" xr:uid="{00000000-0005-0000-0000-00000F230000}"/>
    <cellStyle name="Percent 2 3 2 3 2 2" xfId="8973" xr:uid="{00000000-0005-0000-0000-000010230000}"/>
    <cellStyle name="Percent 2 3 2 3 2 2 2" xfId="8974" xr:uid="{00000000-0005-0000-0000-000011230000}"/>
    <cellStyle name="Percent 2 3 2 3 2 3" xfId="8975" xr:uid="{00000000-0005-0000-0000-000012230000}"/>
    <cellStyle name="Percent 2 3 2 3 2 3 2" xfId="8976" xr:uid="{00000000-0005-0000-0000-000013230000}"/>
    <cellStyle name="Percent 2 3 2 3 2 4" xfId="8977" xr:uid="{00000000-0005-0000-0000-000014230000}"/>
    <cellStyle name="Percent 2 3 2 3 3" xfId="8978" xr:uid="{00000000-0005-0000-0000-000015230000}"/>
    <cellStyle name="Percent 2 3 2 3 3 2" xfId="8979" xr:uid="{00000000-0005-0000-0000-000016230000}"/>
    <cellStyle name="Percent 2 3 2 3 4" xfId="8980" xr:uid="{00000000-0005-0000-0000-000017230000}"/>
    <cellStyle name="Percent 2 3 2 3 4 2" xfId="8981" xr:uid="{00000000-0005-0000-0000-000018230000}"/>
    <cellStyle name="Percent 2 3 2 3 5" xfId="8982" xr:uid="{00000000-0005-0000-0000-000019230000}"/>
    <cellStyle name="Percent 2 3 2 4" xfId="8120" xr:uid="{00000000-0005-0000-0000-00001A230000}"/>
    <cellStyle name="Percent 2 3 2 4 2" xfId="8121" xr:uid="{00000000-0005-0000-0000-00001B230000}"/>
    <cellStyle name="Percent 2 3 2 4 2 2" xfId="8983" xr:uid="{00000000-0005-0000-0000-00001C230000}"/>
    <cellStyle name="Percent 2 3 2 4 2 2 2" xfId="8984" xr:uid="{00000000-0005-0000-0000-00001D230000}"/>
    <cellStyle name="Percent 2 3 2 4 2 3" xfId="8985" xr:uid="{00000000-0005-0000-0000-00001E230000}"/>
    <cellStyle name="Percent 2 3 2 4 2 3 2" xfId="8986" xr:uid="{00000000-0005-0000-0000-00001F230000}"/>
    <cellStyle name="Percent 2 3 2 4 2 4" xfId="8987" xr:uid="{00000000-0005-0000-0000-000020230000}"/>
    <cellStyle name="Percent 2 3 2 4 3" xfId="8988" xr:uid="{00000000-0005-0000-0000-000021230000}"/>
    <cellStyle name="Percent 2 3 2 4 3 2" xfId="8989" xr:uid="{00000000-0005-0000-0000-000022230000}"/>
    <cellStyle name="Percent 2 3 2 4 4" xfId="8990" xr:uid="{00000000-0005-0000-0000-000023230000}"/>
    <cellStyle name="Percent 2 3 2 4 4 2" xfId="8991" xr:uid="{00000000-0005-0000-0000-000024230000}"/>
    <cellStyle name="Percent 2 3 2 4 5" xfId="8992" xr:uid="{00000000-0005-0000-0000-000025230000}"/>
    <cellStyle name="Percent 2 3 2 5" xfId="8122" xr:uid="{00000000-0005-0000-0000-000026230000}"/>
    <cellStyle name="Percent 2 3 2 5 2" xfId="8993" xr:uid="{00000000-0005-0000-0000-000027230000}"/>
    <cellStyle name="Percent 2 3 2 5 2 2" xfId="8994" xr:uid="{00000000-0005-0000-0000-000028230000}"/>
    <cellStyle name="Percent 2 3 2 5 3" xfId="8995" xr:uid="{00000000-0005-0000-0000-000029230000}"/>
    <cellStyle name="Percent 2 3 2 5 3 2" xfId="8996" xr:uid="{00000000-0005-0000-0000-00002A230000}"/>
    <cellStyle name="Percent 2 3 2 5 4" xfId="8997" xr:uid="{00000000-0005-0000-0000-00002B230000}"/>
    <cellStyle name="Percent 2 3 2 6" xfId="8123" xr:uid="{00000000-0005-0000-0000-00002C230000}"/>
    <cellStyle name="Percent 2 3 2 6 2" xfId="8998" xr:uid="{00000000-0005-0000-0000-00002D230000}"/>
    <cellStyle name="Percent 2 3 2 6 2 2" xfId="8999" xr:uid="{00000000-0005-0000-0000-00002E230000}"/>
    <cellStyle name="Percent 2 3 2 6 3" xfId="9000" xr:uid="{00000000-0005-0000-0000-00002F230000}"/>
    <cellStyle name="Percent 2 3 2 6 3 2" xfId="9001" xr:uid="{00000000-0005-0000-0000-000030230000}"/>
    <cellStyle name="Percent 2 3 2 6 4" xfId="9002" xr:uid="{00000000-0005-0000-0000-000031230000}"/>
    <cellStyle name="Percent 2 3 2 7" xfId="9003" xr:uid="{00000000-0005-0000-0000-000032230000}"/>
    <cellStyle name="Percent 2 3 2 7 2" xfId="9004" xr:uid="{00000000-0005-0000-0000-000033230000}"/>
    <cellStyle name="Percent 2 3 2 8" xfId="9005" xr:uid="{00000000-0005-0000-0000-000034230000}"/>
    <cellStyle name="Percent 2 3 2 8 2" xfId="9006" xr:uid="{00000000-0005-0000-0000-000035230000}"/>
    <cellStyle name="Percent 2 3 2 9" xfId="9007" xr:uid="{00000000-0005-0000-0000-000036230000}"/>
    <cellStyle name="Percent 2 3 3" xfId="361" xr:uid="{00000000-0005-0000-0000-000037230000}"/>
    <cellStyle name="Percent 2 3 4" xfId="9126" xr:uid="{00000000-0005-0000-0000-000038230000}"/>
    <cellStyle name="Percent 2 4" xfId="8124" xr:uid="{00000000-0005-0000-0000-000039230000}"/>
    <cellStyle name="Percent 2 4 2" xfId="8125" xr:uid="{00000000-0005-0000-0000-00003A230000}"/>
    <cellStyle name="Percent 2 4 2 2" xfId="9008" xr:uid="{00000000-0005-0000-0000-00003B230000}"/>
    <cellStyle name="Percent 2 4 2 2 2" xfId="9009" xr:uid="{00000000-0005-0000-0000-00003C230000}"/>
    <cellStyle name="Percent 2 4 2 3" xfId="9010" xr:uid="{00000000-0005-0000-0000-00003D230000}"/>
    <cellStyle name="Percent 2 4 2 3 2" xfId="9011" xr:uid="{00000000-0005-0000-0000-00003E230000}"/>
    <cellStyle name="Percent 2 4 2 4" xfId="9012" xr:uid="{00000000-0005-0000-0000-00003F230000}"/>
    <cellStyle name="Percent 2 4 3" xfId="8126" xr:uid="{00000000-0005-0000-0000-000040230000}"/>
    <cellStyle name="Percent 2 4 3 2" xfId="9013" xr:uid="{00000000-0005-0000-0000-000041230000}"/>
    <cellStyle name="Percent 2 4 3 2 2" xfId="9014" xr:uid="{00000000-0005-0000-0000-000042230000}"/>
    <cellStyle name="Percent 2 4 3 3" xfId="9015" xr:uid="{00000000-0005-0000-0000-000043230000}"/>
    <cellStyle name="Percent 2 4 3 3 2" xfId="9016" xr:uid="{00000000-0005-0000-0000-000044230000}"/>
    <cellStyle name="Percent 2 4 3 4" xfId="9017" xr:uid="{00000000-0005-0000-0000-000045230000}"/>
    <cellStyle name="Percent 2 5" xfId="8127" xr:uid="{00000000-0005-0000-0000-000046230000}"/>
    <cellStyle name="Percent 2 5 2" xfId="8128" xr:uid="{00000000-0005-0000-0000-000047230000}"/>
    <cellStyle name="Percent 2 5 2 2" xfId="9018" xr:uid="{00000000-0005-0000-0000-000048230000}"/>
    <cellStyle name="Percent 2 5 2 2 2" xfId="9019" xr:uid="{00000000-0005-0000-0000-000049230000}"/>
    <cellStyle name="Percent 2 5 2 3" xfId="9020" xr:uid="{00000000-0005-0000-0000-00004A230000}"/>
    <cellStyle name="Percent 2 5 2 3 2" xfId="9021" xr:uid="{00000000-0005-0000-0000-00004B230000}"/>
    <cellStyle name="Percent 2 5 2 4" xfId="9022" xr:uid="{00000000-0005-0000-0000-00004C230000}"/>
    <cellStyle name="Percent 2 5 3" xfId="9023" xr:uid="{00000000-0005-0000-0000-00004D230000}"/>
    <cellStyle name="Percent 2 5 3 2" xfId="9024" xr:uid="{00000000-0005-0000-0000-00004E230000}"/>
    <cellStyle name="Percent 2 5 4" xfId="9025" xr:uid="{00000000-0005-0000-0000-00004F230000}"/>
    <cellStyle name="Percent 2 5 4 2" xfId="9026" xr:uid="{00000000-0005-0000-0000-000050230000}"/>
    <cellStyle name="Percent 2 5 5" xfId="9027" xr:uid="{00000000-0005-0000-0000-000051230000}"/>
    <cellStyle name="Percent 2 6" xfId="8129" xr:uid="{00000000-0005-0000-0000-000052230000}"/>
    <cellStyle name="Percent 2 6 2" xfId="8130" xr:uid="{00000000-0005-0000-0000-000053230000}"/>
    <cellStyle name="Percent 2 6 2 2" xfId="9028" xr:uid="{00000000-0005-0000-0000-000054230000}"/>
    <cellStyle name="Percent 2 6 2 2 2" xfId="9029" xr:uid="{00000000-0005-0000-0000-000055230000}"/>
    <cellStyle name="Percent 2 6 2 3" xfId="9030" xr:uid="{00000000-0005-0000-0000-000056230000}"/>
    <cellStyle name="Percent 2 6 2 3 2" xfId="9031" xr:uid="{00000000-0005-0000-0000-000057230000}"/>
    <cellStyle name="Percent 2 6 2 4" xfId="9032" xr:uid="{00000000-0005-0000-0000-000058230000}"/>
    <cellStyle name="Percent 2 6 3" xfId="9033" xr:uid="{00000000-0005-0000-0000-000059230000}"/>
    <cellStyle name="Percent 2 6 3 2" xfId="9034" xr:uid="{00000000-0005-0000-0000-00005A230000}"/>
    <cellStyle name="Percent 2 6 4" xfId="9035" xr:uid="{00000000-0005-0000-0000-00005B230000}"/>
    <cellStyle name="Percent 2 6 4 2" xfId="9036" xr:uid="{00000000-0005-0000-0000-00005C230000}"/>
    <cellStyle name="Percent 2 6 5" xfId="9037" xr:uid="{00000000-0005-0000-0000-00005D230000}"/>
    <cellStyle name="Percent 2 7" xfId="8131" xr:uid="{00000000-0005-0000-0000-00005E230000}"/>
    <cellStyle name="Percent 2 7 2" xfId="8132" xr:uid="{00000000-0005-0000-0000-00005F230000}"/>
    <cellStyle name="Percent 2 7 2 2" xfId="9038" xr:uid="{00000000-0005-0000-0000-000060230000}"/>
    <cellStyle name="Percent 2 7 2 2 2" xfId="9039" xr:uid="{00000000-0005-0000-0000-000061230000}"/>
    <cellStyle name="Percent 2 7 2 3" xfId="9040" xr:uid="{00000000-0005-0000-0000-000062230000}"/>
    <cellStyle name="Percent 2 7 2 3 2" xfId="9041" xr:uid="{00000000-0005-0000-0000-000063230000}"/>
    <cellStyle name="Percent 2 7 2 4" xfId="9042" xr:uid="{00000000-0005-0000-0000-000064230000}"/>
    <cellStyle name="Percent 2 7 3" xfId="9043" xr:uid="{00000000-0005-0000-0000-000065230000}"/>
    <cellStyle name="Percent 2 7 3 2" xfId="9044" xr:uid="{00000000-0005-0000-0000-000066230000}"/>
    <cellStyle name="Percent 2 7 4" xfId="9045" xr:uid="{00000000-0005-0000-0000-000067230000}"/>
    <cellStyle name="Percent 2 7 4 2" xfId="9046" xr:uid="{00000000-0005-0000-0000-000068230000}"/>
    <cellStyle name="Percent 2 7 5" xfId="9047" xr:uid="{00000000-0005-0000-0000-000069230000}"/>
    <cellStyle name="Percent 2 8" xfId="8133" xr:uid="{00000000-0005-0000-0000-00006A230000}"/>
    <cellStyle name="Percent 2 8 2" xfId="9048" xr:uid="{00000000-0005-0000-0000-00006B230000}"/>
    <cellStyle name="Percent 2 8 2 2" xfId="9049" xr:uid="{00000000-0005-0000-0000-00006C230000}"/>
    <cellStyle name="Percent 2 8 3" xfId="9050" xr:uid="{00000000-0005-0000-0000-00006D230000}"/>
    <cellStyle name="Percent 2 8 3 2" xfId="9051" xr:uid="{00000000-0005-0000-0000-00006E230000}"/>
    <cellStyle name="Percent 2 8 4" xfId="9052" xr:uid="{00000000-0005-0000-0000-00006F230000}"/>
    <cellStyle name="Percent 2 9" xfId="8134" xr:uid="{00000000-0005-0000-0000-000070230000}"/>
    <cellStyle name="Percent 3" xfId="224" xr:uid="{00000000-0005-0000-0000-000071230000}"/>
    <cellStyle name="Percent 3 2" xfId="225" xr:uid="{00000000-0005-0000-0000-000072230000}"/>
    <cellStyle name="Percent 3 2 10" xfId="9226" xr:uid="{760389B2-B96E-4C15-B2C8-92D893C54210}"/>
    <cellStyle name="Percent 3 2 2" xfId="226" xr:uid="{00000000-0005-0000-0000-000073230000}"/>
    <cellStyle name="Percent 3 2 2 2" xfId="8135" xr:uid="{00000000-0005-0000-0000-000074230000}"/>
    <cellStyle name="Percent 3 2 2 2 2" xfId="9053" xr:uid="{00000000-0005-0000-0000-000075230000}"/>
    <cellStyle name="Percent 3 2 2 2 2 2" xfId="9054" xr:uid="{00000000-0005-0000-0000-000076230000}"/>
    <cellStyle name="Percent 3 2 2 2 3" xfId="9055" xr:uid="{00000000-0005-0000-0000-000077230000}"/>
    <cellStyle name="Percent 3 2 2 2 3 2" xfId="9056" xr:uid="{00000000-0005-0000-0000-000078230000}"/>
    <cellStyle name="Percent 3 2 2 2 4" xfId="9057" xr:uid="{00000000-0005-0000-0000-000079230000}"/>
    <cellStyle name="Percent 3 2 2 2 5" xfId="9058" xr:uid="{00000000-0005-0000-0000-00007A230000}"/>
    <cellStyle name="Percent 3 2 3" xfId="362" xr:uid="{00000000-0005-0000-0000-00007B230000}"/>
    <cellStyle name="Percent 3 2 3 2" xfId="8136" xr:uid="{00000000-0005-0000-0000-00007C230000}"/>
    <cellStyle name="Percent 3 2 3 2 2" xfId="9059" xr:uid="{00000000-0005-0000-0000-00007D230000}"/>
    <cellStyle name="Percent 3 2 3 2 2 2" xfId="9060" xr:uid="{00000000-0005-0000-0000-00007E230000}"/>
    <cellStyle name="Percent 3 2 3 2 3" xfId="9061" xr:uid="{00000000-0005-0000-0000-00007F230000}"/>
    <cellStyle name="Percent 3 2 3 2 3 2" xfId="9062" xr:uid="{00000000-0005-0000-0000-000080230000}"/>
    <cellStyle name="Percent 3 2 3 2 4" xfId="9063" xr:uid="{00000000-0005-0000-0000-000081230000}"/>
    <cellStyle name="Percent 3 2 3 3" xfId="9064" xr:uid="{00000000-0005-0000-0000-000082230000}"/>
    <cellStyle name="Percent 3 2 3 3 2" xfId="9065" xr:uid="{00000000-0005-0000-0000-000083230000}"/>
    <cellStyle name="Percent 3 2 3 4" xfId="9066" xr:uid="{00000000-0005-0000-0000-000084230000}"/>
    <cellStyle name="Percent 3 2 3 4 2" xfId="9067" xr:uid="{00000000-0005-0000-0000-000085230000}"/>
    <cellStyle name="Percent 3 2 3 5" xfId="9068" xr:uid="{00000000-0005-0000-0000-000086230000}"/>
    <cellStyle name="Percent 3 2 3 6" xfId="9069" xr:uid="{00000000-0005-0000-0000-000087230000}"/>
    <cellStyle name="Percent 3 2 4" xfId="8137" xr:uid="{00000000-0005-0000-0000-000088230000}"/>
    <cellStyle name="Percent 3 2 4 2" xfId="8138" xr:uid="{00000000-0005-0000-0000-000089230000}"/>
    <cellStyle name="Percent 3 2 4 2 2" xfId="9070" xr:uid="{00000000-0005-0000-0000-00008A230000}"/>
    <cellStyle name="Percent 3 2 4 2 2 2" xfId="9071" xr:uid="{00000000-0005-0000-0000-00008B230000}"/>
    <cellStyle name="Percent 3 2 4 2 3" xfId="9072" xr:uid="{00000000-0005-0000-0000-00008C230000}"/>
    <cellStyle name="Percent 3 2 4 2 3 2" xfId="9073" xr:uid="{00000000-0005-0000-0000-00008D230000}"/>
    <cellStyle name="Percent 3 2 4 2 4" xfId="9074" xr:uid="{00000000-0005-0000-0000-00008E230000}"/>
    <cellStyle name="Percent 3 2 4 3" xfId="9075" xr:uid="{00000000-0005-0000-0000-00008F230000}"/>
    <cellStyle name="Percent 3 2 4 3 2" xfId="9076" xr:uid="{00000000-0005-0000-0000-000090230000}"/>
    <cellStyle name="Percent 3 2 4 4" xfId="9077" xr:uid="{00000000-0005-0000-0000-000091230000}"/>
    <cellStyle name="Percent 3 2 4 4 2" xfId="9078" xr:uid="{00000000-0005-0000-0000-000092230000}"/>
    <cellStyle name="Percent 3 2 4 5" xfId="9079" xr:uid="{00000000-0005-0000-0000-000093230000}"/>
    <cellStyle name="Percent 3 2 5" xfId="8139" xr:uid="{00000000-0005-0000-0000-000094230000}"/>
    <cellStyle name="Percent 3 2 5 2" xfId="8140" xr:uid="{00000000-0005-0000-0000-000095230000}"/>
    <cellStyle name="Percent 3 2 5 2 2" xfId="9080" xr:uid="{00000000-0005-0000-0000-000096230000}"/>
    <cellStyle name="Percent 3 2 5 2 2 2" xfId="9081" xr:uid="{00000000-0005-0000-0000-000097230000}"/>
    <cellStyle name="Percent 3 2 5 2 3" xfId="9082" xr:uid="{00000000-0005-0000-0000-000098230000}"/>
    <cellStyle name="Percent 3 2 5 2 3 2" xfId="9083" xr:uid="{00000000-0005-0000-0000-000099230000}"/>
    <cellStyle name="Percent 3 2 5 2 4" xfId="9084" xr:uid="{00000000-0005-0000-0000-00009A230000}"/>
    <cellStyle name="Percent 3 2 5 3" xfId="9085" xr:uid="{00000000-0005-0000-0000-00009B230000}"/>
    <cellStyle name="Percent 3 2 5 3 2" xfId="9086" xr:uid="{00000000-0005-0000-0000-00009C230000}"/>
    <cellStyle name="Percent 3 2 5 4" xfId="9087" xr:uid="{00000000-0005-0000-0000-00009D230000}"/>
    <cellStyle name="Percent 3 2 5 4 2" xfId="9088" xr:uid="{00000000-0005-0000-0000-00009E230000}"/>
    <cellStyle name="Percent 3 2 5 5" xfId="9089" xr:uid="{00000000-0005-0000-0000-00009F230000}"/>
    <cellStyle name="Percent 3 2 6" xfId="8141" xr:uid="{00000000-0005-0000-0000-0000A0230000}"/>
    <cellStyle name="Percent 3 2 7" xfId="8142" xr:uid="{00000000-0005-0000-0000-0000A1230000}"/>
    <cellStyle name="Percent 3 2 7 2" xfId="9090" xr:uid="{00000000-0005-0000-0000-0000A2230000}"/>
    <cellStyle name="Percent 3 2 7 2 2" xfId="9091" xr:uid="{00000000-0005-0000-0000-0000A3230000}"/>
    <cellStyle name="Percent 3 2 7 3" xfId="9092" xr:uid="{00000000-0005-0000-0000-0000A4230000}"/>
    <cellStyle name="Percent 3 2 7 3 2" xfId="9093" xr:uid="{00000000-0005-0000-0000-0000A5230000}"/>
    <cellStyle name="Percent 3 2 7 4" xfId="9094" xr:uid="{00000000-0005-0000-0000-0000A6230000}"/>
    <cellStyle name="Percent 3 2 8" xfId="8143" xr:uid="{00000000-0005-0000-0000-0000A7230000}"/>
    <cellStyle name="Percent 3 2 9" xfId="9095" xr:uid="{00000000-0005-0000-0000-0000A8230000}"/>
    <cellStyle name="Percent 3 3" xfId="227" xr:uid="{00000000-0005-0000-0000-0000A9230000}"/>
    <cellStyle name="Percent 3 3 2" xfId="9096" xr:uid="{00000000-0005-0000-0000-0000AA230000}"/>
    <cellStyle name="Percent 3 3 3" xfId="9147" xr:uid="{00000000-0005-0000-0000-0000AB230000}"/>
    <cellStyle name="Percent 3 4" xfId="363" xr:uid="{00000000-0005-0000-0000-0000AC230000}"/>
    <cellStyle name="Percent 3 4 2" xfId="8144" xr:uid="{00000000-0005-0000-0000-0000AD230000}"/>
    <cellStyle name="Percent 3 5" xfId="8145" xr:uid="{00000000-0005-0000-0000-0000AE230000}"/>
    <cellStyle name="Percent 3 6" xfId="8146" xr:uid="{00000000-0005-0000-0000-0000AF230000}"/>
    <cellStyle name="Percent 3 6 2" xfId="9097" xr:uid="{00000000-0005-0000-0000-0000B0230000}"/>
    <cellStyle name="Percent 4" xfId="228" xr:uid="{00000000-0005-0000-0000-0000B1230000}"/>
    <cellStyle name="Percent 4 2" xfId="229" xr:uid="{00000000-0005-0000-0000-0000B2230000}"/>
    <cellStyle name="Percent 4 2 2" xfId="8147" xr:uid="{00000000-0005-0000-0000-0000B3230000}"/>
    <cellStyle name="Percent 4 2 2 2" xfId="9152" xr:uid="{00000000-0005-0000-0000-0000B4230000}"/>
    <cellStyle name="Percent 4 2 3" xfId="9130" xr:uid="{00000000-0005-0000-0000-0000B5230000}"/>
    <cellStyle name="Percent 4 3" xfId="8148" xr:uid="{00000000-0005-0000-0000-0000B6230000}"/>
    <cellStyle name="Percent 4 3 2" xfId="9149" xr:uid="{00000000-0005-0000-0000-0000B7230000}"/>
    <cellStyle name="Percent 4 4" xfId="8149" xr:uid="{00000000-0005-0000-0000-0000B8230000}"/>
    <cellStyle name="Percent 4 4 2" xfId="8150" xr:uid="{00000000-0005-0000-0000-0000B9230000}"/>
    <cellStyle name="Percent 4 5" xfId="8151" xr:uid="{00000000-0005-0000-0000-0000BA230000}"/>
    <cellStyle name="Percent 4 6" xfId="9127" xr:uid="{00000000-0005-0000-0000-0000BB230000}"/>
    <cellStyle name="Percent 5" xfId="230" xr:uid="{00000000-0005-0000-0000-0000BC230000}"/>
    <cellStyle name="Percent 5 2" xfId="8152" xr:uid="{00000000-0005-0000-0000-0000BD230000}"/>
    <cellStyle name="Percent 5 2 2" xfId="9158" xr:uid="{00000000-0005-0000-0000-0000BE230000}"/>
    <cellStyle name="Percent 5 3" xfId="8153" xr:uid="{00000000-0005-0000-0000-0000BF230000}"/>
    <cellStyle name="Percent 5 4" xfId="9136" xr:uid="{00000000-0005-0000-0000-0000C0230000}"/>
    <cellStyle name="Percent 6" xfId="231" xr:uid="{00000000-0005-0000-0000-0000C1230000}"/>
    <cellStyle name="Percent 6 2" xfId="232" xr:uid="{00000000-0005-0000-0000-0000C2230000}"/>
    <cellStyle name="Percent 6 3" xfId="8154" xr:uid="{00000000-0005-0000-0000-0000C3230000}"/>
    <cellStyle name="Percent 7" xfId="233" xr:uid="{00000000-0005-0000-0000-0000C4230000}"/>
    <cellStyle name="Percent 7 2" xfId="8213" xr:uid="{00000000-0005-0000-0000-0000C5230000}"/>
    <cellStyle name="Percent 8" xfId="234" xr:uid="{00000000-0005-0000-0000-0000C6230000}"/>
    <cellStyle name="Percent 8 2" xfId="8214" xr:uid="{00000000-0005-0000-0000-0000C7230000}"/>
    <cellStyle name="Percent 9" xfId="8155" xr:uid="{00000000-0005-0000-0000-0000C8230000}"/>
    <cellStyle name="Percent 9 2" xfId="8177" xr:uid="{00000000-0005-0000-0000-0000C9230000}"/>
    <cellStyle name="Percent 9 3" xfId="9098" xr:uid="{00000000-0005-0000-0000-0000CA230000}"/>
    <cellStyle name="Planning_Input" xfId="8169" xr:uid="{00000000-0005-0000-0000-0000CB230000}"/>
    <cellStyle name="Section Heading" xfId="9227" xr:uid="{B465F0DA-9F6F-4653-A167-A4B149B57603}"/>
    <cellStyle name="Sheet Title" xfId="235" xr:uid="{00000000-0005-0000-0000-0000CC230000}"/>
    <cellStyle name="Style 1" xfId="236" xr:uid="{00000000-0005-0000-0000-0000CD230000}"/>
    <cellStyle name="Style 1 2" xfId="237" xr:uid="{00000000-0005-0000-0000-0000CE230000}"/>
    <cellStyle name="Style 28" xfId="364" xr:uid="{00000000-0005-0000-0000-0000CF230000}"/>
    <cellStyle name="Title 2" xfId="238" xr:uid="{00000000-0005-0000-0000-0000D0230000}"/>
    <cellStyle name="Title 2 2" xfId="365" xr:uid="{00000000-0005-0000-0000-0000D1230000}"/>
    <cellStyle name="Title 3" xfId="366" xr:uid="{00000000-0005-0000-0000-0000D2230000}"/>
    <cellStyle name="Total 2" xfId="239" xr:uid="{00000000-0005-0000-0000-0000D3230000}"/>
    <cellStyle name="Total 2 2" xfId="367" xr:uid="{00000000-0005-0000-0000-0000D4230000}"/>
    <cellStyle name="Total 2 2 2" xfId="8167" xr:uid="{00000000-0005-0000-0000-0000D5230000}"/>
    <cellStyle name="Total 2 2 3" xfId="9173" xr:uid="{00000000-0005-0000-0000-0000D6230000}"/>
    <cellStyle name="Total 2 3" xfId="8163" xr:uid="{00000000-0005-0000-0000-0000D7230000}"/>
    <cellStyle name="Total 2 4" xfId="9117" xr:uid="{00000000-0005-0000-0000-0000D8230000}"/>
    <cellStyle name="Total 2 5" xfId="9111" xr:uid="{00000000-0005-0000-0000-0000D9230000}"/>
    <cellStyle name="Total 3" xfId="368" xr:uid="{00000000-0005-0000-0000-0000DA230000}"/>
    <cellStyle name="Total 3 2" xfId="8168" xr:uid="{00000000-0005-0000-0000-0000DB230000}"/>
    <cellStyle name="Total 3 3" xfId="9174" xr:uid="{00000000-0005-0000-0000-0000DC230000}"/>
    <cellStyle name="Warning Text 2" xfId="240" xr:uid="{00000000-0005-0000-0000-0000DD230000}"/>
    <cellStyle name="Warning Text 3" xfId="369" xr:uid="{00000000-0005-0000-0000-0000DE230000}"/>
    <cellStyle name="표준 2_WP-1 보고자료 (2009.06.03)" xfId="370" xr:uid="{00000000-0005-0000-0000-0000DF230000}"/>
    <cellStyle name="표준_ENERGY CONSUMP" xfId="241" xr:uid="{00000000-0005-0000-0000-0000E0230000}"/>
    <cellStyle name="常规_海外市场服务网站资料操作BOM" xfId="242" xr:uid="{00000000-0005-0000-0000-0000E1230000}"/>
  </cellStyles>
  <dxfs count="500">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499"/>
      <tableStyleElement type="headerRow" dxfId="498"/>
    </tableStyle>
    <tableStyle name="ERS Report" pivot="0" count="4" xr9:uid="{210ACAD5-DAD8-4433-9CB1-31C016675D97}">
      <tableStyleElement type="wholeTable" dxfId="497"/>
      <tableStyleElement type="headerRow" dxfId="496"/>
      <tableStyleElement type="totalRow" dxfId="495"/>
      <tableStyleElement type="secondRowStripe" dxfId="494"/>
    </tableStyle>
  </tableStyles>
  <colors>
    <mruColors>
      <color rgb="FF7FCDE8"/>
      <color rgb="FF0083CA"/>
      <color rgb="FF8CC646"/>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powerPivotData" Target="model/item.data"/><Relationship Id="rId84" Type="http://schemas.openxmlformats.org/officeDocument/2006/relationships/customXml" Target="../customXml/item14.xml"/><Relationship Id="rId89" Type="http://schemas.openxmlformats.org/officeDocument/2006/relationships/customXml" Target="../customXml/item1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pivotCacheDefinition" Target="pivotCache/pivotCacheDefinition2.xml"/><Relationship Id="rId74" Type="http://schemas.openxmlformats.org/officeDocument/2006/relationships/customXml" Target="../customXml/item4.xml"/><Relationship Id="rId79"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customXml" Target="../customXml/item20.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connections" Target="connections.xml"/><Relationship Id="rId69" Type="http://schemas.microsoft.com/office/2017/10/relationships/person" Target="persons/person.xml"/><Relationship Id="rId77"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customXml" Target="../customXml/item2.xml"/><Relationship Id="rId80" Type="http://schemas.openxmlformats.org/officeDocument/2006/relationships/customXml" Target="../customXml/item10.xml"/><Relationship Id="rId85"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3.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pivotCacheDefinition" Target="pivotCache/pivotCacheDefinition6.xml"/><Relationship Id="rId70" Type="http://schemas.openxmlformats.org/officeDocument/2006/relationships/calcChain" Target="calcChain.xml"/><Relationship Id="rId75" Type="http://schemas.openxmlformats.org/officeDocument/2006/relationships/customXml" Target="../customXml/item5.xml"/><Relationship Id="rId83" Type="http://schemas.openxmlformats.org/officeDocument/2006/relationships/customXml" Target="../customXml/item13.xml"/><Relationship Id="rId88" Type="http://schemas.openxmlformats.org/officeDocument/2006/relationships/customXml" Target="../customXml/item18.xml"/><Relationship Id="rId9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pivotCacheDefinition" Target="pivotCache/pivotCacheDefinition4.xml"/><Relationship Id="rId65" Type="http://schemas.openxmlformats.org/officeDocument/2006/relationships/styles" Target="styles.xml"/><Relationship Id="rId73" Type="http://schemas.openxmlformats.org/officeDocument/2006/relationships/customXml" Target="../customXml/item3.xml"/><Relationship Id="rId78" Type="http://schemas.openxmlformats.org/officeDocument/2006/relationships/customXml" Target="../customXml/item8.xml"/><Relationship Id="rId81" Type="http://schemas.openxmlformats.org/officeDocument/2006/relationships/customXml" Target="../customXml/item11.xml"/><Relationship Id="rId86"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customXml" Target="../customXml/item6.xml"/><Relationship Id="rId7" Type="http://schemas.openxmlformats.org/officeDocument/2006/relationships/worksheet" Target="worksheets/sheet7.xml"/><Relationship Id="rId92" Type="http://schemas.openxmlformats.org/officeDocument/2006/relationships/customXml" Target="../customXml/item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sharedStrings" Target="sharedStrings.xml"/><Relationship Id="rId87" Type="http://schemas.openxmlformats.org/officeDocument/2006/relationships/customXml" Target="../customXml/item17.xml"/><Relationship Id="rId61" Type="http://schemas.openxmlformats.org/officeDocument/2006/relationships/pivotCacheDefinition" Target="pivotCache/pivotCacheDefinition5.xml"/><Relationship Id="rId82" Type="http://schemas.openxmlformats.org/officeDocument/2006/relationships/customXml" Target="../customXml/item1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0</xdr:col>
      <xdr:colOff>1309255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2095500</xdr:colOff>
      <xdr:row>105</xdr:row>
      <xdr:rowOff>0</xdr:rowOff>
    </xdr:from>
    <xdr:to>
      <xdr:col>8</xdr:col>
      <xdr:colOff>1019175</xdr:colOff>
      <xdr:row>105</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149088</xdr:colOff>
      <xdr:row>158</xdr:row>
      <xdr:rowOff>16565</xdr:rowOff>
    </xdr:from>
    <xdr:to>
      <xdr:col>15</xdr:col>
      <xdr:colOff>447262</xdr:colOff>
      <xdr:row>175</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Savings%20Repor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Lighting%20Full%20Mark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06_MANAGEMENT\CE%20MODELING%20and%20%20AMW%20REPORTING\Policy%20and%20Guidelines\NEEA%20Common%20Assumptions\ACE%20Model%20Creation%20Guide%202011%20Ver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Temp%20Presentation\Reports\NEEA%20Savings%20Report%20websit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Procost\NEEA%20ProCost%20Tools\Admin%20Cost%20Too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Lamps_HOUandConditionedPcnt"/>
      <sheetName val="Lamps_MarketData Conversion"/>
      <sheetName val="Tech data inputs"/>
      <sheetName val="Forecasting"/>
      <sheetName val="2016 Lamps_MarketData"/>
      <sheetName val="2016 AppLumenBin TechShares"/>
      <sheetName val="2016 Watts"/>
      <sheetName val="7th PP CSW Stock"/>
      <sheetName val="Analytica Mdl"/>
      <sheetName val="Calc by Application"/>
      <sheetName val="Calc by Tech"/>
      <sheetName val="Market Unit Inputs"/>
      <sheetName val="Savings Rates"/>
      <sheetName val="Units"/>
      <sheetName val="AMMO"/>
      <sheetName val="Program Bulbs"/>
      <sheetName val="Program Savings Rates"/>
      <sheetName val="Retirements"/>
      <sheetName val="Res_Lighting Previous Calc"/>
      <sheetName val="Res_Lighting_NWPCC Report"/>
      <sheetName val="Market Share"/>
      <sheetName val="Watts"/>
      <sheetName val="UECs"/>
      <sheetName val="Storage and Removal"/>
      <sheetName val="HVAC Interaction"/>
      <sheetName val="Standard Watts Calc"/>
      <sheetName val="Savings Tracker"/>
      <sheetName val="Value Metrics Table"/>
      <sheetName val="Savings Rate Table"/>
      <sheetName val="Units Table"/>
      <sheetName val="Market Size Table"/>
      <sheetName val="Market Adoption Table"/>
      <sheetName val="Cost Effectiveness Output Table"/>
      <sheetName val="Key Assumptions Table"/>
      <sheetName val="Properties Table"/>
    </sheetNames>
    <sheetDataSet>
      <sheetData sheetId="0"/>
      <sheetData sheetId="1">
        <row r="6">
          <cell r="E6">
            <v>2.0271555711175395</v>
          </cell>
        </row>
        <row r="7">
          <cell r="E7">
            <v>1.9957200375998609</v>
          </cell>
        </row>
        <row r="8">
          <cell r="E8">
            <v>1.404666551718073</v>
          </cell>
        </row>
        <row r="9">
          <cell r="E9">
            <v>1.9249165199578588</v>
          </cell>
        </row>
        <row r="10">
          <cell r="E10">
            <v>2.1062566675267367</v>
          </cell>
        </row>
        <row r="11">
          <cell r="E11">
            <v>2.0740124841243719</v>
          </cell>
        </row>
        <row r="12">
          <cell r="E12">
            <v>1.3452862835383117</v>
          </cell>
        </row>
        <row r="13">
          <cell r="E13">
            <v>1.564278596448059</v>
          </cell>
        </row>
        <row r="14">
          <cell r="E14">
            <v>2.0886014190593318</v>
          </cell>
        </row>
        <row r="15">
          <cell r="E15">
            <v>2.5224668862101058</v>
          </cell>
        </row>
        <row r="16">
          <cell r="E16">
            <v>2.8586754702075892</v>
          </cell>
        </row>
        <row r="17">
          <cell r="E17">
            <v>3.1748372824778448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Update Log"/>
      <sheetName val="Key Assumptions"/>
      <sheetName val="Initiative Manager"/>
      <sheetName val="Market"/>
      <sheetName val="Units"/>
      <sheetName val="Local Programs"/>
      <sheetName val="Tech Inputs"/>
      <sheetName val="MC &amp; Electri Load"/>
      <sheetName val="Cost Inputs"/>
      <sheetName val="PV Cost Calc"/>
      <sheetName val="Energy Benefits Calc"/>
      <sheetName val="Cost Effectiveness Summary"/>
      <sheetName val="6th Power Plan"/>
      <sheetName val="Savings Tracker"/>
      <sheetName val="Savings Summary"/>
    </sheetNames>
    <sheetDataSet>
      <sheetData sheetId="0">
        <row r="1">
          <cell r="AJ1" t="str">
            <v>Long Term Monitoring and Tracking</v>
          </cell>
          <cell r="AK1" t="str">
            <v>Planning_Estimate</v>
          </cell>
        </row>
        <row r="2">
          <cell r="AJ2" t="str">
            <v>Implementation</v>
          </cell>
          <cell r="AK2" t="str">
            <v>Level_1</v>
          </cell>
        </row>
        <row r="3">
          <cell r="AJ3" t="str">
            <v>Strategy Development</v>
          </cell>
          <cell r="AK3" t="str">
            <v>Level_2</v>
          </cell>
        </row>
        <row r="4">
          <cell r="AJ4" t="str">
            <v>Assessment and Validation</v>
          </cell>
          <cell r="AK4" t="str">
            <v>Level_3</v>
          </cell>
        </row>
        <row r="5">
          <cell r="AJ5" t="str">
            <v>Concept Development</v>
          </cell>
          <cell r="AK5" t="str">
            <v>Tracker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G3">
            <v>2009</v>
          </cell>
          <cell r="H3" t="str">
            <v>BacGen Waste Water Optimization Service</v>
          </cell>
        </row>
        <row r="4">
          <cell r="G4">
            <v>2010</v>
          </cell>
          <cell r="H4" t="str">
            <v>Building Operations (Non-target Markets)</v>
          </cell>
        </row>
        <row r="5">
          <cell r="G5">
            <v>2011</v>
          </cell>
          <cell r="H5" t="str">
            <v>Building Operator Certification</v>
          </cell>
        </row>
        <row r="6">
          <cell r="G6">
            <v>2012</v>
          </cell>
          <cell r="H6" t="str">
            <v>Building Operator Certification Expansion</v>
          </cell>
        </row>
        <row r="7">
          <cell r="G7">
            <v>2013</v>
          </cell>
          <cell r="H7" t="str">
            <v>Certified Refrigeration Energy Specialist (CRES)</v>
          </cell>
        </row>
        <row r="8">
          <cell r="G8">
            <v>2014</v>
          </cell>
          <cell r="H8" t="str">
            <v>Clothes Washers</v>
          </cell>
        </row>
        <row r="9">
          <cell r="G9">
            <v>2015</v>
          </cell>
          <cell r="H9" t="str">
            <v>Commercial Code Enhancement</v>
          </cell>
        </row>
        <row r="10">
          <cell r="G10">
            <v>2016</v>
          </cell>
          <cell r="H10" t="str">
            <v>Commercial Lighting Solutions</v>
          </cell>
        </row>
        <row r="11">
          <cell r="G11">
            <v>2017</v>
          </cell>
          <cell r="H11" t="str">
            <v>Commercial Real Estate</v>
          </cell>
        </row>
        <row r="12">
          <cell r="G12">
            <v>2018</v>
          </cell>
          <cell r="H12" t="str">
            <v>Commissioning Buildings</v>
          </cell>
        </row>
        <row r="13">
          <cell r="G13">
            <v>2019</v>
          </cell>
          <cell r="H13" t="str">
            <v>Desktop Power Supplies</v>
          </cell>
        </row>
        <row r="14">
          <cell r="G14">
            <v>2020</v>
          </cell>
          <cell r="H14" t="str">
            <v>Dishwashers</v>
          </cell>
        </row>
        <row r="15">
          <cell r="G15">
            <v>2021</v>
          </cell>
          <cell r="H15" t="str">
            <v>Distribution Efficiency</v>
          </cell>
        </row>
        <row r="16">
          <cell r="G16">
            <v>2022</v>
          </cell>
          <cell r="H16" t="str">
            <v>Drive Power</v>
          </cell>
        </row>
        <row r="17">
          <cell r="G17">
            <v>2023</v>
          </cell>
          <cell r="H17" t="str">
            <v>Ductless Heat Pumps</v>
          </cell>
        </row>
        <row r="18">
          <cell r="G18">
            <v>2024</v>
          </cell>
          <cell r="H18" t="str">
            <v>Efficient Homes</v>
          </cell>
        </row>
        <row r="19">
          <cell r="G19">
            <v>2025</v>
          </cell>
          <cell r="H19" t="str">
            <v>Existing Building Renewal</v>
          </cell>
        </row>
        <row r="20">
          <cell r="G20">
            <v>2026</v>
          </cell>
          <cell r="H20" t="str">
            <v>Food Processors</v>
          </cell>
        </row>
        <row r="21">
          <cell r="G21">
            <v>2027</v>
          </cell>
          <cell r="H21" t="str">
            <v>Grocery</v>
          </cell>
        </row>
        <row r="22">
          <cell r="G22">
            <v>2028</v>
          </cell>
          <cell r="H22" t="str">
            <v>Healthcare</v>
          </cell>
        </row>
        <row r="23">
          <cell r="G23">
            <v>2029</v>
          </cell>
          <cell r="H23" t="str">
            <v>Heat Pump Water Heaters</v>
          </cell>
        </row>
        <row r="24">
          <cell r="G24">
            <v>2030</v>
          </cell>
          <cell r="H24" t="str">
            <v>Irrigation</v>
          </cell>
        </row>
        <row r="25">
          <cell r="G25">
            <v>2031</v>
          </cell>
          <cell r="H25" t="str">
            <v>Lighting Fixtures</v>
          </cell>
        </row>
        <row r="26">
          <cell r="G26">
            <v>2032</v>
          </cell>
          <cell r="H26" t="str">
            <v>Luminaire Level Lighting Controls</v>
          </cell>
        </row>
        <row r="27">
          <cell r="G27">
            <v>2033</v>
          </cell>
          <cell r="H27" t="str">
            <v>MagnaDrive Innovative Industrial Speed Control</v>
          </cell>
        </row>
        <row r="28">
          <cell r="G28">
            <v>2034</v>
          </cell>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ersons/person.xml><?xml version="1.0" encoding="utf-8"?>
<personList xmlns="http://schemas.microsoft.com/office/spreadsheetml/2018/threadedcomments" xmlns:x="http://schemas.openxmlformats.org/spreadsheetml/2006/main">
  <person displayName="Greg Kaleka" id="{292B42C0-D4AE-4E70-B160-B34CC0283AEF}" userId="S::gkaleka@neea.org::47f8987e-1102-47c5-8cc9-a4f9cfb4ee3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420.713842708334" backgroundQuery="1" createdVersion="6" refreshedVersion="6" minRefreshableVersion="3" recordCount="1972" xr:uid="{F87281AA-FD38-4281-B404-D821CEE9367A}">
  <cacheSource type="external" connectionId="1"/>
  <cacheFields count="8">
    <cacheField name="NEEA Stakeholder" numFmtId="0">
      <sharedItems count="34">
        <s v="Avista Utilities"/>
        <s v="Bonneville Power Administration"/>
        <s v="Chelan County PUD"/>
        <s v="Clark Public Utilities"/>
        <s v="Energy Trust of Oregon"/>
        <s v="Eugene Water &amp; Electric Board"/>
        <s v="Idaho Power Company"/>
        <s v="NorthWestern Energy"/>
        <s v="Pacific Power"/>
        <s v="Cowlitz County PUD"/>
        <s v="Grant County PUD"/>
        <s v="Tacoma Power"/>
        <s v="Douglas County PUD"/>
        <s v="Rocky Mountain Power"/>
        <s v="Puget Sound Energy"/>
        <s v="Snohomish County PUD"/>
        <s v="Seattle City Light"/>
        <s v="Chelan County PUD - Washington" u="1"/>
        <s v="Tacoma Power - Washington" u="1"/>
        <s v="Avista Utilities - Idaho" u="1"/>
        <s v="Bonneville Power Administration - Idaho" u="1"/>
        <s v="Energy Trust of Oregon - Oregon" u="1"/>
        <s v="Pacific Power - Washington" u="1"/>
        <s v="Douglas County PUD - Washington" u="1"/>
        <s v="Puget Sound Energy - Washington" u="1"/>
        <s v="Snohomish County PUD - Washington" u="1"/>
        <s v="NorthWestern Energy - Montana" u="1"/>
        <s v="Cowlitz County PUD - Washington" u="1"/>
        <s v="Clark Public Utilities - Washington" u="1"/>
        <s v="Rocky Mountain Power - Idaho" u="1"/>
        <s v="Seattle City Light - Washington" u="1"/>
        <s v="Idaho Power Company - Idaho" u="1"/>
        <s v="Eugene Water &amp; Electric Board - Oregon" u="1"/>
        <s v="Grant County PUD - Washington" u="1"/>
      </sharedItems>
    </cacheField>
    <cacheField name="Funder Type" numFmtId="0">
      <sharedItems count="2">
        <s v="Direct"/>
        <s v="Non Funder"/>
      </sharedItems>
    </cacheField>
    <cacheField name="Share Type" numFmtId="0">
      <sharedItems count="2">
        <s v="Funder Share"/>
        <s v="Proxy Funder Share"/>
      </sharedItems>
    </cacheField>
    <cacheField name="Year" numFmtId="0">
      <sharedItems count="29">
        <s v="1997"/>
        <s v="1998"/>
        <s v="1999"/>
        <s v="2000"/>
        <s v="2001"/>
        <s v="2002"/>
        <s v="2003"/>
        <s v="2004"/>
        <s v="2005"/>
        <s v="2006"/>
        <s v="2007"/>
        <s v="2008"/>
        <s v="2009"/>
        <s v="2010"/>
        <s v="2011"/>
        <s v="2012"/>
        <s v="2013"/>
        <s v="2014"/>
        <s v="2015"/>
        <s v="2016"/>
        <s v="2017"/>
        <s v="2018"/>
        <s v="2019"/>
        <s v="2020"/>
        <s v="2021"/>
        <s v="2022"/>
        <s v="2023"/>
        <s v="2024"/>
        <s v="2025"/>
      </sharedItems>
    </cacheField>
    <cacheField name="Funder Share" numFmtId="0">
      <sharedItems containsSemiMixedTypes="0" containsString="0" containsNumber="1" minValue="0" maxValue="0.48699999999999999" count="78">
        <n v="3.95E-2"/>
        <n v="0.48699999999999999"/>
        <n v="0"/>
        <n v="1.2699999999999999E-2"/>
        <n v="0.16400000000000001"/>
        <n v="5.7999999999999996E-3"/>
        <n v="6.4199999999999993E-2"/>
        <n v="2.69E-2"/>
        <n v="2.5600000000000001E-2"/>
        <n v="2.5999999999999999E-3"/>
        <n v="8.8999999999999999E-3"/>
        <n v="8.6E-3"/>
        <n v="5.62E-2"/>
        <n v="0.3604"/>
        <n v="1.38E-2"/>
        <n v="0.2084"/>
        <n v="5.3E-3"/>
        <n v="8.7499999999999994E-2"/>
        <n v="3.8699999999999998E-2"/>
        <n v="3.04E-2"/>
        <n v="2.8999999999999998E-3"/>
        <n v="1.14E-2"/>
        <n v="5.5599999999999997E-2"/>
        <n v="0.35709999999999997"/>
        <n v="9.1999999999999998E-3"/>
        <n v="1.37E-2"/>
        <n v="0.20649999999999999"/>
        <n v="5.1999999999999998E-3"/>
        <n v="8.6699999999999999E-2"/>
        <n v="3.8399999999999997E-2"/>
        <n v="3.0099999999999998E-2"/>
        <n v="1.1299999999999999E-2"/>
        <n v="5.7500000000000002E-2"/>
        <n v="0.36070000000000002"/>
        <n v="9.7000000000000003E-3"/>
        <n v="1.3100000000000001E-2"/>
        <n v="0.1996"/>
        <n v="7.9799999999999996E-2"/>
        <n v="3.8600000000000002E-2"/>
        <n v="2.5399999999999999E-2"/>
        <n v="3.8E-3"/>
        <n v="1.6199999999999999E-2"/>
        <n v="1.0999999999999999E-2"/>
        <n v="5.7700000000000001E-2"/>
        <n v="0.36209999999999998"/>
        <n v="1.32E-2"/>
        <n v="0.20039999999999999"/>
        <n v="8.0100000000000005E-2"/>
        <n v="2.5499999999999998E-2"/>
        <n v="1.6299999999999999E-2"/>
        <n v="5.6498E-2"/>
        <n v="0.369556"/>
        <n v="9.9380000000000007E-3"/>
        <n v="1.2529999999999999E-2"/>
        <n v="0.20172799999999999"/>
        <n v="9.2317999999999997E-2"/>
        <n v="4.0902000000000001E-2"/>
        <n v="2.5529E-2"/>
        <n v="9.4629999999999992E-3"/>
        <n v="1.29E-2"/>
        <n v="0.1037"/>
        <n v="6.3E-3"/>
        <n v="8.0000000000000002E-3"/>
        <n v="7.9000000000000008E-3"/>
        <n v="6.4999999999999997E-3"/>
        <n v="6.6E-3"/>
        <n v="6.6360000000000004E-3"/>
        <n v="0.13930000000000001"/>
        <n v="0.13800000000000001"/>
        <n v="0.14149999999999999"/>
        <n v="0.14199999999999999"/>
        <n v="0.13985600000000001"/>
        <n v="3.1300000000000001E-2"/>
        <n v="3.78E-2"/>
        <n v="3.7400000000000003E-2"/>
        <n v="3.6600000000000001E-2"/>
        <n v="3.6700000000000003E-2"/>
        <n v="3.5046000000000001E-2"/>
      </sharedItems>
    </cacheField>
    <cacheField name="Allocation State" numFmtId="0">
      <sharedItems count="4">
        <s v="or_allocation"/>
        <s v="wa_allocation"/>
        <s v="id_allocation"/>
        <s v="mt_allocation"/>
      </sharedItems>
    </cacheField>
    <cacheField name="State Allocation" numFmtId="0">
      <sharedItems containsSemiMixedTypes="0" containsString="0" containsNumber="1" minValue="0" maxValue="1" count="8">
        <n v="0"/>
        <n v="0.7"/>
        <n v="0.3"/>
        <n v="0.34"/>
        <n v="0.45"/>
        <n v="0.1"/>
        <n v="0.11"/>
        <n v="1"/>
      </sharedItems>
    </cacheField>
    <cacheField name="State Funder Share" numFmtId="0">
      <sharedItems containsSemiMixedTypes="0" containsString="0" containsNumber="1" minValue="0" maxValue="0.219150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36921297" backgroundQuery="1" createdVersion="6" refreshedVersion="6" minRefreshableVersion="3" recordCount="0" supportSubquery="1" supportAdvancedDrill="1" xr:uid="{00000000-000A-0000-FFFF-FFFF00000000}">
  <cacheSource type="external" connectionId="7"/>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30">
        <s v="[Measure].[Initiative].&amp;[Building Operator Certification]" c="Building Operator Certification"/>
        <s v="[Measure].[Initiative].&amp;[Commissioning Buildings]" c="Commissioning Buildings"/>
        <s v="[Measure].[Initiative].&amp;[Other Codes (Commercial)]" c="Other Codes (Commercial)"/>
        <s v="[Measure].[Initiative].&amp;[Desktop Power Supplies]" c="Desktop Power Supplies"/>
        <s v="[Measure].[Initiative].&amp;[Building Operator Certification Expansion]" c="Building Operator Certification Expansion"/>
        <s v="[Measure].[Initiative].&amp;[Other Non-Residential Standards]" c="Other Non-Residential Standards"/>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Drive Power]" c="Drive Power"/>
        <s v="[Measure].[Initiative].&amp;[Certified Refrigeration Energy Specialist (CRES)]" c="Certified Refrigeration Energy Specialist (CRES)"/>
        <s v="[Measure].[Initiative].&amp;[Other ENERGY STAR Products]" c="Other ENERGY STAR Products"/>
        <s v="[Measure].[Initiative].&amp;[Clothes Washers]" c="Clothes Washers"/>
        <s v="[Measure].[Initiative].&amp;[Residential Lighting]" c="Residential Lighting"/>
        <s v="[Measure].[Initiative].&amp;[Windows]" c="Window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Televisions]" c="Televisions"/>
        <s v="[Measure].[Initiative].&amp;[Super-Efficient Dryers]" c="Super-Efficient Dryers"/>
        <s v="[Measure].[Initiative].&amp;[Heat Pump Water Heaters]" c="Heat Pump Water Heaters"/>
        <s v="[Measure].[Initiative].&amp;[Next Step Homes]" c="Next Step Homes"/>
        <s v="[Measure].[Initiative].&amp;[Other Residential Standards]" c="Other Residential Standards"/>
        <s v="[Measure].[Initiative].&amp;[Retail Product Portfolio]" c="Retail Product Portfolio"/>
        <s v="[Measure].[Initiative].&amp;[Manufactured Homes]" c="Manufactured Homes"/>
        <s v="[Measure].[Initiative].&amp;[Unknown]" c="Unknown"/>
        <s v="[Measure].[Initiative].&amp;[Extended Motor Products]" c="Extended Motor Products"/>
      </sharedItems>
    </cacheField>
    <cacheField name="[Measure].[Product].[Product]" caption="Product" numFmtId="0" hierarchy="47" level="1">
      <sharedItems count="118">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Commercial Desktops]" c="Commercial Desktops"/>
        <s v="[Measure].[Product].&amp;[BOC_Expansion]" c="BOC_Expansion"/>
        <s v="[Measure].[Product].&amp;[Nonresidential Fluorescent Lamp Ballasts]" c="Nonresidential Fluorescent Lamp Ballasts"/>
        <s v="[Measure].[Product].&amp;[Beverage Vending Machines]" c="Beverage Vending Machines"/>
        <s v="[Measure].[Product].&amp;[Small Electric Motors]" c="Small Electric Motors"/>
        <s v="[Measure].[Product].&amp;[Commercial Refrigeration Equipment]" c="Commercial Refrigeration Equipment"/>
        <s v="[Measure].[Product].&amp;[Walk-In Coolers and Freezers]" c="Walk-In Coolers and Freezers"/>
        <s v="[Measure].[Product].&amp;[Rooftop Units]" c="Rooftop Units"/>
        <s v="[Measure].[Product].&amp;[Electric Motors]" c="Electric Motors"/>
        <s v="[Measure].[Product].&amp;[Luminaire Level Lighting Controls]" c="Luminaire Level 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NEMA Premium Motors (Non-Standard)]" c="NEMA Premium Motors (Non-Standard)"/>
        <s v="[Measure].[Product].&amp;[Efficient Motor Rewinds]" c="Efficient Motor Rewinds"/>
        <s v="[Measure].[Product].&amp;[Motors Federal Standard]" c="Motors Federal Standard"/>
        <s v="[Measure].[Product].&amp;[CRES Certified Operator]" c="CRES Certified Operator"/>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Dishwashers]" c="Dishwashers"/>
        <s v="[Measure].[Product].&amp;[Refrigerators]" c="Refrigerators"/>
        <s v="[Measure].[Product].&amp;[WA Homes (ENERGY STAR Northwest Homes)]" c="WA Homes (ENERGY STAR Northwest Homes)"/>
        <s v="[Measure].[Product].&amp;[Northwest]" c="Northwest"/>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Televisions]" c="Televisions"/>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ID Multifamily Homes]" c="ID Multifamily Homes"/>
        <s v="[Measure].[Product].&amp;[WA Multifamily Homes]" c="WA Multifamily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Residential Fluorescent Lamp Ballasts]" c="Residential Fluorescent Lamp Ballast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Clothes Dryers (Standard)]" c="Clothes Dryers (Standard)"/>
        <s v="[Measure].[Product].&amp;[Air Cleaner]" c="Air Cleaner"/>
        <s v="[Measure].[Product].&amp;[Room AC]" c="Room AC"/>
        <s v="[Measure].[Product].&amp;[Soundbars]" c="Soundbars"/>
        <s v="[Measure].[Product].&amp;[Freezers- Upright]" c="Freezers- Upright"/>
        <s v="[Measure].[Product].&amp;[Refrigerators- Other]" c="Refrigerators- Other"/>
        <s v="[Measure].[Product].&amp;[Clothes Washers Front Loading]" c="Clothes Washers Front Loading"/>
        <s v="[Measure].[Product].&amp;[Freezers- Chest]" c="Freezers- Chest"/>
        <s v="[Measure].[Product].&amp;[Manufactured Home]" c="Manufactured Home"/>
        <s v="[Measure].[Product].&amp;[Unknown]" c="Unknown"/>
        <s v="[Measure].[Product].&amp;[Residential HH Circulator]" c="Residential HH Circulator"/>
        <s v="[Measure].[Product].&amp;[Commercial HH Circulator]" c="Commercial HH Circulator"/>
        <s v="[Measure].[Product].&amp;[Residential DHW Circulator]" c="Residential DHW Circulator"/>
        <s v="[Measure].[Product].&amp;[Commercial DHW Circulator]" c="Commercial DHW Circulator"/>
        <s v="[Measure].[Product].&amp;[Commercial CS Pump]" c="Commercial CS Pump"/>
        <s v="[Measure].[Product].&amp;[Commercial VS Pump]" c="Commercial VS Pump"/>
        <s v="[Measure].[Product].&amp;[Pre-rinse Spray Valves]" c="Pre-rinse Spray Valves"/>
        <s v="[Measure].[Product].&amp;[ID HERS and National ENERGY STAR Homes - MF]" c="ID HERS and National ENERGY STAR Homes - MF"/>
        <s v="[Measure].[Product].&amp;[MT HERS and National ENERGY STAR Homes - MF]" c="MT HERS and National ENERGY STAR Homes - MF"/>
        <s v="[Measure].[Product].&amp;[OR HERS and National ENERGY STAR Homes - MF]" c="OR HERS and National ENERGY STAR Homes - MF"/>
        <s v="[Measure].[Product].&amp;[WA HERS and National ENERGY STAR Homes - MF]" c="WA HERS and National ENERGY STAR Homes - MF"/>
        <s v="[Measure].[Product].&amp;[Furnace Fans]" c="Furnace Fans"/>
      </sharedItems>
    </cacheField>
    <cacheField name="[Measure].[Tier].[Tier]" caption="Tier" numFmtId="0" hierarchy="50" level="1">
      <sharedItems count="133">
        <s v="[Measure].[Tier].&amp;[Single Tier]" c="Single Tier"/>
        <s v="[Measure].[Tier].&amp;[ID 2000 &amp; 2003 IECC]" c="ID 2000 &amp; 2003 IECC"/>
        <s v="[Measure].[Tier].&amp;[ID 2030 IECC]" c="ID 2030 IECC"/>
        <s v="[Measure].[Tier].&amp;[ID 2006 IECC]" c="ID 2006 IECC"/>
        <s v="[Measure].[Tier].&amp;[ID 2009 IECC]" c="ID 2009 IECC"/>
        <s v="[Measure].[Tier].&amp;[ID 2012 IECC]" c="ID 2012 IECC"/>
        <s v="[Measure].[Tier].&amp;[ID 2015 IECC]" c="ID 2015 IECC"/>
        <s v="[Measure].[Tier].&amp;[ID 2018 IECC]" c="ID 2018 IECC"/>
        <s v="[Measure].[Tier].&amp;[ID 2021 IECC]" c="ID 2021 IECC"/>
        <s v="[Measure].[Tier].&amp;[ID 2024 IECC]" c="ID 2024 IECC"/>
        <s v="[Measure].[Tier].&amp;[ID 2027 IECC]" c="ID 2027 IECC"/>
        <s v="[Measure].[Tier].&amp;[MT 2003 IECC w/ Amend]" c="MT 2003 IECC w/ Amend"/>
        <s v="[Measure].[Tier].&amp;[MT 2009 IECC w/ Amend]" c="MT 2009 IECC w/ Amend"/>
        <s v="[Measure].[Tier].&amp;[MT 2012 IECC]" c="MT 2012 IECC"/>
        <s v="[Measure].[Tier].&amp;[MT 2018 IECC]" c="MT 2018 IECC"/>
        <s v="[Measure].[Tier].&amp;[MT 2021 IECC]" c="MT 2021 IECC"/>
        <s v="[Measure].[Tier].&amp;[MT 2024 IECC]" c="MT 2024 IECC"/>
        <s v="[Measure].[Tier].&amp;[MT 2027 IECC]" c="MT 2027 IECC"/>
        <s v="[Measure].[Tier].&amp;[MT 2030 IECC]" c="MT 2030 IECC"/>
        <s v="[Measure].[Tier].&amp;[OR 2004 OSSC]" c="OR 2004 OSSC"/>
        <s v="[Measure].[Tier].&amp;[OR 2007 OSSC]" c="OR 2007 OSSC"/>
        <s v="[Measure].[Tier].&amp;[OR 2010 OEESC]" c="OR 2010 OEESC"/>
        <s v="[Measure].[Tier].&amp;[OR 2014 OEESC]" c="OR 2014 OEESC"/>
        <s v="[Measure].[Tier].&amp;[OR 2019 OZERCC]" c="OR 2019 OZERCC"/>
        <s v="[Measure].[Tier].&amp;[OR 2021 OZERCC]" c="OR 2021 OZERCC"/>
        <s v="[Measure].[Tier].&amp;[OR 2023 OZERCC]" c="OR 2023 OZERCC"/>
        <s v="[Measure].[Tier].&amp;[OR 2026 OZERCC]" c="OR 2026 OZERCC"/>
        <s v="[Measure].[Tier].&amp;[OR 2029 OZERCC]" c="OR 2029 OZERCC"/>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A 2018 WSEC]" c="WA 2018 WSEC"/>
        <s v="[Measure].[Tier].&amp;[WA 2021 WSEC]" c="WA 2021 WSEC"/>
        <s v="[Measure].[Tier].&amp;[WA 2024 WSEC]" c="WA 2024 WSEC"/>
        <s v="[Measure].[Tier].&amp;[Non-Qualifying]" c="Non-Qualifying"/>
        <s v="[Measure].[Tier].&amp;[80 PLUS]" c="80 PLUS"/>
        <s v="[Measure].[Tier].&amp;[ENERGY STAR 5.0]" c="ENERGY STAR 5.0"/>
        <s v="[Measure].[Tier].&amp;[ENERGY STAR 6.0]" c="ENERGY STAR 6.0"/>
        <s v="[Measure].[Tier].&amp;[ENERGY STAR 7.0]" c="ENERGY STAR 7.0"/>
        <s v="[Measure].[Tier].&amp;[ENERGY STAR 8.0]" c="ENERGY STAR 8.0"/>
        <s v="[Measure].[Tier].&amp;[All Product Classes]" c="All Product Classes"/>
        <s v="[Measure].[Tier].&amp;[2014 Standard]" c="2014 Standard"/>
        <s v="[Measure].[Tier].&amp;[2017 Standard]" c="2017 Standard"/>
        <s v="[Measure].[Tier].&amp;[LLLC]" c="LLLC"/>
        <s v="[Measure].[Tier].&amp;[Tier 1]" c="Tier 1"/>
        <s v="[Measure].[Tier].&amp;[IECC 2021]" c="IECC 2021"/>
        <s v="[Measure].[Tier].&amp;[IECC 2024]" c="IECC 2024"/>
        <s v="[Measure].[Tier].&amp;[IECC 2027]" c="IECC 2027"/>
        <s v="[Measure].[Tier].&amp;[IECC 2030]" c="IECC 2030"/>
        <s v="[Measure].[Tier].&amp;[IECC 2018]" c="IECC 2018"/>
        <s v="[Measure].[Tier].&amp;[OEESC 2023]" c="OEESC 2023"/>
        <s v="[Measure].[Tier].&amp;[OEESC 2029]" c="OEESC 2029"/>
        <s v="[Measure].[Tier].&amp;[WSEC 2018]" c="WSEC 2018"/>
        <s v="[Measure].[Tier].&amp;[WA 2027 WSEC]" c="WA 2027 WSEC"/>
        <s v="[Measure].[Tier].&amp;[WA 2030 WSEC]" c="WA 2030 WSEC"/>
        <s v="[Measure].[Tier].&amp;[WSEC 2021]" c="WSEC 2021"/>
        <s v="[Measure].[Tier].&amp;[WSEC 2024]" c="WSEC 2024"/>
        <s v="[Measure].[Tier].&amp;[WSEC 2027]" c="WSEC 2027"/>
        <s v="[Measure].[Tier].&amp;[WSEC 2030]" c="WSEC 2030"/>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1]" c="Or. Res Specialty 2011"/>
        <s v="[Measure].[Tier].&amp;[WSEC 2006]" c="WSEC 2006"/>
        <s v="[Measure].[Tier].&amp;[WSEC 2009]" c="WSEC 2009"/>
        <s v="[Measure].[Tier].&amp;[WSEC 2012]" c="WSEC 2012"/>
        <s v="[Measure].[Tier].&amp;[IECC 2015]" c="IECC 2015"/>
        <s v="[Measure].[Tier].&amp;[Or. Specialty Code 2014]" c="Or. Specialty Code 2014"/>
        <s v="[Measure].[Tier].&amp;[Or. Specialty Code 2017]" c="Or. Specialty Code 2017"/>
        <s v="[Measure].[Tier].&amp;[Or. Specialty Code 2021]" c="Or. Specialty Code 2021"/>
        <s v="[Measure].[Tier].&amp;[Or. Specialty Code 2023]" c="Or. Specialty Code 2023"/>
        <s v="[Measure].[Tier].&amp;[WSEC 2015]" c="WSEC 2015"/>
        <s v="[Measure].[Tier].&amp;[WSEC 2021+]" c="WSEC 2021+"/>
        <s v="[Measure].[Tier].&amp;[Above 2009 Baseline]" c="Above 2009 Baseline"/>
        <s v="[Measure].[Tier].&amp;[Energy Star v1.1]" c="Energy Star v1.1"/>
        <s v="[Measure].[Tier].&amp;[UCEF 3.00 to 4.19]" c="UCEF 3.00 to 4.19"/>
        <s v="[Measure].[Tier].&amp;[UCEF 4.20 to 5.29]" c="UCEF 4.20 to 5.29"/>
        <s v="[Measure].[Tier].&amp;[UCEF 5.30 to 6.09]" c="UCEF 5.30 to 6.09"/>
        <s v="[Measure].[Tier].&amp;[UCEF 6.10 to 7.19]" c="UCEF 6.10 to 7.19"/>
        <s v="[Measure].[Tier].&amp;[UCEF 7.20 to 8.00]" c="UCEF 7.20 to 8.00"/>
        <s v="[Measure].[Tier].&amp;[Tier 2]" c="Tier 2"/>
        <s v="[Measure].[Tier].&amp;[Tier 3]" c="Tier 3"/>
        <s v="[Measure].[Tier].&amp;[Tier 4]" c="Tier 4"/>
        <s v="[Measure].[Tier].&amp;[Tier 5]" c="Tier 5"/>
        <s v="[Measure].[Tier].&amp;[Next Step Home]" c="Next Step Home"/>
        <s v="[Measure].[Tier].&amp;[Above Code Building]" c="Above Code Building"/>
        <s v="[Measure].[Tier].&amp;[ENERGY STAR v5]" c="ENERGY STAR v5"/>
        <s v="[Measure].[Tier].&amp;[ENERGY STAR v5 +5%]" c="ENERGY STAR v5 +5%"/>
        <s v="[Measure].[Tier].&amp;[ENERGY STAR v7/8]" c="ENERGY STAR v7/8"/>
        <s v="[Measure].[Tier].&amp;[ENERGY STAR v8 Most Efficient]" c="ENERGY STAR v8 Most Efficient"/>
        <s v="[Measure].[Tier].&amp;[ENERGY STAR Most Efficient 2017+]" c="ENERGY STAR Most Efficient 2017+"/>
        <s v="[Measure].[Tier].&amp;[ENERGY STAR v5 Most Efficient]" c="ENERGY STAR v5 Most Efficient"/>
        <s v="[Measure].[Tier].&amp;[ENERGY STAR v1]" c="ENERGY STAR v1"/>
        <s v="[Measure].[Tier].&amp;[ENERGY STAR V4]" c="ENERGY STAR V4"/>
        <s v="[Measure].[Tier].&amp;[ENERGY STAR Most Efficient]" c="ENERGY STAR Most Efficient"/>
        <s v="[Measure].[Tier].&amp;[ENERGY STAR V3]" c="ENERGY STAR V3"/>
        <s v="[Measure].[Tier].&amp;[ENERGY STAR V3 +15%]" c="ENERGY STAR V3 +15%"/>
        <s v="[Measure].[Tier].&amp;[ENERGY STAR V3 +50%]" c="ENERGY STAR V3 +50%"/>
        <s v="[Measure].[Tier].&amp;[TBD]" c="TBD"/>
        <s v="[Measure].[Tier].&amp;[ENERGY STAR Most Efficient 2017]" c="ENERGY STAR Most Efficient 2017"/>
        <s v="[Measure].[Tier].&amp;[ENERGY STAR Most Efficient 2018 through 2020]" c="ENERGY STAR Most Efficient 2018 through 2020"/>
        <s v="[Measure].[Tier].&amp;[ENERGY STAR Most Efficient TBD]" c="ENERGY STAR Most Efficient TBD"/>
        <s v="[Measure].[Tier].&amp;[HUD Code]" c="HUD Code"/>
        <s v="[Measure].[Tier].&amp;[NEEM 1.1]" c="NEEM 1.1"/>
        <s v="[Measure].[Tier].&amp;[NEEM Plus]" c="NEEM Plus"/>
        <s v="[Measure].[Tier].&amp;[Unknown]" c="Unknown"/>
        <s v="[Measure].[Tier].&amp;[ENERGY STAR v2]" c="ENERGY STAR v2"/>
      </sharedItems>
    </cacheField>
    <cacheField name="[Measure].[Measure Index].[Measure Index]" caption="Measure Index" numFmtId="0" hierarchy="45" level="1">
      <sharedItems count="283">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6]" c="COM_200202_P1T6"/>
        <s v="[Measure].[Measure Index].&amp;[COM_200202_P1T7]" c="COM_200202_P1T7"/>
        <s v="[Measure].[Measure Index].&amp;[COM_200202_P1T8]" c="COM_200202_P1T8"/>
        <s v="[Measure].[Measure Index].&amp;[COM_200202_P1T9]" c="COM_200202_P1T9"/>
        <s v="[Measure].[Measure Index].&amp;[COM_200202_P2T1]" c="COM_200202_P2T1"/>
        <s v="[Measure].[Measure Index].&amp;[COM_200202_P2T2]" c="COM_200202_P2T2"/>
        <s v="[Measure].[Measure Index].&amp;[COM_200202_P2T3]" c="COM_200202_P2T3"/>
        <s v="[Measure].[Measure Index].&amp;[COM_200202_P2T4]" c="COM_200202_P2T4"/>
        <s v="[Measure].[Measure Index].&amp;[COM_200202_P2T5]" c="COM_200202_P2T5"/>
        <s v="[Measure].[Measure Index].&amp;[COM_200202_P2T6]" c="COM_200202_P2T6"/>
        <s v="[Measure].[Measure Index].&amp;[COM_200202_P2T7]" c="COM_200202_P2T7"/>
        <s v="[Measure].[Measure Index].&amp;[COM_200202_P2T8]" c="COM_200202_P2T8"/>
        <s v="[Measure].[Measure Index].&amp;[COM_200202_P3T1]" c="COM_200202_P3T1"/>
        <s v="[Measure].[Measure Index].&amp;[COM_200202_P3T2]" c="COM_200202_P3T2"/>
        <s v="[Measure].[Measure Index].&amp;[COM_200202_P3T3]" c="COM_200202_P3T3"/>
        <s v="[Measure].[Measure Index].&amp;[COM_200202_P3T4]" c="COM_200202_P3T4"/>
        <s v="[Measure].[Measure Index].&amp;[COM_200202_P3T5]" c="COM_200202_P3T5"/>
        <s v="[Measure].[Measure Index].&amp;[COM_200202_P3T6]" c="COM_200202_P3T6"/>
        <s v="[Measure].[Measure Index].&amp;[COM_200202_P3T7]" c="COM_200202_P3T7"/>
        <s v="[Measure].[Measure Index].&amp;[COM_200202_P3T8]" c="COM_200202_P3T8"/>
        <s v="[Measure].[Measure Index].&amp;[COM_200202_P3T9]" c="COM_200202_P3T9"/>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7]" c="COM_200202_P4T7"/>
        <s v="[Measure].[Measure Index].&amp;[COM_200202_P4T8]" c="COM_200202_P4T8"/>
        <s v="[Measure].[Measure Index].&amp;[COM_200202_P4T9]" c="COM_200202_P4T9"/>
        <s v="[Measure].[Measure Index].&amp;[COM_200701_P1T0]" c="COM_200701_P1T0"/>
        <s v="[Measure].[Measure Index].&amp;[COM_200701_P1T1]" c="COM_200701_P1T1"/>
        <s v="[Measure].[Measure Index].&amp;[COM_200701_P1T2]" c="COM_200701_P1T2"/>
        <s v="[Measure].[Measure Index].&amp;[COM_200701_P1T3]" c="COM_200701_P1T3"/>
        <s v="[Measure].[Measure Index].&amp;[COM_200701_P1T4]" c="COM_200701_P1T4"/>
        <s v="[Measure].[Measure Index].&amp;[COM_200701_P1T5]" c="COM_200701_P1T5"/>
        <s v="[Measure].[Measure Index].&amp;[COM_201201_P1T1]" c="COM_201201_P1T1"/>
        <s v="[Measure].[Measure Index].&amp;[COM_201304_P2T1]" c="COM_201304_P2T1"/>
        <s v="[Measure].[Measure Index].&amp;[COM_201304_P3T1]" c="COM_201304_P3T1"/>
        <s v="[Measure].[Measure Index].&amp;[COM_201304_P4T1]" c="COM_201304_P4T1"/>
        <s v="[Measure].[Measure Index].&amp;[COM_201304_P5T1]" c="COM_201304_P5T1"/>
        <s v="[Measure].[Measure Index].&amp;[COM_201304_P6T1]" c="COM_201304_P6T1"/>
        <s v="[Measure].[Measure Index].&amp;[COM_201304_P6T2]" c="COM_201304_P6T2"/>
        <s v="[Measure].[Measure Index].&amp;[COM_201304_P7T1]" c="COM_201304_P7T1"/>
        <s v="[Measure].[Measure Index].&amp;[COM_201304_P8T1]" c="COM_201304_P8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2]" c="COM_201602_P4T2"/>
        <s v="[Measure].[Measure Index].&amp;[COM_201602_P4T3]" c="COM_201602_P4T3"/>
        <s v="[Measure].[Measure Index].&amp;[COM_201602_P4T4]" c="COM_201602_P4T4"/>
        <s v="[Measure].[Measure Index].&amp;[COM_201602_P4T5]" c="COM_201602_P4T5"/>
        <s v="[Measure].[Measure Index].&amp;[IND_200402_P1T1]" c="IND_200402_P1T1"/>
        <s v="[Measure].[Measure Index].&amp;[IND_200402_P2T1]" c="IND_200402_P2T1"/>
        <s v="[Measure].[Measure Index].&amp;[IND_200402_P3T1]" c="IND_200402_P3T1"/>
        <s v="[Measure].[Measure Index].&amp;[IND_201301_P1T1]" c="IND_201301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3T1]" c="RES_200401_P13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1T4]" c="RES_200601_P1T4"/>
        <s v="[Measure].[Measure Index].&amp;[RES_200601_P1T5]" c="RES_200601_P1T5"/>
        <s v="[Measure].[Measure Index].&amp;[RES_200601_P1T6]" c="RES_200601_P1T6"/>
        <s v="[Measure].[Measure Index].&amp;[RES_200601_P2T1]" c="RES_200601_P2T1"/>
        <s v="[Measure].[Measure Index].&amp;[RES_200601_P2T2]" c="RES_200601_P2T2"/>
        <s v="[Measure].[Measure Index].&amp;[RES_200601_P2T3]" c="RES_200601_P2T3"/>
        <s v="[Measure].[Measure Index].&amp;[RES_200601_P2T4]" c="RES_200601_P2T4"/>
        <s v="[Measure].[Measure Index].&amp;[RES_200601_P2T5]" c="RES_200601_P2T5"/>
        <s v="[Measure].[Measure Index].&amp;[RES_200601_P2T6]" c="RES_200601_P2T6"/>
        <s v="[Measure].[Measure Index].&amp;[RES_200601_P3T1]" c="RES_200601_P3T1"/>
        <s v="[Measure].[Measure Index].&amp;[RES_200601_P3T2]" c="RES_200601_P3T2"/>
        <s v="[Measure].[Measure Index].&amp;[RES_200601_P3T3]" c="RES_200601_P3T3"/>
        <s v="[Measure].[Measure Index].&amp;[RES_200601_P3T4]" c="RES_200601_P3T4"/>
        <s v="[Measure].[Measure Index].&amp;[RES_200601_P3T5]" c="RES_200601_P3T5"/>
        <s v="[Measure].[Measure Index].&amp;[RES_200601_P3T6]" c="RES_200601_P3T6"/>
        <s v="[Measure].[Measure Index].&amp;[RES_200601_P4T1]" c="RES_200601_P4T1"/>
        <s v="[Measure].[Measure Index].&amp;[RES_200601_P4T2]" c="RES_200601_P4T2"/>
        <s v="[Measure].[Measure Index].&amp;[RES_200601_P4T3]" c="RES_200601_P4T3"/>
        <s v="[Measure].[Measure Index].&amp;[RES_200601_P4T4]" c="RES_200601_P4T4"/>
        <s v="[Measure].[Measure Index].&amp;[RES_200601_P4T5]" c="RES_200601_P4T5"/>
        <s v="[Measure].[Measure Index].&amp;[RES_200601_P4T6]" c="RES_200601_P4T6"/>
        <s v="[Measure].[Measure Index].&amp;[RES_200804_P1T1]" c="RES_200804_P1T1"/>
        <s v="[Measure].[Measure Index].&amp;[RES_200804_P2T1]" c="RES_200804_P2T1"/>
        <s v="[Measure].[Measure Index].&amp;[RES_200804_P3T1]" c="RES_200804_P3T1"/>
        <s v="[Measure].[Measure Index].&amp;[RES_200902_P1T0]" c="RES_200902_P1T0"/>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4T1]" c="RES_201403_P14T1"/>
        <s v="[Measure].[Measure Index].&amp;[RES_201403_P14T2]" c="RES_201403_P14T2"/>
        <s v="[Measure].[Measure Index].&amp;[RES_201403_P14T3]" c="RES_201403_P14T3"/>
        <s v="[Measure].[Measure Index].&amp;[RES_201403_P14T4]" c="RES_201403_P14T4"/>
        <s v="[Measure].[Measure Index].&amp;[RES_201403_P14T5]" c="RES_201403_P14T5"/>
        <s v="[Measure].[Measure Index].&amp;[RES_201403_P14T6]" c="RES_201403_P14T6"/>
        <s v="[Measure].[Measure Index].&amp;[RES_201403_P2T1]" c="RES_201403_P2T1"/>
        <s v="[Measure].[Measure Index].&amp;[RES_201403_P3T1]" c="RES_201403_P3T1"/>
        <s v="[Measure].[Measure Index].&amp;[RES_201403_P3T2]" c="RES_201403_P3T2"/>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2]" c="RES_201601_P1T2"/>
        <s v="[Measure].[Measure Index].&amp;[RES_201601_P1T3]" c="RES_201601_P1T3"/>
        <s v="[Measure].[Measure Index].&amp;[Unknown]" c="Unknown"/>
        <s v="[Measure].[Measure Index].&amp;[XMP_202001_P1T1]" c="XMP_202001_P1T1"/>
        <s v="[Measure].[Measure Index].&amp;[XMP_202001_P1T2]" c="XMP_202001_P1T2"/>
        <s v="[Measure].[Measure Index].&amp;[XMP_202001_P2T1]" c="XMP_202001_P2T1"/>
        <s v="[Measure].[Measure Index].&amp;[XMP_202001_P2T2]" c="XMP_202001_P2T2"/>
        <s v="[Measure].[Measure Index].&amp;[XMP_202001_P3T1]" c="XMP_202001_P3T1"/>
        <s v="[Measure].[Measure Index].&amp;[XMP_202001_P3T2]" c="XMP_202001_P3T2"/>
        <s v="[Measure].[Measure Index].&amp;[XMP_202001_P3T3]" c="XMP_202001_P3T3"/>
        <s v="[Measure].[Measure Index].&amp;[XMP_202001_P4T1]" c="XMP_202001_P4T1"/>
        <s v="[Measure].[Measure Index].&amp;[XMP_202001_P4T2]" c="XMP_202001_P4T2"/>
        <s v="[Measure].[Measure Index].&amp;[XMP_202001_P4T3]" c="XMP_202001_P4T3"/>
        <s v="[Measure].[Measure Index].&amp;[XMP_202001_P5T1]" c="XMP_202001_P5T1"/>
        <s v="[Measure].[Measure Index].&amp;[XMP_202001_P6T1]" c="XMP_202001_P6T1"/>
        <s v="[Measure].[Measure Index].&amp;[XMP_202001_P6T2]" c="XMP_202001_P6T2"/>
        <s v="[Measure].[Measure Index].&amp;[COM_201304_P12T1]" c="COM_201304_P12T1"/>
        <s v="[Measure].[Measure Index].&amp;[RES_201301_P16T1]" c="RES_201301_P16T1"/>
        <s v="[Measure].[Measure Index].&amp;[RES_201301_P16T2]" c="RES_201301_P16T2"/>
        <s v="[Measure].[Measure Index].&amp;[RES_201301_P16T3]" c="RES_201301_P16T3"/>
        <s v="[Measure].[Measure Index].&amp;[RES_201301_P16T4]" c="RES_201301_P16T4"/>
        <s v="[Measure].[Measure Index].&amp;[RES_201402_P5T1]" c="RES_201402_P5T1"/>
        <s v="[Measure].[Measure Index].&amp;[RES_201403_P13T2]" c="RES_201403_P13T2"/>
        <s v="[Measure].[Measure Index].&amp;[RES_201403_P2T2]" c="RES_201403_P2T2"/>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48726851" backgroundQuery="1" createdVersion="6" refreshedVersion="6" minRefreshableVersion="3" recordCount="0" supportSubquery="1" supportAdvancedDrill="1" xr:uid="{00000000-000A-0000-FFFF-FFFF01000000}">
  <cacheSource type="external" connectionId="7"/>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5">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Extended Motor Products]" c="Extended Motor Products"/>
        <s v="[Measure].[Initiative].&amp;[Heat Pump Water Heaters]" c="Heat Pump Water Heaters"/>
        <s v="[Measure].[Initiative].&amp;[Luminaire Level Lighting Controls]" c="Luminaire Level Lighting Controls"/>
        <s v="[Measure].[Initiative].&amp;[Manufactured Homes]" c="Manufactured Homes"/>
        <s v="[Measure].[Initiative].&amp;[Next Step Homes]" c="Next Step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Residential Standards]" c="Other 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3"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Products that encompass fans, circulators, pumps, etc in both residential and commercial sectors]" c="Products that encompass fans, circulators, pumps, etc in both residential and commercial sectors"/>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region is working together to demonstrate success for a new voluntary above code specification (NEEM 2.0) in the market prior to a HUD code change, providing manufacturers/retailers with the tools and resources they need to drive consumer demand.]" c="The region is working together to demonstrate success for a new voluntary above code specification (NEEM 2.0) in the market prior to a HUD code change, providing manufacturers/retailers with the tools and resources they need to drive consumer demand."/>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c="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4">
        <s v="[Initiative].[Phase].&amp;[Phase 6]" c="Phase 6"/>
        <s v="[Initiative].[Phase].&amp;[Phase 0]" c="Phase 0"/>
        <s v="[Initiative].[Phase].&amp;[Phase 5]" c="Phase 5"/>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5">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XMP_202001]" c="XMP_202001"/>
        <s v="[Initiative].[Initiative Index].&amp;[RES_201202]" c="RES_201202"/>
        <s v="[Initiative].[Initiative Index].&amp;[COM_201401]" c="COM_201401"/>
        <s v="[Initiative].[Initiative Index].&amp;[RES_201601]" c="RES_201601"/>
        <s v="[Initiative].[Initiative Index].&amp;[RES_201301]" c="RES_201301"/>
        <s v="[Initiative].[Initiative Index].&amp;[COM_200202]" c="COM_200202"/>
        <s v="[Initiative].[Initiative Index].&amp;[RES_200601]" c="RES_200601"/>
        <s v="[Initiative].[Initiative Index].&amp;[OTH_201601]" c="OTH_201601"/>
        <s v="[Initiative].[Initiative Index].&amp;[COM_201304]" c="COM_201304"/>
        <s v="[Initiative].[Initiative Index].&amp;[RES_201402]" c="RES_201402"/>
        <s v="[Initiative].[Initiative Index].&amp;[COM_201405]" c="COM_201405"/>
        <s v="[Initiative].[Initiative Index].&amp;[COM_201403]" c="COM_201403"/>
        <s v="[Initiative].[Initiative Index].&amp;[RES_200006]" c="RES_200006"/>
        <s v="[Initiative].[Initiative Index].&amp;[RES_199703]" c="RES_199703"/>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296296295" backgroundQuery="1" createdVersion="6" refreshedVersion="6" minRefreshableVersion="3" recordCount="1177" xr:uid="{6F7C64D4-D662-4F61-8815-7624E8D76DB2}">
  <cacheSource type="external" connectionId="5"/>
  <cacheFields count="12">
    <cacheField name="Snapshot" numFmtId="0">
      <sharedItems count="1">
        <s v="Current Data"/>
      </sharedItems>
    </cacheField>
    <cacheField name="Year" numFmtId="0">
      <sharedItems containsSemiMixedTypes="0" containsString="0" containsNumber="1" containsInteger="1" minValue="2022" maxValue="2025" count="4">
        <n v="2025"/>
        <n v="2024"/>
        <n v="2022"/>
        <n v="2023"/>
      </sharedItems>
    </cacheField>
    <cacheField name="Initiative" numFmtId="0">
      <sharedItems count="14">
        <s v="Retail Product Portfolio"/>
        <s v="Other Non-Residential Standards"/>
        <s v="Desktop Power Supplies"/>
        <s v="Ductless Heat Pumps"/>
        <s v="Heat Pump Water Heaters"/>
        <s v="Next Step Homes"/>
        <s v="Other Codes (Commercial)"/>
        <s v="Other Codes (Multifamily)"/>
        <s v="Manufactured Homes"/>
        <s v="Other Strategic Energy Management"/>
        <s v="Certified Refrigeration Energy Specialist (CRES)"/>
        <s v="Reduced Wattage Lamp Replacement"/>
        <s v="Other Residential Standards"/>
        <s v="XMP Pumps"/>
      </sharedItems>
    </cacheField>
    <cacheField name="Measure" numFmtId="0">
      <sharedItems/>
    </cacheField>
    <cacheField name="Measure Index" numFmtId="0">
      <sharedItems count="136">
        <s v="RES_201403_P8T1"/>
        <s v="RES_201403_P8T2"/>
        <s v="RES_201403_P8T3"/>
        <s v="RES_201403_P11T1"/>
        <s v="RES_201403_P11T3"/>
        <s v="RES_201403_P11T2"/>
        <s v="COM_201304_P15T1"/>
        <s v="COM_200701_P1T5"/>
        <s v="RES_200804_P3T1"/>
        <s v="RES_200804_P2T1"/>
        <s v="RES_200804_P1T1"/>
        <s v="RES_201202_P2T1"/>
        <s v="RES_201202_P2T2"/>
        <s v="RES_201202_P2T3"/>
        <s v="RES_201202_P2T4"/>
        <s v="RES_201202_P1T1"/>
        <s v="RES_201202_P1T2"/>
        <s v="RES_201202_P1T3"/>
        <s v="RES_201202_P1T4"/>
        <s v="RES_201202_P4T1"/>
        <s v="RES_201202_P4T2"/>
        <s v="RES_201202_P4T3"/>
        <s v="RES_201202_P4T4"/>
        <s v="RES_201202_P3T1"/>
        <s v="RES_201202_P3T2"/>
        <s v="RES_201202_P3T3"/>
        <s v="RES_201202_P3T4"/>
        <s v="RES_201301_P1T5"/>
        <s v="RES_201301_P1T6"/>
        <s v="COM_200202_P1T5"/>
        <s v="COM_200202_P1T6"/>
        <s v="RES_200601_P1T5"/>
        <s v="COM_200202_P1T7"/>
        <s v="RES_200601_P1T6"/>
        <s v="RES_201301_P16T1"/>
        <s v="RES_201301_P15T1"/>
        <s v="RES_201301_P21T1"/>
        <s v="COM_201304_P15T2"/>
        <s v="RES_201601_P1T1"/>
        <s v="RES_201601_P1T0"/>
        <s v="RES_201601_P1T2"/>
        <s v="RES_201601_P1T3"/>
        <s v="COM_200202_P2T4"/>
        <s v="RES_200601_P2T5"/>
        <s v="COM_200202_P2T5"/>
        <s v="RES_200601_P2T6"/>
        <s v="RES_201301_P15T2"/>
        <s v="RES_201301_P22T1"/>
        <s v="RES_201301_P2T4"/>
        <s v="RES_201301_P2T5"/>
        <s v="COM_200701_P1T0"/>
        <s v="COM_200202_P3T5"/>
        <s v="COM_200202_P3T6"/>
        <s v="COM_200202_P3T7"/>
        <s v="RES_201301_P26T5"/>
        <s v="Res_201301_P19T1"/>
        <s v="RES_201301_P16T3"/>
        <s v="RES_201301_P15T3"/>
        <s v="RES_201301_P23T1"/>
        <s v="RES_200601_P3T5"/>
        <s v="RES_200601_P3T6"/>
        <s v="RES_201301_P3T4"/>
        <s v="RES_201301_P3T5"/>
        <s v="COM_201405_P2T1"/>
        <s v="COM_201405_P1T1"/>
        <s v="IND_201301_P1T1"/>
        <s v="RES_201403_P2T0"/>
        <s v="RES_201403_P9T0"/>
        <s v="RES_201403_P10T0"/>
        <s v="RES_201403_P3T0"/>
        <s v="RES_201403_P12T0"/>
        <s v="RES_201403_P13T0"/>
        <s v="RES_201403_P5T0"/>
        <s v="RES_201403_P14T2"/>
        <s v="RES_201403_P14T3"/>
        <s v="RES_201403_P14T4"/>
        <s v="RES_201403_P14T5"/>
        <s v="RES_201403_P14T6"/>
        <s v="RES_201403_P2T2"/>
        <s v="RES_201403_P12T2"/>
        <s v="RES_201403_P13T2"/>
        <s v="RES_201403_P5T3"/>
        <s v="RES_201403_P14T1"/>
        <s v="RES_201403_P3T1"/>
        <s v="RES_201403_P6T1"/>
        <s v="RES_201403_P9T1"/>
        <s v="RES_201403_P9T2"/>
        <s v="RES_201403_P10T1"/>
        <s v="RES_201403_P10T2"/>
        <s v="RES_201403_P6T2"/>
        <s v="RES_201403_P3T2"/>
        <s v="RES_201403_P12T1"/>
        <s v="RES_201403_P13T1"/>
        <s v="RES_201403_P5T1"/>
        <s v="RES_201403_P5T2"/>
        <s v="RES_201403_P7T1"/>
        <s v="RES_201403_P14T0"/>
        <s v="RES_201403_P8T0"/>
        <s v="RES_201403_P11T0"/>
        <s v="RES_201403_P6T0"/>
        <s v="COM_201403_P2T1"/>
        <s v="COM_201403_P4T1"/>
        <s v="COM_201403_P1T1"/>
        <s v="COM_201403_P3T1"/>
        <s v="RES_201301_P14T1"/>
        <s v="COM_200202_P4T6"/>
        <s v="COM_200202_P4T7"/>
        <s v="COM_200202_P4T8"/>
        <s v="RES_200601_P4T6"/>
        <s v="COM_200202_P4T9"/>
        <s v="RES_201301_P16T4"/>
        <s v="RES_201301_P15T4"/>
        <s v="RES_201301_P13T4"/>
        <s v="RES_201301_P24T1"/>
        <s v="RES_201301_P4T6"/>
        <s v="RES_201301_P13T1"/>
        <s v="RES_201301_P13T2"/>
        <s v="RES_201301_P13T3"/>
        <s v="COM_201304_P17T1"/>
        <s v="COM_201304_P16T1"/>
        <s v="RES_201402_P12T1"/>
        <s v="RES_201402_P11T1"/>
        <s v="XMP_202001_P6T2"/>
        <s v="XMP_202001_P6T1"/>
        <s v="XMP_202001_P5T1"/>
        <s v="XMP_202001_P4T3"/>
        <s v="XMP_202001_P4T2"/>
        <s v="XMP_202001_P4T1"/>
        <s v="XMP_202001_P3T3"/>
        <s v="XMP_202001_P3T2"/>
        <s v="XMP_202001_P3T1"/>
        <s v="XMP_202001_P2T2"/>
        <s v="XMP_202001_P2T1"/>
        <s v="XMP_202001_P1T2"/>
        <s v="XMP_202001_P1T1"/>
        <s v="RES_201403_P20T1"/>
      </sharedItems>
    </cacheField>
    <cacheField name="Product" numFmtId="0">
      <sharedItems count="68">
        <s v="Clothes Washers Front Loading"/>
        <s v="Clothes Washers Top Loading"/>
        <s v="Air Compressors"/>
        <s v="Commercial Desktops"/>
        <s v="DHP MH FAF"/>
        <s v="DHP FAF"/>
        <s v="DHP Zonal"/>
        <s v="HPWH (&gt;55 gallons) Existing Construction"/>
        <s v="HPWH (&lt;=55 gallons) Existing Construction"/>
        <s v="HPWH (&gt;55 gallons) New Construction"/>
        <s v="HPWH (&lt;=55 gallons) New Construction"/>
        <s v="ID Code"/>
        <s v="ID Commercial Codes"/>
        <s v="ID Multifamily Code"/>
        <s v="ID HERS and National ENERGY STAR Homes - MF"/>
        <s v="ID HERS and National ENERGY STAR Homes"/>
        <s v="ID Performance Path"/>
        <s v="Manufactured Home"/>
        <s v="MT Commercial Codes"/>
        <s v="MT Multifamily Code"/>
        <s v="MT HERS and National ENERGY STAR Homes"/>
        <s v="MT Performance Path"/>
        <s v="MT Code"/>
        <s v="OR Commercial Codes"/>
        <s v="OR Earth Advantage"/>
        <s v="Energy Performance Score"/>
        <s v="OR HERS and National ENERGY STAR Homes - MF"/>
        <s v="OR HERS and National ENERGY STAR Homes"/>
        <s v="OR Performance Path"/>
        <s v="OR Multifamily Code"/>
        <s v="OR Code"/>
        <s v="Commercial SEM"/>
        <s v="Industrial SEM"/>
        <s v="CRES Certified Operator"/>
        <s v="Air Cleaner"/>
        <s v="Freezers- Chest"/>
        <s v="Freezers- Compact"/>
        <s v="Room AC"/>
        <s v="Refrigerators- Bottom Freezers"/>
        <s v="Refrigerators- Side Freezers"/>
        <s v="Freezers- Upright"/>
        <s v="Clothes Dryers (Standard)"/>
        <s v="Refrigerators- Other"/>
        <s v="UHD Televisions (On Mode Power)"/>
        <s v="T8 Fluorescent 25W- Commercial"/>
        <s v="T8 Fluorescent 25W- Industrial"/>
        <s v="T8 Fluorescent 28W- Commercial"/>
        <s v="T8 Fluorescent 28W- Industrial"/>
        <s v="WA BuiltGreen Single-family"/>
        <s v="WA Commercial Codes"/>
        <s v="WA Multifamily Code"/>
        <s v="WA HERS and National ENERGY STAR Homes - MF"/>
        <s v="WA HERS and National ENERGY STAR Homes"/>
        <s v="WA National Green Building Standard Single-family"/>
        <s v="WA Performance Path"/>
        <s v="WA Code"/>
        <s v="ID National Green Building Standard Single-family"/>
        <s v="MT National Green Building Standard Single-family"/>
        <s v="OR National Green Building Standard Single-family"/>
        <s v="Uninterruptible Power Supplies"/>
        <s v="Portable Air Conditioners"/>
        <s v="Commercial VS Pump"/>
        <s v="Commercial CS Pump"/>
        <s v="Commercial DHW Circulator"/>
        <s v="Residential DHW Circulator"/>
        <s v="Commercial HH Circulator"/>
        <s v="Residential HH Circulator"/>
        <s v="UHD Televisions (Standby Mode Power)"/>
      </sharedItems>
    </cacheField>
    <cacheField name="Tier" numFmtId="0">
      <sharedItems count="53">
        <s v="ENERGY STAR Most Efficient 2017"/>
        <s v="ENERGY STAR Most Efficient 2018 through 2020"/>
        <s v="ENERGY STAR Most Efficient TBD"/>
        <s v="ENERGY STAR v7/8"/>
        <s v="ENERGY STAR Most Efficient 2017+"/>
        <s v="Commercial Applications"/>
        <s v="ENERGY STAR 8.0"/>
        <s v="Tier 1"/>
        <s v="Tier 2"/>
        <s v="Tier 3"/>
        <s v="Tier 4"/>
        <s v="IECC 2018"/>
        <s v="IECC 2021"/>
        <s v="ID 2015 IECC"/>
        <s v="ID 2018 IECC"/>
        <s v="ID 2021 IECC"/>
        <s v="Above Code Building"/>
        <s v="Industrial Applications"/>
        <s v="HUD Code"/>
        <s v="Inefficient Unit"/>
        <s v="NEEM 1.1"/>
        <s v="NEEM Plus"/>
        <s v="MT 2018 IECC"/>
        <s v="MT 2021 IECC"/>
        <s v="Non-Qualifying"/>
        <s v="OR 2019 OZERCC"/>
        <s v="OR 2021 OZERCC"/>
        <s v="OR 2023 OZERCC"/>
        <s v="Or. Specialty Code 2021"/>
        <s v="Or. Specialty Code 2023"/>
        <s v="Single Tier"/>
        <s v="UCEF 3.00 to 4.19"/>
        <s v="UCEF 4.20 to 5.29"/>
        <s v="UCEF 5.30 to 6.09"/>
        <s v="UCEF 6.10 to 7.19"/>
        <s v="UCEF 7.20 to 8.00"/>
        <s v="ENERGY STAR v2"/>
        <s v="ENERGY STAR Most Efficient"/>
        <s v="TBD"/>
        <s v="ENERGY STAR v1"/>
        <s v="ENERGY STAR V4"/>
        <s v="ENERGY STAR v5"/>
        <s v="ENERGY STAR v5 +5%"/>
        <s v="ENERGY STAR v9"/>
        <s v="WA 2015 WSEC"/>
        <s v="WA 2018 WSEC"/>
        <s v="WA 2021 WSEC"/>
        <s v="WSEC 2021"/>
        <s v="WA 2024 WSEC"/>
        <s v="Non-Residential Applications"/>
        <s v="Residential Applications"/>
        <s v="ENERGY STAR v5 Most Efficient" u="1"/>
        <s v="ENERGY STAR v8 Most Efficient" u="1"/>
      </sharedItems>
    </cacheField>
    <cacheField name="Savings Category" numFmtId="0">
      <sharedItems count="3">
        <s v="Regional_Market_2021PP"/>
        <s v="Local_Incentives_2021PP"/>
        <s v="Baseline_2021PP"/>
      </sharedItems>
    </cacheField>
    <cacheField name="Funding Cycle" numFmtId="0">
      <sharedItems count="5">
        <s v="C6"/>
        <s v="C7"/>
        <s v="C3"/>
        <s v="C4"/>
        <s v="C5"/>
      </sharedItems>
    </cacheField>
    <cacheField name="Units" numFmtId="0">
      <sharedItems containsSemiMixedTypes="0" containsString="0" containsNumber="1" minValue="0" maxValue="24807993.69436197"/>
    </cacheField>
    <cacheField name="Savings Rate Type" numFmtId="0">
      <sharedItems count="1">
        <s v="Savings_Rate_2021PP"/>
      </sharedItems>
    </cacheField>
    <cacheField name="Savings Rate" numFmtId="0">
      <sharedItems containsSemiMixedTypes="0" containsString="0" containsNumber="1" minValue="-1200.06674404" maxValue="876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372685185" backgroundQuery="1" createdVersion="6" refreshedVersion="6" minRefreshableVersion="3" recordCount="490" xr:uid="{86EB982E-100B-4EBF-A547-98220FCCC7DA}">
  <cacheSource type="external" connectionId="3"/>
  <cacheFields count="6">
    <cacheField name="Snapshot" numFmtId="0">
      <sharedItems count="1">
        <s v="Current Data"/>
      </sharedItems>
    </cacheField>
    <cacheField name="Year" numFmtId="0">
      <sharedItems containsSemiMixedTypes="0" containsString="0" containsNumber="1" containsInteger="1" minValue="2022" maxValue="2025" count="4">
        <n v="2022"/>
        <n v="2023"/>
        <n v="2024"/>
        <n v="2025"/>
      </sharedItems>
    </cacheField>
    <cacheField name="Measure" numFmtId="0">
      <sharedItems count="161">
        <s v="Residential, Hydronic Heating Circulator with ECM"/>
        <s v="Residential, Hydronic Heating Circulator with ECM and Controls"/>
        <s v="Commercial, Hydronic Heating Circulator with ECM"/>
        <s v="Commercial, Hydronic Heating Circulator with ECM and Controls"/>
        <s v="Residential, DHW ECM Circulator"/>
        <s v="Residential, DHW Induction Circulator with Controls"/>
        <s v="Residential, DHW ECM Circulator with Controls"/>
        <s v="Commercial, DHW ECM Circulator"/>
        <s v="Commercial, DHW ECM Circulator with Controls"/>
        <s v="Commercial, Constant Speed Clean Water Pump"/>
        <s v="Commercial, Variable Speed Clean Water Pump"/>
        <s v="Commercial, Variable Speed Clean Water Pump - CS Replacement"/>
        <s v="Refrigeration Operator Certification Projects"/>
        <s v="Commercial Desktops, ENERGY STAR 8.0"/>
        <s v="Commercial Desktops, Non-Qualifying"/>
        <s v="Commercial T8 Linear Fluorescent, 28W"/>
        <s v="Commercial T8 Linear Fluorescent, 25W"/>
        <s v="Industrial T8 Linear Fluorescent, 28W"/>
        <s v="Industrial T8 Linear Fluorescent, 25W"/>
        <s v="Manufactured Home, NEEM 1.1"/>
        <s v="Manufactured Home, NEEM Plus"/>
        <s v="Manufactured Home, Inefficient"/>
        <s v="Industrial Strategic Energy Management (SEM)"/>
        <s v="Commercial Strategic Energy Management (SEM)"/>
        <s v="Residential, Uninterruptible Power Supplies (2020)"/>
        <s v="Non-Residential, Commercial Air Compressors (2016)"/>
        <s v="Non-Residential, Industrial Air Compressors (2016)"/>
        <s v="Non-Residential, Uninterruptible Power Supplies (2020)"/>
        <s v="Ductless Heat Pumps, Single-Family Home, Existing Displace - Zonal"/>
        <s v="Ductless Heat Pumps, Single-Family Home, Existing Displace - eFAF"/>
        <s v="Ductless Heat Pumps, Manufactured Home, Existing Displace - eFAF"/>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Idaho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Oregon Home Energy Rating System (HERS)/ENERGY STAR, New Multifamily"/>
        <s v="Idaho Code, Single-Family, IECC 2018"/>
        <s v="Idaho Performance Path, New Single-Family"/>
        <s v="Oregon Performance Path, New Single-Family"/>
        <s v="Washington Performance Path, New Single-Family"/>
        <s v="Oregon Earth Advantage, New Single-Family"/>
        <s v="Montana Code, Single-Family, IECC 2018"/>
        <s v="Oregon Code, Single-Family, ORSC 2021"/>
        <s v="Oregon Energy Performance Score Home, New Single-Family"/>
        <s v="Washington BuiltGreen Home, New Multifamily"/>
        <s v="Oregon Code, New Multifamily, ORSC 2021"/>
        <s v="Idaho Code, New Multifamily, IECC 2018"/>
        <s v="Montana Code, New Multifamily, IECC 2018"/>
        <s v="Televisions, Ultra-High Definition, ENERGY STAR v9 (On Mode Power)"/>
        <s v="Televisions, Ultra-High Definition, ENERGY STAR v9 (Standby Mode Power)"/>
        <s v="Freezers, Standard-size Upright, ENERGY STAR v5"/>
        <s v="Freezers, Standard-size Upright, ENERGY STAR v5 +5%"/>
        <s v="Freezers, Standard-size Upright, Non-Qualifying"/>
        <s v="Freezers, Standard-size Chest, ENERGY STAR v5"/>
        <s v="Freezers, Standard-size Chest, ENERGY STAR v5 +5%"/>
        <s v="Freezers, Standard-size Chest, Non-Qualifying"/>
        <s v="Freezers, Compact Chest and Upright, ENERGY STAR v5"/>
        <s v="Freezers, Compact Chest and Upright, ENERGY STAR v5 +5%"/>
        <s v="Freezers, Compact Chest and Upright, Non-Qualifying"/>
        <s v="Room Air Cleaners, All Sizes, ENERGY STAR v2"/>
        <s v="Room Air Cleaners, All Sizes, Non-Qualifying"/>
        <s v="Room Air Conditioners, Med/Large, ENERGY STAR v4"/>
        <s v="Room Air Conditioners, Med/Large, Non-Qualifying"/>
        <s v="Room Air Conditioners, Med/Large, ENERGY STAR Most Efficient"/>
        <s v="Clothes Dryers, Standard, Electric, ENERGY STAR v1"/>
        <s v="Clothes Dryers, Standard, Electric, UCEF 3.00 to 4.19"/>
        <s v="Clothes Dryers, Standard, Electric, UCEF 7.20 to 8.00"/>
        <s v="Clothes Dryers, Standard, Electric, Non-Qualifying"/>
        <s v="Refrigerators, Standard-size Top-mount Freezers/Other, Non-Qualifying"/>
        <s v="Refrigerators, Standard-size Side-mount Freezers, Non-Qualifying"/>
        <s v="Refrigerators, Standard-size Bottom-mount Freezers, Non-Qualifying"/>
        <s v="Refrigerators, Standard-size Top-mount Freezers/Other, ENERGY STAR v5 (CEE Tier 1)"/>
        <s v="Refrigerators, Standard-size Side-mount Freezers, ENERGY STAR v5 (CEE Tier 1)"/>
        <s v="Refrigerators, Standard-size Bottom-mount Freezers, ENERGY STAR v5 (CEE Tier 1)"/>
        <s v="Refrigerators, Standard-size Top-mount Freezers/Other, ENERGY STAR Most Efficient (CEE Tier 2)"/>
        <s v="Refrigerators, Standard-size Side-mount Freezers, ENERGY STAR v5 Most Efficient (CEE Tier 2)"/>
        <s v="Refrigerators, Standard-size Bottom-mount Freezers, ENERGY STAR Most Efficient (CEE Tier 2)"/>
        <s v="Clothes Washers, Front-Loading, Electric, Non-Qualifying (IMEF 1.84)"/>
        <s v="Clothes Washers, Standard-size Top-Loading, Electric, Non-Qualifying"/>
        <s v="Clothes Washers, Front-Loading, Electric, ENERGY STAR 7/8 (CEE Tier 1, IMEF 2.77)"/>
        <s v="Clothes Washers, Standard-size Top-Loading, Electric, ENERGY STAR v7 (IMEF 2.06)"/>
        <s v="Clothes Washers, Front-Loading, Electric, ENERGY STAR v8 Most Efficient 2017 (CEE Tier 1, IMEF 2.93)"/>
        <s v="Clothes Washers, Standard-size Top-Loading, Electric, ENERGY STAR Most Efficient 2017 (CEE Tier 1, IMEF 2.76)"/>
        <s v="Idaho Code, New Commercial, IECC 2015"/>
        <s v="Idaho Code, New Commercial, IECC 2018"/>
        <s v="Montana Code, New Commercial, IECC 2018"/>
        <s v="Oregon Code, New Commercial, OZERCC 2019"/>
        <s v="Oregon Code, New Commercial, OZERCC 2021"/>
        <s v="Washington Code, New Commercial, WSEC 2015"/>
        <s v="Washington Code, New Commercial, WSEC 2018"/>
        <s v="Montana Performance Path, New Single-Family"/>
        <s v="Oregon Code, New Commercial, OZERCC 2023"/>
        <s v="Washington Code, New Commercial, WSEC 2021"/>
        <s v="Manufactured Home, HUD Code"/>
        <s v="Idaho Code, Single-Family, IECC 2021"/>
        <s v="Montana Code, Single-Family, IECC 2021"/>
        <s v="Oregon Code, Single-Family, ORSC 2023"/>
        <s v="Washington Code, Single-Family, WSEC 2021"/>
        <s v="Idaho Code, New Multifamily, IECC 2021"/>
        <s v="Montana Code, New Multifamily, IECC 2021"/>
        <s v="Oregon Code, New Multifamily, ORSC 2023"/>
        <s v="Washington Code, New Multifamily, WSEC 2021"/>
        <s v="Idaho Code, New Commercial, IECC 2021"/>
        <s v="Montana Code, New Commercial, IECC 2021"/>
        <s v="Residential, Portable Air Conditioners (2020)"/>
        <s v="Non-Residential, Portable Air Conditioners (2020)"/>
        <s v="Washington Code, New Multifamily, WSEC 2021+" u="1"/>
        <s v="Idaho Next Step Home, New Single-Family" u="1"/>
        <s v="Idaho Northwest ENERGY STAR Home, New Single-Family" u="1"/>
        <s v="Washington Northwest ENERGY STAR Home, New Single-Family" u="1"/>
        <s v="Clothes Washers, Standard-size Top-Loading, Electric, ENERGY STAR v7 (IMEF 2.09)" u="1"/>
        <s v="Refrigerators, Standard-size Top-mount Freezers/Other, ENERGY STAR v5 Most Efficient (CEE Tier 2)" u="1"/>
        <s v="Montana Northwest ENERGY STAR Home, New Single-Family" u="1"/>
        <s v="Clothes Washers, Standard-size Top Loading, Electric, ENERGY STAR Most Efficient 2017+" u="1"/>
        <s v="Washington Next Step Home, New Single-Family" u="1"/>
        <s v="Clothes Washers, Front-Loading, Electric, ENERGY STAR v8 Most Efficient 2018 (CEE Tier 2, IMEF 2.91)" u="1"/>
        <s v="Oregon Northwest ENERGY STAR Home, New Single-Family" u="1"/>
        <s v="Clothes Dryers, Standard, Electric, UCEF 6.10 to 7.19" u="1"/>
        <s v="Clothes Washers, Front-Loading, Electric, ENERGY STAR v8 Most Efficient 2017 (CEE Tier 1, IMEF 2.77)" u="1"/>
        <s v="Oregon National Green Building Standard, New Single-Family" u="1"/>
        <s v="Clothes Washers, Front-Loading, Electric, ENERGY STAR 7/8 (CEE Tier 1, IMEF 2.12)" u="1"/>
        <s v="Washington Home Energy Rating System (HERS)/ENERGY STAR, New Multifamily" u="1"/>
        <s v="Freezers, Standard-size Upright, TBD" u="1"/>
        <s v="Montana Home Energy Rating System (HERS)/ENERGY STAR, New Multifamily" u="1"/>
        <s v="Oregon Next Step Home, New Single-Family" u="1"/>
        <s v="Montana Code, New Multifamily, IECC 2021+" u="1"/>
        <s v="Oregon Code, New Multifamily, ORSC 2023+" u="1"/>
        <s v="Refrigerators, Standard-size Bottom-mount Freezers, ENERGY STAR v5 Most Efficient (CEE Tier 2)" u="1"/>
        <s v="Washington National Green Building Standard, New Multifamily" u="1"/>
        <s v="Clothes Washers, Standard-size Top-Loading, Electric, ENERGY STAR v8 Most Efficient (CEE Tier 1, IMEF 2.76)" u="1"/>
        <s v="Washington ENERGY STAR Northwest Home, New Multifamily" u="1"/>
        <s v="Idaho ENERGY STAR Northwest Home, New Multifamily" u="1"/>
        <s v="Montana National Green Building Standard, New Single-Family" u="1"/>
        <s v="Clothes Dryers, Standard, Electric, UCEF 4.20 to 5.29" u="1"/>
        <s v="Commercial, DHW Induction Circulator with Controls" u="1"/>
        <s v="Clothes Dryers, Standard, Electric, UCEF 5.30 to 6.09" u="1"/>
        <s v="Montana Next Step Home, New Single-Family" u="1"/>
      </sharedItems>
    </cacheField>
    <cacheField name="Measure Index" numFmtId="0">
      <sharedItems count="152">
        <s v="XMP_202001_P1T1"/>
        <s v="XMP_202001_P1T2"/>
        <s v="XMP_202001_P2T1"/>
        <s v="XMP_202001_P2T2"/>
        <s v="XMP_202001_P3T1"/>
        <s v="XMP_202001_P3T2"/>
        <s v="XMP_202001_P3T3"/>
        <s v="XMP_202001_P4T1"/>
        <s v="XMP_202001_P4T3"/>
        <s v="XMP_202001_P5T1"/>
        <s v="XMP_202001_P6T1"/>
        <s v="XMP_202001_P6T2"/>
        <s v="IND_201301_P1T1"/>
        <s v="COM_200701_P1T5"/>
        <s v="COM_200701_P1T0"/>
        <s v="COM_201403_P1T1"/>
        <s v="COM_201403_P2T1"/>
        <s v="COM_201403_P3T1"/>
        <s v="COM_201403_P4T1"/>
        <s v="RES_201601_P1T2"/>
        <s v="RES_201601_P1T3"/>
        <s v="RES_201601_P1T0"/>
        <s v="COM_201405_P1T1"/>
        <s v="COM_201405_P2T1"/>
        <s v="RES_201402_P12T1"/>
        <s v="COM_201304_P15T1"/>
        <s v="COM_201304_P15T2"/>
        <s v="COM_201304_P17T1"/>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3T1"/>
        <s v="RES_201301_P13T4"/>
        <s v="RES_201301_P14T1"/>
        <s v="RES_201301_P15T1"/>
        <s v="RES_201301_P15T2"/>
        <s v="RES_201301_P15T3"/>
        <s v="RES_201301_P15T4"/>
        <s v="RES_201301_P16T1"/>
        <s v="RES_201301_P16T3"/>
        <s v="RES_201301_P1T5"/>
        <s v="RES_201301_P21T1"/>
        <s v="RES_201301_P23T1"/>
        <s v="RES_201301_P24T1"/>
        <s v="RES_201301_P26T5"/>
        <s v="RES_201301_P2T4"/>
        <s v="RES_201301_P3T4"/>
        <s v="Res_201301_P19T1"/>
        <s v="Res_201301_P20T3"/>
        <s v="RES_200601_P3T5"/>
        <s v="RES_200601_P1T5"/>
        <s v="RES_200601_P2T5"/>
        <s v="RES_201403_P7T1"/>
        <s v="RES_201403_P20T1"/>
        <s v="RES_201403_P5T1"/>
        <s v="RES_201403_P5T2"/>
        <s v="RES_201403_P5T0"/>
        <s v="RES_201403_P9T1"/>
        <s v="RES_201403_P9T2"/>
        <s v="RES_201403_P9T0"/>
        <s v="RES_201403_P10T1"/>
        <s v="RES_201403_P10T2"/>
        <s v="RES_201403_P10T0"/>
        <s v="RES_201403_P2T2"/>
        <s v="RES_201403_P2T0"/>
        <s v="RES_201403_P3T1"/>
        <s v="RES_201403_P3T0"/>
        <s v="RES_201403_P3T2"/>
        <s v="RES_201403_P14T1"/>
        <s v="RES_201403_P14T2"/>
        <s v="RES_201403_P14T6"/>
        <s v="RES_201403_P14T0"/>
        <s v="RES_201403_P6T0"/>
        <s v="RES_201403_P13T0"/>
        <s v="RES_201403_P12T0"/>
        <s v="RES_201403_P6T1"/>
        <s v="RES_201403_P13T1"/>
        <s v="RES_201403_P12T1"/>
        <s v="RES_201403_P6T2"/>
        <s v="RES_201403_P13T2"/>
        <s v="RES_201403_P12T2"/>
        <s v="RES_201403_P8T0"/>
        <s v="RES_201403_P11T0"/>
        <s v="RES_201403_P8T1"/>
        <s v="RES_201403_P11T1"/>
        <s v="RES_201403_P8T2"/>
        <s v="RES_201403_P11T2"/>
        <s v="COM_200202_P1T5"/>
        <s v="COM_200202_P1T6"/>
        <s v="COM_200202_P2T4"/>
        <s v="COM_200202_P3T5"/>
        <s v="COM_200202_P3T6"/>
        <s v="COM_200202_P4T6"/>
        <s v="COM_200202_P4T7"/>
        <s v="RES_201301_P22T1"/>
        <s v="COM_200202_P3T7"/>
        <s v="COM_200202_P4T8"/>
        <s v="RES_201601_P1T1"/>
        <s v="RES_201301_P1T6"/>
        <s v="RES_201301_P2T5"/>
        <s v="RES_201301_P3T5"/>
        <s v="RES_201301_P4T6"/>
        <s v="RES_200601_P1T6"/>
        <s v="RES_200601_P2T6"/>
        <s v="RES_200601_P3T6"/>
        <s v="RES_200601_P4T6"/>
        <s v="COM_200202_P1T7"/>
        <s v="COM_200202_P2T5"/>
        <s v="RES_201402_P11T1"/>
        <s v="COM_201304_P16T1"/>
        <s v="RES_201301_P10T1" u="1"/>
        <s v="RES_201403_P14T3" u="1"/>
        <s v="RES_201301_P13T3" u="1"/>
        <s v="RES_201301_P16T2" u="1"/>
        <s v="RES_201301_P9T1" u="1"/>
        <s v="RES_201301_P8T1" u="1"/>
        <s v="RES_201301_P18T1" u="1"/>
        <s v="RES_201301_P7T1" u="1"/>
        <s v="RES_201301_P6T1" u="1"/>
        <s v="RES_201403_P14T4" u="1"/>
        <s v="RES_201301_P5T1" u="1"/>
        <s v="RES_201301_P17T1" u="1"/>
        <s v="RES_201301_P12T1" u="1"/>
        <s v="RES_201403_P8T3" u="1"/>
        <s v="RES_201403_P11T3" u="1"/>
        <s v="RES_201403_P5T3" u="1"/>
        <s v="RES_201301_P13T2" u="1"/>
        <s v="RES_201301_P11T1" u="1"/>
        <s v="XMP_202001_P4T2" u="1"/>
        <s v="RES_201403_P14T5" u="1"/>
        <s v="RES_201301_P16T4" u="1"/>
        <s v="RES_201301_P25T1" u="1"/>
      </sharedItems>
    </cacheField>
    <cacheField name="Funding Cycle" numFmtId="0">
      <sharedItems count="5">
        <s v="C6"/>
        <s v="C5"/>
        <s v="C4"/>
        <s v="C3"/>
        <s v="C7"/>
      </sharedItems>
    </cacheField>
    <cacheField name="Regional Market Units 2021PP" numFmtId="0">
      <sharedItems containsSemiMixedTypes="0" containsString="0" containsNumber="1" minValue="4.0000000000000001E-8" maxValue="24807993.6943619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449884259" backgroundQuery="1" createdVersion="6" refreshedVersion="6" minRefreshableVersion="3" recordCount="0" supportSubquery="1" supportAdvancedDrill="1" xr:uid="{02363619-8FBE-4BAE-AAAA-885EF57A9206}">
  <cacheSource type="external" connectionId="6"/>
  <cacheFields count="9">
    <cacheField name="[vwMeasures].[Initiative].[Initiative]" caption="Initiative" numFmtId="0" hierarchy="13" level="1">
      <sharedItems count="52">
        <s v="AM400 Data Logger"/>
        <s v="Irrigation"/>
        <s v="Building Operator Certification"/>
        <s v="Commissioning Buildings"/>
        <s v="Other Codes (Commercial)"/>
        <s v="Verdiem Network Energy Management"/>
        <s v="Desktop Power Supplies"/>
        <s v="Grocery"/>
        <s v="Building Operations (Non-target Markets)"/>
        <s v="Healthcare"/>
        <s v="Commercial Real Estate"/>
        <s v="New Construction (Commercial)"/>
        <s v="Commercial Lighting Solutions"/>
        <s v="Building Operator Certification Expansion"/>
        <s v="Other Non-Residential Standards"/>
        <s v="Existing Building Renewal"/>
        <s v="Luminaire Level Lighting Controls"/>
        <s v="Solid State Streetlights with Controls"/>
        <s v="Reduced Wattage Lamp Replacement"/>
        <s v="Top Tier Trade Ally"/>
        <s v="Other Strategic Energy Management"/>
        <s v="Window Attachments"/>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Other Codes (Multifamily)"/>
        <s v="Ductless Heat Pumps"/>
        <s v="Televisions"/>
        <s v="Super-Efficient Dryers"/>
        <s v="Heat Pump Water Heaters"/>
        <s v="Next Step Homes"/>
        <s v="Other Residential Standards"/>
        <s v="Retail Product Portfolio"/>
        <s v="Manufactured Homes"/>
        <s v="XMP Pumps"/>
      </sharedItems>
    </cacheField>
    <cacheField name="[vwMeasures].[Product].[Product]" caption="Product" numFmtId="0" hierarchy="16" level="1">
      <sharedItems count="177">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 Replacements"/>
        <s v="Industrial High-CRI Fluorescent Lamp Replacement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18" level="1">
      <sharedItems count="160">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ZERCC"/>
        <s v="OR 2023 OZERCC"/>
        <s v="OR 2026 OZERCC"/>
        <s v="OR 2029 OZERC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Commercial Applications"/>
        <s v="Industrial Applications"/>
        <s v="Non-Residential Applications"/>
        <s v="2019 WA Standard"/>
        <s v="2021 OR Standard"/>
        <s v="2014 Standard"/>
        <s v="2017 Standard"/>
        <s v="Agricultural Applications"/>
        <s v="LLLC"/>
        <s v="7th PP Baseline Adjustment"/>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17" level="1">
      <sharedItems count="129"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ighting controls in commercial buildings"/>
        <s v="Streets Lights"/>
        <s v="Commercial T8 lamps"/>
        <s v="Industrial T8 Lamps"/>
        <s v="General"/>
        <s v="Industrial SEM"/>
        <s v="Commercial SEM"/>
        <s v="Commercial Secondary Windows"/>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 3/4 ton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haredItems>
    </cacheField>
    <cacheField name="[vwMeasures].[Measure Description].[Measure Description]" caption="Measure Description" numFmtId="0" hierarchy="11" level="1">
      <sharedItems count="374">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ZERCC Non-residential new construction built in Oregon"/>
        <s v="2023 OZERCC Non-residential new construction built in Oregon"/>
        <s v="2026 OZERCC Non-residential new construction built in Oregon"/>
        <s v="2029 OZERC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Lamps"/>
        <s v="Oregon State Standard, Effective 2021 for Commercial High-CRI Lamps"/>
        <s v="Washington State Standard, Effective 2019 for Industrial High-CRI Lamps"/>
        <s v="Oregon State Standard, Effective 2021 for Industrial High-CRI Lamps"/>
        <s v="Federal Standard, Effective 2014, DOE Final Rule 2011, Nonresidential Fluorescent Lamp Ballast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new construction"/>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Future IECC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Most Efficient (CEE Tier 2)"/>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CM."/>
        <s v="Residential Hydronic Heating Circulator with an efficient ECM."/>
        <s v="Residential Hydronic Heating Circulator with an efficient ECM and &quot;Advanced Speed Controls.&quot;  Advanced controls include proportional pressure, adaptive pressure, or differential temperature."/>
        <s v="Non-Qualifying Commercial Hydronic Heating Circulator with an efficient ECM."/>
        <s v="Commercial Hydronic Heating Circulator with an efficient ECM."/>
        <s v="Commercial Hydronic Heating Circulator with an efficient ECM and &quot;Advanced Speed Controls.&quot;  Advanced controls include proportional pressure, adaptive pressure, or differential temperature."/>
        <s v="A non-qualifying residential circulator pump with efficient ECM and no Run Hours Controls"/>
        <s v="A residential circulator pump with efficient ECM and no Run Hours Controls"/>
        <s v="A residential circulator pump with induction motor and Run Hours Controls."/>
        <s v="A residential circulator pump with efficient ECM and Run Hours Controls."/>
        <s v="A non-qualifying commercial circulator pump with efficient ECM and no Run Hours Controls"/>
        <s v="A commercial circulator pump with efficient ECM and no Run Hours Controls"/>
        <s v="A commercial circulator pump with induction motor and Run Hours Controls."/>
        <s v="A commercial circulator pump with efficient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10" level="1">
      <sharedItems count="407">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2106_P1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8" level="1">
      <sharedItems count="401">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ZERCC 2021"/>
        <s v="Oregon Code, New Commercial, OZERCC 2023"/>
        <s v="Oregon Code, New Commercial, OZERCC 2026"/>
        <s v="Oregon Code, New Commercial, OZERC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All"/>
        <s v="BetterBricks (2008-2010)"/>
        <s v="Strategic Energy Management"/>
        <s v="Strategic Energy Management COM Existing"/>
        <s v="Washington Strategic Energy Management COM Existing"/>
        <s v="Oregon Strategic Energy Management COM Existing"/>
        <s v="Idaho Strategic Energy Management COM Existing"/>
        <s v="Pilot"/>
        <s v="Commercial Building Operator Certification (Existing)"/>
        <s v="Non-Residential, Small, Large, and Very Large Commercial Package Air Conditioners &amp; Heat Pumps"/>
        <s v="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Replacements (2019)"/>
        <s v="Non-Residential, Oregon Commercial High-CRI Fluorescent Lamp Replacements (2021)"/>
        <s v="Non-Residential, Washington Industrial High-CRI Fluorescent Lamp Replacements (2019)"/>
        <s v="Non-Residential, Oregon Industrial High-CRI Fluorescent Lamp Replacements (2021)"/>
        <s v="Non-Residential, Fluorescent Lamp Ballasts (201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Commercial New Construction"/>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Distribution Efficiency"/>
        <s v="Refrigeration Operator Certification Projects"/>
        <s v="Laptops, Commercial, Non-Qualifying"/>
        <s v="Laptops, Commercial, ENERGY STAR 6.0"/>
        <s v="Desktops, Residential, Non-Qualifying"/>
        <s v="Desktops, Residential, ENERGY STAR 6.0"/>
        <s v="Laptops, Residential, Non-Qualifying"/>
        <s v="Laptops, Residential, ENERGY STAR 6.0"/>
        <s v="Clothes Washers, Top-Loading, Less Efficient than the Power Plan Baseline."/>
        <s v="Clothes Washers, Below Federal Standard, IMEF 0.88-1.02"/>
        <s v="Clothes Washers, Front-Loading, Less Efficient than the Power Plan Baseline."/>
        <s v="Clothes Washers, Front-Loading, More Efficient than the Power Plan Baseline but below the NEEA Baseline (excluded from Retail Products Portfolio)."/>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More Efficient than the Power Plan Baseline but below the NEEA Baseline (excluded from Retail Products Portfolio)."/>
        <s v="CFL, General Purpose"/>
        <s v="CFL, Specialty"/>
        <s v="LED, General Purpose"/>
        <s v="LED, Specialty"/>
        <s v="Other, General Purpose"/>
        <s v="Other, Specialty"/>
        <s v="U Factor 0.35 (New and Existing Construction)"/>
        <s v="U-value 0.35 New Residential Construction"/>
        <s v="Certificate"/>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Qualifying"/>
        <s v="Clothes Washers, Standard-size Top-Loading, Electric, ENERGY STAR v7 (IMEF 2.06)"/>
        <s v="Clothes Washers, Standard-size Top-Loading, Electric, ENERGY STAR Most Efficient 2017 (CEE Tier 1, IMEF 2.76)"/>
        <s v="Clothes Washers, Standard-size Top Loading, Electric, ENERGY STAR Most Efficient 2017+"/>
        <s v="Refrigerators, Standard-size Bottom-mount Freezers, Non-Qualifying"/>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v5 Most Efficient (CEE Tier 2)"/>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TBD Measures"/>
        <s v="Clothes Washers, Compact, Electric, Non-Qualifying"/>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Qualifying (IMEF 1.84)"/>
        <s v="Clothes Washers, Front-Loading, Electric, ENERGY STAR 7/8 (CEE Tier 1, IMEF 2.77)"/>
        <s v="Clothes Washers, Front-Loading, Electric, ENERGY STAR v8 Most Efficient 2017 (CEE Tier 1, IMEF 2.93)"/>
        <s v="Clothes Washers, Front-Loading, Electric, ENERGY STAR v8 Most Efficient 2018 (CEE Tier 2, IMEF TBD)"/>
        <s v="Clothes Washers, Front-Loading, Electric, CEE Tier 3,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S Replacement"/>
      </sharedItems>
    </cacheField>
    <cacheField name="[vwMeasures].[Measure Life].[Measure Life]" caption="Measure Life" numFmtId="0" hierarchy="9" level="1">
      <sharedItems containsString="0" containsBlank="1" containsNumber="1" minValue="2" maxValue="45" count="27">
        <n v="10"/>
        <m/>
        <n v="5"/>
        <n v="20"/>
        <n v="15"/>
        <n v="4"/>
        <n v="14"/>
        <n v="13"/>
        <n v="11"/>
        <n v="6"/>
        <n v="25"/>
        <n v="8"/>
        <n v="16"/>
        <n v="12"/>
        <n v="23"/>
        <n v="30"/>
        <n v="9"/>
        <n v="7"/>
        <n v="2"/>
        <n v="45"/>
        <n v="19"/>
        <n v="21"/>
        <n v="6.5"/>
        <n v="15.2"/>
        <n v="22"/>
        <n v="42"/>
        <n v="11.5"/>
      </sharedItems>
    </cacheField>
    <cacheField name="[vwMeasures].[Initiative Description].[Initiative Description]" caption="Initiative Description" numFmtId="0" hierarchy="15" level="1">
      <sharedItems count="50"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Providing information and technical expertise to create new and more stringent building codes and providing technical support and training after code adoption."/>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developing best practice specifications for LLLC, aiming to have the technology adopted as standard industry practice by the commercial office lighting market."/>
        <s v="Solid State Streetlights with Controls Description"/>
        <s v="Develop an upstream platform with distributors and manufacturers that influences the stocking and sales practices of efficient lighting products that can be leveraged for lighting initiative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Initiative Index hold for Window Attachments"/>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Influence the passage of a 2025 federal standard requiring HPWHs for all electric storage tanks greater than 40 gallons in size."/>
        <s v="The Next Step Homes initiative leverages the infrastructure created by prior Efficient Homes programs to develop and increase market adoption of energy efficient advanced building practices for single-family homes, aimed at influencing and accelerating code adoption."/>
        <s v="The Retail Product Portfolio initiative uses mid-stream incentives to influence retail stocking practices, ultimately driving manufacturing and standards for a portfolio of energy-efficient product sold through the retail channel."/>
        <s v="The region is working together to demonstrate success for a new voluntary above code specification (NEEM 2.0) in the market prior to a HUD code change, providing manufacturers/retailers with the tools and resources they need to drive consumer demand."/>
        <s v="Products that encompass fans, circulators, pumps, etc in both residential and commercial sectors"/>
      </sharedItems>
    </cacheField>
  </cacheFields>
  <cacheHierarchies count="25">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No measures defined]" caption="__No measures defined" measure="1" displayFolder="" count="0" hidden="1"/>
  </cacheHierarchies>
  <kpis count="0"/>
  <dimensions count="3">
    <dimension measure="1" name="Measures" uniqueName="[Measures]" caption="Measures"/>
    <dimension name="vwFunderShare" uniqueName="[vwFunderShare]" caption="vwFunderShare"/>
    <dimension name="vwMeasures" uniqueName="[vwMeasures]" caption="vwMeasures"/>
  </dimensions>
  <measureGroups count="2">
    <measureGroup name="vwFunderShare" caption="vwFunderShare"/>
    <measureGroup name="vwMeasures" caption="vwMeasure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2">
  <r>
    <x v="0"/>
    <x v="0"/>
    <x v="0"/>
    <x v="0"/>
    <x v="0"/>
    <x v="0"/>
    <x v="0"/>
    <n v="0"/>
  </r>
  <r>
    <x v="0"/>
    <x v="0"/>
    <x v="0"/>
    <x v="0"/>
    <x v="0"/>
    <x v="1"/>
    <x v="1"/>
    <n v="2.7650000000000001E-2"/>
  </r>
  <r>
    <x v="0"/>
    <x v="0"/>
    <x v="0"/>
    <x v="0"/>
    <x v="0"/>
    <x v="2"/>
    <x v="2"/>
    <n v="1.1849999999999999E-2"/>
  </r>
  <r>
    <x v="0"/>
    <x v="0"/>
    <x v="0"/>
    <x v="0"/>
    <x v="0"/>
    <x v="3"/>
    <x v="0"/>
    <n v="0"/>
  </r>
  <r>
    <x v="1"/>
    <x v="0"/>
    <x v="0"/>
    <x v="0"/>
    <x v="1"/>
    <x v="0"/>
    <x v="3"/>
    <n v="0.16558"/>
  </r>
  <r>
    <x v="1"/>
    <x v="0"/>
    <x v="0"/>
    <x v="0"/>
    <x v="1"/>
    <x v="1"/>
    <x v="4"/>
    <n v="0.21915000000000001"/>
  </r>
  <r>
    <x v="1"/>
    <x v="0"/>
    <x v="0"/>
    <x v="0"/>
    <x v="1"/>
    <x v="2"/>
    <x v="5"/>
    <n v="4.87E-2"/>
  </r>
  <r>
    <x v="1"/>
    <x v="0"/>
    <x v="0"/>
    <x v="0"/>
    <x v="1"/>
    <x v="3"/>
    <x v="6"/>
    <n v="5.357E-2"/>
  </r>
  <r>
    <x v="2"/>
    <x v="0"/>
    <x v="0"/>
    <x v="0"/>
    <x v="2"/>
    <x v="0"/>
    <x v="0"/>
    <n v="0"/>
  </r>
  <r>
    <x v="2"/>
    <x v="0"/>
    <x v="0"/>
    <x v="0"/>
    <x v="2"/>
    <x v="1"/>
    <x v="7"/>
    <n v="0"/>
  </r>
  <r>
    <x v="2"/>
    <x v="0"/>
    <x v="0"/>
    <x v="0"/>
    <x v="2"/>
    <x v="2"/>
    <x v="0"/>
    <n v="0"/>
  </r>
  <r>
    <x v="2"/>
    <x v="0"/>
    <x v="0"/>
    <x v="0"/>
    <x v="2"/>
    <x v="3"/>
    <x v="0"/>
    <n v="0"/>
  </r>
  <r>
    <x v="3"/>
    <x v="0"/>
    <x v="0"/>
    <x v="0"/>
    <x v="3"/>
    <x v="0"/>
    <x v="0"/>
    <n v="0"/>
  </r>
  <r>
    <x v="3"/>
    <x v="0"/>
    <x v="0"/>
    <x v="0"/>
    <x v="3"/>
    <x v="1"/>
    <x v="7"/>
    <n v="1.2699999999999999E-2"/>
  </r>
  <r>
    <x v="3"/>
    <x v="0"/>
    <x v="0"/>
    <x v="0"/>
    <x v="3"/>
    <x v="2"/>
    <x v="0"/>
    <n v="0"/>
  </r>
  <r>
    <x v="3"/>
    <x v="0"/>
    <x v="0"/>
    <x v="0"/>
    <x v="3"/>
    <x v="3"/>
    <x v="0"/>
    <n v="0"/>
  </r>
  <r>
    <x v="4"/>
    <x v="0"/>
    <x v="0"/>
    <x v="0"/>
    <x v="4"/>
    <x v="0"/>
    <x v="7"/>
    <n v="0.16400000000000001"/>
  </r>
  <r>
    <x v="4"/>
    <x v="0"/>
    <x v="0"/>
    <x v="0"/>
    <x v="4"/>
    <x v="1"/>
    <x v="0"/>
    <n v="0"/>
  </r>
  <r>
    <x v="4"/>
    <x v="0"/>
    <x v="0"/>
    <x v="0"/>
    <x v="4"/>
    <x v="2"/>
    <x v="0"/>
    <n v="0"/>
  </r>
  <r>
    <x v="4"/>
    <x v="0"/>
    <x v="0"/>
    <x v="0"/>
    <x v="4"/>
    <x v="3"/>
    <x v="0"/>
    <n v="0"/>
  </r>
  <r>
    <x v="5"/>
    <x v="1"/>
    <x v="0"/>
    <x v="0"/>
    <x v="5"/>
    <x v="0"/>
    <x v="7"/>
    <n v="5.7999999999999996E-3"/>
  </r>
  <r>
    <x v="5"/>
    <x v="1"/>
    <x v="0"/>
    <x v="0"/>
    <x v="5"/>
    <x v="1"/>
    <x v="0"/>
    <n v="0"/>
  </r>
  <r>
    <x v="5"/>
    <x v="1"/>
    <x v="0"/>
    <x v="0"/>
    <x v="5"/>
    <x v="2"/>
    <x v="0"/>
    <n v="0"/>
  </r>
  <r>
    <x v="5"/>
    <x v="1"/>
    <x v="0"/>
    <x v="0"/>
    <x v="5"/>
    <x v="3"/>
    <x v="0"/>
    <n v="0"/>
  </r>
  <r>
    <x v="6"/>
    <x v="0"/>
    <x v="0"/>
    <x v="0"/>
    <x v="6"/>
    <x v="0"/>
    <x v="0"/>
    <n v="0"/>
  </r>
  <r>
    <x v="6"/>
    <x v="0"/>
    <x v="0"/>
    <x v="0"/>
    <x v="6"/>
    <x v="1"/>
    <x v="0"/>
    <n v="0"/>
  </r>
  <r>
    <x v="6"/>
    <x v="0"/>
    <x v="0"/>
    <x v="0"/>
    <x v="6"/>
    <x v="2"/>
    <x v="7"/>
    <n v="6.4199999999999993E-2"/>
  </r>
  <r>
    <x v="6"/>
    <x v="0"/>
    <x v="0"/>
    <x v="0"/>
    <x v="6"/>
    <x v="3"/>
    <x v="0"/>
    <n v="0"/>
  </r>
  <r>
    <x v="7"/>
    <x v="0"/>
    <x v="0"/>
    <x v="0"/>
    <x v="7"/>
    <x v="0"/>
    <x v="0"/>
    <n v="0"/>
  </r>
  <r>
    <x v="7"/>
    <x v="0"/>
    <x v="0"/>
    <x v="0"/>
    <x v="7"/>
    <x v="1"/>
    <x v="0"/>
    <n v="0"/>
  </r>
  <r>
    <x v="7"/>
    <x v="0"/>
    <x v="0"/>
    <x v="0"/>
    <x v="7"/>
    <x v="2"/>
    <x v="0"/>
    <n v="0"/>
  </r>
  <r>
    <x v="7"/>
    <x v="0"/>
    <x v="0"/>
    <x v="0"/>
    <x v="7"/>
    <x v="3"/>
    <x v="7"/>
    <n v="2.69E-2"/>
  </r>
  <r>
    <x v="8"/>
    <x v="0"/>
    <x v="0"/>
    <x v="0"/>
    <x v="8"/>
    <x v="0"/>
    <x v="0"/>
    <n v="0"/>
  </r>
  <r>
    <x v="8"/>
    <x v="0"/>
    <x v="0"/>
    <x v="0"/>
    <x v="8"/>
    <x v="1"/>
    <x v="7"/>
    <n v="2.5600000000000001E-2"/>
  </r>
  <r>
    <x v="8"/>
    <x v="0"/>
    <x v="0"/>
    <x v="0"/>
    <x v="8"/>
    <x v="2"/>
    <x v="0"/>
    <n v="0"/>
  </r>
  <r>
    <x v="8"/>
    <x v="0"/>
    <x v="0"/>
    <x v="0"/>
    <x v="8"/>
    <x v="3"/>
    <x v="0"/>
    <n v="0"/>
  </r>
  <r>
    <x v="9"/>
    <x v="0"/>
    <x v="0"/>
    <x v="0"/>
    <x v="9"/>
    <x v="0"/>
    <x v="0"/>
    <n v="0"/>
  </r>
  <r>
    <x v="9"/>
    <x v="0"/>
    <x v="0"/>
    <x v="0"/>
    <x v="9"/>
    <x v="1"/>
    <x v="7"/>
    <n v="2.5999999999999999E-3"/>
  </r>
  <r>
    <x v="9"/>
    <x v="0"/>
    <x v="0"/>
    <x v="0"/>
    <x v="9"/>
    <x v="2"/>
    <x v="0"/>
    <n v="0"/>
  </r>
  <r>
    <x v="9"/>
    <x v="0"/>
    <x v="0"/>
    <x v="0"/>
    <x v="9"/>
    <x v="3"/>
    <x v="0"/>
    <n v="0"/>
  </r>
  <r>
    <x v="10"/>
    <x v="0"/>
    <x v="0"/>
    <x v="0"/>
    <x v="10"/>
    <x v="0"/>
    <x v="0"/>
    <n v="0"/>
  </r>
  <r>
    <x v="10"/>
    <x v="0"/>
    <x v="0"/>
    <x v="0"/>
    <x v="10"/>
    <x v="1"/>
    <x v="7"/>
    <n v="8.8999999999999999E-3"/>
  </r>
  <r>
    <x v="10"/>
    <x v="0"/>
    <x v="0"/>
    <x v="0"/>
    <x v="10"/>
    <x v="2"/>
    <x v="0"/>
    <n v="0"/>
  </r>
  <r>
    <x v="10"/>
    <x v="0"/>
    <x v="0"/>
    <x v="0"/>
    <x v="10"/>
    <x v="3"/>
    <x v="0"/>
    <n v="0"/>
  </r>
  <r>
    <x v="11"/>
    <x v="0"/>
    <x v="0"/>
    <x v="0"/>
    <x v="11"/>
    <x v="0"/>
    <x v="0"/>
    <n v="0"/>
  </r>
  <r>
    <x v="11"/>
    <x v="0"/>
    <x v="0"/>
    <x v="0"/>
    <x v="11"/>
    <x v="1"/>
    <x v="7"/>
    <n v="8.6E-3"/>
  </r>
  <r>
    <x v="11"/>
    <x v="0"/>
    <x v="0"/>
    <x v="0"/>
    <x v="11"/>
    <x v="2"/>
    <x v="0"/>
    <n v="0"/>
  </r>
  <r>
    <x v="11"/>
    <x v="0"/>
    <x v="0"/>
    <x v="0"/>
    <x v="11"/>
    <x v="3"/>
    <x v="0"/>
    <n v="0"/>
  </r>
  <r>
    <x v="12"/>
    <x v="1"/>
    <x v="0"/>
    <x v="0"/>
    <x v="2"/>
    <x v="0"/>
    <x v="0"/>
    <n v="0"/>
  </r>
  <r>
    <x v="12"/>
    <x v="1"/>
    <x v="0"/>
    <x v="0"/>
    <x v="2"/>
    <x v="1"/>
    <x v="0"/>
    <n v="0"/>
  </r>
  <r>
    <x v="12"/>
    <x v="1"/>
    <x v="0"/>
    <x v="0"/>
    <x v="2"/>
    <x v="2"/>
    <x v="0"/>
    <n v="0"/>
  </r>
  <r>
    <x v="12"/>
    <x v="1"/>
    <x v="0"/>
    <x v="0"/>
    <x v="2"/>
    <x v="3"/>
    <x v="0"/>
    <n v="0"/>
  </r>
  <r>
    <x v="0"/>
    <x v="0"/>
    <x v="0"/>
    <x v="1"/>
    <x v="0"/>
    <x v="0"/>
    <x v="0"/>
    <n v="0"/>
  </r>
  <r>
    <x v="0"/>
    <x v="0"/>
    <x v="0"/>
    <x v="1"/>
    <x v="0"/>
    <x v="1"/>
    <x v="1"/>
    <n v="2.7650000000000001E-2"/>
  </r>
  <r>
    <x v="0"/>
    <x v="0"/>
    <x v="0"/>
    <x v="1"/>
    <x v="0"/>
    <x v="2"/>
    <x v="2"/>
    <n v="1.1849999999999999E-2"/>
  </r>
  <r>
    <x v="0"/>
    <x v="0"/>
    <x v="0"/>
    <x v="1"/>
    <x v="0"/>
    <x v="3"/>
    <x v="0"/>
    <n v="0"/>
  </r>
  <r>
    <x v="1"/>
    <x v="0"/>
    <x v="0"/>
    <x v="1"/>
    <x v="1"/>
    <x v="0"/>
    <x v="3"/>
    <n v="0.16558"/>
  </r>
  <r>
    <x v="1"/>
    <x v="0"/>
    <x v="0"/>
    <x v="1"/>
    <x v="1"/>
    <x v="1"/>
    <x v="4"/>
    <n v="0.21915000000000001"/>
  </r>
  <r>
    <x v="1"/>
    <x v="0"/>
    <x v="0"/>
    <x v="1"/>
    <x v="1"/>
    <x v="2"/>
    <x v="5"/>
    <n v="4.87E-2"/>
  </r>
  <r>
    <x v="1"/>
    <x v="0"/>
    <x v="0"/>
    <x v="1"/>
    <x v="1"/>
    <x v="3"/>
    <x v="6"/>
    <n v="5.357E-2"/>
  </r>
  <r>
    <x v="2"/>
    <x v="0"/>
    <x v="0"/>
    <x v="1"/>
    <x v="2"/>
    <x v="0"/>
    <x v="0"/>
    <n v="0"/>
  </r>
  <r>
    <x v="2"/>
    <x v="0"/>
    <x v="0"/>
    <x v="1"/>
    <x v="2"/>
    <x v="1"/>
    <x v="7"/>
    <n v="0"/>
  </r>
  <r>
    <x v="2"/>
    <x v="0"/>
    <x v="0"/>
    <x v="1"/>
    <x v="2"/>
    <x v="2"/>
    <x v="0"/>
    <n v="0"/>
  </r>
  <r>
    <x v="2"/>
    <x v="0"/>
    <x v="0"/>
    <x v="1"/>
    <x v="2"/>
    <x v="3"/>
    <x v="0"/>
    <n v="0"/>
  </r>
  <r>
    <x v="3"/>
    <x v="0"/>
    <x v="0"/>
    <x v="1"/>
    <x v="3"/>
    <x v="0"/>
    <x v="0"/>
    <n v="0"/>
  </r>
  <r>
    <x v="3"/>
    <x v="0"/>
    <x v="0"/>
    <x v="1"/>
    <x v="3"/>
    <x v="1"/>
    <x v="7"/>
    <n v="1.2699999999999999E-2"/>
  </r>
  <r>
    <x v="3"/>
    <x v="0"/>
    <x v="0"/>
    <x v="1"/>
    <x v="3"/>
    <x v="2"/>
    <x v="0"/>
    <n v="0"/>
  </r>
  <r>
    <x v="3"/>
    <x v="0"/>
    <x v="0"/>
    <x v="1"/>
    <x v="3"/>
    <x v="3"/>
    <x v="0"/>
    <n v="0"/>
  </r>
  <r>
    <x v="4"/>
    <x v="0"/>
    <x v="0"/>
    <x v="1"/>
    <x v="4"/>
    <x v="0"/>
    <x v="7"/>
    <n v="0.16400000000000001"/>
  </r>
  <r>
    <x v="4"/>
    <x v="0"/>
    <x v="0"/>
    <x v="1"/>
    <x v="4"/>
    <x v="1"/>
    <x v="0"/>
    <n v="0"/>
  </r>
  <r>
    <x v="4"/>
    <x v="0"/>
    <x v="0"/>
    <x v="1"/>
    <x v="4"/>
    <x v="2"/>
    <x v="0"/>
    <n v="0"/>
  </r>
  <r>
    <x v="4"/>
    <x v="0"/>
    <x v="0"/>
    <x v="1"/>
    <x v="4"/>
    <x v="3"/>
    <x v="0"/>
    <n v="0"/>
  </r>
  <r>
    <x v="5"/>
    <x v="1"/>
    <x v="0"/>
    <x v="1"/>
    <x v="5"/>
    <x v="0"/>
    <x v="7"/>
    <n v="5.7999999999999996E-3"/>
  </r>
  <r>
    <x v="5"/>
    <x v="1"/>
    <x v="0"/>
    <x v="1"/>
    <x v="5"/>
    <x v="1"/>
    <x v="0"/>
    <n v="0"/>
  </r>
  <r>
    <x v="5"/>
    <x v="1"/>
    <x v="0"/>
    <x v="1"/>
    <x v="5"/>
    <x v="2"/>
    <x v="0"/>
    <n v="0"/>
  </r>
  <r>
    <x v="5"/>
    <x v="1"/>
    <x v="0"/>
    <x v="1"/>
    <x v="5"/>
    <x v="3"/>
    <x v="0"/>
    <n v="0"/>
  </r>
  <r>
    <x v="6"/>
    <x v="0"/>
    <x v="0"/>
    <x v="1"/>
    <x v="6"/>
    <x v="0"/>
    <x v="0"/>
    <n v="0"/>
  </r>
  <r>
    <x v="6"/>
    <x v="0"/>
    <x v="0"/>
    <x v="1"/>
    <x v="6"/>
    <x v="1"/>
    <x v="0"/>
    <n v="0"/>
  </r>
  <r>
    <x v="6"/>
    <x v="0"/>
    <x v="0"/>
    <x v="1"/>
    <x v="6"/>
    <x v="2"/>
    <x v="7"/>
    <n v="6.4199999999999993E-2"/>
  </r>
  <r>
    <x v="6"/>
    <x v="0"/>
    <x v="0"/>
    <x v="1"/>
    <x v="6"/>
    <x v="3"/>
    <x v="0"/>
    <n v="0"/>
  </r>
  <r>
    <x v="7"/>
    <x v="0"/>
    <x v="0"/>
    <x v="1"/>
    <x v="7"/>
    <x v="0"/>
    <x v="0"/>
    <n v="0"/>
  </r>
  <r>
    <x v="7"/>
    <x v="0"/>
    <x v="0"/>
    <x v="1"/>
    <x v="7"/>
    <x v="1"/>
    <x v="0"/>
    <n v="0"/>
  </r>
  <r>
    <x v="7"/>
    <x v="0"/>
    <x v="0"/>
    <x v="1"/>
    <x v="7"/>
    <x v="2"/>
    <x v="0"/>
    <n v="0"/>
  </r>
  <r>
    <x v="7"/>
    <x v="0"/>
    <x v="0"/>
    <x v="1"/>
    <x v="7"/>
    <x v="3"/>
    <x v="7"/>
    <n v="2.69E-2"/>
  </r>
  <r>
    <x v="8"/>
    <x v="0"/>
    <x v="0"/>
    <x v="1"/>
    <x v="8"/>
    <x v="0"/>
    <x v="0"/>
    <n v="0"/>
  </r>
  <r>
    <x v="8"/>
    <x v="0"/>
    <x v="0"/>
    <x v="1"/>
    <x v="8"/>
    <x v="1"/>
    <x v="7"/>
    <n v="2.5600000000000001E-2"/>
  </r>
  <r>
    <x v="8"/>
    <x v="0"/>
    <x v="0"/>
    <x v="1"/>
    <x v="8"/>
    <x v="2"/>
    <x v="0"/>
    <n v="0"/>
  </r>
  <r>
    <x v="8"/>
    <x v="0"/>
    <x v="0"/>
    <x v="1"/>
    <x v="8"/>
    <x v="3"/>
    <x v="0"/>
    <n v="0"/>
  </r>
  <r>
    <x v="9"/>
    <x v="0"/>
    <x v="0"/>
    <x v="1"/>
    <x v="9"/>
    <x v="0"/>
    <x v="0"/>
    <n v="0"/>
  </r>
  <r>
    <x v="9"/>
    <x v="0"/>
    <x v="0"/>
    <x v="1"/>
    <x v="9"/>
    <x v="1"/>
    <x v="7"/>
    <n v="2.5999999999999999E-3"/>
  </r>
  <r>
    <x v="9"/>
    <x v="0"/>
    <x v="0"/>
    <x v="1"/>
    <x v="9"/>
    <x v="2"/>
    <x v="0"/>
    <n v="0"/>
  </r>
  <r>
    <x v="9"/>
    <x v="0"/>
    <x v="0"/>
    <x v="1"/>
    <x v="9"/>
    <x v="3"/>
    <x v="0"/>
    <n v="0"/>
  </r>
  <r>
    <x v="10"/>
    <x v="0"/>
    <x v="0"/>
    <x v="1"/>
    <x v="10"/>
    <x v="0"/>
    <x v="0"/>
    <n v="0"/>
  </r>
  <r>
    <x v="10"/>
    <x v="0"/>
    <x v="0"/>
    <x v="1"/>
    <x v="10"/>
    <x v="1"/>
    <x v="7"/>
    <n v="8.8999999999999999E-3"/>
  </r>
  <r>
    <x v="10"/>
    <x v="0"/>
    <x v="0"/>
    <x v="1"/>
    <x v="10"/>
    <x v="2"/>
    <x v="0"/>
    <n v="0"/>
  </r>
  <r>
    <x v="10"/>
    <x v="0"/>
    <x v="0"/>
    <x v="1"/>
    <x v="10"/>
    <x v="3"/>
    <x v="0"/>
    <n v="0"/>
  </r>
  <r>
    <x v="11"/>
    <x v="0"/>
    <x v="0"/>
    <x v="1"/>
    <x v="11"/>
    <x v="0"/>
    <x v="0"/>
    <n v="0"/>
  </r>
  <r>
    <x v="11"/>
    <x v="0"/>
    <x v="0"/>
    <x v="1"/>
    <x v="11"/>
    <x v="1"/>
    <x v="7"/>
    <n v="8.6E-3"/>
  </r>
  <r>
    <x v="11"/>
    <x v="0"/>
    <x v="0"/>
    <x v="1"/>
    <x v="11"/>
    <x v="2"/>
    <x v="0"/>
    <n v="0"/>
  </r>
  <r>
    <x v="11"/>
    <x v="0"/>
    <x v="0"/>
    <x v="1"/>
    <x v="11"/>
    <x v="3"/>
    <x v="0"/>
    <n v="0"/>
  </r>
  <r>
    <x v="12"/>
    <x v="1"/>
    <x v="0"/>
    <x v="1"/>
    <x v="2"/>
    <x v="0"/>
    <x v="0"/>
    <n v="0"/>
  </r>
  <r>
    <x v="12"/>
    <x v="1"/>
    <x v="0"/>
    <x v="1"/>
    <x v="2"/>
    <x v="1"/>
    <x v="0"/>
    <n v="0"/>
  </r>
  <r>
    <x v="12"/>
    <x v="1"/>
    <x v="0"/>
    <x v="1"/>
    <x v="2"/>
    <x v="2"/>
    <x v="0"/>
    <n v="0"/>
  </r>
  <r>
    <x v="12"/>
    <x v="1"/>
    <x v="0"/>
    <x v="1"/>
    <x v="2"/>
    <x v="3"/>
    <x v="0"/>
    <n v="0"/>
  </r>
  <r>
    <x v="0"/>
    <x v="0"/>
    <x v="0"/>
    <x v="2"/>
    <x v="0"/>
    <x v="0"/>
    <x v="0"/>
    <n v="0"/>
  </r>
  <r>
    <x v="0"/>
    <x v="0"/>
    <x v="0"/>
    <x v="2"/>
    <x v="0"/>
    <x v="1"/>
    <x v="1"/>
    <n v="2.7650000000000001E-2"/>
  </r>
  <r>
    <x v="0"/>
    <x v="0"/>
    <x v="0"/>
    <x v="2"/>
    <x v="0"/>
    <x v="2"/>
    <x v="2"/>
    <n v="1.1849999999999999E-2"/>
  </r>
  <r>
    <x v="0"/>
    <x v="0"/>
    <x v="0"/>
    <x v="2"/>
    <x v="0"/>
    <x v="3"/>
    <x v="0"/>
    <n v="0"/>
  </r>
  <r>
    <x v="1"/>
    <x v="0"/>
    <x v="0"/>
    <x v="2"/>
    <x v="1"/>
    <x v="0"/>
    <x v="3"/>
    <n v="0.16558"/>
  </r>
  <r>
    <x v="1"/>
    <x v="0"/>
    <x v="0"/>
    <x v="2"/>
    <x v="1"/>
    <x v="1"/>
    <x v="4"/>
    <n v="0.21915000000000001"/>
  </r>
  <r>
    <x v="1"/>
    <x v="0"/>
    <x v="0"/>
    <x v="2"/>
    <x v="1"/>
    <x v="2"/>
    <x v="5"/>
    <n v="4.87E-2"/>
  </r>
  <r>
    <x v="1"/>
    <x v="0"/>
    <x v="0"/>
    <x v="2"/>
    <x v="1"/>
    <x v="3"/>
    <x v="6"/>
    <n v="5.357E-2"/>
  </r>
  <r>
    <x v="2"/>
    <x v="0"/>
    <x v="0"/>
    <x v="2"/>
    <x v="2"/>
    <x v="0"/>
    <x v="0"/>
    <n v="0"/>
  </r>
  <r>
    <x v="2"/>
    <x v="0"/>
    <x v="0"/>
    <x v="2"/>
    <x v="2"/>
    <x v="1"/>
    <x v="7"/>
    <n v="0"/>
  </r>
  <r>
    <x v="2"/>
    <x v="0"/>
    <x v="0"/>
    <x v="2"/>
    <x v="2"/>
    <x v="2"/>
    <x v="0"/>
    <n v="0"/>
  </r>
  <r>
    <x v="2"/>
    <x v="0"/>
    <x v="0"/>
    <x v="2"/>
    <x v="2"/>
    <x v="3"/>
    <x v="0"/>
    <n v="0"/>
  </r>
  <r>
    <x v="3"/>
    <x v="0"/>
    <x v="0"/>
    <x v="2"/>
    <x v="3"/>
    <x v="0"/>
    <x v="0"/>
    <n v="0"/>
  </r>
  <r>
    <x v="3"/>
    <x v="0"/>
    <x v="0"/>
    <x v="2"/>
    <x v="3"/>
    <x v="1"/>
    <x v="7"/>
    <n v="1.2699999999999999E-2"/>
  </r>
  <r>
    <x v="3"/>
    <x v="0"/>
    <x v="0"/>
    <x v="2"/>
    <x v="3"/>
    <x v="2"/>
    <x v="0"/>
    <n v="0"/>
  </r>
  <r>
    <x v="3"/>
    <x v="0"/>
    <x v="0"/>
    <x v="2"/>
    <x v="3"/>
    <x v="3"/>
    <x v="0"/>
    <n v="0"/>
  </r>
  <r>
    <x v="4"/>
    <x v="0"/>
    <x v="0"/>
    <x v="2"/>
    <x v="4"/>
    <x v="0"/>
    <x v="7"/>
    <n v="0.16400000000000001"/>
  </r>
  <r>
    <x v="4"/>
    <x v="0"/>
    <x v="0"/>
    <x v="2"/>
    <x v="4"/>
    <x v="1"/>
    <x v="0"/>
    <n v="0"/>
  </r>
  <r>
    <x v="4"/>
    <x v="0"/>
    <x v="0"/>
    <x v="2"/>
    <x v="4"/>
    <x v="2"/>
    <x v="0"/>
    <n v="0"/>
  </r>
  <r>
    <x v="4"/>
    <x v="0"/>
    <x v="0"/>
    <x v="2"/>
    <x v="4"/>
    <x v="3"/>
    <x v="0"/>
    <n v="0"/>
  </r>
  <r>
    <x v="5"/>
    <x v="1"/>
    <x v="0"/>
    <x v="2"/>
    <x v="5"/>
    <x v="0"/>
    <x v="7"/>
    <n v="5.7999999999999996E-3"/>
  </r>
  <r>
    <x v="5"/>
    <x v="1"/>
    <x v="0"/>
    <x v="2"/>
    <x v="5"/>
    <x v="1"/>
    <x v="0"/>
    <n v="0"/>
  </r>
  <r>
    <x v="5"/>
    <x v="1"/>
    <x v="0"/>
    <x v="2"/>
    <x v="5"/>
    <x v="2"/>
    <x v="0"/>
    <n v="0"/>
  </r>
  <r>
    <x v="5"/>
    <x v="1"/>
    <x v="0"/>
    <x v="2"/>
    <x v="5"/>
    <x v="3"/>
    <x v="0"/>
    <n v="0"/>
  </r>
  <r>
    <x v="6"/>
    <x v="0"/>
    <x v="0"/>
    <x v="2"/>
    <x v="6"/>
    <x v="0"/>
    <x v="0"/>
    <n v="0"/>
  </r>
  <r>
    <x v="6"/>
    <x v="0"/>
    <x v="0"/>
    <x v="2"/>
    <x v="6"/>
    <x v="1"/>
    <x v="0"/>
    <n v="0"/>
  </r>
  <r>
    <x v="6"/>
    <x v="0"/>
    <x v="0"/>
    <x v="2"/>
    <x v="6"/>
    <x v="2"/>
    <x v="7"/>
    <n v="6.4199999999999993E-2"/>
  </r>
  <r>
    <x v="6"/>
    <x v="0"/>
    <x v="0"/>
    <x v="2"/>
    <x v="6"/>
    <x v="3"/>
    <x v="0"/>
    <n v="0"/>
  </r>
  <r>
    <x v="7"/>
    <x v="0"/>
    <x v="0"/>
    <x v="2"/>
    <x v="7"/>
    <x v="0"/>
    <x v="0"/>
    <n v="0"/>
  </r>
  <r>
    <x v="7"/>
    <x v="0"/>
    <x v="0"/>
    <x v="2"/>
    <x v="7"/>
    <x v="1"/>
    <x v="0"/>
    <n v="0"/>
  </r>
  <r>
    <x v="7"/>
    <x v="0"/>
    <x v="0"/>
    <x v="2"/>
    <x v="7"/>
    <x v="2"/>
    <x v="0"/>
    <n v="0"/>
  </r>
  <r>
    <x v="7"/>
    <x v="0"/>
    <x v="0"/>
    <x v="2"/>
    <x v="7"/>
    <x v="3"/>
    <x v="7"/>
    <n v="2.69E-2"/>
  </r>
  <r>
    <x v="8"/>
    <x v="0"/>
    <x v="0"/>
    <x v="2"/>
    <x v="8"/>
    <x v="0"/>
    <x v="0"/>
    <n v="0"/>
  </r>
  <r>
    <x v="8"/>
    <x v="0"/>
    <x v="0"/>
    <x v="2"/>
    <x v="8"/>
    <x v="1"/>
    <x v="7"/>
    <n v="2.5600000000000001E-2"/>
  </r>
  <r>
    <x v="8"/>
    <x v="0"/>
    <x v="0"/>
    <x v="2"/>
    <x v="8"/>
    <x v="2"/>
    <x v="0"/>
    <n v="0"/>
  </r>
  <r>
    <x v="8"/>
    <x v="0"/>
    <x v="0"/>
    <x v="2"/>
    <x v="8"/>
    <x v="3"/>
    <x v="0"/>
    <n v="0"/>
  </r>
  <r>
    <x v="9"/>
    <x v="0"/>
    <x v="0"/>
    <x v="2"/>
    <x v="9"/>
    <x v="0"/>
    <x v="0"/>
    <n v="0"/>
  </r>
  <r>
    <x v="9"/>
    <x v="0"/>
    <x v="0"/>
    <x v="2"/>
    <x v="9"/>
    <x v="1"/>
    <x v="7"/>
    <n v="2.5999999999999999E-3"/>
  </r>
  <r>
    <x v="9"/>
    <x v="0"/>
    <x v="0"/>
    <x v="2"/>
    <x v="9"/>
    <x v="2"/>
    <x v="0"/>
    <n v="0"/>
  </r>
  <r>
    <x v="9"/>
    <x v="0"/>
    <x v="0"/>
    <x v="2"/>
    <x v="9"/>
    <x v="3"/>
    <x v="0"/>
    <n v="0"/>
  </r>
  <r>
    <x v="10"/>
    <x v="0"/>
    <x v="0"/>
    <x v="2"/>
    <x v="10"/>
    <x v="0"/>
    <x v="0"/>
    <n v="0"/>
  </r>
  <r>
    <x v="10"/>
    <x v="0"/>
    <x v="0"/>
    <x v="2"/>
    <x v="10"/>
    <x v="1"/>
    <x v="7"/>
    <n v="8.8999999999999999E-3"/>
  </r>
  <r>
    <x v="10"/>
    <x v="0"/>
    <x v="0"/>
    <x v="2"/>
    <x v="10"/>
    <x v="2"/>
    <x v="0"/>
    <n v="0"/>
  </r>
  <r>
    <x v="10"/>
    <x v="0"/>
    <x v="0"/>
    <x v="2"/>
    <x v="10"/>
    <x v="3"/>
    <x v="0"/>
    <n v="0"/>
  </r>
  <r>
    <x v="11"/>
    <x v="0"/>
    <x v="0"/>
    <x v="2"/>
    <x v="11"/>
    <x v="0"/>
    <x v="0"/>
    <n v="0"/>
  </r>
  <r>
    <x v="11"/>
    <x v="0"/>
    <x v="0"/>
    <x v="2"/>
    <x v="11"/>
    <x v="1"/>
    <x v="7"/>
    <n v="8.6E-3"/>
  </r>
  <r>
    <x v="11"/>
    <x v="0"/>
    <x v="0"/>
    <x v="2"/>
    <x v="11"/>
    <x v="2"/>
    <x v="0"/>
    <n v="0"/>
  </r>
  <r>
    <x v="11"/>
    <x v="0"/>
    <x v="0"/>
    <x v="2"/>
    <x v="11"/>
    <x v="3"/>
    <x v="0"/>
    <n v="0"/>
  </r>
  <r>
    <x v="12"/>
    <x v="1"/>
    <x v="0"/>
    <x v="2"/>
    <x v="2"/>
    <x v="0"/>
    <x v="0"/>
    <n v="0"/>
  </r>
  <r>
    <x v="12"/>
    <x v="1"/>
    <x v="0"/>
    <x v="2"/>
    <x v="2"/>
    <x v="1"/>
    <x v="0"/>
    <n v="0"/>
  </r>
  <r>
    <x v="12"/>
    <x v="1"/>
    <x v="0"/>
    <x v="2"/>
    <x v="2"/>
    <x v="2"/>
    <x v="0"/>
    <n v="0"/>
  </r>
  <r>
    <x v="12"/>
    <x v="1"/>
    <x v="0"/>
    <x v="2"/>
    <x v="2"/>
    <x v="3"/>
    <x v="0"/>
    <n v="0"/>
  </r>
  <r>
    <x v="0"/>
    <x v="0"/>
    <x v="0"/>
    <x v="3"/>
    <x v="0"/>
    <x v="0"/>
    <x v="0"/>
    <n v="0"/>
  </r>
  <r>
    <x v="0"/>
    <x v="0"/>
    <x v="0"/>
    <x v="3"/>
    <x v="0"/>
    <x v="1"/>
    <x v="1"/>
    <n v="2.7650000000000001E-2"/>
  </r>
  <r>
    <x v="0"/>
    <x v="0"/>
    <x v="0"/>
    <x v="3"/>
    <x v="0"/>
    <x v="2"/>
    <x v="2"/>
    <n v="1.1849999999999999E-2"/>
  </r>
  <r>
    <x v="0"/>
    <x v="0"/>
    <x v="0"/>
    <x v="3"/>
    <x v="0"/>
    <x v="3"/>
    <x v="0"/>
    <n v="0"/>
  </r>
  <r>
    <x v="1"/>
    <x v="0"/>
    <x v="0"/>
    <x v="3"/>
    <x v="1"/>
    <x v="0"/>
    <x v="3"/>
    <n v="0.16558"/>
  </r>
  <r>
    <x v="1"/>
    <x v="0"/>
    <x v="0"/>
    <x v="3"/>
    <x v="1"/>
    <x v="1"/>
    <x v="4"/>
    <n v="0.21915000000000001"/>
  </r>
  <r>
    <x v="1"/>
    <x v="0"/>
    <x v="0"/>
    <x v="3"/>
    <x v="1"/>
    <x v="2"/>
    <x v="5"/>
    <n v="4.87E-2"/>
  </r>
  <r>
    <x v="1"/>
    <x v="0"/>
    <x v="0"/>
    <x v="3"/>
    <x v="1"/>
    <x v="3"/>
    <x v="6"/>
    <n v="5.357E-2"/>
  </r>
  <r>
    <x v="2"/>
    <x v="0"/>
    <x v="0"/>
    <x v="3"/>
    <x v="2"/>
    <x v="0"/>
    <x v="0"/>
    <n v="0"/>
  </r>
  <r>
    <x v="2"/>
    <x v="0"/>
    <x v="0"/>
    <x v="3"/>
    <x v="2"/>
    <x v="1"/>
    <x v="7"/>
    <n v="0"/>
  </r>
  <r>
    <x v="2"/>
    <x v="0"/>
    <x v="0"/>
    <x v="3"/>
    <x v="2"/>
    <x v="2"/>
    <x v="0"/>
    <n v="0"/>
  </r>
  <r>
    <x v="2"/>
    <x v="0"/>
    <x v="0"/>
    <x v="3"/>
    <x v="2"/>
    <x v="3"/>
    <x v="0"/>
    <n v="0"/>
  </r>
  <r>
    <x v="3"/>
    <x v="0"/>
    <x v="0"/>
    <x v="3"/>
    <x v="3"/>
    <x v="0"/>
    <x v="0"/>
    <n v="0"/>
  </r>
  <r>
    <x v="3"/>
    <x v="0"/>
    <x v="0"/>
    <x v="3"/>
    <x v="3"/>
    <x v="1"/>
    <x v="7"/>
    <n v="1.2699999999999999E-2"/>
  </r>
  <r>
    <x v="3"/>
    <x v="0"/>
    <x v="0"/>
    <x v="3"/>
    <x v="3"/>
    <x v="2"/>
    <x v="0"/>
    <n v="0"/>
  </r>
  <r>
    <x v="3"/>
    <x v="0"/>
    <x v="0"/>
    <x v="3"/>
    <x v="3"/>
    <x v="3"/>
    <x v="0"/>
    <n v="0"/>
  </r>
  <r>
    <x v="4"/>
    <x v="0"/>
    <x v="0"/>
    <x v="3"/>
    <x v="4"/>
    <x v="0"/>
    <x v="7"/>
    <n v="0.16400000000000001"/>
  </r>
  <r>
    <x v="4"/>
    <x v="0"/>
    <x v="0"/>
    <x v="3"/>
    <x v="4"/>
    <x v="1"/>
    <x v="0"/>
    <n v="0"/>
  </r>
  <r>
    <x v="4"/>
    <x v="0"/>
    <x v="0"/>
    <x v="3"/>
    <x v="4"/>
    <x v="2"/>
    <x v="0"/>
    <n v="0"/>
  </r>
  <r>
    <x v="4"/>
    <x v="0"/>
    <x v="0"/>
    <x v="3"/>
    <x v="4"/>
    <x v="3"/>
    <x v="0"/>
    <n v="0"/>
  </r>
  <r>
    <x v="5"/>
    <x v="1"/>
    <x v="0"/>
    <x v="3"/>
    <x v="5"/>
    <x v="0"/>
    <x v="7"/>
    <n v="5.7999999999999996E-3"/>
  </r>
  <r>
    <x v="5"/>
    <x v="1"/>
    <x v="0"/>
    <x v="3"/>
    <x v="5"/>
    <x v="1"/>
    <x v="0"/>
    <n v="0"/>
  </r>
  <r>
    <x v="5"/>
    <x v="1"/>
    <x v="0"/>
    <x v="3"/>
    <x v="5"/>
    <x v="2"/>
    <x v="0"/>
    <n v="0"/>
  </r>
  <r>
    <x v="5"/>
    <x v="1"/>
    <x v="0"/>
    <x v="3"/>
    <x v="5"/>
    <x v="3"/>
    <x v="0"/>
    <n v="0"/>
  </r>
  <r>
    <x v="6"/>
    <x v="0"/>
    <x v="0"/>
    <x v="3"/>
    <x v="6"/>
    <x v="0"/>
    <x v="0"/>
    <n v="0"/>
  </r>
  <r>
    <x v="6"/>
    <x v="0"/>
    <x v="0"/>
    <x v="3"/>
    <x v="6"/>
    <x v="1"/>
    <x v="0"/>
    <n v="0"/>
  </r>
  <r>
    <x v="6"/>
    <x v="0"/>
    <x v="0"/>
    <x v="3"/>
    <x v="6"/>
    <x v="2"/>
    <x v="7"/>
    <n v="6.4199999999999993E-2"/>
  </r>
  <r>
    <x v="6"/>
    <x v="0"/>
    <x v="0"/>
    <x v="3"/>
    <x v="6"/>
    <x v="3"/>
    <x v="0"/>
    <n v="0"/>
  </r>
  <r>
    <x v="7"/>
    <x v="0"/>
    <x v="0"/>
    <x v="3"/>
    <x v="7"/>
    <x v="0"/>
    <x v="0"/>
    <n v="0"/>
  </r>
  <r>
    <x v="7"/>
    <x v="0"/>
    <x v="0"/>
    <x v="3"/>
    <x v="7"/>
    <x v="1"/>
    <x v="0"/>
    <n v="0"/>
  </r>
  <r>
    <x v="7"/>
    <x v="0"/>
    <x v="0"/>
    <x v="3"/>
    <x v="7"/>
    <x v="2"/>
    <x v="0"/>
    <n v="0"/>
  </r>
  <r>
    <x v="7"/>
    <x v="0"/>
    <x v="0"/>
    <x v="3"/>
    <x v="7"/>
    <x v="3"/>
    <x v="7"/>
    <n v="2.69E-2"/>
  </r>
  <r>
    <x v="8"/>
    <x v="0"/>
    <x v="0"/>
    <x v="3"/>
    <x v="8"/>
    <x v="0"/>
    <x v="0"/>
    <n v="0"/>
  </r>
  <r>
    <x v="8"/>
    <x v="0"/>
    <x v="0"/>
    <x v="3"/>
    <x v="8"/>
    <x v="1"/>
    <x v="7"/>
    <n v="2.5600000000000001E-2"/>
  </r>
  <r>
    <x v="8"/>
    <x v="0"/>
    <x v="0"/>
    <x v="3"/>
    <x v="8"/>
    <x v="2"/>
    <x v="0"/>
    <n v="0"/>
  </r>
  <r>
    <x v="8"/>
    <x v="0"/>
    <x v="0"/>
    <x v="3"/>
    <x v="8"/>
    <x v="3"/>
    <x v="0"/>
    <n v="0"/>
  </r>
  <r>
    <x v="9"/>
    <x v="0"/>
    <x v="0"/>
    <x v="3"/>
    <x v="9"/>
    <x v="0"/>
    <x v="0"/>
    <n v="0"/>
  </r>
  <r>
    <x v="9"/>
    <x v="0"/>
    <x v="0"/>
    <x v="3"/>
    <x v="9"/>
    <x v="1"/>
    <x v="7"/>
    <n v="2.5999999999999999E-3"/>
  </r>
  <r>
    <x v="9"/>
    <x v="0"/>
    <x v="0"/>
    <x v="3"/>
    <x v="9"/>
    <x v="2"/>
    <x v="0"/>
    <n v="0"/>
  </r>
  <r>
    <x v="9"/>
    <x v="0"/>
    <x v="0"/>
    <x v="3"/>
    <x v="9"/>
    <x v="3"/>
    <x v="0"/>
    <n v="0"/>
  </r>
  <r>
    <x v="10"/>
    <x v="0"/>
    <x v="0"/>
    <x v="3"/>
    <x v="10"/>
    <x v="0"/>
    <x v="0"/>
    <n v="0"/>
  </r>
  <r>
    <x v="10"/>
    <x v="0"/>
    <x v="0"/>
    <x v="3"/>
    <x v="10"/>
    <x v="1"/>
    <x v="7"/>
    <n v="8.8999999999999999E-3"/>
  </r>
  <r>
    <x v="10"/>
    <x v="0"/>
    <x v="0"/>
    <x v="3"/>
    <x v="10"/>
    <x v="2"/>
    <x v="0"/>
    <n v="0"/>
  </r>
  <r>
    <x v="10"/>
    <x v="0"/>
    <x v="0"/>
    <x v="3"/>
    <x v="10"/>
    <x v="3"/>
    <x v="0"/>
    <n v="0"/>
  </r>
  <r>
    <x v="11"/>
    <x v="0"/>
    <x v="0"/>
    <x v="3"/>
    <x v="11"/>
    <x v="0"/>
    <x v="0"/>
    <n v="0"/>
  </r>
  <r>
    <x v="11"/>
    <x v="0"/>
    <x v="0"/>
    <x v="3"/>
    <x v="11"/>
    <x v="1"/>
    <x v="7"/>
    <n v="8.6E-3"/>
  </r>
  <r>
    <x v="11"/>
    <x v="0"/>
    <x v="0"/>
    <x v="3"/>
    <x v="11"/>
    <x v="2"/>
    <x v="0"/>
    <n v="0"/>
  </r>
  <r>
    <x v="11"/>
    <x v="0"/>
    <x v="0"/>
    <x v="3"/>
    <x v="11"/>
    <x v="3"/>
    <x v="0"/>
    <n v="0"/>
  </r>
  <r>
    <x v="12"/>
    <x v="1"/>
    <x v="0"/>
    <x v="3"/>
    <x v="2"/>
    <x v="0"/>
    <x v="0"/>
    <n v="0"/>
  </r>
  <r>
    <x v="12"/>
    <x v="1"/>
    <x v="0"/>
    <x v="3"/>
    <x v="2"/>
    <x v="1"/>
    <x v="0"/>
    <n v="0"/>
  </r>
  <r>
    <x v="12"/>
    <x v="1"/>
    <x v="0"/>
    <x v="3"/>
    <x v="2"/>
    <x v="2"/>
    <x v="0"/>
    <n v="0"/>
  </r>
  <r>
    <x v="12"/>
    <x v="1"/>
    <x v="0"/>
    <x v="3"/>
    <x v="2"/>
    <x v="3"/>
    <x v="0"/>
    <n v="0"/>
  </r>
  <r>
    <x v="0"/>
    <x v="0"/>
    <x v="0"/>
    <x v="4"/>
    <x v="0"/>
    <x v="0"/>
    <x v="0"/>
    <n v="0"/>
  </r>
  <r>
    <x v="0"/>
    <x v="0"/>
    <x v="0"/>
    <x v="4"/>
    <x v="0"/>
    <x v="1"/>
    <x v="1"/>
    <n v="2.7650000000000001E-2"/>
  </r>
  <r>
    <x v="0"/>
    <x v="0"/>
    <x v="0"/>
    <x v="4"/>
    <x v="0"/>
    <x v="2"/>
    <x v="2"/>
    <n v="1.1849999999999999E-2"/>
  </r>
  <r>
    <x v="0"/>
    <x v="0"/>
    <x v="0"/>
    <x v="4"/>
    <x v="0"/>
    <x v="3"/>
    <x v="0"/>
    <n v="0"/>
  </r>
  <r>
    <x v="1"/>
    <x v="0"/>
    <x v="0"/>
    <x v="4"/>
    <x v="1"/>
    <x v="0"/>
    <x v="3"/>
    <n v="0.16558"/>
  </r>
  <r>
    <x v="1"/>
    <x v="0"/>
    <x v="0"/>
    <x v="4"/>
    <x v="1"/>
    <x v="1"/>
    <x v="4"/>
    <n v="0.21915000000000001"/>
  </r>
  <r>
    <x v="1"/>
    <x v="0"/>
    <x v="0"/>
    <x v="4"/>
    <x v="1"/>
    <x v="2"/>
    <x v="5"/>
    <n v="4.87E-2"/>
  </r>
  <r>
    <x v="1"/>
    <x v="0"/>
    <x v="0"/>
    <x v="4"/>
    <x v="1"/>
    <x v="3"/>
    <x v="6"/>
    <n v="5.357E-2"/>
  </r>
  <r>
    <x v="2"/>
    <x v="0"/>
    <x v="0"/>
    <x v="4"/>
    <x v="2"/>
    <x v="0"/>
    <x v="0"/>
    <n v="0"/>
  </r>
  <r>
    <x v="2"/>
    <x v="0"/>
    <x v="0"/>
    <x v="4"/>
    <x v="2"/>
    <x v="1"/>
    <x v="7"/>
    <n v="0"/>
  </r>
  <r>
    <x v="2"/>
    <x v="0"/>
    <x v="0"/>
    <x v="4"/>
    <x v="2"/>
    <x v="2"/>
    <x v="0"/>
    <n v="0"/>
  </r>
  <r>
    <x v="2"/>
    <x v="0"/>
    <x v="0"/>
    <x v="4"/>
    <x v="2"/>
    <x v="3"/>
    <x v="0"/>
    <n v="0"/>
  </r>
  <r>
    <x v="3"/>
    <x v="0"/>
    <x v="0"/>
    <x v="4"/>
    <x v="3"/>
    <x v="0"/>
    <x v="0"/>
    <n v="0"/>
  </r>
  <r>
    <x v="3"/>
    <x v="0"/>
    <x v="0"/>
    <x v="4"/>
    <x v="3"/>
    <x v="1"/>
    <x v="7"/>
    <n v="1.2699999999999999E-2"/>
  </r>
  <r>
    <x v="3"/>
    <x v="0"/>
    <x v="0"/>
    <x v="4"/>
    <x v="3"/>
    <x v="2"/>
    <x v="0"/>
    <n v="0"/>
  </r>
  <r>
    <x v="3"/>
    <x v="0"/>
    <x v="0"/>
    <x v="4"/>
    <x v="3"/>
    <x v="3"/>
    <x v="0"/>
    <n v="0"/>
  </r>
  <r>
    <x v="4"/>
    <x v="0"/>
    <x v="0"/>
    <x v="4"/>
    <x v="4"/>
    <x v="0"/>
    <x v="7"/>
    <n v="0.16400000000000001"/>
  </r>
  <r>
    <x v="4"/>
    <x v="0"/>
    <x v="0"/>
    <x v="4"/>
    <x v="4"/>
    <x v="1"/>
    <x v="0"/>
    <n v="0"/>
  </r>
  <r>
    <x v="4"/>
    <x v="0"/>
    <x v="0"/>
    <x v="4"/>
    <x v="4"/>
    <x v="2"/>
    <x v="0"/>
    <n v="0"/>
  </r>
  <r>
    <x v="4"/>
    <x v="0"/>
    <x v="0"/>
    <x v="4"/>
    <x v="4"/>
    <x v="3"/>
    <x v="0"/>
    <n v="0"/>
  </r>
  <r>
    <x v="5"/>
    <x v="1"/>
    <x v="0"/>
    <x v="4"/>
    <x v="5"/>
    <x v="0"/>
    <x v="7"/>
    <n v="5.7999999999999996E-3"/>
  </r>
  <r>
    <x v="5"/>
    <x v="1"/>
    <x v="0"/>
    <x v="4"/>
    <x v="5"/>
    <x v="1"/>
    <x v="0"/>
    <n v="0"/>
  </r>
  <r>
    <x v="5"/>
    <x v="1"/>
    <x v="0"/>
    <x v="4"/>
    <x v="5"/>
    <x v="2"/>
    <x v="0"/>
    <n v="0"/>
  </r>
  <r>
    <x v="5"/>
    <x v="1"/>
    <x v="0"/>
    <x v="4"/>
    <x v="5"/>
    <x v="3"/>
    <x v="0"/>
    <n v="0"/>
  </r>
  <r>
    <x v="6"/>
    <x v="0"/>
    <x v="0"/>
    <x v="4"/>
    <x v="6"/>
    <x v="0"/>
    <x v="0"/>
    <n v="0"/>
  </r>
  <r>
    <x v="6"/>
    <x v="0"/>
    <x v="0"/>
    <x v="4"/>
    <x v="6"/>
    <x v="1"/>
    <x v="0"/>
    <n v="0"/>
  </r>
  <r>
    <x v="6"/>
    <x v="0"/>
    <x v="0"/>
    <x v="4"/>
    <x v="6"/>
    <x v="2"/>
    <x v="7"/>
    <n v="6.4199999999999993E-2"/>
  </r>
  <r>
    <x v="6"/>
    <x v="0"/>
    <x v="0"/>
    <x v="4"/>
    <x v="6"/>
    <x v="3"/>
    <x v="0"/>
    <n v="0"/>
  </r>
  <r>
    <x v="7"/>
    <x v="0"/>
    <x v="0"/>
    <x v="4"/>
    <x v="7"/>
    <x v="0"/>
    <x v="0"/>
    <n v="0"/>
  </r>
  <r>
    <x v="7"/>
    <x v="0"/>
    <x v="0"/>
    <x v="4"/>
    <x v="7"/>
    <x v="1"/>
    <x v="0"/>
    <n v="0"/>
  </r>
  <r>
    <x v="7"/>
    <x v="0"/>
    <x v="0"/>
    <x v="4"/>
    <x v="7"/>
    <x v="2"/>
    <x v="0"/>
    <n v="0"/>
  </r>
  <r>
    <x v="7"/>
    <x v="0"/>
    <x v="0"/>
    <x v="4"/>
    <x v="7"/>
    <x v="3"/>
    <x v="7"/>
    <n v="2.69E-2"/>
  </r>
  <r>
    <x v="8"/>
    <x v="0"/>
    <x v="0"/>
    <x v="4"/>
    <x v="8"/>
    <x v="0"/>
    <x v="0"/>
    <n v="0"/>
  </r>
  <r>
    <x v="8"/>
    <x v="0"/>
    <x v="0"/>
    <x v="4"/>
    <x v="8"/>
    <x v="1"/>
    <x v="7"/>
    <n v="2.5600000000000001E-2"/>
  </r>
  <r>
    <x v="8"/>
    <x v="0"/>
    <x v="0"/>
    <x v="4"/>
    <x v="8"/>
    <x v="2"/>
    <x v="0"/>
    <n v="0"/>
  </r>
  <r>
    <x v="8"/>
    <x v="0"/>
    <x v="0"/>
    <x v="4"/>
    <x v="8"/>
    <x v="3"/>
    <x v="0"/>
    <n v="0"/>
  </r>
  <r>
    <x v="9"/>
    <x v="0"/>
    <x v="0"/>
    <x v="4"/>
    <x v="9"/>
    <x v="0"/>
    <x v="0"/>
    <n v="0"/>
  </r>
  <r>
    <x v="9"/>
    <x v="0"/>
    <x v="0"/>
    <x v="4"/>
    <x v="9"/>
    <x v="1"/>
    <x v="7"/>
    <n v="2.5999999999999999E-3"/>
  </r>
  <r>
    <x v="9"/>
    <x v="0"/>
    <x v="0"/>
    <x v="4"/>
    <x v="9"/>
    <x v="2"/>
    <x v="0"/>
    <n v="0"/>
  </r>
  <r>
    <x v="9"/>
    <x v="0"/>
    <x v="0"/>
    <x v="4"/>
    <x v="9"/>
    <x v="3"/>
    <x v="0"/>
    <n v="0"/>
  </r>
  <r>
    <x v="10"/>
    <x v="0"/>
    <x v="0"/>
    <x v="4"/>
    <x v="10"/>
    <x v="0"/>
    <x v="0"/>
    <n v="0"/>
  </r>
  <r>
    <x v="10"/>
    <x v="0"/>
    <x v="0"/>
    <x v="4"/>
    <x v="10"/>
    <x v="1"/>
    <x v="7"/>
    <n v="8.8999999999999999E-3"/>
  </r>
  <r>
    <x v="10"/>
    <x v="0"/>
    <x v="0"/>
    <x v="4"/>
    <x v="10"/>
    <x v="2"/>
    <x v="0"/>
    <n v="0"/>
  </r>
  <r>
    <x v="10"/>
    <x v="0"/>
    <x v="0"/>
    <x v="4"/>
    <x v="10"/>
    <x v="3"/>
    <x v="0"/>
    <n v="0"/>
  </r>
  <r>
    <x v="11"/>
    <x v="0"/>
    <x v="0"/>
    <x v="4"/>
    <x v="11"/>
    <x v="0"/>
    <x v="0"/>
    <n v="0"/>
  </r>
  <r>
    <x v="11"/>
    <x v="0"/>
    <x v="0"/>
    <x v="4"/>
    <x v="11"/>
    <x v="1"/>
    <x v="7"/>
    <n v="8.6E-3"/>
  </r>
  <r>
    <x v="11"/>
    <x v="0"/>
    <x v="0"/>
    <x v="4"/>
    <x v="11"/>
    <x v="2"/>
    <x v="0"/>
    <n v="0"/>
  </r>
  <r>
    <x v="11"/>
    <x v="0"/>
    <x v="0"/>
    <x v="4"/>
    <x v="11"/>
    <x v="3"/>
    <x v="0"/>
    <n v="0"/>
  </r>
  <r>
    <x v="12"/>
    <x v="1"/>
    <x v="0"/>
    <x v="4"/>
    <x v="2"/>
    <x v="0"/>
    <x v="0"/>
    <n v="0"/>
  </r>
  <r>
    <x v="12"/>
    <x v="1"/>
    <x v="0"/>
    <x v="4"/>
    <x v="2"/>
    <x v="1"/>
    <x v="0"/>
    <n v="0"/>
  </r>
  <r>
    <x v="12"/>
    <x v="1"/>
    <x v="0"/>
    <x v="4"/>
    <x v="2"/>
    <x v="2"/>
    <x v="0"/>
    <n v="0"/>
  </r>
  <r>
    <x v="12"/>
    <x v="1"/>
    <x v="0"/>
    <x v="4"/>
    <x v="2"/>
    <x v="3"/>
    <x v="0"/>
    <n v="0"/>
  </r>
  <r>
    <x v="0"/>
    <x v="0"/>
    <x v="0"/>
    <x v="5"/>
    <x v="0"/>
    <x v="0"/>
    <x v="0"/>
    <n v="0"/>
  </r>
  <r>
    <x v="0"/>
    <x v="0"/>
    <x v="0"/>
    <x v="5"/>
    <x v="0"/>
    <x v="1"/>
    <x v="1"/>
    <n v="2.7650000000000001E-2"/>
  </r>
  <r>
    <x v="0"/>
    <x v="0"/>
    <x v="0"/>
    <x v="5"/>
    <x v="0"/>
    <x v="2"/>
    <x v="2"/>
    <n v="1.1849999999999999E-2"/>
  </r>
  <r>
    <x v="0"/>
    <x v="0"/>
    <x v="0"/>
    <x v="5"/>
    <x v="0"/>
    <x v="3"/>
    <x v="0"/>
    <n v="0"/>
  </r>
  <r>
    <x v="1"/>
    <x v="0"/>
    <x v="0"/>
    <x v="5"/>
    <x v="1"/>
    <x v="0"/>
    <x v="3"/>
    <n v="0.16558"/>
  </r>
  <r>
    <x v="1"/>
    <x v="0"/>
    <x v="0"/>
    <x v="5"/>
    <x v="1"/>
    <x v="1"/>
    <x v="4"/>
    <n v="0.21915000000000001"/>
  </r>
  <r>
    <x v="1"/>
    <x v="0"/>
    <x v="0"/>
    <x v="5"/>
    <x v="1"/>
    <x v="2"/>
    <x v="5"/>
    <n v="4.87E-2"/>
  </r>
  <r>
    <x v="1"/>
    <x v="0"/>
    <x v="0"/>
    <x v="5"/>
    <x v="1"/>
    <x v="3"/>
    <x v="6"/>
    <n v="5.357E-2"/>
  </r>
  <r>
    <x v="2"/>
    <x v="0"/>
    <x v="0"/>
    <x v="5"/>
    <x v="2"/>
    <x v="0"/>
    <x v="0"/>
    <n v="0"/>
  </r>
  <r>
    <x v="2"/>
    <x v="0"/>
    <x v="0"/>
    <x v="5"/>
    <x v="2"/>
    <x v="1"/>
    <x v="7"/>
    <n v="0"/>
  </r>
  <r>
    <x v="2"/>
    <x v="0"/>
    <x v="0"/>
    <x v="5"/>
    <x v="2"/>
    <x v="2"/>
    <x v="0"/>
    <n v="0"/>
  </r>
  <r>
    <x v="2"/>
    <x v="0"/>
    <x v="0"/>
    <x v="5"/>
    <x v="2"/>
    <x v="3"/>
    <x v="0"/>
    <n v="0"/>
  </r>
  <r>
    <x v="3"/>
    <x v="0"/>
    <x v="0"/>
    <x v="5"/>
    <x v="3"/>
    <x v="0"/>
    <x v="0"/>
    <n v="0"/>
  </r>
  <r>
    <x v="3"/>
    <x v="0"/>
    <x v="0"/>
    <x v="5"/>
    <x v="3"/>
    <x v="1"/>
    <x v="7"/>
    <n v="1.2699999999999999E-2"/>
  </r>
  <r>
    <x v="3"/>
    <x v="0"/>
    <x v="0"/>
    <x v="5"/>
    <x v="3"/>
    <x v="2"/>
    <x v="0"/>
    <n v="0"/>
  </r>
  <r>
    <x v="3"/>
    <x v="0"/>
    <x v="0"/>
    <x v="5"/>
    <x v="3"/>
    <x v="3"/>
    <x v="0"/>
    <n v="0"/>
  </r>
  <r>
    <x v="4"/>
    <x v="0"/>
    <x v="0"/>
    <x v="5"/>
    <x v="4"/>
    <x v="0"/>
    <x v="7"/>
    <n v="0.16400000000000001"/>
  </r>
  <r>
    <x v="4"/>
    <x v="0"/>
    <x v="0"/>
    <x v="5"/>
    <x v="4"/>
    <x v="1"/>
    <x v="0"/>
    <n v="0"/>
  </r>
  <r>
    <x v="4"/>
    <x v="0"/>
    <x v="0"/>
    <x v="5"/>
    <x v="4"/>
    <x v="2"/>
    <x v="0"/>
    <n v="0"/>
  </r>
  <r>
    <x v="4"/>
    <x v="0"/>
    <x v="0"/>
    <x v="5"/>
    <x v="4"/>
    <x v="3"/>
    <x v="0"/>
    <n v="0"/>
  </r>
  <r>
    <x v="5"/>
    <x v="1"/>
    <x v="0"/>
    <x v="5"/>
    <x v="5"/>
    <x v="0"/>
    <x v="7"/>
    <n v="5.7999999999999996E-3"/>
  </r>
  <r>
    <x v="5"/>
    <x v="1"/>
    <x v="0"/>
    <x v="5"/>
    <x v="5"/>
    <x v="1"/>
    <x v="0"/>
    <n v="0"/>
  </r>
  <r>
    <x v="5"/>
    <x v="1"/>
    <x v="0"/>
    <x v="5"/>
    <x v="5"/>
    <x v="2"/>
    <x v="0"/>
    <n v="0"/>
  </r>
  <r>
    <x v="5"/>
    <x v="1"/>
    <x v="0"/>
    <x v="5"/>
    <x v="5"/>
    <x v="3"/>
    <x v="0"/>
    <n v="0"/>
  </r>
  <r>
    <x v="6"/>
    <x v="0"/>
    <x v="0"/>
    <x v="5"/>
    <x v="6"/>
    <x v="0"/>
    <x v="0"/>
    <n v="0"/>
  </r>
  <r>
    <x v="6"/>
    <x v="0"/>
    <x v="0"/>
    <x v="5"/>
    <x v="6"/>
    <x v="1"/>
    <x v="0"/>
    <n v="0"/>
  </r>
  <r>
    <x v="6"/>
    <x v="0"/>
    <x v="0"/>
    <x v="5"/>
    <x v="6"/>
    <x v="2"/>
    <x v="7"/>
    <n v="6.4199999999999993E-2"/>
  </r>
  <r>
    <x v="6"/>
    <x v="0"/>
    <x v="0"/>
    <x v="5"/>
    <x v="6"/>
    <x v="3"/>
    <x v="0"/>
    <n v="0"/>
  </r>
  <r>
    <x v="7"/>
    <x v="0"/>
    <x v="0"/>
    <x v="5"/>
    <x v="7"/>
    <x v="0"/>
    <x v="0"/>
    <n v="0"/>
  </r>
  <r>
    <x v="7"/>
    <x v="0"/>
    <x v="0"/>
    <x v="5"/>
    <x v="7"/>
    <x v="1"/>
    <x v="0"/>
    <n v="0"/>
  </r>
  <r>
    <x v="7"/>
    <x v="0"/>
    <x v="0"/>
    <x v="5"/>
    <x v="7"/>
    <x v="2"/>
    <x v="0"/>
    <n v="0"/>
  </r>
  <r>
    <x v="7"/>
    <x v="0"/>
    <x v="0"/>
    <x v="5"/>
    <x v="7"/>
    <x v="3"/>
    <x v="7"/>
    <n v="2.69E-2"/>
  </r>
  <r>
    <x v="8"/>
    <x v="0"/>
    <x v="0"/>
    <x v="5"/>
    <x v="8"/>
    <x v="0"/>
    <x v="0"/>
    <n v="0"/>
  </r>
  <r>
    <x v="8"/>
    <x v="0"/>
    <x v="0"/>
    <x v="5"/>
    <x v="8"/>
    <x v="1"/>
    <x v="7"/>
    <n v="2.5600000000000001E-2"/>
  </r>
  <r>
    <x v="8"/>
    <x v="0"/>
    <x v="0"/>
    <x v="5"/>
    <x v="8"/>
    <x v="2"/>
    <x v="0"/>
    <n v="0"/>
  </r>
  <r>
    <x v="8"/>
    <x v="0"/>
    <x v="0"/>
    <x v="5"/>
    <x v="8"/>
    <x v="3"/>
    <x v="0"/>
    <n v="0"/>
  </r>
  <r>
    <x v="9"/>
    <x v="0"/>
    <x v="0"/>
    <x v="5"/>
    <x v="9"/>
    <x v="0"/>
    <x v="0"/>
    <n v="0"/>
  </r>
  <r>
    <x v="9"/>
    <x v="0"/>
    <x v="0"/>
    <x v="5"/>
    <x v="9"/>
    <x v="1"/>
    <x v="7"/>
    <n v="2.5999999999999999E-3"/>
  </r>
  <r>
    <x v="9"/>
    <x v="0"/>
    <x v="0"/>
    <x v="5"/>
    <x v="9"/>
    <x v="2"/>
    <x v="0"/>
    <n v="0"/>
  </r>
  <r>
    <x v="9"/>
    <x v="0"/>
    <x v="0"/>
    <x v="5"/>
    <x v="9"/>
    <x v="3"/>
    <x v="0"/>
    <n v="0"/>
  </r>
  <r>
    <x v="10"/>
    <x v="0"/>
    <x v="0"/>
    <x v="5"/>
    <x v="10"/>
    <x v="0"/>
    <x v="0"/>
    <n v="0"/>
  </r>
  <r>
    <x v="10"/>
    <x v="0"/>
    <x v="0"/>
    <x v="5"/>
    <x v="10"/>
    <x v="1"/>
    <x v="7"/>
    <n v="8.8999999999999999E-3"/>
  </r>
  <r>
    <x v="10"/>
    <x v="0"/>
    <x v="0"/>
    <x v="5"/>
    <x v="10"/>
    <x v="2"/>
    <x v="0"/>
    <n v="0"/>
  </r>
  <r>
    <x v="10"/>
    <x v="0"/>
    <x v="0"/>
    <x v="5"/>
    <x v="10"/>
    <x v="3"/>
    <x v="0"/>
    <n v="0"/>
  </r>
  <r>
    <x v="11"/>
    <x v="0"/>
    <x v="0"/>
    <x v="5"/>
    <x v="11"/>
    <x v="0"/>
    <x v="0"/>
    <n v="0"/>
  </r>
  <r>
    <x v="11"/>
    <x v="0"/>
    <x v="0"/>
    <x v="5"/>
    <x v="11"/>
    <x v="1"/>
    <x v="7"/>
    <n v="8.6E-3"/>
  </r>
  <r>
    <x v="11"/>
    <x v="0"/>
    <x v="0"/>
    <x v="5"/>
    <x v="11"/>
    <x v="2"/>
    <x v="0"/>
    <n v="0"/>
  </r>
  <r>
    <x v="11"/>
    <x v="0"/>
    <x v="0"/>
    <x v="5"/>
    <x v="11"/>
    <x v="3"/>
    <x v="0"/>
    <n v="0"/>
  </r>
  <r>
    <x v="12"/>
    <x v="1"/>
    <x v="0"/>
    <x v="5"/>
    <x v="2"/>
    <x v="0"/>
    <x v="0"/>
    <n v="0"/>
  </r>
  <r>
    <x v="12"/>
    <x v="1"/>
    <x v="0"/>
    <x v="5"/>
    <x v="2"/>
    <x v="1"/>
    <x v="0"/>
    <n v="0"/>
  </r>
  <r>
    <x v="12"/>
    <x v="1"/>
    <x v="0"/>
    <x v="5"/>
    <x v="2"/>
    <x v="2"/>
    <x v="0"/>
    <n v="0"/>
  </r>
  <r>
    <x v="12"/>
    <x v="1"/>
    <x v="0"/>
    <x v="5"/>
    <x v="2"/>
    <x v="3"/>
    <x v="0"/>
    <n v="0"/>
  </r>
  <r>
    <x v="0"/>
    <x v="0"/>
    <x v="0"/>
    <x v="6"/>
    <x v="0"/>
    <x v="0"/>
    <x v="0"/>
    <n v="0"/>
  </r>
  <r>
    <x v="0"/>
    <x v="0"/>
    <x v="0"/>
    <x v="6"/>
    <x v="0"/>
    <x v="1"/>
    <x v="1"/>
    <n v="2.7650000000000001E-2"/>
  </r>
  <r>
    <x v="0"/>
    <x v="0"/>
    <x v="0"/>
    <x v="6"/>
    <x v="0"/>
    <x v="2"/>
    <x v="2"/>
    <n v="1.1849999999999999E-2"/>
  </r>
  <r>
    <x v="0"/>
    <x v="0"/>
    <x v="0"/>
    <x v="6"/>
    <x v="0"/>
    <x v="3"/>
    <x v="0"/>
    <n v="0"/>
  </r>
  <r>
    <x v="1"/>
    <x v="0"/>
    <x v="0"/>
    <x v="6"/>
    <x v="1"/>
    <x v="0"/>
    <x v="3"/>
    <n v="0.16558"/>
  </r>
  <r>
    <x v="1"/>
    <x v="0"/>
    <x v="0"/>
    <x v="6"/>
    <x v="1"/>
    <x v="1"/>
    <x v="4"/>
    <n v="0.21915000000000001"/>
  </r>
  <r>
    <x v="1"/>
    <x v="0"/>
    <x v="0"/>
    <x v="6"/>
    <x v="1"/>
    <x v="2"/>
    <x v="5"/>
    <n v="4.87E-2"/>
  </r>
  <r>
    <x v="1"/>
    <x v="0"/>
    <x v="0"/>
    <x v="6"/>
    <x v="1"/>
    <x v="3"/>
    <x v="6"/>
    <n v="5.357E-2"/>
  </r>
  <r>
    <x v="2"/>
    <x v="0"/>
    <x v="0"/>
    <x v="6"/>
    <x v="2"/>
    <x v="0"/>
    <x v="0"/>
    <n v="0"/>
  </r>
  <r>
    <x v="2"/>
    <x v="0"/>
    <x v="0"/>
    <x v="6"/>
    <x v="2"/>
    <x v="1"/>
    <x v="7"/>
    <n v="0"/>
  </r>
  <r>
    <x v="2"/>
    <x v="0"/>
    <x v="0"/>
    <x v="6"/>
    <x v="2"/>
    <x v="2"/>
    <x v="0"/>
    <n v="0"/>
  </r>
  <r>
    <x v="2"/>
    <x v="0"/>
    <x v="0"/>
    <x v="6"/>
    <x v="2"/>
    <x v="3"/>
    <x v="0"/>
    <n v="0"/>
  </r>
  <r>
    <x v="3"/>
    <x v="0"/>
    <x v="0"/>
    <x v="6"/>
    <x v="3"/>
    <x v="0"/>
    <x v="0"/>
    <n v="0"/>
  </r>
  <r>
    <x v="3"/>
    <x v="0"/>
    <x v="0"/>
    <x v="6"/>
    <x v="3"/>
    <x v="1"/>
    <x v="7"/>
    <n v="1.2699999999999999E-2"/>
  </r>
  <r>
    <x v="3"/>
    <x v="0"/>
    <x v="0"/>
    <x v="6"/>
    <x v="3"/>
    <x v="2"/>
    <x v="0"/>
    <n v="0"/>
  </r>
  <r>
    <x v="3"/>
    <x v="0"/>
    <x v="0"/>
    <x v="6"/>
    <x v="3"/>
    <x v="3"/>
    <x v="0"/>
    <n v="0"/>
  </r>
  <r>
    <x v="4"/>
    <x v="0"/>
    <x v="0"/>
    <x v="6"/>
    <x v="4"/>
    <x v="0"/>
    <x v="7"/>
    <n v="0.16400000000000001"/>
  </r>
  <r>
    <x v="4"/>
    <x v="0"/>
    <x v="0"/>
    <x v="6"/>
    <x v="4"/>
    <x v="1"/>
    <x v="0"/>
    <n v="0"/>
  </r>
  <r>
    <x v="4"/>
    <x v="0"/>
    <x v="0"/>
    <x v="6"/>
    <x v="4"/>
    <x v="2"/>
    <x v="0"/>
    <n v="0"/>
  </r>
  <r>
    <x v="4"/>
    <x v="0"/>
    <x v="0"/>
    <x v="6"/>
    <x v="4"/>
    <x v="3"/>
    <x v="0"/>
    <n v="0"/>
  </r>
  <r>
    <x v="5"/>
    <x v="1"/>
    <x v="0"/>
    <x v="6"/>
    <x v="5"/>
    <x v="0"/>
    <x v="7"/>
    <n v="5.7999999999999996E-3"/>
  </r>
  <r>
    <x v="5"/>
    <x v="1"/>
    <x v="0"/>
    <x v="6"/>
    <x v="5"/>
    <x v="1"/>
    <x v="0"/>
    <n v="0"/>
  </r>
  <r>
    <x v="5"/>
    <x v="1"/>
    <x v="0"/>
    <x v="6"/>
    <x v="5"/>
    <x v="2"/>
    <x v="0"/>
    <n v="0"/>
  </r>
  <r>
    <x v="5"/>
    <x v="1"/>
    <x v="0"/>
    <x v="6"/>
    <x v="5"/>
    <x v="3"/>
    <x v="0"/>
    <n v="0"/>
  </r>
  <r>
    <x v="6"/>
    <x v="0"/>
    <x v="0"/>
    <x v="6"/>
    <x v="6"/>
    <x v="0"/>
    <x v="0"/>
    <n v="0"/>
  </r>
  <r>
    <x v="6"/>
    <x v="0"/>
    <x v="0"/>
    <x v="6"/>
    <x v="6"/>
    <x v="1"/>
    <x v="0"/>
    <n v="0"/>
  </r>
  <r>
    <x v="6"/>
    <x v="0"/>
    <x v="0"/>
    <x v="6"/>
    <x v="6"/>
    <x v="2"/>
    <x v="7"/>
    <n v="6.4199999999999993E-2"/>
  </r>
  <r>
    <x v="6"/>
    <x v="0"/>
    <x v="0"/>
    <x v="6"/>
    <x v="6"/>
    <x v="3"/>
    <x v="0"/>
    <n v="0"/>
  </r>
  <r>
    <x v="7"/>
    <x v="0"/>
    <x v="0"/>
    <x v="6"/>
    <x v="7"/>
    <x v="0"/>
    <x v="0"/>
    <n v="0"/>
  </r>
  <r>
    <x v="7"/>
    <x v="0"/>
    <x v="0"/>
    <x v="6"/>
    <x v="7"/>
    <x v="1"/>
    <x v="0"/>
    <n v="0"/>
  </r>
  <r>
    <x v="7"/>
    <x v="0"/>
    <x v="0"/>
    <x v="6"/>
    <x v="7"/>
    <x v="2"/>
    <x v="0"/>
    <n v="0"/>
  </r>
  <r>
    <x v="7"/>
    <x v="0"/>
    <x v="0"/>
    <x v="6"/>
    <x v="7"/>
    <x v="3"/>
    <x v="7"/>
    <n v="2.69E-2"/>
  </r>
  <r>
    <x v="8"/>
    <x v="0"/>
    <x v="0"/>
    <x v="6"/>
    <x v="8"/>
    <x v="0"/>
    <x v="0"/>
    <n v="0"/>
  </r>
  <r>
    <x v="8"/>
    <x v="0"/>
    <x v="0"/>
    <x v="6"/>
    <x v="8"/>
    <x v="1"/>
    <x v="7"/>
    <n v="2.5600000000000001E-2"/>
  </r>
  <r>
    <x v="8"/>
    <x v="0"/>
    <x v="0"/>
    <x v="6"/>
    <x v="8"/>
    <x v="2"/>
    <x v="0"/>
    <n v="0"/>
  </r>
  <r>
    <x v="8"/>
    <x v="0"/>
    <x v="0"/>
    <x v="6"/>
    <x v="8"/>
    <x v="3"/>
    <x v="0"/>
    <n v="0"/>
  </r>
  <r>
    <x v="9"/>
    <x v="0"/>
    <x v="0"/>
    <x v="6"/>
    <x v="9"/>
    <x v="0"/>
    <x v="0"/>
    <n v="0"/>
  </r>
  <r>
    <x v="9"/>
    <x v="0"/>
    <x v="0"/>
    <x v="6"/>
    <x v="9"/>
    <x v="1"/>
    <x v="7"/>
    <n v="2.5999999999999999E-3"/>
  </r>
  <r>
    <x v="9"/>
    <x v="0"/>
    <x v="0"/>
    <x v="6"/>
    <x v="9"/>
    <x v="2"/>
    <x v="0"/>
    <n v="0"/>
  </r>
  <r>
    <x v="9"/>
    <x v="0"/>
    <x v="0"/>
    <x v="6"/>
    <x v="9"/>
    <x v="3"/>
    <x v="0"/>
    <n v="0"/>
  </r>
  <r>
    <x v="10"/>
    <x v="0"/>
    <x v="0"/>
    <x v="6"/>
    <x v="10"/>
    <x v="0"/>
    <x v="0"/>
    <n v="0"/>
  </r>
  <r>
    <x v="10"/>
    <x v="0"/>
    <x v="0"/>
    <x v="6"/>
    <x v="10"/>
    <x v="1"/>
    <x v="7"/>
    <n v="8.8999999999999999E-3"/>
  </r>
  <r>
    <x v="10"/>
    <x v="0"/>
    <x v="0"/>
    <x v="6"/>
    <x v="10"/>
    <x v="2"/>
    <x v="0"/>
    <n v="0"/>
  </r>
  <r>
    <x v="10"/>
    <x v="0"/>
    <x v="0"/>
    <x v="6"/>
    <x v="10"/>
    <x v="3"/>
    <x v="0"/>
    <n v="0"/>
  </r>
  <r>
    <x v="11"/>
    <x v="0"/>
    <x v="0"/>
    <x v="6"/>
    <x v="11"/>
    <x v="0"/>
    <x v="0"/>
    <n v="0"/>
  </r>
  <r>
    <x v="11"/>
    <x v="0"/>
    <x v="0"/>
    <x v="6"/>
    <x v="11"/>
    <x v="1"/>
    <x v="7"/>
    <n v="8.6E-3"/>
  </r>
  <r>
    <x v="11"/>
    <x v="0"/>
    <x v="0"/>
    <x v="6"/>
    <x v="11"/>
    <x v="2"/>
    <x v="0"/>
    <n v="0"/>
  </r>
  <r>
    <x v="11"/>
    <x v="0"/>
    <x v="0"/>
    <x v="6"/>
    <x v="11"/>
    <x v="3"/>
    <x v="0"/>
    <n v="0"/>
  </r>
  <r>
    <x v="12"/>
    <x v="1"/>
    <x v="0"/>
    <x v="6"/>
    <x v="2"/>
    <x v="0"/>
    <x v="0"/>
    <n v="0"/>
  </r>
  <r>
    <x v="12"/>
    <x v="1"/>
    <x v="0"/>
    <x v="6"/>
    <x v="2"/>
    <x v="1"/>
    <x v="0"/>
    <n v="0"/>
  </r>
  <r>
    <x v="12"/>
    <x v="1"/>
    <x v="0"/>
    <x v="6"/>
    <x v="2"/>
    <x v="2"/>
    <x v="0"/>
    <n v="0"/>
  </r>
  <r>
    <x v="12"/>
    <x v="1"/>
    <x v="0"/>
    <x v="6"/>
    <x v="2"/>
    <x v="3"/>
    <x v="0"/>
    <n v="0"/>
  </r>
  <r>
    <x v="0"/>
    <x v="0"/>
    <x v="0"/>
    <x v="7"/>
    <x v="0"/>
    <x v="0"/>
    <x v="0"/>
    <n v="0"/>
  </r>
  <r>
    <x v="0"/>
    <x v="0"/>
    <x v="0"/>
    <x v="7"/>
    <x v="0"/>
    <x v="1"/>
    <x v="1"/>
    <n v="2.7650000000000001E-2"/>
  </r>
  <r>
    <x v="0"/>
    <x v="0"/>
    <x v="0"/>
    <x v="7"/>
    <x v="0"/>
    <x v="2"/>
    <x v="2"/>
    <n v="1.1849999999999999E-2"/>
  </r>
  <r>
    <x v="0"/>
    <x v="0"/>
    <x v="0"/>
    <x v="7"/>
    <x v="0"/>
    <x v="3"/>
    <x v="0"/>
    <n v="0"/>
  </r>
  <r>
    <x v="1"/>
    <x v="0"/>
    <x v="0"/>
    <x v="7"/>
    <x v="1"/>
    <x v="0"/>
    <x v="3"/>
    <n v="0.16558"/>
  </r>
  <r>
    <x v="1"/>
    <x v="0"/>
    <x v="0"/>
    <x v="7"/>
    <x v="1"/>
    <x v="1"/>
    <x v="4"/>
    <n v="0.21915000000000001"/>
  </r>
  <r>
    <x v="1"/>
    <x v="0"/>
    <x v="0"/>
    <x v="7"/>
    <x v="1"/>
    <x v="2"/>
    <x v="5"/>
    <n v="4.87E-2"/>
  </r>
  <r>
    <x v="1"/>
    <x v="0"/>
    <x v="0"/>
    <x v="7"/>
    <x v="1"/>
    <x v="3"/>
    <x v="6"/>
    <n v="5.357E-2"/>
  </r>
  <r>
    <x v="2"/>
    <x v="0"/>
    <x v="0"/>
    <x v="7"/>
    <x v="2"/>
    <x v="0"/>
    <x v="0"/>
    <n v="0"/>
  </r>
  <r>
    <x v="2"/>
    <x v="0"/>
    <x v="0"/>
    <x v="7"/>
    <x v="2"/>
    <x v="1"/>
    <x v="7"/>
    <n v="0"/>
  </r>
  <r>
    <x v="2"/>
    <x v="0"/>
    <x v="0"/>
    <x v="7"/>
    <x v="2"/>
    <x v="2"/>
    <x v="0"/>
    <n v="0"/>
  </r>
  <r>
    <x v="2"/>
    <x v="0"/>
    <x v="0"/>
    <x v="7"/>
    <x v="2"/>
    <x v="3"/>
    <x v="0"/>
    <n v="0"/>
  </r>
  <r>
    <x v="3"/>
    <x v="0"/>
    <x v="0"/>
    <x v="7"/>
    <x v="3"/>
    <x v="0"/>
    <x v="0"/>
    <n v="0"/>
  </r>
  <r>
    <x v="3"/>
    <x v="0"/>
    <x v="0"/>
    <x v="7"/>
    <x v="3"/>
    <x v="1"/>
    <x v="7"/>
    <n v="1.2699999999999999E-2"/>
  </r>
  <r>
    <x v="3"/>
    <x v="0"/>
    <x v="0"/>
    <x v="7"/>
    <x v="3"/>
    <x v="2"/>
    <x v="0"/>
    <n v="0"/>
  </r>
  <r>
    <x v="3"/>
    <x v="0"/>
    <x v="0"/>
    <x v="7"/>
    <x v="3"/>
    <x v="3"/>
    <x v="0"/>
    <n v="0"/>
  </r>
  <r>
    <x v="4"/>
    <x v="0"/>
    <x v="0"/>
    <x v="7"/>
    <x v="4"/>
    <x v="0"/>
    <x v="7"/>
    <n v="0.16400000000000001"/>
  </r>
  <r>
    <x v="4"/>
    <x v="0"/>
    <x v="0"/>
    <x v="7"/>
    <x v="4"/>
    <x v="1"/>
    <x v="0"/>
    <n v="0"/>
  </r>
  <r>
    <x v="4"/>
    <x v="0"/>
    <x v="0"/>
    <x v="7"/>
    <x v="4"/>
    <x v="2"/>
    <x v="0"/>
    <n v="0"/>
  </r>
  <r>
    <x v="4"/>
    <x v="0"/>
    <x v="0"/>
    <x v="7"/>
    <x v="4"/>
    <x v="3"/>
    <x v="0"/>
    <n v="0"/>
  </r>
  <r>
    <x v="5"/>
    <x v="1"/>
    <x v="0"/>
    <x v="7"/>
    <x v="5"/>
    <x v="0"/>
    <x v="7"/>
    <n v="5.7999999999999996E-3"/>
  </r>
  <r>
    <x v="5"/>
    <x v="1"/>
    <x v="0"/>
    <x v="7"/>
    <x v="5"/>
    <x v="1"/>
    <x v="0"/>
    <n v="0"/>
  </r>
  <r>
    <x v="5"/>
    <x v="1"/>
    <x v="0"/>
    <x v="7"/>
    <x v="5"/>
    <x v="2"/>
    <x v="0"/>
    <n v="0"/>
  </r>
  <r>
    <x v="5"/>
    <x v="1"/>
    <x v="0"/>
    <x v="7"/>
    <x v="5"/>
    <x v="3"/>
    <x v="0"/>
    <n v="0"/>
  </r>
  <r>
    <x v="6"/>
    <x v="0"/>
    <x v="0"/>
    <x v="7"/>
    <x v="6"/>
    <x v="0"/>
    <x v="0"/>
    <n v="0"/>
  </r>
  <r>
    <x v="6"/>
    <x v="0"/>
    <x v="0"/>
    <x v="7"/>
    <x v="6"/>
    <x v="1"/>
    <x v="0"/>
    <n v="0"/>
  </r>
  <r>
    <x v="6"/>
    <x v="0"/>
    <x v="0"/>
    <x v="7"/>
    <x v="6"/>
    <x v="2"/>
    <x v="7"/>
    <n v="6.4199999999999993E-2"/>
  </r>
  <r>
    <x v="6"/>
    <x v="0"/>
    <x v="0"/>
    <x v="7"/>
    <x v="6"/>
    <x v="3"/>
    <x v="0"/>
    <n v="0"/>
  </r>
  <r>
    <x v="7"/>
    <x v="0"/>
    <x v="0"/>
    <x v="7"/>
    <x v="7"/>
    <x v="0"/>
    <x v="0"/>
    <n v="0"/>
  </r>
  <r>
    <x v="7"/>
    <x v="0"/>
    <x v="0"/>
    <x v="7"/>
    <x v="7"/>
    <x v="1"/>
    <x v="0"/>
    <n v="0"/>
  </r>
  <r>
    <x v="7"/>
    <x v="0"/>
    <x v="0"/>
    <x v="7"/>
    <x v="7"/>
    <x v="2"/>
    <x v="0"/>
    <n v="0"/>
  </r>
  <r>
    <x v="7"/>
    <x v="0"/>
    <x v="0"/>
    <x v="7"/>
    <x v="7"/>
    <x v="3"/>
    <x v="7"/>
    <n v="2.69E-2"/>
  </r>
  <r>
    <x v="8"/>
    <x v="0"/>
    <x v="0"/>
    <x v="7"/>
    <x v="8"/>
    <x v="0"/>
    <x v="0"/>
    <n v="0"/>
  </r>
  <r>
    <x v="8"/>
    <x v="0"/>
    <x v="0"/>
    <x v="7"/>
    <x v="8"/>
    <x v="1"/>
    <x v="7"/>
    <n v="2.5600000000000001E-2"/>
  </r>
  <r>
    <x v="8"/>
    <x v="0"/>
    <x v="0"/>
    <x v="7"/>
    <x v="8"/>
    <x v="2"/>
    <x v="0"/>
    <n v="0"/>
  </r>
  <r>
    <x v="8"/>
    <x v="0"/>
    <x v="0"/>
    <x v="7"/>
    <x v="8"/>
    <x v="3"/>
    <x v="0"/>
    <n v="0"/>
  </r>
  <r>
    <x v="9"/>
    <x v="0"/>
    <x v="0"/>
    <x v="7"/>
    <x v="9"/>
    <x v="0"/>
    <x v="0"/>
    <n v="0"/>
  </r>
  <r>
    <x v="9"/>
    <x v="0"/>
    <x v="0"/>
    <x v="7"/>
    <x v="9"/>
    <x v="1"/>
    <x v="7"/>
    <n v="2.5999999999999999E-3"/>
  </r>
  <r>
    <x v="9"/>
    <x v="0"/>
    <x v="0"/>
    <x v="7"/>
    <x v="9"/>
    <x v="2"/>
    <x v="0"/>
    <n v="0"/>
  </r>
  <r>
    <x v="9"/>
    <x v="0"/>
    <x v="0"/>
    <x v="7"/>
    <x v="9"/>
    <x v="3"/>
    <x v="0"/>
    <n v="0"/>
  </r>
  <r>
    <x v="10"/>
    <x v="0"/>
    <x v="0"/>
    <x v="7"/>
    <x v="10"/>
    <x v="0"/>
    <x v="0"/>
    <n v="0"/>
  </r>
  <r>
    <x v="10"/>
    <x v="0"/>
    <x v="0"/>
    <x v="7"/>
    <x v="10"/>
    <x v="1"/>
    <x v="7"/>
    <n v="8.8999999999999999E-3"/>
  </r>
  <r>
    <x v="10"/>
    <x v="0"/>
    <x v="0"/>
    <x v="7"/>
    <x v="10"/>
    <x v="2"/>
    <x v="0"/>
    <n v="0"/>
  </r>
  <r>
    <x v="10"/>
    <x v="0"/>
    <x v="0"/>
    <x v="7"/>
    <x v="10"/>
    <x v="3"/>
    <x v="0"/>
    <n v="0"/>
  </r>
  <r>
    <x v="11"/>
    <x v="0"/>
    <x v="0"/>
    <x v="7"/>
    <x v="11"/>
    <x v="0"/>
    <x v="0"/>
    <n v="0"/>
  </r>
  <r>
    <x v="11"/>
    <x v="0"/>
    <x v="0"/>
    <x v="7"/>
    <x v="11"/>
    <x v="1"/>
    <x v="7"/>
    <n v="8.6E-3"/>
  </r>
  <r>
    <x v="11"/>
    <x v="0"/>
    <x v="0"/>
    <x v="7"/>
    <x v="11"/>
    <x v="2"/>
    <x v="0"/>
    <n v="0"/>
  </r>
  <r>
    <x v="11"/>
    <x v="0"/>
    <x v="0"/>
    <x v="7"/>
    <x v="11"/>
    <x v="3"/>
    <x v="0"/>
    <n v="0"/>
  </r>
  <r>
    <x v="12"/>
    <x v="1"/>
    <x v="0"/>
    <x v="7"/>
    <x v="2"/>
    <x v="0"/>
    <x v="0"/>
    <n v="0"/>
  </r>
  <r>
    <x v="12"/>
    <x v="1"/>
    <x v="0"/>
    <x v="7"/>
    <x v="2"/>
    <x v="1"/>
    <x v="0"/>
    <n v="0"/>
  </r>
  <r>
    <x v="12"/>
    <x v="1"/>
    <x v="0"/>
    <x v="7"/>
    <x v="2"/>
    <x v="2"/>
    <x v="0"/>
    <n v="0"/>
  </r>
  <r>
    <x v="12"/>
    <x v="1"/>
    <x v="0"/>
    <x v="7"/>
    <x v="2"/>
    <x v="3"/>
    <x v="0"/>
    <n v="0"/>
  </r>
  <r>
    <x v="0"/>
    <x v="0"/>
    <x v="0"/>
    <x v="8"/>
    <x v="0"/>
    <x v="0"/>
    <x v="0"/>
    <n v="0"/>
  </r>
  <r>
    <x v="0"/>
    <x v="0"/>
    <x v="0"/>
    <x v="8"/>
    <x v="0"/>
    <x v="1"/>
    <x v="1"/>
    <n v="2.7650000000000001E-2"/>
  </r>
  <r>
    <x v="0"/>
    <x v="0"/>
    <x v="0"/>
    <x v="8"/>
    <x v="0"/>
    <x v="2"/>
    <x v="2"/>
    <n v="1.1849999999999999E-2"/>
  </r>
  <r>
    <x v="0"/>
    <x v="0"/>
    <x v="0"/>
    <x v="8"/>
    <x v="0"/>
    <x v="3"/>
    <x v="0"/>
    <n v="0"/>
  </r>
  <r>
    <x v="1"/>
    <x v="0"/>
    <x v="0"/>
    <x v="8"/>
    <x v="1"/>
    <x v="0"/>
    <x v="3"/>
    <n v="0.16558"/>
  </r>
  <r>
    <x v="1"/>
    <x v="0"/>
    <x v="0"/>
    <x v="8"/>
    <x v="1"/>
    <x v="1"/>
    <x v="4"/>
    <n v="0.21915000000000001"/>
  </r>
  <r>
    <x v="1"/>
    <x v="0"/>
    <x v="0"/>
    <x v="8"/>
    <x v="1"/>
    <x v="2"/>
    <x v="5"/>
    <n v="4.87E-2"/>
  </r>
  <r>
    <x v="1"/>
    <x v="0"/>
    <x v="0"/>
    <x v="8"/>
    <x v="1"/>
    <x v="3"/>
    <x v="6"/>
    <n v="5.357E-2"/>
  </r>
  <r>
    <x v="2"/>
    <x v="0"/>
    <x v="0"/>
    <x v="8"/>
    <x v="2"/>
    <x v="0"/>
    <x v="0"/>
    <n v="0"/>
  </r>
  <r>
    <x v="2"/>
    <x v="0"/>
    <x v="0"/>
    <x v="8"/>
    <x v="2"/>
    <x v="1"/>
    <x v="7"/>
    <n v="0"/>
  </r>
  <r>
    <x v="2"/>
    <x v="0"/>
    <x v="0"/>
    <x v="8"/>
    <x v="2"/>
    <x v="2"/>
    <x v="0"/>
    <n v="0"/>
  </r>
  <r>
    <x v="2"/>
    <x v="0"/>
    <x v="0"/>
    <x v="8"/>
    <x v="2"/>
    <x v="3"/>
    <x v="0"/>
    <n v="0"/>
  </r>
  <r>
    <x v="3"/>
    <x v="0"/>
    <x v="0"/>
    <x v="8"/>
    <x v="3"/>
    <x v="0"/>
    <x v="0"/>
    <n v="0"/>
  </r>
  <r>
    <x v="3"/>
    <x v="0"/>
    <x v="0"/>
    <x v="8"/>
    <x v="3"/>
    <x v="1"/>
    <x v="7"/>
    <n v="1.2699999999999999E-2"/>
  </r>
  <r>
    <x v="3"/>
    <x v="0"/>
    <x v="0"/>
    <x v="8"/>
    <x v="3"/>
    <x v="2"/>
    <x v="0"/>
    <n v="0"/>
  </r>
  <r>
    <x v="3"/>
    <x v="0"/>
    <x v="0"/>
    <x v="8"/>
    <x v="3"/>
    <x v="3"/>
    <x v="0"/>
    <n v="0"/>
  </r>
  <r>
    <x v="4"/>
    <x v="0"/>
    <x v="0"/>
    <x v="8"/>
    <x v="4"/>
    <x v="0"/>
    <x v="7"/>
    <n v="0.16400000000000001"/>
  </r>
  <r>
    <x v="4"/>
    <x v="0"/>
    <x v="0"/>
    <x v="8"/>
    <x v="4"/>
    <x v="1"/>
    <x v="0"/>
    <n v="0"/>
  </r>
  <r>
    <x v="4"/>
    <x v="0"/>
    <x v="0"/>
    <x v="8"/>
    <x v="4"/>
    <x v="2"/>
    <x v="0"/>
    <n v="0"/>
  </r>
  <r>
    <x v="4"/>
    <x v="0"/>
    <x v="0"/>
    <x v="8"/>
    <x v="4"/>
    <x v="3"/>
    <x v="0"/>
    <n v="0"/>
  </r>
  <r>
    <x v="5"/>
    <x v="1"/>
    <x v="0"/>
    <x v="8"/>
    <x v="5"/>
    <x v="0"/>
    <x v="7"/>
    <n v="5.7999999999999996E-3"/>
  </r>
  <r>
    <x v="5"/>
    <x v="1"/>
    <x v="0"/>
    <x v="8"/>
    <x v="5"/>
    <x v="1"/>
    <x v="0"/>
    <n v="0"/>
  </r>
  <r>
    <x v="5"/>
    <x v="1"/>
    <x v="0"/>
    <x v="8"/>
    <x v="5"/>
    <x v="2"/>
    <x v="0"/>
    <n v="0"/>
  </r>
  <r>
    <x v="5"/>
    <x v="1"/>
    <x v="0"/>
    <x v="8"/>
    <x v="5"/>
    <x v="3"/>
    <x v="0"/>
    <n v="0"/>
  </r>
  <r>
    <x v="6"/>
    <x v="0"/>
    <x v="0"/>
    <x v="8"/>
    <x v="6"/>
    <x v="0"/>
    <x v="0"/>
    <n v="0"/>
  </r>
  <r>
    <x v="6"/>
    <x v="0"/>
    <x v="0"/>
    <x v="8"/>
    <x v="6"/>
    <x v="1"/>
    <x v="0"/>
    <n v="0"/>
  </r>
  <r>
    <x v="6"/>
    <x v="0"/>
    <x v="0"/>
    <x v="8"/>
    <x v="6"/>
    <x v="2"/>
    <x v="7"/>
    <n v="6.4199999999999993E-2"/>
  </r>
  <r>
    <x v="6"/>
    <x v="0"/>
    <x v="0"/>
    <x v="8"/>
    <x v="6"/>
    <x v="3"/>
    <x v="0"/>
    <n v="0"/>
  </r>
  <r>
    <x v="7"/>
    <x v="0"/>
    <x v="0"/>
    <x v="8"/>
    <x v="7"/>
    <x v="0"/>
    <x v="0"/>
    <n v="0"/>
  </r>
  <r>
    <x v="7"/>
    <x v="0"/>
    <x v="0"/>
    <x v="8"/>
    <x v="7"/>
    <x v="1"/>
    <x v="0"/>
    <n v="0"/>
  </r>
  <r>
    <x v="7"/>
    <x v="0"/>
    <x v="0"/>
    <x v="8"/>
    <x v="7"/>
    <x v="2"/>
    <x v="0"/>
    <n v="0"/>
  </r>
  <r>
    <x v="7"/>
    <x v="0"/>
    <x v="0"/>
    <x v="8"/>
    <x v="7"/>
    <x v="3"/>
    <x v="7"/>
    <n v="2.69E-2"/>
  </r>
  <r>
    <x v="8"/>
    <x v="0"/>
    <x v="0"/>
    <x v="8"/>
    <x v="8"/>
    <x v="0"/>
    <x v="0"/>
    <n v="0"/>
  </r>
  <r>
    <x v="8"/>
    <x v="0"/>
    <x v="0"/>
    <x v="8"/>
    <x v="8"/>
    <x v="1"/>
    <x v="7"/>
    <n v="2.5600000000000001E-2"/>
  </r>
  <r>
    <x v="8"/>
    <x v="0"/>
    <x v="0"/>
    <x v="8"/>
    <x v="8"/>
    <x v="2"/>
    <x v="0"/>
    <n v="0"/>
  </r>
  <r>
    <x v="8"/>
    <x v="0"/>
    <x v="0"/>
    <x v="8"/>
    <x v="8"/>
    <x v="3"/>
    <x v="0"/>
    <n v="0"/>
  </r>
  <r>
    <x v="9"/>
    <x v="0"/>
    <x v="0"/>
    <x v="8"/>
    <x v="9"/>
    <x v="0"/>
    <x v="0"/>
    <n v="0"/>
  </r>
  <r>
    <x v="9"/>
    <x v="0"/>
    <x v="0"/>
    <x v="8"/>
    <x v="9"/>
    <x v="1"/>
    <x v="7"/>
    <n v="2.5999999999999999E-3"/>
  </r>
  <r>
    <x v="9"/>
    <x v="0"/>
    <x v="0"/>
    <x v="8"/>
    <x v="9"/>
    <x v="2"/>
    <x v="0"/>
    <n v="0"/>
  </r>
  <r>
    <x v="9"/>
    <x v="0"/>
    <x v="0"/>
    <x v="8"/>
    <x v="9"/>
    <x v="3"/>
    <x v="0"/>
    <n v="0"/>
  </r>
  <r>
    <x v="10"/>
    <x v="0"/>
    <x v="0"/>
    <x v="8"/>
    <x v="10"/>
    <x v="0"/>
    <x v="0"/>
    <n v="0"/>
  </r>
  <r>
    <x v="10"/>
    <x v="0"/>
    <x v="0"/>
    <x v="8"/>
    <x v="10"/>
    <x v="1"/>
    <x v="7"/>
    <n v="8.8999999999999999E-3"/>
  </r>
  <r>
    <x v="10"/>
    <x v="0"/>
    <x v="0"/>
    <x v="8"/>
    <x v="10"/>
    <x v="2"/>
    <x v="0"/>
    <n v="0"/>
  </r>
  <r>
    <x v="10"/>
    <x v="0"/>
    <x v="0"/>
    <x v="8"/>
    <x v="10"/>
    <x v="3"/>
    <x v="0"/>
    <n v="0"/>
  </r>
  <r>
    <x v="11"/>
    <x v="0"/>
    <x v="0"/>
    <x v="8"/>
    <x v="11"/>
    <x v="0"/>
    <x v="0"/>
    <n v="0"/>
  </r>
  <r>
    <x v="11"/>
    <x v="0"/>
    <x v="0"/>
    <x v="8"/>
    <x v="11"/>
    <x v="1"/>
    <x v="7"/>
    <n v="8.6E-3"/>
  </r>
  <r>
    <x v="11"/>
    <x v="0"/>
    <x v="0"/>
    <x v="8"/>
    <x v="11"/>
    <x v="2"/>
    <x v="0"/>
    <n v="0"/>
  </r>
  <r>
    <x v="11"/>
    <x v="0"/>
    <x v="0"/>
    <x v="8"/>
    <x v="11"/>
    <x v="3"/>
    <x v="0"/>
    <n v="0"/>
  </r>
  <r>
    <x v="12"/>
    <x v="1"/>
    <x v="0"/>
    <x v="8"/>
    <x v="2"/>
    <x v="0"/>
    <x v="0"/>
    <n v="0"/>
  </r>
  <r>
    <x v="12"/>
    <x v="1"/>
    <x v="0"/>
    <x v="8"/>
    <x v="2"/>
    <x v="1"/>
    <x v="0"/>
    <n v="0"/>
  </r>
  <r>
    <x v="12"/>
    <x v="1"/>
    <x v="0"/>
    <x v="8"/>
    <x v="2"/>
    <x v="2"/>
    <x v="0"/>
    <n v="0"/>
  </r>
  <r>
    <x v="12"/>
    <x v="1"/>
    <x v="0"/>
    <x v="8"/>
    <x v="2"/>
    <x v="3"/>
    <x v="0"/>
    <n v="0"/>
  </r>
  <r>
    <x v="0"/>
    <x v="0"/>
    <x v="0"/>
    <x v="9"/>
    <x v="0"/>
    <x v="0"/>
    <x v="0"/>
    <n v="0"/>
  </r>
  <r>
    <x v="0"/>
    <x v="0"/>
    <x v="0"/>
    <x v="9"/>
    <x v="0"/>
    <x v="1"/>
    <x v="1"/>
    <n v="2.7650000000000001E-2"/>
  </r>
  <r>
    <x v="0"/>
    <x v="0"/>
    <x v="0"/>
    <x v="9"/>
    <x v="0"/>
    <x v="2"/>
    <x v="2"/>
    <n v="1.1849999999999999E-2"/>
  </r>
  <r>
    <x v="0"/>
    <x v="0"/>
    <x v="0"/>
    <x v="9"/>
    <x v="0"/>
    <x v="3"/>
    <x v="0"/>
    <n v="0"/>
  </r>
  <r>
    <x v="1"/>
    <x v="0"/>
    <x v="0"/>
    <x v="9"/>
    <x v="1"/>
    <x v="0"/>
    <x v="3"/>
    <n v="0.16558"/>
  </r>
  <r>
    <x v="1"/>
    <x v="0"/>
    <x v="0"/>
    <x v="9"/>
    <x v="1"/>
    <x v="1"/>
    <x v="4"/>
    <n v="0.21915000000000001"/>
  </r>
  <r>
    <x v="1"/>
    <x v="0"/>
    <x v="0"/>
    <x v="9"/>
    <x v="1"/>
    <x v="2"/>
    <x v="5"/>
    <n v="4.87E-2"/>
  </r>
  <r>
    <x v="1"/>
    <x v="0"/>
    <x v="0"/>
    <x v="9"/>
    <x v="1"/>
    <x v="3"/>
    <x v="6"/>
    <n v="5.357E-2"/>
  </r>
  <r>
    <x v="2"/>
    <x v="0"/>
    <x v="0"/>
    <x v="9"/>
    <x v="2"/>
    <x v="0"/>
    <x v="0"/>
    <n v="0"/>
  </r>
  <r>
    <x v="2"/>
    <x v="0"/>
    <x v="0"/>
    <x v="9"/>
    <x v="2"/>
    <x v="1"/>
    <x v="7"/>
    <n v="0"/>
  </r>
  <r>
    <x v="2"/>
    <x v="0"/>
    <x v="0"/>
    <x v="9"/>
    <x v="2"/>
    <x v="2"/>
    <x v="0"/>
    <n v="0"/>
  </r>
  <r>
    <x v="2"/>
    <x v="0"/>
    <x v="0"/>
    <x v="9"/>
    <x v="2"/>
    <x v="3"/>
    <x v="0"/>
    <n v="0"/>
  </r>
  <r>
    <x v="3"/>
    <x v="0"/>
    <x v="0"/>
    <x v="9"/>
    <x v="3"/>
    <x v="0"/>
    <x v="0"/>
    <n v="0"/>
  </r>
  <r>
    <x v="3"/>
    <x v="0"/>
    <x v="0"/>
    <x v="9"/>
    <x v="3"/>
    <x v="1"/>
    <x v="7"/>
    <n v="1.2699999999999999E-2"/>
  </r>
  <r>
    <x v="3"/>
    <x v="0"/>
    <x v="0"/>
    <x v="9"/>
    <x v="3"/>
    <x v="2"/>
    <x v="0"/>
    <n v="0"/>
  </r>
  <r>
    <x v="3"/>
    <x v="0"/>
    <x v="0"/>
    <x v="9"/>
    <x v="3"/>
    <x v="3"/>
    <x v="0"/>
    <n v="0"/>
  </r>
  <r>
    <x v="4"/>
    <x v="0"/>
    <x v="0"/>
    <x v="9"/>
    <x v="4"/>
    <x v="0"/>
    <x v="7"/>
    <n v="0.16400000000000001"/>
  </r>
  <r>
    <x v="4"/>
    <x v="0"/>
    <x v="0"/>
    <x v="9"/>
    <x v="4"/>
    <x v="1"/>
    <x v="0"/>
    <n v="0"/>
  </r>
  <r>
    <x v="4"/>
    <x v="0"/>
    <x v="0"/>
    <x v="9"/>
    <x v="4"/>
    <x v="2"/>
    <x v="0"/>
    <n v="0"/>
  </r>
  <r>
    <x v="4"/>
    <x v="0"/>
    <x v="0"/>
    <x v="9"/>
    <x v="4"/>
    <x v="3"/>
    <x v="0"/>
    <n v="0"/>
  </r>
  <r>
    <x v="5"/>
    <x v="1"/>
    <x v="0"/>
    <x v="9"/>
    <x v="5"/>
    <x v="0"/>
    <x v="7"/>
    <n v="5.7999999999999996E-3"/>
  </r>
  <r>
    <x v="5"/>
    <x v="1"/>
    <x v="0"/>
    <x v="9"/>
    <x v="5"/>
    <x v="1"/>
    <x v="0"/>
    <n v="0"/>
  </r>
  <r>
    <x v="5"/>
    <x v="1"/>
    <x v="0"/>
    <x v="9"/>
    <x v="5"/>
    <x v="2"/>
    <x v="0"/>
    <n v="0"/>
  </r>
  <r>
    <x v="5"/>
    <x v="1"/>
    <x v="0"/>
    <x v="9"/>
    <x v="5"/>
    <x v="3"/>
    <x v="0"/>
    <n v="0"/>
  </r>
  <r>
    <x v="6"/>
    <x v="0"/>
    <x v="0"/>
    <x v="9"/>
    <x v="6"/>
    <x v="0"/>
    <x v="0"/>
    <n v="0"/>
  </r>
  <r>
    <x v="6"/>
    <x v="0"/>
    <x v="0"/>
    <x v="9"/>
    <x v="6"/>
    <x v="1"/>
    <x v="0"/>
    <n v="0"/>
  </r>
  <r>
    <x v="6"/>
    <x v="0"/>
    <x v="0"/>
    <x v="9"/>
    <x v="6"/>
    <x v="2"/>
    <x v="7"/>
    <n v="6.4199999999999993E-2"/>
  </r>
  <r>
    <x v="6"/>
    <x v="0"/>
    <x v="0"/>
    <x v="9"/>
    <x v="6"/>
    <x v="3"/>
    <x v="0"/>
    <n v="0"/>
  </r>
  <r>
    <x v="7"/>
    <x v="0"/>
    <x v="0"/>
    <x v="9"/>
    <x v="7"/>
    <x v="0"/>
    <x v="0"/>
    <n v="0"/>
  </r>
  <r>
    <x v="7"/>
    <x v="0"/>
    <x v="0"/>
    <x v="9"/>
    <x v="7"/>
    <x v="1"/>
    <x v="0"/>
    <n v="0"/>
  </r>
  <r>
    <x v="7"/>
    <x v="0"/>
    <x v="0"/>
    <x v="9"/>
    <x v="7"/>
    <x v="2"/>
    <x v="0"/>
    <n v="0"/>
  </r>
  <r>
    <x v="7"/>
    <x v="0"/>
    <x v="0"/>
    <x v="9"/>
    <x v="7"/>
    <x v="3"/>
    <x v="7"/>
    <n v="2.69E-2"/>
  </r>
  <r>
    <x v="8"/>
    <x v="0"/>
    <x v="0"/>
    <x v="9"/>
    <x v="8"/>
    <x v="0"/>
    <x v="0"/>
    <n v="0"/>
  </r>
  <r>
    <x v="8"/>
    <x v="0"/>
    <x v="0"/>
    <x v="9"/>
    <x v="8"/>
    <x v="1"/>
    <x v="7"/>
    <n v="2.5600000000000001E-2"/>
  </r>
  <r>
    <x v="8"/>
    <x v="0"/>
    <x v="0"/>
    <x v="9"/>
    <x v="8"/>
    <x v="2"/>
    <x v="0"/>
    <n v="0"/>
  </r>
  <r>
    <x v="8"/>
    <x v="0"/>
    <x v="0"/>
    <x v="9"/>
    <x v="8"/>
    <x v="3"/>
    <x v="0"/>
    <n v="0"/>
  </r>
  <r>
    <x v="9"/>
    <x v="0"/>
    <x v="0"/>
    <x v="9"/>
    <x v="9"/>
    <x v="0"/>
    <x v="0"/>
    <n v="0"/>
  </r>
  <r>
    <x v="9"/>
    <x v="0"/>
    <x v="0"/>
    <x v="9"/>
    <x v="9"/>
    <x v="1"/>
    <x v="7"/>
    <n v="2.5999999999999999E-3"/>
  </r>
  <r>
    <x v="9"/>
    <x v="0"/>
    <x v="0"/>
    <x v="9"/>
    <x v="9"/>
    <x v="2"/>
    <x v="0"/>
    <n v="0"/>
  </r>
  <r>
    <x v="9"/>
    <x v="0"/>
    <x v="0"/>
    <x v="9"/>
    <x v="9"/>
    <x v="3"/>
    <x v="0"/>
    <n v="0"/>
  </r>
  <r>
    <x v="10"/>
    <x v="0"/>
    <x v="0"/>
    <x v="9"/>
    <x v="10"/>
    <x v="0"/>
    <x v="0"/>
    <n v="0"/>
  </r>
  <r>
    <x v="10"/>
    <x v="0"/>
    <x v="0"/>
    <x v="9"/>
    <x v="10"/>
    <x v="1"/>
    <x v="7"/>
    <n v="8.8999999999999999E-3"/>
  </r>
  <r>
    <x v="10"/>
    <x v="0"/>
    <x v="0"/>
    <x v="9"/>
    <x v="10"/>
    <x v="2"/>
    <x v="0"/>
    <n v="0"/>
  </r>
  <r>
    <x v="10"/>
    <x v="0"/>
    <x v="0"/>
    <x v="9"/>
    <x v="10"/>
    <x v="3"/>
    <x v="0"/>
    <n v="0"/>
  </r>
  <r>
    <x v="11"/>
    <x v="0"/>
    <x v="0"/>
    <x v="9"/>
    <x v="11"/>
    <x v="0"/>
    <x v="0"/>
    <n v="0"/>
  </r>
  <r>
    <x v="11"/>
    <x v="0"/>
    <x v="0"/>
    <x v="9"/>
    <x v="11"/>
    <x v="1"/>
    <x v="7"/>
    <n v="8.6E-3"/>
  </r>
  <r>
    <x v="11"/>
    <x v="0"/>
    <x v="0"/>
    <x v="9"/>
    <x v="11"/>
    <x v="2"/>
    <x v="0"/>
    <n v="0"/>
  </r>
  <r>
    <x v="11"/>
    <x v="0"/>
    <x v="0"/>
    <x v="9"/>
    <x v="11"/>
    <x v="3"/>
    <x v="0"/>
    <n v="0"/>
  </r>
  <r>
    <x v="12"/>
    <x v="1"/>
    <x v="0"/>
    <x v="9"/>
    <x v="2"/>
    <x v="0"/>
    <x v="0"/>
    <n v="0"/>
  </r>
  <r>
    <x v="12"/>
    <x v="1"/>
    <x v="0"/>
    <x v="9"/>
    <x v="2"/>
    <x v="1"/>
    <x v="0"/>
    <n v="0"/>
  </r>
  <r>
    <x v="12"/>
    <x v="1"/>
    <x v="0"/>
    <x v="9"/>
    <x v="2"/>
    <x v="2"/>
    <x v="0"/>
    <n v="0"/>
  </r>
  <r>
    <x v="12"/>
    <x v="1"/>
    <x v="0"/>
    <x v="9"/>
    <x v="2"/>
    <x v="3"/>
    <x v="0"/>
    <n v="0"/>
  </r>
  <r>
    <x v="0"/>
    <x v="0"/>
    <x v="0"/>
    <x v="10"/>
    <x v="0"/>
    <x v="0"/>
    <x v="0"/>
    <n v="0"/>
  </r>
  <r>
    <x v="0"/>
    <x v="0"/>
    <x v="0"/>
    <x v="10"/>
    <x v="0"/>
    <x v="1"/>
    <x v="1"/>
    <n v="2.7650000000000001E-2"/>
  </r>
  <r>
    <x v="0"/>
    <x v="0"/>
    <x v="0"/>
    <x v="10"/>
    <x v="0"/>
    <x v="2"/>
    <x v="2"/>
    <n v="1.1849999999999999E-2"/>
  </r>
  <r>
    <x v="0"/>
    <x v="0"/>
    <x v="0"/>
    <x v="10"/>
    <x v="0"/>
    <x v="3"/>
    <x v="0"/>
    <n v="0"/>
  </r>
  <r>
    <x v="1"/>
    <x v="0"/>
    <x v="0"/>
    <x v="10"/>
    <x v="1"/>
    <x v="0"/>
    <x v="3"/>
    <n v="0.16558"/>
  </r>
  <r>
    <x v="1"/>
    <x v="0"/>
    <x v="0"/>
    <x v="10"/>
    <x v="1"/>
    <x v="1"/>
    <x v="4"/>
    <n v="0.21915000000000001"/>
  </r>
  <r>
    <x v="1"/>
    <x v="0"/>
    <x v="0"/>
    <x v="10"/>
    <x v="1"/>
    <x v="2"/>
    <x v="5"/>
    <n v="4.87E-2"/>
  </r>
  <r>
    <x v="1"/>
    <x v="0"/>
    <x v="0"/>
    <x v="10"/>
    <x v="1"/>
    <x v="3"/>
    <x v="6"/>
    <n v="5.357E-2"/>
  </r>
  <r>
    <x v="2"/>
    <x v="0"/>
    <x v="0"/>
    <x v="10"/>
    <x v="2"/>
    <x v="0"/>
    <x v="0"/>
    <n v="0"/>
  </r>
  <r>
    <x v="2"/>
    <x v="0"/>
    <x v="0"/>
    <x v="10"/>
    <x v="2"/>
    <x v="1"/>
    <x v="7"/>
    <n v="0"/>
  </r>
  <r>
    <x v="2"/>
    <x v="0"/>
    <x v="0"/>
    <x v="10"/>
    <x v="2"/>
    <x v="2"/>
    <x v="0"/>
    <n v="0"/>
  </r>
  <r>
    <x v="2"/>
    <x v="0"/>
    <x v="0"/>
    <x v="10"/>
    <x v="2"/>
    <x v="3"/>
    <x v="0"/>
    <n v="0"/>
  </r>
  <r>
    <x v="3"/>
    <x v="0"/>
    <x v="0"/>
    <x v="10"/>
    <x v="3"/>
    <x v="0"/>
    <x v="0"/>
    <n v="0"/>
  </r>
  <r>
    <x v="3"/>
    <x v="0"/>
    <x v="0"/>
    <x v="10"/>
    <x v="3"/>
    <x v="1"/>
    <x v="7"/>
    <n v="1.2699999999999999E-2"/>
  </r>
  <r>
    <x v="3"/>
    <x v="0"/>
    <x v="0"/>
    <x v="10"/>
    <x v="3"/>
    <x v="2"/>
    <x v="0"/>
    <n v="0"/>
  </r>
  <r>
    <x v="3"/>
    <x v="0"/>
    <x v="0"/>
    <x v="10"/>
    <x v="3"/>
    <x v="3"/>
    <x v="0"/>
    <n v="0"/>
  </r>
  <r>
    <x v="4"/>
    <x v="0"/>
    <x v="0"/>
    <x v="10"/>
    <x v="4"/>
    <x v="0"/>
    <x v="7"/>
    <n v="0.16400000000000001"/>
  </r>
  <r>
    <x v="4"/>
    <x v="0"/>
    <x v="0"/>
    <x v="10"/>
    <x v="4"/>
    <x v="1"/>
    <x v="0"/>
    <n v="0"/>
  </r>
  <r>
    <x v="4"/>
    <x v="0"/>
    <x v="0"/>
    <x v="10"/>
    <x v="4"/>
    <x v="2"/>
    <x v="0"/>
    <n v="0"/>
  </r>
  <r>
    <x v="4"/>
    <x v="0"/>
    <x v="0"/>
    <x v="10"/>
    <x v="4"/>
    <x v="3"/>
    <x v="0"/>
    <n v="0"/>
  </r>
  <r>
    <x v="5"/>
    <x v="1"/>
    <x v="0"/>
    <x v="10"/>
    <x v="5"/>
    <x v="0"/>
    <x v="7"/>
    <n v="5.7999999999999996E-3"/>
  </r>
  <r>
    <x v="5"/>
    <x v="1"/>
    <x v="0"/>
    <x v="10"/>
    <x v="5"/>
    <x v="1"/>
    <x v="0"/>
    <n v="0"/>
  </r>
  <r>
    <x v="5"/>
    <x v="1"/>
    <x v="0"/>
    <x v="10"/>
    <x v="5"/>
    <x v="2"/>
    <x v="0"/>
    <n v="0"/>
  </r>
  <r>
    <x v="5"/>
    <x v="1"/>
    <x v="0"/>
    <x v="10"/>
    <x v="5"/>
    <x v="3"/>
    <x v="0"/>
    <n v="0"/>
  </r>
  <r>
    <x v="6"/>
    <x v="0"/>
    <x v="0"/>
    <x v="10"/>
    <x v="6"/>
    <x v="0"/>
    <x v="0"/>
    <n v="0"/>
  </r>
  <r>
    <x v="6"/>
    <x v="0"/>
    <x v="0"/>
    <x v="10"/>
    <x v="6"/>
    <x v="1"/>
    <x v="0"/>
    <n v="0"/>
  </r>
  <r>
    <x v="6"/>
    <x v="0"/>
    <x v="0"/>
    <x v="10"/>
    <x v="6"/>
    <x v="2"/>
    <x v="7"/>
    <n v="6.4199999999999993E-2"/>
  </r>
  <r>
    <x v="6"/>
    <x v="0"/>
    <x v="0"/>
    <x v="10"/>
    <x v="6"/>
    <x v="3"/>
    <x v="0"/>
    <n v="0"/>
  </r>
  <r>
    <x v="7"/>
    <x v="0"/>
    <x v="0"/>
    <x v="10"/>
    <x v="7"/>
    <x v="0"/>
    <x v="0"/>
    <n v="0"/>
  </r>
  <r>
    <x v="7"/>
    <x v="0"/>
    <x v="0"/>
    <x v="10"/>
    <x v="7"/>
    <x v="1"/>
    <x v="0"/>
    <n v="0"/>
  </r>
  <r>
    <x v="7"/>
    <x v="0"/>
    <x v="0"/>
    <x v="10"/>
    <x v="7"/>
    <x v="2"/>
    <x v="0"/>
    <n v="0"/>
  </r>
  <r>
    <x v="7"/>
    <x v="0"/>
    <x v="0"/>
    <x v="10"/>
    <x v="7"/>
    <x v="3"/>
    <x v="7"/>
    <n v="2.69E-2"/>
  </r>
  <r>
    <x v="8"/>
    <x v="0"/>
    <x v="0"/>
    <x v="10"/>
    <x v="8"/>
    <x v="0"/>
    <x v="0"/>
    <n v="0"/>
  </r>
  <r>
    <x v="8"/>
    <x v="0"/>
    <x v="0"/>
    <x v="10"/>
    <x v="8"/>
    <x v="1"/>
    <x v="7"/>
    <n v="2.5600000000000001E-2"/>
  </r>
  <r>
    <x v="8"/>
    <x v="0"/>
    <x v="0"/>
    <x v="10"/>
    <x v="8"/>
    <x v="2"/>
    <x v="0"/>
    <n v="0"/>
  </r>
  <r>
    <x v="8"/>
    <x v="0"/>
    <x v="0"/>
    <x v="10"/>
    <x v="8"/>
    <x v="3"/>
    <x v="0"/>
    <n v="0"/>
  </r>
  <r>
    <x v="9"/>
    <x v="0"/>
    <x v="0"/>
    <x v="10"/>
    <x v="9"/>
    <x v="0"/>
    <x v="0"/>
    <n v="0"/>
  </r>
  <r>
    <x v="9"/>
    <x v="0"/>
    <x v="0"/>
    <x v="10"/>
    <x v="9"/>
    <x v="1"/>
    <x v="7"/>
    <n v="2.5999999999999999E-3"/>
  </r>
  <r>
    <x v="9"/>
    <x v="0"/>
    <x v="0"/>
    <x v="10"/>
    <x v="9"/>
    <x v="2"/>
    <x v="0"/>
    <n v="0"/>
  </r>
  <r>
    <x v="9"/>
    <x v="0"/>
    <x v="0"/>
    <x v="10"/>
    <x v="9"/>
    <x v="3"/>
    <x v="0"/>
    <n v="0"/>
  </r>
  <r>
    <x v="10"/>
    <x v="0"/>
    <x v="0"/>
    <x v="10"/>
    <x v="10"/>
    <x v="0"/>
    <x v="0"/>
    <n v="0"/>
  </r>
  <r>
    <x v="10"/>
    <x v="0"/>
    <x v="0"/>
    <x v="10"/>
    <x v="10"/>
    <x v="1"/>
    <x v="7"/>
    <n v="8.8999999999999999E-3"/>
  </r>
  <r>
    <x v="10"/>
    <x v="0"/>
    <x v="0"/>
    <x v="10"/>
    <x v="10"/>
    <x v="2"/>
    <x v="0"/>
    <n v="0"/>
  </r>
  <r>
    <x v="10"/>
    <x v="0"/>
    <x v="0"/>
    <x v="10"/>
    <x v="10"/>
    <x v="3"/>
    <x v="0"/>
    <n v="0"/>
  </r>
  <r>
    <x v="11"/>
    <x v="0"/>
    <x v="0"/>
    <x v="10"/>
    <x v="11"/>
    <x v="0"/>
    <x v="0"/>
    <n v="0"/>
  </r>
  <r>
    <x v="11"/>
    <x v="0"/>
    <x v="0"/>
    <x v="10"/>
    <x v="11"/>
    <x v="1"/>
    <x v="7"/>
    <n v="8.6E-3"/>
  </r>
  <r>
    <x v="11"/>
    <x v="0"/>
    <x v="0"/>
    <x v="10"/>
    <x v="11"/>
    <x v="2"/>
    <x v="0"/>
    <n v="0"/>
  </r>
  <r>
    <x v="11"/>
    <x v="0"/>
    <x v="0"/>
    <x v="10"/>
    <x v="11"/>
    <x v="3"/>
    <x v="0"/>
    <n v="0"/>
  </r>
  <r>
    <x v="12"/>
    <x v="1"/>
    <x v="0"/>
    <x v="10"/>
    <x v="2"/>
    <x v="0"/>
    <x v="0"/>
    <n v="0"/>
  </r>
  <r>
    <x v="12"/>
    <x v="1"/>
    <x v="0"/>
    <x v="10"/>
    <x v="2"/>
    <x v="1"/>
    <x v="0"/>
    <n v="0"/>
  </r>
  <r>
    <x v="12"/>
    <x v="1"/>
    <x v="0"/>
    <x v="10"/>
    <x v="2"/>
    <x v="2"/>
    <x v="0"/>
    <n v="0"/>
  </r>
  <r>
    <x v="12"/>
    <x v="1"/>
    <x v="0"/>
    <x v="10"/>
    <x v="2"/>
    <x v="3"/>
    <x v="0"/>
    <n v="0"/>
  </r>
  <r>
    <x v="0"/>
    <x v="0"/>
    <x v="0"/>
    <x v="11"/>
    <x v="0"/>
    <x v="0"/>
    <x v="0"/>
    <n v="0"/>
  </r>
  <r>
    <x v="0"/>
    <x v="0"/>
    <x v="0"/>
    <x v="11"/>
    <x v="0"/>
    <x v="1"/>
    <x v="1"/>
    <n v="2.7650000000000001E-2"/>
  </r>
  <r>
    <x v="0"/>
    <x v="0"/>
    <x v="0"/>
    <x v="11"/>
    <x v="0"/>
    <x v="2"/>
    <x v="2"/>
    <n v="1.1849999999999999E-2"/>
  </r>
  <r>
    <x v="0"/>
    <x v="0"/>
    <x v="0"/>
    <x v="11"/>
    <x v="0"/>
    <x v="3"/>
    <x v="0"/>
    <n v="0"/>
  </r>
  <r>
    <x v="1"/>
    <x v="0"/>
    <x v="0"/>
    <x v="11"/>
    <x v="1"/>
    <x v="0"/>
    <x v="3"/>
    <n v="0.16558"/>
  </r>
  <r>
    <x v="1"/>
    <x v="0"/>
    <x v="0"/>
    <x v="11"/>
    <x v="1"/>
    <x v="1"/>
    <x v="4"/>
    <n v="0.21915000000000001"/>
  </r>
  <r>
    <x v="1"/>
    <x v="0"/>
    <x v="0"/>
    <x v="11"/>
    <x v="1"/>
    <x v="2"/>
    <x v="5"/>
    <n v="4.87E-2"/>
  </r>
  <r>
    <x v="1"/>
    <x v="0"/>
    <x v="0"/>
    <x v="11"/>
    <x v="1"/>
    <x v="3"/>
    <x v="6"/>
    <n v="5.357E-2"/>
  </r>
  <r>
    <x v="2"/>
    <x v="0"/>
    <x v="0"/>
    <x v="11"/>
    <x v="2"/>
    <x v="0"/>
    <x v="0"/>
    <n v="0"/>
  </r>
  <r>
    <x v="2"/>
    <x v="0"/>
    <x v="0"/>
    <x v="11"/>
    <x v="2"/>
    <x v="1"/>
    <x v="7"/>
    <n v="0"/>
  </r>
  <r>
    <x v="2"/>
    <x v="0"/>
    <x v="0"/>
    <x v="11"/>
    <x v="2"/>
    <x v="2"/>
    <x v="0"/>
    <n v="0"/>
  </r>
  <r>
    <x v="2"/>
    <x v="0"/>
    <x v="0"/>
    <x v="11"/>
    <x v="2"/>
    <x v="3"/>
    <x v="0"/>
    <n v="0"/>
  </r>
  <r>
    <x v="3"/>
    <x v="0"/>
    <x v="0"/>
    <x v="11"/>
    <x v="3"/>
    <x v="0"/>
    <x v="0"/>
    <n v="0"/>
  </r>
  <r>
    <x v="3"/>
    <x v="0"/>
    <x v="0"/>
    <x v="11"/>
    <x v="3"/>
    <x v="1"/>
    <x v="7"/>
    <n v="1.2699999999999999E-2"/>
  </r>
  <r>
    <x v="3"/>
    <x v="0"/>
    <x v="0"/>
    <x v="11"/>
    <x v="3"/>
    <x v="2"/>
    <x v="0"/>
    <n v="0"/>
  </r>
  <r>
    <x v="3"/>
    <x v="0"/>
    <x v="0"/>
    <x v="11"/>
    <x v="3"/>
    <x v="3"/>
    <x v="0"/>
    <n v="0"/>
  </r>
  <r>
    <x v="4"/>
    <x v="0"/>
    <x v="0"/>
    <x v="11"/>
    <x v="4"/>
    <x v="0"/>
    <x v="7"/>
    <n v="0.16400000000000001"/>
  </r>
  <r>
    <x v="4"/>
    <x v="0"/>
    <x v="0"/>
    <x v="11"/>
    <x v="4"/>
    <x v="1"/>
    <x v="0"/>
    <n v="0"/>
  </r>
  <r>
    <x v="4"/>
    <x v="0"/>
    <x v="0"/>
    <x v="11"/>
    <x v="4"/>
    <x v="2"/>
    <x v="0"/>
    <n v="0"/>
  </r>
  <r>
    <x v="4"/>
    <x v="0"/>
    <x v="0"/>
    <x v="11"/>
    <x v="4"/>
    <x v="3"/>
    <x v="0"/>
    <n v="0"/>
  </r>
  <r>
    <x v="5"/>
    <x v="1"/>
    <x v="0"/>
    <x v="11"/>
    <x v="5"/>
    <x v="0"/>
    <x v="7"/>
    <n v="5.7999999999999996E-3"/>
  </r>
  <r>
    <x v="5"/>
    <x v="1"/>
    <x v="0"/>
    <x v="11"/>
    <x v="5"/>
    <x v="1"/>
    <x v="0"/>
    <n v="0"/>
  </r>
  <r>
    <x v="5"/>
    <x v="1"/>
    <x v="0"/>
    <x v="11"/>
    <x v="5"/>
    <x v="2"/>
    <x v="0"/>
    <n v="0"/>
  </r>
  <r>
    <x v="5"/>
    <x v="1"/>
    <x v="0"/>
    <x v="11"/>
    <x v="5"/>
    <x v="3"/>
    <x v="0"/>
    <n v="0"/>
  </r>
  <r>
    <x v="6"/>
    <x v="0"/>
    <x v="0"/>
    <x v="11"/>
    <x v="6"/>
    <x v="0"/>
    <x v="0"/>
    <n v="0"/>
  </r>
  <r>
    <x v="6"/>
    <x v="0"/>
    <x v="0"/>
    <x v="11"/>
    <x v="6"/>
    <x v="1"/>
    <x v="0"/>
    <n v="0"/>
  </r>
  <r>
    <x v="6"/>
    <x v="0"/>
    <x v="0"/>
    <x v="11"/>
    <x v="6"/>
    <x v="2"/>
    <x v="7"/>
    <n v="6.4199999999999993E-2"/>
  </r>
  <r>
    <x v="6"/>
    <x v="0"/>
    <x v="0"/>
    <x v="11"/>
    <x v="6"/>
    <x v="3"/>
    <x v="0"/>
    <n v="0"/>
  </r>
  <r>
    <x v="7"/>
    <x v="0"/>
    <x v="0"/>
    <x v="11"/>
    <x v="7"/>
    <x v="0"/>
    <x v="0"/>
    <n v="0"/>
  </r>
  <r>
    <x v="7"/>
    <x v="0"/>
    <x v="0"/>
    <x v="11"/>
    <x v="7"/>
    <x v="1"/>
    <x v="0"/>
    <n v="0"/>
  </r>
  <r>
    <x v="7"/>
    <x v="0"/>
    <x v="0"/>
    <x v="11"/>
    <x v="7"/>
    <x v="2"/>
    <x v="0"/>
    <n v="0"/>
  </r>
  <r>
    <x v="7"/>
    <x v="0"/>
    <x v="0"/>
    <x v="11"/>
    <x v="7"/>
    <x v="3"/>
    <x v="7"/>
    <n v="2.69E-2"/>
  </r>
  <r>
    <x v="8"/>
    <x v="0"/>
    <x v="0"/>
    <x v="11"/>
    <x v="8"/>
    <x v="0"/>
    <x v="0"/>
    <n v="0"/>
  </r>
  <r>
    <x v="8"/>
    <x v="0"/>
    <x v="0"/>
    <x v="11"/>
    <x v="8"/>
    <x v="1"/>
    <x v="7"/>
    <n v="2.5600000000000001E-2"/>
  </r>
  <r>
    <x v="8"/>
    <x v="0"/>
    <x v="0"/>
    <x v="11"/>
    <x v="8"/>
    <x v="2"/>
    <x v="0"/>
    <n v="0"/>
  </r>
  <r>
    <x v="8"/>
    <x v="0"/>
    <x v="0"/>
    <x v="11"/>
    <x v="8"/>
    <x v="3"/>
    <x v="0"/>
    <n v="0"/>
  </r>
  <r>
    <x v="9"/>
    <x v="0"/>
    <x v="0"/>
    <x v="11"/>
    <x v="9"/>
    <x v="0"/>
    <x v="0"/>
    <n v="0"/>
  </r>
  <r>
    <x v="9"/>
    <x v="0"/>
    <x v="0"/>
    <x v="11"/>
    <x v="9"/>
    <x v="1"/>
    <x v="7"/>
    <n v="2.5999999999999999E-3"/>
  </r>
  <r>
    <x v="9"/>
    <x v="0"/>
    <x v="0"/>
    <x v="11"/>
    <x v="9"/>
    <x v="2"/>
    <x v="0"/>
    <n v="0"/>
  </r>
  <r>
    <x v="9"/>
    <x v="0"/>
    <x v="0"/>
    <x v="11"/>
    <x v="9"/>
    <x v="3"/>
    <x v="0"/>
    <n v="0"/>
  </r>
  <r>
    <x v="10"/>
    <x v="0"/>
    <x v="0"/>
    <x v="11"/>
    <x v="10"/>
    <x v="0"/>
    <x v="0"/>
    <n v="0"/>
  </r>
  <r>
    <x v="10"/>
    <x v="0"/>
    <x v="0"/>
    <x v="11"/>
    <x v="10"/>
    <x v="1"/>
    <x v="7"/>
    <n v="8.8999999999999999E-3"/>
  </r>
  <r>
    <x v="10"/>
    <x v="0"/>
    <x v="0"/>
    <x v="11"/>
    <x v="10"/>
    <x v="2"/>
    <x v="0"/>
    <n v="0"/>
  </r>
  <r>
    <x v="10"/>
    <x v="0"/>
    <x v="0"/>
    <x v="11"/>
    <x v="10"/>
    <x v="3"/>
    <x v="0"/>
    <n v="0"/>
  </r>
  <r>
    <x v="11"/>
    <x v="0"/>
    <x v="0"/>
    <x v="11"/>
    <x v="11"/>
    <x v="0"/>
    <x v="0"/>
    <n v="0"/>
  </r>
  <r>
    <x v="11"/>
    <x v="0"/>
    <x v="0"/>
    <x v="11"/>
    <x v="11"/>
    <x v="1"/>
    <x v="7"/>
    <n v="8.6E-3"/>
  </r>
  <r>
    <x v="11"/>
    <x v="0"/>
    <x v="0"/>
    <x v="11"/>
    <x v="11"/>
    <x v="2"/>
    <x v="0"/>
    <n v="0"/>
  </r>
  <r>
    <x v="11"/>
    <x v="0"/>
    <x v="0"/>
    <x v="11"/>
    <x v="11"/>
    <x v="3"/>
    <x v="0"/>
    <n v="0"/>
  </r>
  <r>
    <x v="12"/>
    <x v="1"/>
    <x v="0"/>
    <x v="11"/>
    <x v="2"/>
    <x v="0"/>
    <x v="0"/>
    <n v="0"/>
  </r>
  <r>
    <x v="12"/>
    <x v="1"/>
    <x v="0"/>
    <x v="11"/>
    <x v="2"/>
    <x v="1"/>
    <x v="0"/>
    <n v="0"/>
  </r>
  <r>
    <x v="12"/>
    <x v="1"/>
    <x v="0"/>
    <x v="11"/>
    <x v="2"/>
    <x v="2"/>
    <x v="0"/>
    <n v="0"/>
  </r>
  <r>
    <x v="12"/>
    <x v="1"/>
    <x v="0"/>
    <x v="11"/>
    <x v="2"/>
    <x v="3"/>
    <x v="0"/>
    <n v="0"/>
  </r>
  <r>
    <x v="0"/>
    <x v="0"/>
    <x v="0"/>
    <x v="12"/>
    <x v="0"/>
    <x v="0"/>
    <x v="0"/>
    <n v="0"/>
  </r>
  <r>
    <x v="0"/>
    <x v="0"/>
    <x v="0"/>
    <x v="12"/>
    <x v="0"/>
    <x v="1"/>
    <x v="1"/>
    <n v="2.7650000000000001E-2"/>
  </r>
  <r>
    <x v="0"/>
    <x v="0"/>
    <x v="0"/>
    <x v="12"/>
    <x v="0"/>
    <x v="2"/>
    <x v="2"/>
    <n v="1.1849999999999999E-2"/>
  </r>
  <r>
    <x v="0"/>
    <x v="0"/>
    <x v="0"/>
    <x v="12"/>
    <x v="0"/>
    <x v="3"/>
    <x v="0"/>
    <n v="0"/>
  </r>
  <r>
    <x v="1"/>
    <x v="0"/>
    <x v="0"/>
    <x v="12"/>
    <x v="1"/>
    <x v="0"/>
    <x v="3"/>
    <n v="0.16558"/>
  </r>
  <r>
    <x v="1"/>
    <x v="0"/>
    <x v="0"/>
    <x v="12"/>
    <x v="1"/>
    <x v="1"/>
    <x v="4"/>
    <n v="0.21915000000000001"/>
  </r>
  <r>
    <x v="1"/>
    <x v="0"/>
    <x v="0"/>
    <x v="12"/>
    <x v="1"/>
    <x v="2"/>
    <x v="5"/>
    <n v="4.87E-2"/>
  </r>
  <r>
    <x v="1"/>
    <x v="0"/>
    <x v="0"/>
    <x v="12"/>
    <x v="1"/>
    <x v="3"/>
    <x v="6"/>
    <n v="5.357E-2"/>
  </r>
  <r>
    <x v="2"/>
    <x v="0"/>
    <x v="0"/>
    <x v="12"/>
    <x v="2"/>
    <x v="0"/>
    <x v="0"/>
    <n v="0"/>
  </r>
  <r>
    <x v="2"/>
    <x v="0"/>
    <x v="0"/>
    <x v="12"/>
    <x v="2"/>
    <x v="1"/>
    <x v="7"/>
    <n v="0"/>
  </r>
  <r>
    <x v="2"/>
    <x v="0"/>
    <x v="0"/>
    <x v="12"/>
    <x v="2"/>
    <x v="2"/>
    <x v="0"/>
    <n v="0"/>
  </r>
  <r>
    <x v="2"/>
    <x v="0"/>
    <x v="0"/>
    <x v="12"/>
    <x v="2"/>
    <x v="3"/>
    <x v="0"/>
    <n v="0"/>
  </r>
  <r>
    <x v="3"/>
    <x v="0"/>
    <x v="0"/>
    <x v="12"/>
    <x v="3"/>
    <x v="0"/>
    <x v="0"/>
    <n v="0"/>
  </r>
  <r>
    <x v="3"/>
    <x v="0"/>
    <x v="0"/>
    <x v="12"/>
    <x v="3"/>
    <x v="1"/>
    <x v="7"/>
    <n v="1.2699999999999999E-2"/>
  </r>
  <r>
    <x v="3"/>
    <x v="0"/>
    <x v="0"/>
    <x v="12"/>
    <x v="3"/>
    <x v="2"/>
    <x v="0"/>
    <n v="0"/>
  </r>
  <r>
    <x v="3"/>
    <x v="0"/>
    <x v="0"/>
    <x v="12"/>
    <x v="3"/>
    <x v="3"/>
    <x v="0"/>
    <n v="0"/>
  </r>
  <r>
    <x v="4"/>
    <x v="0"/>
    <x v="0"/>
    <x v="12"/>
    <x v="4"/>
    <x v="0"/>
    <x v="7"/>
    <n v="0.16400000000000001"/>
  </r>
  <r>
    <x v="4"/>
    <x v="0"/>
    <x v="0"/>
    <x v="12"/>
    <x v="4"/>
    <x v="1"/>
    <x v="0"/>
    <n v="0"/>
  </r>
  <r>
    <x v="4"/>
    <x v="0"/>
    <x v="0"/>
    <x v="12"/>
    <x v="4"/>
    <x v="2"/>
    <x v="0"/>
    <n v="0"/>
  </r>
  <r>
    <x v="4"/>
    <x v="0"/>
    <x v="0"/>
    <x v="12"/>
    <x v="4"/>
    <x v="3"/>
    <x v="0"/>
    <n v="0"/>
  </r>
  <r>
    <x v="5"/>
    <x v="1"/>
    <x v="0"/>
    <x v="12"/>
    <x v="5"/>
    <x v="0"/>
    <x v="7"/>
    <n v="5.7999999999999996E-3"/>
  </r>
  <r>
    <x v="5"/>
    <x v="1"/>
    <x v="0"/>
    <x v="12"/>
    <x v="5"/>
    <x v="1"/>
    <x v="0"/>
    <n v="0"/>
  </r>
  <r>
    <x v="5"/>
    <x v="1"/>
    <x v="0"/>
    <x v="12"/>
    <x v="5"/>
    <x v="2"/>
    <x v="0"/>
    <n v="0"/>
  </r>
  <r>
    <x v="5"/>
    <x v="1"/>
    <x v="0"/>
    <x v="12"/>
    <x v="5"/>
    <x v="3"/>
    <x v="0"/>
    <n v="0"/>
  </r>
  <r>
    <x v="6"/>
    <x v="0"/>
    <x v="0"/>
    <x v="12"/>
    <x v="6"/>
    <x v="0"/>
    <x v="0"/>
    <n v="0"/>
  </r>
  <r>
    <x v="6"/>
    <x v="0"/>
    <x v="0"/>
    <x v="12"/>
    <x v="6"/>
    <x v="1"/>
    <x v="0"/>
    <n v="0"/>
  </r>
  <r>
    <x v="6"/>
    <x v="0"/>
    <x v="0"/>
    <x v="12"/>
    <x v="6"/>
    <x v="2"/>
    <x v="7"/>
    <n v="6.4199999999999993E-2"/>
  </r>
  <r>
    <x v="6"/>
    <x v="0"/>
    <x v="0"/>
    <x v="12"/>
    <x v="6"/>
    <x v="3"/>
    <x v="0"/>
    <n v="0"/>
  </r>
  <r>
    <x v="7"/>
    <x v="0"/>
    <x v="0"/>
    <x v="12"/>
    <x v="7"/>
    <x v="0"/>
    <x v="0"/>
    <n v="0"/>
  </r>
  <r>
    <x v="7"/>
    <x v="0"/>
    <x v="0"/>
    <x v="12"/>
    <x v="7"/>
    <x v="1"/>
    <x v="0"/>
    <n v="0"/>
  </r>
  <r>
    <x v="7"/>
    <x v="0"/>
    <x v="0"/>
    <x v="12"/>
    <x v="7"/>
    <x v="2"/>
    <x v="0"/>
    <n v="0"/>
  </r>
  <r>
    <x v="7"/>
    <x v="0"/>
    <x v="0"/>
    <x v="12"/>
    <x v="7"/>
    <x v="3"/>
    <x v="7"/>
    <n v="2.69E-2"/>
  </r>
  <r>
    <x v="8"/>
    <x v="0"/>
    <x v="0"/>
    <x v="12"/>
    <x v="8"/>
    <x v="0"/>
    <x v="0"/>
    <n v="0"/>
  </r>
  <r>
    <x v="8"/>
    <x v="0"/>
    <x v="0"/>
    <x v="12"/>
    <x v="8"/>
    <x v="1"/>
    <x v="7"/>
    <n v="2.5600000000000001E-2"/>
  </r>
  <r>
    <x v="8"/>
    <x v="0"/>
    <x v="0"/>
    <x v="12"/>
    <x v="8"/>
    <x v="2"/>
    <x v="0"/>
    <n v="0"/>
  </r>
  <r>
    <x v="8"/>
    <x v="0"/>
    <x v="0"/>
    <x v="12"/>
    <x v="8"/>
    <x v="3"/>
    <x v="0"/>
    <n v="0"/>
  </r>
  <r>
    <x v="9"/>
    <x v="0"/>
    <x v="0"/>
    <x v="12"/>
    <x v="9"/>
    <x v="0"/>
    <x v="0"/>
    <n v="0"/>
  </r>
  <r>
    <x v="9"/>
    <x v="0"/>
    <x v="0"/>
    <x v="12"/>
    <x v="9"/>
    <x v="1"/>
    <x v="7"/>
    <n v="2.5999999999999999E-3"/>
  </r>
  <r>
    <x v="9"/>
    <x v="0"/>
    <x v="0"/>
    <x v="12"/>
    <x v="9"/>
    <x v="2"/>
    <x v="0"/>
    <n v="0"/>
  </r>
  <r>
    <x v="9"/>
    <x v="0"/>
    <x v="0"/>
    <x v="12"/>
    <x v="9"/>
    <x v="3"/>
    <x v="0"/>
    <n v="0"/>
  </r>
  <r>
    <x v="10"/>
    <x v="0"/>
    <x v="0"/>
    <x v="12"/>
    <x v="10"/>
    <x v="0"/>
    <x v="0"/>
    <n v="0"/>
  </r>
  <r>
    <x v="10"/>
    <x v="0"/>
    <x v="0"/>
    <x v="12"/>
    <x v="10"/>
    <x v="1"/>
    <x v="7"/>
    <n v="8.8999999999999999E-3"/>
  </r>
  <r>
    <x v="10"/>
    <x v="0"/>
    <x v="0"/>
    <x v="12"/>
    <x v="10"/>
    <x v="2"/>
    <x v="0"/>
    <n v="0"/>
  </r>
  <r>
    <x v="10"/>
    <x v="0"/>
    <x v="0"/>
    <x v="12"/>
    <x v="10"/>
    <x v="3"/>
    <x v="0"/>
    <n v="0"/>
  </r>
  <r>
    <x v="11"/>
    <x v="0"/>
    <x v="0"/>
    <x v="12"/>
    <x v="11"/>
    <x v="0"/>
    <x v="0"/>
    <n v="0"/>
  </r>
  <r>
    <x v="11"/>
    <x v="0"/>
    <x v="0"/>
    <x v="12"/>
    <x v="11"/>
    <x v="1"/>
    <x v="7"/>
    <n v="8.6E-3"/>
  </r>
  <r>
    <x v="11"/>
    <x v="0"/>
    <x v="0"/>
    <x v="12"/>
    <x v="11"/>
    <x v="2"/>
    <x v="0"/>
    <n v="0"/>
  </r>
  <r>
    <x v="11"/>
    <x v="0"/>
    <x v="0"/>
    <x v="12"/>
    <x v="11"/>
    <x v="3"/>
    <x v="0"/>
    <n v="0"/>
  </r>
  <r>
    <x v="12"/>
    <x v="1"/>
    <x v="0"/>
    <x v="12"/>
    <x v="2"/>
    <x v="0"/>
    <x v="0"/>
    <n v="0"/>
  </r>
  <r>
    <x v="12"/>
    <x v="1"/>
    <x v="0"/>
    <x v="12"/>
    <x v="2"/>
    <x v="1"/>
    <x v="0"/>
    <n v="0"/>
  </r>
  <r>
    <x v="12"/>
    <x v="1"/>
    <x v="0"/>
    <x v="12"/>
    <x v="2"/>
    <x v="2"/>
    <x v="0"/>
    <n v="0"/>
  </r>
  <r>
    <x v="12"/>
    <x v="1"/>
    <x v="0"/>
    <x v="12"/>
    <x v="2"/>
    <x v="3"/>
    <x v="0"/>
    <n v="0"/>
  </r>
  <r>
    <x v="0"/>
    <x v="0"/>
    <x v="0"/>
    <x v="13"/>
    <x v="12"/>
    <x v="0"/>
    <x v="0"/>
    <n v="0"/>
  </r>
  <r>
    <x v="0"/>
    <x v="0"/>
    <x v="0"/>
    <x v="13"/>
    <x v="12"/>
    <x v="1"/>
    <x v="1"/>
    <n v="3.934E-2"/>
  </r>
  <r>
    <x v="0"/>
    <x v="0"/>
    <x v="0"/>
    <x v="13"/>
    <x v="12"/>
    <x v="2"/>
    <x v="2"/>
    <n v="1.686E-2"/>
  </r>
  <r>
    <x v="0"/>
    <x v="0"/>
    <x v="0"/>
    <x v="13"/>
    <x v="12"/>
    <x v="3"/>
    <x v="0"/>
    <n v="0"/>
  </r>
  <r>
    <x v="1"/>
    <x v="0"/>
    <x v="0"/>
    <x v="13"/>
    <x v="13"/>
    <x v="0"/>
    <x v="3"/>
    <n v="0.12253600000000001"/>
  </r>
  <r>
    <x v="1"/>
    <x v="0"/>
    <x v="0"/>
    <x v="13"/>
    <x v="13"/>
    <x v="1"/>
    <x v="4"/>
    <n v="0.16217999999999999"/>
  </r>
  <r>
    <x v="1"/>
    <x v="0"/>
    <x v="0"/>
    <x v="13"/>
    <x v="13"/>
    <x v="2"/>
    <x v="5"/>
    <n v="3.6040000000000003E-2"/>
  </r>
  <r>
    <x v="1"/>
    <x v="0"/>
    <x v="0"/>
    <x v="13"/>
    <x v="13"/>
    <x v="3"/>
    <x v="6"/>
    <n v="3.9643999999999999E-2"/>
  </r>
  <r>
    <x v="2"/>
    <x v="0"/>
    <x v="0"/>
    <x v="13"/>
    <x v="2"/>
    <x v="0"/>
    <x v="0"/>
    <n v="0"/>
  </r>
  <r>
    <x v="2"/>
    <x v="0"/>
    <x v="0"/>
    <x v="13"/>
    <x v="2"/>
    <x v="1"/>
    <x v="7"/>
    <n v="0"/>
  </r>
  <r>
    <x v="2"/>
    <x v="0"/>
    <x v="0"/>
    <x v="13"/>
    <x v="2"/>
    <x v="2"/>
    <x v="0"/>
    <n v="0"/>
  </r>
  <r>
    <x v="2"/>
    <x v="0"/>
    <x v="0"/>
    <x v="13"/>
    <x v="2"/>
    <x v="3"/>
    <x v="0"/>
    <n v="0"/>
  </r>
  <r>
    <x v="3"/>
    <x v="0"/>
    <x v="0"/>
    <x v="13"/>
    <x v="14"/>
    <x v="0"/>
    <x v="0"/>
    <n v="0"/>
  </r>
  <r>
    <x v="3"/>
    <x v="0"/>
    <x v="0"/>
    <x v="13"/>
    <x v="14"/>
    <x v="1"/>
    <x v="7"/>
    <n v="1.38E-2"/>
  </r>
  <r>
    <x v="3"/>
    <x v="0"/>
    <x v="0"/>
    <x v="13"/>
    <x v="14"/>
    <x v="2"/>
    <x v="0"/>
    <n v="0"/>
  </r>
  <r>
    <x v="3"/>
    <x v="0"/>
    <x v="0"/>
    <x v="13"/>
    <x v="14"/>
    <x v="3"/>
    <x v="0"/>
    <n v="0"/>
  </r>
  <r>
    <x v="4"/>
    <x v="0"/>
    <x v="0"/>
    <x v="13"/>
    <x v="15"/>
    <x v="0"/>
    <x v="7"/>
    <n v="0.2084"/>
  </r>
  <r>
    <x v="4"/>
    <x v="0"/>
    <x v="0"/>
    <x v="13"/>
    <x v="15"/>
    <x v="1"/>
    <x v="0"/>
    <n v="0"/>
  </r>
  <r>
    <x v="4"/>
    <x v="0"/>
    <x v="0"/>
    <x v="13"/>
    <x v="15"/>
    <x v="2"/>
    <x v="0"/>
    <n v="0"/>
  </r>
  <r>
    <x v="4"/>
    <x v="0"/>
    <x v="0"/>
    <x v="13"/>
    <x v="15"/>
    <x v="3"/>
    <x v="0"/>
    <n v="0"/>
  </r>
  <r>
    <x v="5"/>
    <x v="1"/>
    <x v="0"/>
    <x v="13"/>
    <x v="16"/>
    <x v="0"/>
    <x v="7"/>
    <n v="5.3E-3"/>
  </r>
  <r>
    <x v="5"/>
    <x v="1"/>
    <x v="0"/>
    <x v="13"/>
    <x v="16"/>
    <x v="1"/>
    <x v="0"/>
    <n v="0"/>
  </r>
  <r>
    <x v="5"/>
    <x v="1"/>
    <x v="0"/>
    <x v="13"/>
    <x v="16"/>
    <x v="2"/>
    <x v="0"/>
    <n v="0"/>
  </r>
  <r>
    <x v="5"/>
    <x v="1"/>
    <x v="0"/>
    <x v="13"/>
    <x v="16"/>
    <x v="3"/>
    <x v="0"/>
    <n v="0"/>
  </r>
  <r>
    <x v="6"/>
    <x v="0"/>
    <x v="0"/>
    <x v="13"/>
    <x v="17"/>
    <x v="0"/>
    <x v="0"/>
    <n v="0"/>
  </r>
  <r>
    <x v="6"/>
    <x v="0"/>
    <x v="0"/>
    <x v="13"/>
    <x v="17"/>
    <x v="1"/>
    <x v="0"/>
    <n v="0"/>
  </r>
  <r>
    <x v="6"/>
    <x v="0"/>
    <x v="0"/>
    <x v="13"/>
    <x v="17"/>
    <x v="2"/>
    <x v="7"/>
    <n v="8.7499999999999994E-2"/>
  </r>
  <r>
    <x v="6"/>
    <x v="0"/>
    <x v="0"/>
    <x v="13"/>
    <x v="17"/>
    <x v="3"/>
    <x v="0"/>
    <n v="0"/>
  </r>
  <r>
    <x v="7"/>
    <x v="0"/>
    <x v="0"/>
    <x v="13"/>
    <x v="18"/>
    <x v="0"/>
    <x v="0"/>
    <n v="0"/>
  </r>
  <r>
    <x v="7"/>
    <x v="0"/>
    <x v="0"/>
    <x v="13"/>
    <x v="18"/>
    <x v="1"/>
    <x v="0"/>
    <n v="0"/>
  </r>
  <r>
    <x v="7"/>
    <x v="0"/>
    <x v="0"/>
    <x v="13"/>
    <x v="18"/>
    <x v="2"/>
    <x v="0"/>
    <n v="0"/>
  </r>
  <r>
    <x v="7"/>
    <x v="0"/>
    <x v="0"/>
    <x v="13"/>
    <x v="18"/>
    <x v="3"/>
    <x v="7"/>
    <n v="3.8699999999999998E-2"/>
  </r>
  <r>
    <x v="8"/>
    <x v="0"/>
    <x v="0"/>
    <x v="13"/>
    <x v="19"/>
    <x v="0"/>
    <x v="0"/>
    <n v="0"/>
  </r>
  <r>
    <x v="8"/>
    <x v="0"/>
    <x v="0"/>
    <x v="13"/>
    <x v="19"/>
    <x v="1"/>
    <x v="7"/>
    <n v="3.04E-2"/>
  </r>
  <r>
    <x v="8"/>
    <x v="0"/>
    <x v="0"/>
    <x v="13"/>
    <x v="19"/>
    <x v="2"/>
    <x v="0"/>
    <n v="0"/>
  </r>
  <r>
    <x v="8"/>
    <x v="0"/>
    <x v="0"/>
    <x v="13"/>
    <x v="19"/>
    <x v="3"/>
    <x v="0"/>
    <n v="0"/>
  </r>
  <r>
    <x v="9"/>
    <x v="0"/>
    <x v="0"/>
    <x v="13"/>
    <x v="20"/>
    <x v="0"/>
    <x v="0"/>
    <n v="0"/>
  </r>
  <r>
    <x v="9"/>
    <x v="0"/>
    <x v="0"/>
    <x v="13"/>
    <x v="20"/>
    <x v="1"/>
    <x v="7"/>
    <n v="2.8999999999999998E-3"/>
  </r>
  <r>
    <x v="9"/>
    <x v="0"/>
    <x v="0"/>
    <x v="13"/>
    <x v="20"/>
    <x v="2"/>
    <x v="0"/>
    <n v="0"/>
  </r>
  <r>
    <x v="9"/>
    <x v="0"/>
    <x v="0"/>
    <x v="13"/>
    <x v="20"/>
    <x v="3"/>
    <x v="0"/>
    <n v="0"/>
  </r>
  <r>
    <x v="10"/>
    <x v="0"/>
    <x v="0"/>
    <x v="13"/>
    <x v="2"/>
    <x v="0"/>
    <x v="0"/>
    <n v="0"/>
  </r>
  <r>
    <x v="10"/>
    <x v="0"/>
    <x v="0"/>
    <x v="13"/>
    <x v="2"/>
    <x v="1"/>
    <x v="7"/>
    <n v="0"/>
  </r>
  <r>
    <x v="10"/>
    <x v="0"/>
    <x v="0"/>
    <x v="13"/>
    <x v="2"/>
    <x v="2"/>
    <x v="0"/>
    <n v="0"/>
  </r>
  <r>
    <x v="10"/>
    <x v="0"/>
    <x v="0"/>
    <x v="13"/>
    <x v="2"/>
    <x v="3"/>
    <x v="0"/>
    <n v="0"/>
  </r>
  <r>
    <x v="11"/>
    <x v="0"/>
    <x v="0"/>
    <x v="13"/>
    <x v="21"/>
    <x v="0"/>
    <x v="0"/>
    <n v="0"/>
  </r>
  <r>
    <x v="11"/>
    <x v="0"/>
    <x v="0"/>
    <x v="13"/>
    <x v="21"/>
    <x v="1"/>
    <x v="7"/>
    <n v="1.14E-2"/>
  </r>
  <r>
    <x v="11"/>
    <x v="0"/>
    <x v="0"/>
    <x v="13"/>
    <x v="21"/>
    <x v="2"/>
    <x v="0"/>
    <n v="0"/>
  </r>
  <r>
    <x v="11"/>
    <x v="0"/>
    <x v="0"/>
    <x v="13"/>
    <x v="21"/>
    <x v="3"/>
    <x v="0"/>
    <n v="0"/>
  </r>
  <r>
    <x v="12"/>
    <x v="1"/>
    <x v="0"/>
    <x v="13"/>
    <x v="2"/>
    <x v="0"/>
    <x v="0"/>
    <n v="0"/>
  </r>
  <r>
    <x v="12"/>
    <x v="1"/>
    <x v="0"/>
    <x v="13"/>
    <x v="2"/>
    <x v="1"/>
    <x v="0"/>
    <n v="0"/>
  </r>
  <r>
    <x v="12"/>
    <x v="1"/>
    <x v="0"/>
    <x v="13"/>
    <x v="2"/>
    <x v="2"/>
    <x v="0"/>
    <n v="0"/>
  </r>
  <r>
    <x v="12"/>
    <x v="1"/>
    <x v="0"/>
    <x v="13"/>
    <x v="2"/>
    <x v="3"/>
    <x v="0"/>
    <n v="0"/>
  </r>
  <r>
    <x v="0"/>
    <x v="0"/>
    <x v="0"/>
    <x v="14"/>
    <x v="12"/>
    <x v="0"/>
    <x v="0"/>
    <n v="0"/>
  </r>
  <r>
    <x v="0"/>
    <x v="0"/>
    <x v="0"/>
    <x v="14"/>
    <x v="12"/>
    <x v="1"/>
    <x v="1"/>
    <n v="3.934E-2"/>
  </r>
  <r>
    <x v="0"/>
    <x v="0"/>
    <x v="0"/>
    <x v="14"/>
    <x v="12"/>
    <x v="2"/>
    <x v="2"/>
    <n v="1.686E-2"/>
  </r>
  <r>
    <x v="0"/>
    <x v="0"/>
    <x v="0"/>
    <x v="14"/>
    <x v="12"/>
    <x v="3"/>
    <x v="0"/>
    <n v="0"/>
  </r>
  <r>
    <x v="1"/>
    <x v="0"/>
    <x v="0"/>
    <x v="14"/>
    <x v="13"/>
    <x v="0"/>
    <x v="3"/>
    <n v="0.12253600000000001"/>
  </r>
  <r>
    <x v="1"/>
    <x v="0"/>
    <x v="0"/>
    <x v="14"/>
    <x v="13"/>
    <x v="1"/>
    <x v="4"/>
    <n v="0.16217999999999999"/>
  </r>
  <r>
    <x v="1"/>
    <x v="0"/>
    <x v="0"/>
    <x v="14"/>
    <x v="13"/>
    <x v="2"/>
    <x v="5"/>
    <n v="3.6040000000000003E-2"/>
  </r>
  <r>
    <x v="1"/>
    <x v="0"/>
    <x v="0"/>
    <x v="14"/>
    <x v="13"/>
    <x v="3"/>
    <x v="6"/>
    <n v="3.9643999999999999E-2"/>
  </r>
  <r>
    <x v="2"/>
    <x v="0"/>
    <x v="0"/>
    <x v="14"/>
    <x v="2"/>
    <x v="0"/>
    <x v="0"/>
    <n v="0"/>
  </r>
  <r>
    <x v="2"/>
    <x v="0"/>
    <x v="0"/>
    <x v="14"/>
    <x v="2"/>
    <x v="1"/>
    <x v="7"/>
    <n v="0"/>
  </r>
  <r>
    <x v="2"/>
    <x v="0"/>
    <x v="0"/>
    <x v="14"/>
    <x v="2"/>
    <x v="2"/>
    <x v="0"/>
    <n v="0"/>
  </r>
  <r>
    <x v="2"/>
    <x v="0"/>
    <x v="0"/>
    <x v="14"/>
    <x v="2"/>
    <x v="3"/>
    <x v="0"/>
    <n v="0"/>
  </r>
  <r>
    <x v="3"/>
    <x v="0"/>
    <x v="0"/>
    <x v="14"/>
    <x v="14"/>
    <x v="0"/>
    <x v="0"/>
    <n v="0"/>
  </r>
  <r>
    <x v="3"/>
    <x v="0"/>
    <x v="0"/>
    <x v="14"/>
    <x v="14"/>
    <x v="1"/>
    <x v="7"/>
    <n v="1.38E-2"/>
  </r>
  <r>
    <x v="3"/>
    <x v="0"/>
    <x v="0"/>
    <x v="14"/>
    <x v="14"/>
    <x v="2"/>
    <x v="0"/>
    <n v="0"/>
  </r>
  <r>
    <x v="3"/>
    <x v="0"/>
    <x v="0"/>
    <x v="14"/>
    <x v="14"/>
    <x v="3"/>
    <x v="0"/>
    <n v="0"/>
  </r>
  <r>
    <x v="4"/>
    <x v="0"/>
    <x v="0"/>
    <x v="14"/>
    <x v="15"/>
    <x v="0"/>
    <x v="7"/>
    <n v="0.2084"/>
  </r>
  <r>
    <x v="4"/>
    <x v="0"/>
    <x v="0"/>
    <x v="14"/>
    <x v="15"/>
    <x v="1"/>
    <x v="0"/>
    <n v="0"/>
  </r>
  <r>
    <x v="4"/>
    <x v="0"/>
    <x v="0"/>
    <x v="14"/>
    <x v="15"/>
    <x v="2"/>
    <x v="0"/>
    <n v="0"/>
  </r>
  <r>
    <x v="4"/>
    <x v="0"/>
    <x v="0"/>
    <x v="14"/>
    <x v="15"/>
    <x v="3"/>
    <x v="0"/>
    <n v="0"/>
  </r>
  <r>
    <x v="5"/>
    <x v="1"/>
    <x v="0"/>
    <x v="14"/>
    <x v="16"/>
    <x v="0"/>
    <x v="7"/>
    <n v="5.3E-3"/>
  </r>
  <r>
    <x v="5"/>
    <x v="1"/>
    <x v="0"/>
    <x v="14"/>
    <x v="16"/>
    <x v="1"/>
    <x v="0"/>
    <n v="0"/>
  </r>
  <r>
    <x v="5"/>
    <x v="1"/>
    <x v="0"/>
    <x v="14"/>
    <x v="16"/>
    <x v="2"/>
    <x v="0"/>
    <n v="0"/>
  </r>
  <r>
    <x v="5"/>
    <x v="1"/>
    <x v="0"/>
    <x v="14"/>
    <x v="16"/>
    <x v="3"/>
    <x v="0"/>
    <n v="0"/>
  </r>
  <r>
    <x v="6"/>
    <x v="0"/>
    <x v="0"/>
    <x v="14"/>
    <x v="17"/>
    <x v="0"/>
    <x v="0"/>
    <n v="0"/>
  </r>
  <r>
    <x v="6"/>
    <x v="0"/>
    <x v="0"/>
    <x v="14"/>
    <x v="17"/>
    <x v="1"/>
    <x v="0"/>
    <n v="0"/>
  </r>
  <r>
    <x v="6"/>
    <x v="0"/>
    <x v="0"/>
    <x v="14"/>
    <x v="17"/>
    <x v="2"/>
    <x v="7"/>
    <n v="8.7499999999999994E-2"/>
  </r>
  <r>
    <x v="6"/>
    <x v="0"/>
    <x v="0"/>
    <x v="14"/>
    <x v="17"/>
    <x v="3"/>
    <x v="0"/>
    <n v="0"/>
  </r>
  <r>
    <x v="7"/>
    <x v="0"/>
    <x v="0"/>
    <x v="14"/>
    <x v="18"/>
    <x v="0"/>
    <x v="0"/>
    <n v="0"/>
  </r>
  <r>
    <x v="7"/>
    <x v="0"/>
    <x v="0"/>
    <x v="14"/>
    <x v="18"/>
    <x v="1"/>
    <x v="0"/>
    <n v="0"/>
  </r>
  <r>
    <x v="7"/>
    <x v="0"/>
    <x v="0"/>
    <x v="14"/>
    <x v="18"/>
    <x v="2"/>
    <x v="0"/>
    <n v="0"/>
  </r>
  <r>
    <x v="7"/>
    <x v="0"/>
    <x v="0"/>
    <x v="14"/>
    <x v="18"/>
    <x v="3"/>
    <x v="7"/>
    <n v="3.8699999999999998E-2"/>
  </r>
  <r>
    <x v="8"/>
    <x v="0"/>
    <x v="0"/>
    <x v="14"/>
    <x v="19"/>
    <x v="0"/>
    <x v="0"/>
    <n v="0"/>
  </r>
  <r>
    <x v="8"/>
    <x v="0"/>
    <x v="0"/>
    <x v="14"/>
    <x v="19"/>
    <x v="1"/>
    <x v="7"/>
    <n v="3.04E-2"/>
  </r>
  <r>
    <x v="8"/>
    <x v="0"/>
    <x v="0"/>
    <x v="14"/>
    <x v="19"/>
    <x v="2"/>
    <x v="0"/>
    <n v="0"/>
  </r>
  <r>
    <x v="8"/>
    <x v="0"/>
    <x v="0"/>
    <x v="14"/>
    <x v="19"/>
    <x v="3"/>
    <x v="0"/>
    <n v="0"/>
  </r>
  <r>
    <x v="9"/>
    <x v="0"/>
    <x v="0"/>
    <x v="14"/>
    <x v="20"/>
    <x v="0"/>
    <x v="0"/>
    <n v="0"/>
  </r>
  <r>
    <x v="9"/>
    <x v="0"/>
    <x v="0"/>
    <x v="14"/>
    <x v="20"/>
    <x v="1"/>
    <x v="7"/>
    <n v="2.8999999999999998E-3"/>
  </r>
  <r>
    <x v="9"/>
    <x v="0"/>
    <x v="0"/>
    <x v="14"/>
    <x v="20"/>
    <x v="2"/>
    <x v="0"/>
    <n v="0"/>
  </r>
  <r>
    <x v="9"/>
    <x v="0"/>
    <x v="0"/>
    <x v="14"/>
    <x v="20"/>
    <x v="3"/>
    <x v="0"/>
    <n v="0"/>
  </r>
  <r>
    <x v="10"/>
    <x v="0"/>
    <x v="0"/>
    <x v="14"/>
    <x v="2"/>
    <x v="0"/>
    <x v="0"/>
    <n v="0"/>
  </r>
  <r>
    <x v="10"/>
    <x v="0"/>
    <x v="0"/>
    <x v="14"/>
    <x v="2"/>
    <x v="1"/>
    <x v="7"/>
    <n v="0"/>
  </r>
  <r>
    <x v="10"/>
    <x v="0"/>
    <x v="0"/>
    <x v="14"/>
    <x v="2"/>
    <x v="2"/>
    <x v="0"/>
    <n v="0"/>
  </r>
  <r>
    <x v="10"/>
    <x v="0"/>
    <x v="0"/>
    <x v="14"/>
    <x v="2"/>
    <x v="3"/>
    <x v="0"/>
    <n v="0"/>
  </r>
  <r>
    <x v="11"/>
    <x v="0"/>
    <x v="0"/>
    <x v="14"/>
    <x v="21"/>
    <x v="0"/>
    <x v="0"/>
    <n v="0"/>
  </r>
  <r>
    <x v="11"/>
    <x v="0"/>
    <x v="0"/>
    <x v="14"/>
    <x v="21"/>
    <x v="1"/>
    <x v="7"/>
    <n v="1.14E-2"/>
  </r>
  <r>
    <x v="11"/>
    <x v="0"/>
    <x v="0"/>
    <x v="14"/>
    <x v="21"/>
    <x v="2"/>
    <x v="0"/>
    <n v="0"/>
  </r>
  <r>
    <x v="11"/>
    <x v="0"/>
    <x v="0"/>
    <x v="14"/>
    <x v="21"/>
    <x v="3"/>
    <x v="0"/>
    <n v="0"/>
  </r>
  <r>
    <x v="12"/>
    <x v="1"/>
    <x v="0"/>
    <x v="14"/>
    <x v="2"/>
    <x v="0"/>
    <x v="0"/>
    <n v="0"/>
  </r>
  <r>
    <x v="12"/>
    <x v="1"/>
    <x v="0"/>
    <x v="14"/>
    <x v="2"/>
    <x v="1"/>
    <x v="0"/>
    <n v="0"/>
  </r>
  <r>
    <x v="12"/>
    <x v="1"/>
    <x v="0"/>
    <x v="14"/>
    <x v="2"/>
    <x v="2"/>
    <x v="0"/>
    <n v="0"/>
  </r>
  <r>
    <x v="12"/>
    <x v="1"/>
    <x v="0"/>
    <x v="14"/>
    <x v="2"/>
    <x v="3"/>
    <x v="0"/>
    <n v="0"/>
  </r>
  <r>
    <x v="0"/>
    <x v="0"/>
    <x v="0"/>
    <x v="15"/>
    <x v="22"/>
    <x v="0"/>
    <x v="0"/>
    <n v="0"/>
  </r>
  <r>
    <x v="0"/>
    <x v="0"/>
    <x v="0"/>
    <x v="15"/>
    <x v="22"/>
    <x v="1"/>
    <x v="1"/>
    <n v="3.8920000000000003E-2"/>
  </r>
  <r>
    <x v="0"/>
    <x v="0"/>
    <x v="0"/>
    <x v="15"/>
    <x v="22"/>
    <x v="2"/>
    <x v="2"/>
    <n v="1.668E-2"/>
  </r>
  <r>
    <x v="0"/>
    <x v="0"/>
    <x v="0"/>
    <x v="15"/>
    <x v="22"/>
    <x v="3"/>
    <x v="0"/>
    <n v="0"/>
  </r>
  <r>
    <x v="1"/>
    <x v="0"/>
    <x v="0"/>
    <x v="15"/>
    <x v="23"/>
    <x v="0"/>
    <x v="3"/>
    <n v="0.12141399999999999"/>
  </r>
  <r>
    <x v="1"/>
    <x v="0"/>
    <x v="0"/>
    <x v="15"/>
    <x v="23"/>
    <x v="1"/>
    <x v="4"/>
    <n v="0.160695"/>
  </r>
  <r>
    <x v="1"/>
    <x v="0"/>
    <x v="0"/>
    <x v="15"/>
    <x v="23"/>
    <x v="2"/>
    <x v="5"/>
    <n v="3.5709999999999999E-2"/>
  </r>
  <r>
    <x v="1"/>
    <x v="0"/>
    <x v="0"/>
    <x v="15"/>
    <x v="23"/>
    <x v="3"/>
    <x v="6"/>
    <n v="3.9281000000000003E-2"/>
  </r>
  <r>
    <x v="2"/>
    <x v="0"/>
    <x v="0"/>
    <x v="15"/>
    <x v="24"/>
    <x v="0"/>
    <x v="0"/>
    <n v="0"/>
  </r>
  <r>
    <x v="2"/>
    <x v="0"/>
    <x v="0"/>
    <x v="15"/>
    <x v="24"/>
    <x v="1"/>
    <x v="7"/>
    <n v="9.1999999999999998E-3"/>
  </r>
  <r>
    <x v="2"/>
    <x v="0"/>
    <x v="0"/>
    <x v="15"/>
    <x v="24"/>
    <x v="2"/>
    <x v="0"/>
    <n v="0"/>
  </r>
  <r>
    <x v="2"/>
    <x v="0"/>
    <x v="0"/>
    <x v="15"/>
    <x v="24"/>
    <x v="3"/>
    <x v="0"/>
    <n v="0"/>
  </r>
  <r>
    <x v="3"/>
    <x v="0"/>
    <x v="0"/>
    <x v="15"/>
    <x v="25"/>
    <x v="0"/>
    <x v="0"/>
    <n v="0"/>
  </r>
  <r>
    <x v="3"/>
    <x v="0"/>
    <x v="0"/>
    <x v="15"/>
    <x v="25"/>
    <x v="1"/>
    <x v="7"/>
    <n v="1.37E-2"/>
  </r>
  <r>
    <x v="3"/>
    <x v="0"/>
    <x v="0"/>
    <x v="15"/>
    <x v="25"/>
    <x v="2"/>
    <x v="0"/>
    <n v="0"/>
  </r>
  <r>
    <x v="3"/>
    <x v="0"/>
    <x v="0"/>
    <x v="15"/>
    <x v="25"/>
    <x v="3"/>
    <x v="0"/>
    <n v="0"/>
  </r>
  <r>
    <x v="4"/>
    <x v="0"/>
    <x v="0"/>
    <x v="15"/>
    <x v="26"/>
    <x v="0"/>
    <x v="7"/>
    <n v="0.20649999999999999"/>
  </r>
  <r>
    <x v="4"/>
    <x v="0"/>
    <x v="0"/>
    <x v="15"/>
    <x v="26"/>
    <x v="1"/>
    <x v="0"/>
    <n v="0"/>
  </r>
  <r>
    <x v="4"/>
    <x v="0"/>
    <x v="0"/>
    <x v="15"/>
    <x v="26"/>
    <x v="2"/>
    <x v="0"/>
    <n v="0"/>
  </r>
  <r>
    <x v="4"/>
    <x v="0"/>
    <x v="0"/>
    <x v="15"/>
    <x v="26"/>
    <x v="3"/>
    <x v="0"/>
    <n v="0"/>
  </r>
  <r>
    <x v="5"/>
    <x v="1"/>
    <x v="0"/>
    <x v="15"/>
    <x v="27"/>
    <x v="0"/>
    <x v="7"/>
    <n v="5.1999999999999998E-3"/>
  </r>
  <r>
    <x v="5"/>
    <x v="1"/>
    <x v="0"/>
    <x v="15"/>
    <x v="27"/>
    <x v="1"/>
    <x v="0"/>
    <n v="0"/>
  </r>
  <r>
    <x v="5"/>
    <x v="1"/>
    <x v="0"/>
    <x v="15"/>
    <x v="27"/>
    <x v="2"/>
    <x v="0"/>
    <n v="0"/>
  </r>
  <r>
    <x v="5"/>
    <x v="1"/>
    <x v="0"/>
    <x v="15"/>
    <x v="27"/>
    <x v="3"/>
    <x v="0"/>
    <n v="0"/>
  </r>
  <r>
    <x v="6"/>
    <x v="0"/>
    <x v="0"/>
    <x v="15"/>
    <x v="28"/>
    <x v="0"/>
    <x v="0"/>
    <n v="0"/>
  </r>
  <r>
    <x v="6"/>
    <x v="0"/>
    <x v="0"/>
    <x v="15"/>
    <x v="28"/>
    <x v="1"/>
    <x v="0"/>
    <n v="0"/>
  </r>
  <r>
    <x v="6"/>
    <x v="0"/>
    <x v="0"/>
    <x v="15"/>
    <x v="28"/>
    <x v="2"/>
    <x v="7"/>
    <n v="8.6699999999999999E-2"/>
  </r>
  <r>
    <x v="6"/>
    <x v="0"/>
    <x v="0"/>
    <x v="15"/>
    <x v="28"/>
    <x v="3"/>
    <x v="0"/>
    <n v="0"/>
  </r>
  <r>
    <x v="7"/>
    <x v="0"/>
    <x v="0"/>
    <x v="15"/>
    <x v="29"/>
    <x v="0"/>
    <x v="0"/>
    <n v="0"/>
  </r>
  <r>
    <x v="7"/>
    <x v="0"/>
    <x v="0"/>
    <x v="15"/>
    <x v="29"/>
    <x v="1"/>
    <x v="0"/>
    <n v="0"/>
  </r>
  <r>
    <x v="7"/>
    <x v="0"/>
    <x v="0"/>
    <x v="15"/>
    <x v="29"/>
    <x v="2"/>
    <x v="0"/>
    <n v="0"/>
  </r>
  <r>
    <x v="7"/>
    <x v="0"/>
    <x v="0"/>
    <x v="15"/>
    <x v="29"/>
    <x v="3"/>
    <x v="7"/>
    <n v="3.8399999999999997E-2"/>
  </r>
  <r>
    <x v="8"/>
    <x v="0"/>
    <x v="0"/>
    <x v="15"/>
    <x v="30"/>
    <x v="0"/>
    <x v="0"/>
    <n v="0"/>
  </r>
  <r>
    <x v="8"/>
    <x v="0"/>
    <x v="0"/>
    <x v="15"/>
    <x v="30"/>
    <x v="1"/>
    <x v="7"/>
    <n v="3.0099999999999998E-2"/>
  </r>
  <r>
    <x v="8"/>
    <x v="0"/>
    <x v="0"/>
    <x v="15"/>
    <x v="30"/>
    <x v="2"/>
    <x v="0"/>
    <n v="0"/>
  </r>
  <r>
    <x v="8"/>
    <x v="0"/>
    <x v="0"/>
    <x v="15"/>
    <x v="30"/>
    <x v="3"/>
    <x v="0"/>
    <n v="0"/>
  </r>
  <r>
    <x v="9"/>
    <x v="0"/>
    <x v="0"/>
    <x v="15"/>
    <x v="20"/>
    <x v="0"/>
    <x v="0"/>
    <n v="0"/>
  </r>
  <r>
    <x v="9"/>
    <x v="0"/>
    <x v="0"/>
    <x v="15"/>
    <x v="20"/>
    <x v="1"/>
    <x v="7"/>
    <n v="2.8999999999999998E-3"/>
  </r>
  <r>
    <x v="9"/>
    <x v="0"/>
    <x v="0"/>
    <x v="15"/>
    <x v="20"/>
    <x v="2"/>
    <x v="0"/>
    <n v="0"/>
  </r>
  <r>
    <x v="9"/>
    <x v="0"/>
    <x v="0"/>
    <x v="15"/>
    <x v="20"/>
    <x v="3"/>
    <x v="0"/>
    <n v="0"/>
  </r>
  <r>
    <x v="10"/>
    <x v="0"/>
    <x v="0"/>
    <x v="15"/>
    <x v="2"/>
    <x v="0"/>
    <x v="0"/>
    <n v="0"/>
  </r>
  <r>
    <x v="10"/>
    <x v="0"/>
    <x v="0"/>
    <x v="15"/>
    <x v="2"/>
    <x v="1"/>
    <x v="7"/>
    <n v="0"/>
  </r>
  <r>
    <x v="10"/>
    <x v="0"/>
    <x v="0"/>
    <x v="15"/>
    <x v="2"/>
    <x v="2"/>
    <x v="0"/>
    <n v="0"/>
  </r>
  <r>
    <x v="10"/>
    <x v="0"/>
    <x v="0"/>
    <x v="15"/>
    <x v="2"/>
    <x v="3"/>
    <x v="0"/>
    <n v="0"/>
  </r>
  <r>
    <x v="11"/>
    <x v="0"/>
    <x v="0"/>
    <x v="15"/>
    <x v="31"/>
    <x v="0"/>
    <x v="0"/>
    <n v="0"/>
  </r>
  <r>
    <x v="11"/>
    <x v="0"/>
    <x v="0"/>
    <x v="15"/>
    <x v="31"/>
    <x v="1"/>
    <x v="7"/>
    <n v="1.1299999999999999E-2"/>
  </r>
  <r>
    <x v="11"/>
    <x v="0"/>
    <x v="0"/>
    <x v="15"/>
    <x v="31"/>
    <x v="2"/>
    <x v="0"/>
    <n v="0"/>
  </r>
  <r>
    <x v="11"/>
    <x v="0"/>
    <x v="0"/>
    <x v="15"/>
    <x v="31"/>
    <x v="3"/>
    <x v="0"/>
    <n v="0"/>
  </r>
  <r>
    <x v="12"/>
    <x v="1"/>
    <x v="0"/>
    <x v="15"/>
    <x v="2"/>
    <x v="0"/>
    <x v="0"/>
    <n v="0"/>
  </r>
  <r>
    <x v="12"/>
    <x v="1"/>
    <x v="0"/>
    <x v="15"/>
    <x v="2"/>
    <x v="1"/>
    <x v="0"/>
    <n v="0"/>
  </r>
  <r>
    <x v="12"/>
    <x v="1"/>
    <x v="0"/>
    <x v="15"/>
    <x v="2"/>
    <x v="2"/>
    <x v="0"/>
    <n v="0"/>
  </r>
  <r>
    <x v="12"/>
    <x v="1"/>
    <x v="0"/>
    <x v="15"/>
    <x v="2"/>
    <x v="3"/>
    <x v="0"/>
    <n v="0"/>
  </r>
  <r>
    <x v="0"/>
    <x v="0"/>
    <x v="0"/>
    <x v="16"/>
    <x v="22"/>
    <x v="0"/>
    <x v="0"/>
    <n v="0"/>
  </r>
  <r>
    <x v="0"/>
    <x v="0"/>
    <x v="0"/>
    <x v="16"/>
    <x v="22"/>
    <x v="1"/>
    <x v="1"/>
    <n v="3.8920000000000003E-2"/>
  </r>
  <r>
    <x v="0"/>
    <x v="0"/>
    <x v="0"/>
    <x v="16"/>
    <x v="22"/>
    <x v="2"/>
    <x v="2"/>
    <n v="1.668E-2"/>
  </r>
  <r>
    <x v="0"/>
    <x v="0"/>
    <x v="0"/>
    <x v="16"/>
    <x v="22"/>
    <x v="3"/>
    <x v="0"/>
    <n v="0"/>
  </r>
  <r>
    <x v="1"/>
    <x v="0"/>
    <x v="0"/>
    <x v="16"/>
    <x v="23"/>
    <x v="0"/>
    <x v="3"/>
    <n v="0.12141399999999999"/>
  </r>
  <r>
    <x v="1"/>
    <x v="0"/>
    <x v="0"/>
    <x v="16"/>
    <x v="23"/>
    <x v="1"/>
    <x v="4"/>
    <n v="0.160695"/>
  </r>
  <r>
    <x v="1"/>
    <x v="0"/>
    <x v="0"/>
    <x v="16"/>
    <x v="23"/>
    <x v="2"/>
    <x v="5"/>
    <n v="3.5709999999999999E-2"/>
  </r>
  <r>
    <x v="1"/>
    <x v="0"/>
    <x v="0"/>
    <x v="16"/>
    <x v="23"/>
    <x v="3"/>
    <x v="6"/>
    <n v="3.9281000000000003E-2"/>
  </r>
  <r>
    <x v="2"/>
    <x v="0"/>
    <x v="0"/>
    <x v="16"/>
    <x v="24"/>
    <x v="0"/>
    <x v="0"/>
    <n v="0"/>
  </r>
  <r>
    <x v="2"/>
    <x v="0"/>
    <x v="0"/>
    <x v="16"/>
    <x v="24"/>
    <x v="1"/>
    <x v="7"/>
    <n v="9.1999999999999998E-3"/>
  </r>
  <r>
    <x v="2"/>
    <x v="0"/>
    <x v="0"/>
    <x v="16"/>
    <x v="24"/>
    <x v="2"/>
    <x v="0"/>
    <n v="0"/>
  </r>
  <r>
    <x v="2"/>
    <x v="0"/>
    <x v="0"/>
    <x v="16"/>
    <x v="24"/>
    <x v="3"/>
    <x v="0"/>
    <n v="0"/>
  </r>
  <r>
    <x v="3"/>
    <x v="0"/>
    <x v="0"/>
    <x v="16"/>
    <x v="25"/>
    <x v="0"/>
    <x v="0"/>
    <n v="0"/>
  </r>
  <r>
    <x v="3"/>
    <x v="0"/>
    <x v="0"/>
    <x v="16"/>
    <x v="25"/>
    <x v="1"/>
    <x v="7"/>
    <n v="1.37E-2"/>
  </r>
  <r>
    <x v="3"/>
    <x v="0"/>
    <x v="0"/>
    <x v="16"/>
    <x v="25"/>
    <x v="2"/>
    <x v="0"/>
    <n v="0"/>
  </r>
  <r>
    <x v="3"/>
    <x v="0"/>
    <x v="0"/>
    <x v="16"/>
    <x v="25"/>
    <x v="3"/>
    <x v="0"/>
    <n v="0"/>
  </r>
  <r>
    <x v="4"/>
    <x v="0"/>
    <x v="0"/>
    <x v="16"/>
    <x v="26"/>
    <x v="0"/>
    <x v="7"/>
    <n v="0.20649999999999999"/>
  </r>
  <r>
    <x v="4"/>
    <x v="0"/>
    <x v="0"/>
    <x v="16"/>
    <x v="26"/>
    <x v="1"/>
    <x v="0"/>
    <n v="0"/>
  </r>
  <r>
    <x v="4"/>
    <x v="0"/>
    <x v="0"/>
    <x v="16"/>
    <x v="26"/>
    <x v="2"/>
    <x v="0"/>
    <n v="0"/>
  </r>
  <r>
    <x v="4"/>
    <x v="0"/>
    <x v="0"/>
    <x v="16"/>
    <x v="26"/>
    <x v="3"/>
    <x v="0"/>
    <n v="0"/>
  </r>
  <r>
    <x v="5"/>
    <x v="1"/>
    <x v="0"/>
    <x v="16"/>
    <x v="27"/>
    <x v="0"/>
    <x v="7"/>
    <n v="5.1999999999999998E-3"/>
  </r>
  <r>
    <x v="5"/>
    <x v="1"/>
    <x v="0"/>
    <x v="16"/>
    <x v="27"/>
    <x v="1"/>
    <x v="0"/>
    <n v="0"/>
  </r>
  <r>
    <x v="5"/>
    <x v="1"/>
    <x v="0"/>
    <x v="16"/>
    <x v="27"/>
    <x v="2"/>
    <x v="0"/>
    <n v="0"/>
  </r>
  <r>
    <x v="5"/>
    <x v="1"/>
    <x v="0"/>
    <x v="16"/>
    <x v="27"/>
    <x v="3"/>
    <x v="0"/>
    <n v="0"/>
  </r>
  <r>
    <x v="6"/>
    <x v="0"/>
    <x v="0"/>
    <x v="16"/>
    <x v="28"/>
    <x v="0"/>
    <x v="0"/>
    <n v="0"/>
  </r>
  <r>
    <x v="6"/>
    <x v="0"/>
    <x v="0"/>
    <x v="16"/>
    <x v="28"/>
    <x v="1"/>
    <x v="0"/>
    <n v="0"/>
  </r>
  <r>
    <x v="6"/>
    <x v="0"/>
    <x v="0"/>
    <x v="16"/>
    <x v="28"/>
    <x v="2"/>
    <x v="7"/>
    <n v="8.6699999999999999E-2"/>
  </r>
  <r>
    <x v="6"/>
    <x v="0"/>
    <x v="0"/>
    <x v="16"/>
    <x v="28"/>
    <x v="3"/>
    <x v="0"/>
    <n v="0"/>
  </r>
  <r>
    <x v="7"/>
    <x v="0"/>
    <x v="0"/>
    <x v="16"/>
    <x v="29"/>
    <x v="0"/>
    <x v="0"/>
    <n v="0"/>
  </r>
  <r>
    <x v="7"/>
    <x v="0"/>
    <x v="0"/>
    <x v="16"/>
    <x v="29"/>
    <x v="1"/>
    <x v="0"/>
    <n v="0"/>
  </r>
  <r>
    <x v="7"/>
    <x v="0"/>
    <x v="0"/>
    <x v="16"/>
    <x v="29"/>
    <x v="2"/>
    <x v="0"/>
    <n v="0"/>
  </r>
  <r>
    <x v="7"/>
    <x v="0"/>
    <x v="0"/>
    <x v="16"/>
    <x v="29"/>
    <x v="3"/>
    <x v="7"/>
    <n v="3.8399999999999997E-2"/>
  </r>
  <r>
    <x v="8"/>
    <x v="0"/>
    <x v="0"/>
    <x v="16"/>
    <x v="30"/>
    <x v="0"/>
    <x v="0"/>
    <n v="0"/>
  </r>
  <r>
    <x v="8"/>
    <x v="0"/>
    <x v="0"/>
    <x v="16"/>
    <x v="30"/>
    <x v="1"/>
    <x v="7"/>
    <n v="3.0099999999999998E-2"/>
  </r>
  <r>
    <x v="8"/>
    <x v="0"/>
    <x v="0"/>
    <x v="16"/>
    <x v="30"/>
    <x v="2"/>
    <x v="0"/>
    <n v="0"/>
  </r>
  <r>
    <x v="8"/>
    <x v="0"/>
    <x v="0"/>
    <x v="16"/>
    <x v="30"/>
    <x v="3"/>
    <x v="0"/>
    <n v="0"/>
  </r>
  <r>
    <x v="9"/>
    <x v="0"/>
    <x v="0"/>
    <x v="16"/>
    <x v="20"/>
    <x v="0"/>
    <x v="0"/>
    <n v="0"/>
  </r>
  <r>
    <x v="9"/>
    <x v="0"/>
    <x v="0"/>
    <x v="16"/>
    <x v="20"/>
    <x v="1"/>
    <x v="7"/>
    <n v="2.8999999999999998E-3"/>
  </r>
  <r>
    <x v="9"/>
    <x v="0"/>
    <x v="0"/>
    <x v="16"/>
    <x v="20"/>
    <x v="2"/>
    <x v="0"/>
    <n v="0"/>
  </r>
  <r>
    <x v="9"/>
    <x v="0"/>
    <x v="0"/>
    <x v="16"/>
    <x v="20"/>
    <x v="3"/>
    <x v="0"/>
    <n v="0"/>
  </r>
  <r>
    <x v="10"/>
    <x v="0"/>
    <x v="0"/>
    <x v="16"/>
    <x v="2"/>
    <x v="0"/>
    <x v="0"/>
    <n v="0"/>
  </r>
  <r>
    <x v="10"/>
    <x v="0"/>
    <x v="0"/>
    <x v="16"/>
    <x v="2"/>
    <x v="1"/>
    <x v="7"/>
    <n v="0"/>
  </r>
  <r>
    <x v="10"/>
    <x v="0"/>
    <x v="0"/>
    <x v="16"/>
    <x v="2"/>
    <x v="2"/>
    <x v="0"/>
    <n v="0"/>
  </r>
  <r>
    <x v="10"/>
    <x v="0"/>
    <x v="0"/>
    <x v="16"/>
    <x v="2"/>
    <x v="3"/>
    <x v="0"/>
    <n v="0"/>
  </r>
  <r>
    <x v="11"/>
    <x v="0"/>
    <x v="0"/>
    <x v="16"/>
    <x v="31"/>
    <x v="0"/>
    <x v="0"/>
    <n v="0"/>
  </r>
  <r>
    <x v="11"/>
    <x v="0"/>
    <x v="0"/>
    <x v="16"/>
    <x v="31"/>
    <x v="1"/>
    <x v="7"/>
    <n v="1.1299999999999999E-2"/>
  </r>
  <r>
    <x v="11"/>
    <x v="0"/>
    <x v="0"/>
    <x v="16"/>
    <x v="31"/>
    <x v="2"/>
    <x v="0"/>
    <n v="0"/>
  </r>
  <r>
    <x v="11"/>
    <x v="0"/>
    <x v="0"/>
    <x v="16"/>
    <x v="31"/>
    <x v="3"/>
    <x v="0"/>
    <n v="0"/>
  </r>
  <r>
    <x v="12"/>
    <x v="1"/>
    <x v="0"/>
    <x v="16"/>
    <x v="2"/>
    <x v="0"/>
    <x v="0"/>
    <n v="0"/>
  </r>
  <r>
    <x v="12"/>
    <x v="1"/>
    <x v="0"/>
    <x v="16"/>
    <x v="2"/>
    <x v="1"/>
    <x v="0"/>
    <n v="0"/>
  </r>
  <r>
    <x v="12"/>
    <x v="1"/>
    <x v="0"/>
    <x v="16"/>
    <x v="2"/>
    <x v="2"/>
    <x v="0"/>
    <n v="0"/>
  </r>
  <r>
    <x v="12"/>
    <x v="1"/>
    <x v="0"/>
    <x v="16"/>
    <x v="2"/>
    <x v="3"/>
    <x v="0"/>
    <n v="0"/>
  </r>
  <r>
    <x v="0"/>
    <x v="0"/>
    <x v="0"/>
    <x v="17"/>
    <x v="22"/>
    <x v="0"/>
    <x v="0"/>
    <n v="0"/>
  </r>
  <r>
    <x v="0"/>
    <x v="0"/>
    <x v="0"/>
    <x v="17"/>
    <x v="22"/>
    <x v="1"/>
    <x v="1"/>
    <n v="3.8920000000000003E-2"/>
  </r>
  <r>
    <x v="0"/>
    <x v="0"/>
    <x v="0"/>
    <x v="17"/>
    <x v="22"/>
    <x v="2"/>
    <x v="2"/>
    <n v="1.668E-2"/>
  </r>
  <r>
    <x v="0"/>
    <x v="0"/>
    <x v="0"/>
    <x v="17"/>
    <x v="22"/>
    <x v="3"/>
    <x v="0"/>
    <n v="0"/>
  </r>
  <r>
    <x v="1"/>
    <x v="0"/>
    <x v="0"/>
    <x v="17"/>
    <x v="23"/>
    <x v="0"/>
    <x v="3"/>
    <n v="0.12141399999999999"/>
  </r>
  <r>
    <x v="1"/>
    <x v="0"/>
    <x v="0"/>
    <x v="17"/>
    <x v="23"/>
    <x v="1"/>
    <x v="4"/>
    <n v="0.160695"/>
  </r>
  <r>
    <x v="1"/>
    <x v="0"/>
    <x v="0"/>
    <x v="17"/>
    <x v="23"/>
    <x v="2"/>
    <x v="5"/>
    <n v="3.5709999999999999E-2"/>
  </r>
  <r>
    <x v="1"/>
    <x v="0"/>
    <x v="0"/>
    <x v="17"/>
    <x v="23"/>
    <x v="3"/>
    <x v="6"/>
    <n v="3.9281000000000003E-2"/>
  </r>
  <r>
    <x v="2"/>
    <x v="0"/>
    <x v="0"/>
    <x v="17"/>
    <x v="24"/>
    <x v="0"/>
    <x v="0"/>
    <n v="0"/>
  </r>
  <r>
    <x v="2"/>
    <x v="0"/>
    <x v="0"/>
    <x v="17"/>
    <x v="24"/>
    <x v="1"/>
    <x v="7"/>
    <n v="9.1999999999999998E-3"/>
  </r>
  <r>
    <x v="2"/>
    <x v="0"/>
    <x v="0"/>
    <x v="17"/>
    <x v="24"/>
    <x v="2"/>
    <x v="0"/>
    <n v="0"/>
  </r>
  <r>
    <x v="2"/>
    <x v="0"/>
    <x v="0"/>
    <x v="17"/>
    <x v="24"/>
    <x v="3"/>
    <x v="0"/>
    <n v="0"/>
  </r>
  <r>
    <x v="3"/>
    <x v="0"/>
    <x v="0"/>
    <x v="17"/>
    <x v="25"/>
    <x v="0"/>
    <x v="0"/>
    <n v="0"/>
  </r>
  <r>
    <x v="3"/>
    <x v="0"/>
    <x v="0"/>
    <x v="17"/>
    <x v="25"/>
    <x v="1"/>
    <x v="7"/>
    <n v="1.37E-2"/>
  </r>
  <r>
    <x v="3"/>
    <x v="0"/>
    <x v="0"/>
    <x v="17"/>
    <x v="25"/>
    <x v="2"/>
    <x v="0"/>
    <n v="0"/>
  </r>
  <r>
    <x v="3"/>
    <x v="0"/>
    <x v="0"/>
    <x v="17"/>
    <x v="25"/>
    <x v="3"/>
    <x v="0"/>
    <n v="0"/>
  </r>
  <r>
    <x v="4"/>
    <x v="0"/>
    <x v="0"/>
    <x v="17"/>
    <x v="26"/>
    <x v="0"/>
    <x v="7"/>
    <n v="0.20649999999999999"/>
  </r>
  <r>
    <x v="4"/>
    <x v="0"/>
    <x v="0"/>
    <x v="17"/>
    <x v="26"/>
    <x v="1"/>
    <x v="0"/>
    <n v="0"/>
  </r>
  <r>
    <x v="4"/>
    <x v="0"/>
    <x v="0"/>
    <x v="17"/>
    <x v="26"/>
    <x v="2"/>
    <x v="0"/>
    <n v="0"/>
  </r>
  <r>
    <x v="4"/>
    <x v="0"/>
    <x v="0"/>
    <x v="17"/>
    <x v="26"/>
    <x v="3"/>
    <x v="0"/>
    <n v="0"/>
  </r>
  <r>
    <x v="5"/>
    <x v="1"/>
    <x v="0"/>
    <x v="17"/>
    <x v="27"/>
    <x v="0"/>
    <x v="7"/>
    <n v="5.1999999999999998E-3"/>
  </r>
  <r>
    <x v="5"/>
    <x v="1"/>
    <x v="0"/>
    <x v="17"/>
    <x v="27"/>
    <x v="1"/>
    <x v="0"/>
    <n v="0"/>
  </r>
  <r>
    <x v="5"/>
    <x v="1"/>
    <x v="0"/>
    <x v="17"/>
    <x v="27"/>
    <x v="2"/>
    <x v="0"/>
    <n v="0"/>
  </r>
  <r>
    <x v="5"/>
    <x v="1"/>
    <x v="0"/>
    <x v="17"/>
    <x v="27"/>
    <x v="3"/>
    <x v="0"/>
    <n v="0"/>
  </r>
  <r>
    <x v="6"/>
    <x v="0"/>
    <x v="0"/>
    <x v="17"/>
    <x v="28"/>
    <x v="0"/>
    <x v="0"/>
    <n v="0"/>
  </r>
  <r>
    <x v="6"/>
    <x v="0"/>
    <x v="0"/>
    <x v="17"/>
    <x v="28"/>
    <x v="1"/>
    <x v="0"/>
    <n v="0"/>
  </r>
  <r>
    <x v="6"/>
    <x v="0"/>
    <x v="0"/>
    <x v="17"/>
    <x v="28"/>
    <x v="2"/>
    <x v="7"/>
    <n v="8.6699999999999999E-2"/>
  </r>
  <r>
    <x v="6"/>
    <x v="0"/>
    <x v="0"/>
    <x v="17"/>
    <x v="28"/>
    <x v="3"/>
    <x v="0"/>
    <n v="0"/>
  </r>
  <r>
    <x v="7"/>
    <x v="0"/>
    <x v="0"/>
    <x v="17"/>
    <x v="29"/>
    <x v="0"/>
    <x v="0"/>
    <n v="0"/>
  </r>
  <r>
    <x v="7"/>
    <x v="0"/>
    <x v="0"/>
    <x v="17"/>
    <x v="29"/>
    <x v="1"/>
    <x v="0"/>
    <n v="0"/>
  </r>
  <r>
    <x v="7"/>
    <x v="0"/>
    <x v="0"/>
    <x v="17"/>
    <x v="29"/>
    <x v="2"/>
    <x v="0"/>
    <n v="0"/>
  </r>
  <r>
    <x v="7"/>
    <x v="0"/>
    <x v="0"/>
    <x v="17"/>
    <x v="29"/>
    <x v="3"/>
    <x v="7"/>
    <n v="3.8399999999999997E-2"/>
  </r>
  <r>
    <x v="8"/>
    <x v="0"/>
    <x v="0"/>
    <x v="17"/>
    <x v="30"/>
    <x v="0"/>
    <x v="0"/>
    <n v="0"/>
  </r>
  <r>
    <x v="8"/>
    <x v="0"/>
    <x v="0"/>
    <x v="17"/>
    <x v="30"/>
    <x v="1"/>
    <x v="7"/>
    <n v="3.0099999999999998E-2"/>
  </r>
  <r>
    <x v="8"/>
    <x v="0"/>
    <x v="0"/>
    <x v="17"/>
    <x v="30"/>
    <x v="2"/>
    <x v="0"/>
    <n v="0"/>
  </r>
  <r>
    <x v="8"/>
    <x v="0"/>
    <x v="0"/>
    <x v="17"/>
    <x v="30"/>
    <x v="3"/>
    <x v="0"/>
    <n v="0"/>
  </r>
  <r>
    <x v="9"/>
    <x v="0"/>
    <x v="0"/>
    <x v="17"/>
    <x v="20"/>
    <x v="0"/>
    <x v="0"/>
    <n v="0"/>
  </r>
  <r>
    <x v="9"/>
    <x v="0"/>
    <x v="0"/>
    <x v="17"/>
    <x v="20"/>
    <x v="1"/>
    <x v="7"/>
    <n v="2.8999999999999998E-3"/>
  </r>
  <r>
    <x v="9"/>
    <x v="0"/>
    <x v="0"/>
    <x v="17"/>
    <x v="20"/>
    <x v="2"/>
    <x v="0"/>
    <n v="0"/>
  </r>
  <r>
    <x v="9"/>
    <x v="0"/>
    <x v="0"/>
    <x v="17"/>
    <x v="20"/>
    <x v="3"/>
    <x v="0"/>
    <n v="0"/>
  </r>
  <r>
    <x v="10"/>
    <x v="0"/>
    <x v="0"/>
    <x v="17"/>
    <x v="2"/>
    <x v="0"/>
    <x v="0"/>
    <n v="0"/>
  </r>
  <r>
    <x v="10"/>
    <x v="0"/>
    <x v="0"/>
    <x v="17"/>
    <x v="2"/>
    <x v="1"/>
    <x v="7"/>
    <n v="0"/>
  </r>
  <r>
    <x v="10"/>
    <x v="0"/>
    <x v="0"/>
    <x v="17"/>
    <x v="2"/>
    <x v="2"/>
    <x v="0"/>
    <n v="0"/>
  </r>
  <r>
    <x v="10"/>
    <x v="0"/>
    <x v="0"/>
    <x v="17"/>
    <x v="2"/>
    <x v="3"/>
    <x v="0"/>
    <n v="0"/>
  </r>
  <r>
    <x v="11"/>
    <x v="0"/>
    <x v="0"/>
    <x v="17"/>
    <x v="31"/>
    <x v="0"/>
    <x v="0"/>
    <n v="0"/>
  </r>
  <r>
    <x v="11"/>
    <x v="0"/>
    <x v="0"/>
    <x v="17"/>
    <x v="31"/>
    <x v="1"/>
    <x v="7"/>
    <n v="1.1299999999999999E-2"/>
  </r>
  <r>
    <x v="11"/>
    <x v="0"/>
    <x v="0"/>
    <x v="17"/>
    <x v="31"/>
    <x v="2"/>
    <x v="0"/>
    <n v="0"/>
  </r>
  <r>
    <x v="11"/>
    <x v="0"/>
    <x v="0"/>
    <x v="17"/>
    <x v="31"/>
    <x v="3"/>
    <x v="0"/>
    <n v="0"/>
  </r>
  <r>
    <x v="12"/>
    <x v="1"/>
    <x v="0"/>
    <x v="17"/>
    <x v="2"/>
    <x v="0"/>
    <x v="0"/>
    <n v="0"/>
  </r>
  <r>
    <x v="12"/>
    <x v="1"/>
    <x v="0"/>
    <x v="17"/>
    <x v="2"/>
    <x v="1"/>
    <x v="0"/>
    <n v="0"/>
  </r>
  <r>
    <x v="12"/>
    <x v="1"/>
    <x v="0"/>
    <x v="17"/>
    <x v="2"/>
    <x v="2"/>
    <x v="0"/>
    <n v="0"/>
  </r>
  <r>
    <x v="12"/>
    <x v="1"/>
    <x v="0"/>
    <x v="17"/>
    <x v="2"/>
    <x v="3"/>
    <x v="0"/>
    <n v="0"/>
  </r>
  <r>
    <x v="0"/>
    <x v="0"/>
    <x v="0"/>
    <x v="18"/>
    <x v="32"/>
    <x v="0"/>
    <x v="0"/>
    <n v="0"/>
  </r>
  <r>
    <x v="0"/>
    <x v="0"/>
    <x v="0"/>
    <x v="18"/>
    <x v="32"/>
    <x v="1"/>
    <x v="1"/>
    <n v="4.0250000000000001E-2"/>
  </r>
  <r>
    <x v="0"/>
    <x v="0"/>
    <x v="0"/>
    <x v="18"/>
    <x v="32"/>
    <x v="2"/>
    <x v="2"/>
    <n v="1.7250000000000001E-2"/>
  </r>
  <r>
    <x v="0"/>
    <x v="0"/>
    <x v="0"/>
    <x v="18"/>
    <x v="32"/>
    <x v="3"/>
    <x v="0"/>
    <n v="0"/>
  </r>
  <r>
    <x v="1"/>
    <x v="0"/>
    <x v="0"/>
    <x v="18"/>
    <x v="33"/>
    <x v="0"/>
    <x v="3"/>
    <n v="0.122638"/>
  </r>
  <r>
    <x v="1"/>
    <x v="0"/>
    <x v="0"/>
    <x v="18"/>
    <x v="33"/>
    <x v="1"/>
    <x v="4"/>
    <n v="0.16231499999999999"/>
  </r>
  <r>
    <x v="1"/>
    <x v="0"/>
    <x v="0"/>
    <x v="18"/>
    <x v="33"/>
    <x v="2"/>
    <x v="5"/>
    <n v="3.6069999999999998E-2"/>
  </r>
  <r>
    <x v="1"/>
    <x v="0"/>
    <x v="0"/>
    <x v="18"/>
    <x v="33"/>
    <x v="3"/>
    <x v="6"/>
    <n v="3.9676999999999997E-2"/>
  </r>
  <r>
    <x v="2"/>
    <x v="0"/>
    <x v="0"/>
    <x v="18"/>
    <x v="34"/>
    <x v="0"/>
    <x v="0"/>
    <n v="0"/>
  </r>
  <r>
    <x v="2"/>
    <x v="0"/>
    <x v="0"/>
    <x v="18"/>
    <x v="34"/>
    <x v="1"/>
    <x v="7"/>
    <n v="9.7000000000000003E-3"/>
  </r>
  <r>
    <x v="2"/>
    <x v="0"/>
    <x v="0"/>
    <x v="18"/>
    <x v="34"/>
    <x v="2"/>
    <x v="0"/>
    <n v="0"/>
  </r>
  <r>
    <x v="2"/>
    <x v="0"/>
    <x v="0"/>
    <x v="18"/>
    <x v="34"/>
    <x v="3"/>
    <x v="0"/>
    <n v="0"/>
  </r>
  <r>
    <x v="3"/>
    <x v="0"/>
    <x v="0"/>
    <x v="18"/>
    <x v="35"/>
    <x v="0"/>
    <x v="0"/>
    <n v="0"/>
  </r>
  <r>
    <x v="3"/>
    <x v="0"/>
    <x v="0"/>
    <x v="18"/>
    <x v="35"/>
    <x v="1"/>
    <x v="7"/>
    <n v="1.3100000000000001E-2"/>
  </r>
  <r>
    <x v="3"/>
    <x v="0"/>
    <x v="0"/>
    <x v="18"/>
    <x v="35"/>
    <x v="2"/>
    <x v="0"/>
    <n v="0"/>
  </r>
  <r>
    <x v="3"/>
    <x v="0"/>
    <x v="0"/>
    <x v="18"/>
    <x v="35"/>
    <x v="3"/>
    <x v="0"/>
    <n v="0"/>
  </r>
  <r>
    <x v="4"/>
    <x v="0"/>
    <x v="0"/>
    <x v="18"/>
    <x v="36"/>
    <x v="0"/>
    <x v="7"/>
    <n v="0.1996"/>
  </r>
  <r>
    <x v="4"/>
    <x v="0"/>
    <x v="0"/>
    <x v="18"/>
    <x v="36"/>
    <x v="1"/>
    <x v="0"/>
    <n v="0"/>
  </r>
  <r>
    <x v="4"/>
    <x v="0"/>
    <x v="0"/>
    <x v="18"/>
    <x v="36"/>
    <x v="2"/>
    <x v="0"/>
    <n v="0"/>
  </r>
  <r>
    <x v="4"/>
    <x v="0"/>
    <x v="0"/>
    <x v="18"/>
    <x v="36"/>
    <x v="3"/>
    <x v="0"/>
    <n v="0"/>
  </r>
  <r>
    <x v="5"/>
    <x v="1"/>
    <x v="0"/>
    <x v="18"/>
    <x v="2"/>
    <x v="0"/>
    <x v="7"/>
    <n v="0"/>
  </r>
  <r>
    <x v="5"/>
    <x v="1"/>
    <x v="0"/>
    <x v="18"/>
    <x v="2"/>
    <x v="1"/>
    <x v="0"/>
    <n v="0"/>
  </r>
  <r>
    <x v="5"/>
    <x v="1"/>
    <x v="0"/>
    <x v="18"/>
    <x v="2"/>
    <x v="2"/>
    <x v="0"/>
    <n v="0"/>
  </r>
  <r>
    <x v="5"/>
    <x v="1"/>
    <x v="0"/>
    <x v="18"/>
    <x v="2"/>
    <x v="3"/>
    <x v="0"/>
    <n v="0"/>
  </r>
  <r>
    <x v="6"/>
    <x v="0"/>
    <x v="0"/>
    <x v="18"/>
    <x v="37"/>
    <x v="0"/>
    <x v="0"/>
    <n v="0"/>
  </r>
  <r>
    <x v="6"/>
    <x v="0"/>
    <x v="0"/>
    <x v="18"/>
    <x v="37"/>
    <x v="1"/>
    <x v="0"/>
    <n v="0"/>
  </r>
  <r>
    <x v="6"/>
    <x v="0"/>
    <x v="0"/>
    <x v="18"/>
    <x v="37"/>
    <x v="2"/>
    <x v="7"/>
    <n v="7.9799999999999996E-2"/>
  </r>
  <r>
    <x v="6"/>
    <x v="0"/>
    <x v="0"/>
    <x v="18"/>
    <x v="37"/>
    <x v="3"/>
    <x v="0"/>
    <n v="0"/>
  </r>
  <r>
    <x v="7"/>
    <x v="0"/>
    <x v="0"/>
    <x v="18"/>
    <x v="38"/>
    <x v="0"/>
    <x v="0"/>
    <n v="0"/>
  </r>
  <r>
    <x v="7"/>
    <x v="0"/>
    <x v="0"/>
    <x v="18"/>
    <x v="38"/>
    <x v="1"/>
    <x v="0"/>
    <n v="0"/>
  </r>
  <r>
    <x v="7"/>
    <x v="0"/>
    <x v="0"/>
    <x v="18"/>
    <x v="38"/>
    <x v="2"/>
    <x v="0"/>
    <n v="0"/>
  </r>
  <r>
    <x v="7"/>
    <x v="0"/>
    <x v="0"/>
    <x v="18"/>
    <x v="38"/>
    <x v="3"/>
    <x v="7"/>
    <n v="3.8600000000000002E-2"/>
  </r>
  <r>
    <x v="8"/>
    <x v="0"/>
    <x v="0"/>
    <x v="18"/>
    <x v="39"/>
    <x v="0"/>
    <x v="0"/>
    <n v="0"/>
  </r>
  <r>
    <x v="8"/>
    <x v="0"/>
    <x v="0"/>
    <x v="18"/>
    <x v="39"/>
    <x v="1"/>
    <x v="7"/>
    <n v="2.5399999999999999E-2"/>
  </r>
  <r>
    <x v="8"/>
    <x v="0"/>
    <x v="0"/>
    <x v="18"/>
    <x v="39"/>
    <x v="2"/>
    <x v="0"/>
    <n v="0"/>
  </r>
  <r>
    <x v="8"/>
    <x v="0"/>
    <x v="0"/>
    <x v="18"/>
    <x v="39"/>
    <x v="3"/>
    <x v="0"/>
    <n v="0"/>
  </r>
  <r>
    <x v="9"/>
    <x v="0"/>
    <x v="0"/>
    <x v="18"/>
    <x v="40"/>
    <x v="0"/>
    <x v="0"/>
    <n v="0"/>
  </r>
  <r>
    <x v="9"/>
    <x v="0"/>
    <x v="0"/>
    <x v="18"/>
    <x v="40"/>
    <x v="1"/>
    <x v="7"/>
    <n v="3.8E-3"/>
  </r>
  <r>
    <x v="9"/>
    <x v="0"/>
    <x v="0"/>
    <x v="18"/>
    <x v="40"/>
    <x v="2"/>
    <x v="0"/>
    <n v="0"/>
  </r>
  <r>
    <x v="9"/>
    <x v="0"/>
    <x v="0"/>
    <x v="18"/>
    <x v="40"/>
    <x v="3"/>
    <x v="0"/>
    <n v="0"/>
  </r>
  <r>
    <x v="10"/>
    <x v="0"/>
    <x v="0"/>
    <x v="18"/>
    <x v="41"/>
    <x v="0"/>
    <x v="0"/>
    <n v="0"/>
  </r>
  <r>
    <x v="10"/>
    <x v="0"/>
    <x v="0"/>
    <x v="18"/>
    <x v="41"/>
    <x v="1"/>
    <x v="7"/>
    <n v="1.6199999999999999E-2"/>
  </r>
  <r>
    <x v="10"/>
    <x v="0"/>
    <x v="0"/>
    <x v="18"/>
    <x v="41"/>
    <x v="2"/>
    <x v="0"/>
    <n v="0"/>
  </r>
  <r>
    <x v="10"/>
    <x v="0"/>
    <x v="0"/>
    <x v="18"/>
    <x v="41"/>
    <x v="3"/>
    <x v="0"/>
    <n v="0"/>
  </r>
  <r>
    <x v="11"/>
    <x v="0"/>
    <x v="0"/>
    <x v="18"/>
    <x v="42"/>
    <x v="0"/>
    <x v="0"/>
    <n v="0"/>
  </r>
  <r>
    <x v="11"/>
    <x v="0"/>
    <x v="0"/>
    <x v="18"/>
    <x v="42"/>
    <x v="1"/>
    <x v="7"/>
    <n v="1.0999999999999999E-2"/>
  </r>
  <r>
    <x v="11"/>
    <x v="0"/>
    <x v="0"/>
    <x v="18"/>
    <x v="42"/>
    <x v="2"/>
    <x v="0"/>
    <n v="0"/>
  </r>
  <r>
    <x v="11"/>
    <x v="0"/>
    <x v="0"/>
    <x v="18"/>
    <x v="42"/>
    <x v="3"/>
    <x v="0"/>
    <n v="0"/>
  </r>
  <r>
    <x v="12"/>
    <x v="1"/>
    <x v="0"/>
    <x v="18"/>
    <x v="2"/>
    <x v="0"/>
    <x v="0"/>
    <n v="0"/>
  </r>
  <r>
    <x v="12"/>
    <x v="1"/>
    <x v="0"/>
    <x v="18"/>
    <x v="2"/>
    <x v="1"/>
    <x v="0"/>
    <n v="0"/>
  </r>
  <r>
    <x v="12"/>
    <x v="1"/>
    <x v="0"/>
    <x v="18"/>
    <x v="2"/>
    <x v="2"/>
    <x v="0"/>
    <n v="0"/>
  </r>
  <r>
    <x v="12"/>
    <x v="1"/>
    <x v="0"/>
    <x v="18"/>
    <x v="2"/>
    <x v="3"/>
    <x v="0"/>
    <n v="0"/>
  </r>
  <r>
    <x v="0"/>
    <x v="0"/>
    <x v="0"/>
    <x v="19"/>
    <x v="32"/>
    <x v="0"/>
    <x v="0"/>
    <n v="0"/>
  </r>
  <r>
    <x v="0"/>
    <x v="0"/>
    <x v="0"/>
    <x v="19"/>
    <x v="32"/>
    <x v="1"/>
    <x v="1"/>
    <n v="4.0250000000000001E-2"/>
  </r>
  <r>
    <x v="0"/>
    <x v="0"/>
    <x v="0"/>
    <x v="19"/>
    <x v="32"/>
    <x v="2"/>
    <x v="2"/>
    <n v="1.7250000000000001E-2"/>
  </r>
  <r>
    <x v="0"/>
    <x v="0"/>
    <x v="0"/>
    <x v="19"/>
    <x v="32"/>
    <x v="3"/>
    <x v="0"/>
    <n v="0"/>
  </r>
  <r>
    <x v="1"/>
    <x v="0"/>
    <x v="0"/>
    <x v="19"/>
    <x v="33"/>
    <x v="0"/>
    <x v="3"/>
    <n v="0.122638"/>
  </r>
  <r>
    <x v="1"/>
    <x v="0"/>
    <x v="0"/>
    <x v="19"/>
    <x v="33"/>
    <x v="1"/>
    <x v="4"/>
    <n v="0.16231499999999999"/>
  </r>
  <r>
    <x v="1"/>
    <x v="0"/>
    <x v="0"/>
    <x v="19"/>
    <x v="33"/>
    <x v="2"/>
    <x v="5"/>
    <n v="3.6069999999999998E-2"/>
  </r>
  <r>
    <x v="1"/>
    <x v="0"/>
    <x v="0"/>
    <x v="19"/>
    <x v="33"/>
    <x v="3"/>
    <x v="6"/>
    <n v="3.9676999999999997E-2"/>
  </r>
  <r>
    <x v="2"/>
    <x v="0"/>
    <x v="0"/>
    <x v="19"/>
    <x v="34"/>
    <x v="0"/>
    <x v="0"/>
    <n v="0"/>
  </r>
  <r>
    <x v="2"/>
    <x v="0"/>
    <x v="0"/>
    <x v="19"/>
    <x v="34"/>
    <x v="1"/>
    <x v="7"/>
    <n v="9.7000000000000003E-3"/>
  </r>
  <r>
    <x v="2"/>
    <x v="0"/>
    <x v="0"/>
    <x v="19"/>
    <x v="34"/>
    <x v="2"/>
    <x v="0"/>
    <n v="0"/>
  </r>
  <r>
    <x v="2"/>
    <x v="0"/>
    <x v="0"/>
    <x v="19"/>
    <x v="34"/>
    <x v="3"/>
    <x v="0"/>
    <n v="0"/>
  </r>
  <r>
    <x v="3"/>
    <x v="0"/>
    <x v="0"/>
    <x v="19"/>
    <x v="35"/>
    <x v="0"/>
    <x v="0"/>
    <n v="0"/>
  </r>
  <r>
    <x v="3"/>
    <x v="0"/>
    <x v="0"/>
    <x v="19"/>
    <x v="35"/>
    <x v="1"/>
    <x v="7"/>
    <n v="1.3100000000000001E-2"/>
  </r>
  <r>
    <x v="3"/>
    <x v="0"/>
    <x v="0"/>
    <x v="19"/>
    <x v="35"/>
    <x v="2"/>
    <x v="0"/>
    <n v="0"/>
  </r>
  <r>
    <x v="3"/>
    <x v="0"/>
    <x v="0"/>
    <x v="19"/>
    <x v="35"/>
    <x v="3"/>
    <x v="0"/>
    <n v="0"/>
  </r>
  <r>
    <x v="4"/>
    <x v="0"/>
    <x v="0"/>
    <x v="19"/>
    <x v="36"/>
    <x v="0"/>
    <x v="7"/>
    <n v="0.1996"/>
  </r>
  <r>
    <x v="4"/>
    <x v="0"/>
    <x v="0"/>
    <x v="19"/>
    <x v="36"/>
    <x v="1"/>
    <x v="0"/>
    <n v="0"/>
  </r>
  <r>
    <x v="4"/>
    <x v="0"/>
    <x v="0"/>
    <x v="19"/>
    <x v="36"/>
    <x v="2"/>
    <x v="0"/>
    <n v="0"/>
  </r>
  <r>
    <x v="4"/>
    <x v="0"/>
    <x v="0"/>
    <x v="19"/>
    <x v="36"/>
    <x v="3"/>
    <x v="0"/>
    <n v="0"/>
  </r>
  <r>
    <x v="5"/>
    <x v="1"/>
    <x v="0"/>
    <x v="19"/>
    <x v="2"/>
    <x v="0"/>
    <x v="7"/>
    <n v="0"/>
  </r>
  <r>
    <x v="5"/>
    <x v="1"/>
    <x v="0"/>
    <x v="19"/>
    <x v="2"/>
    <x v="1"/>
    <x v="0"/>
    <n v="0"/>
  </r>
  <r>
    <x v="5"/>
    <x v="1"/>
    <x v="0"/>
    <x v="19"/>
    <x v="2"/>
    <x v="2"/>
    <x v="0"/>
    <n v="0"/>
  </r>
  <r>
    <x v="5"/>
    <x v="1"/>
    <x v="0"/>
    <x v="19"/>
    <x v="2"/>
    <x v="3"/>
    <x v="0"/>
    <n v="0"/>
  </r>
  <r>
    <x v="6"/>
    <x v="0"/>
    <x v="0"/>
    <x v="19"/>
    <x v="37"/>
    <x v="0"/>
    <x v="0"/>
    <n v="0"/>
  </r>
  <r>
    <x v="6"/>
    <x v="0"/>
    <x v="0"/>
    <x v="19"/>
    <x v="37"/>
    <x v="1"/>
    <x v="0"/>
    <n v="0"/>
  </r>
  <r>
    <x v="6"/>
    <x v="0"/>
    <x v="0"/>
    <x v="19"/>
    <x v="37"/>
    <x v="2"/>
    <x v="7"/>
    <n v="7.9799999999999996E-2"/>
  </r>
  <r>
    <x v="6"/>
    <x v="0"/>
    <x v="0"/>
    <x v="19"/>
    <x v="37"/>
    <x v="3"/>
    <x v="0"/>
    <n v="0"/>
  </r>
  <r>
    <x v="7"/>
    <x v="0"/>
    <x v="0"/>
    <x v="19"/>
    <x v="38"/>
    <x v="0"/>
    <x v="0"/>
    <n v="0"/>
  </r>
  <r>
    <x v="7"/>
    <x v="0"/>
    <x v="0"/>
    <x v="19"/>
    <x v="38"/>
    <x v="1"/>
    <x v="0"/>
    <n v="0"/>
  </r>
  <r>
    <x v="7"/>
    <x v="0"/>
    <x v="0"/>
    <x v="19"/>
    <x v="38"/>
    <x v="2"/>
    <x v="0"/>
    <n v="0"/>
  </r>
  <r>
    <x v="7"/>
    <x v="0"/>
    <x v="0"/>
    <x v="19"/>
    <x v="38"/>
    <x v="3"/>
    <x v="7"/>
    <n v="3.8600000000000002E-2"/>
  </r>
  <r>
    <x v="8"/>
    <x v="0"/>
    <x v="0"/>
    <x v="19"/>
    <x v="39"/>
    <x v="0"/>
    <x v="0"/>
    <n v="0"/>
  </r>
  <r>
    <x v="8"/>
    <x v="0"/>
    <x v="0"/>
    <x v="19"/>
    <x v="39"/>
    <x v="1"/>
    <x v="7"/>
    <n v="2.5399999999999999E-2"/>
  </r>
  <r>
    <x v="8"/>
    <x v="0"/>
    <x v="0"/>
    <x v="19"/>
    <x v="39"/>
    <x v="2"/>
    <x v="0"/>
    <n v="0"/>
  </r>
  <r>
    <x v="8"/>
    <x v="0"/>
    <x v="0"/>
    <x v="19"/>
    <x v="39"/>
    <x v="3"/>
    <x v="0"/>
    <n v="0"/>
  </r>
  <r>
    <x v="9"/>
    <x v="0"/>
    <x v="0"/>
    <x v="19"/>
    <x v="40"/>
    <x v="0"/>
    <x v="0"/>
    <n v="0"/>
  </r>
  <r>
    <x v="9"/>
    <x v="0"/>
    <x v="0"/>
    <x v="19"/>
    <x v="40"/>
    <x v="1"/>
    <x v="7"/>
    <n v="3.8E-3"/>
  </r>
  <r>
    <x v="9"/>
    <x v="0"/>
    <x v="0"/>
    <x v="19"/>
    <x v="40"/>
    <x v="2"/>
    <x v="0"/>
    <n v="0"/>
  </r>
  <r>
    <x v="9"/>
    <x v="0"/>
    <x v="0"/>
    <x v="19"/>
    <x v="40"/>
    <x v="3"/>
    <x v="0"/>
    <n v="0"/>
  </r>
  <r>
    <x v="10"/>
    <x v="0"/>
    <x v="0"/>
    <x v="19"/>
    <x v="41"/>
    <x v="0"/>
    <x v="0"/>
    <n v="0"/>
  </r>
  <r>
    <x v="10"/>
    <x v="0"/>
    <x v="0"/>
    <x v="19"/>
    <x v="41"/>
    <x v="1"/>
    <x v="7"/>
    <n v="1.6199999999999999E-2"/>
  </r>
  <r>
    <x v="10"/>
    <x v="0"/>
    <x v="0"/>
    <x v="19"/>
    <x v="41"/>
    <x v="2"/>
    <x v="0"/>
    <n v="0"/>
  </r>
  <r>
    <x v="10"/>
    <x v="0"/>
    <x v="0"/>
    <x v="19"/>
    <x v="41"/>
    <x v="3"/>
    <x v="0"/>
    <n v="0"/>
  </r>
  <r>
    <x v="11"/>
    <x v="0"/>
    <x v="0"/>
    <x v="19"/>
    <x v="42"/>
    <x v="0"/>
    <x v="0"/>
    <n v="0"/>
  </r>
  <r>
    <x v="11"/>
    <x v="0"/>
    <x v="0"/>
    <x v="19"/>
    <x v="42"/>
    <x v="1"/>
    <x v="7"/>
    <n v="1.0999999999999999E-2"/>
  </r>
  <r>
    <x v="11"/>
    <x v="0"/>
    <x v="0"/>
    <x v="19"/>
    <x v="42"/>
    <x v="2"/>
    <x v="0"/>
    <n v="0"/>
  </r>
  <r>
    <x v="11"/>
    <x v="0"/>
    <x v="0"/>
    <x v="19"/>
    <x v="42"/>
    <x v="3"/>
    <x v="0"/>
    <n v="0"/>
  </r>
  <r>
    <x v="12"/>
    <x v="1"/>
    <x v="0"/>
    <x v="19"/>
    <x v="2"/>
    <x v="0"/>
    <x v="0"/>
    <n v="0"/>
  </r>
  <r>
    <x v="12"/>
    <x v="1"/>
    <x v="0"/>
    <x v="19"/>
    <x v="2"/>
    <x v="1"/>
    <x v="0"/>
    <n v="0"/>
  </r>
  <r>
    <x v="12"/>
    <x v="1"/>
    <x v="0"/>
    <x v="19"/>
    <x v="2"/>
    <x v="2"/>
    <x v="0"/>
    <n v="0"/>
  </r>
  <r>
    <x v="12"/>
    <x v="1"/>
    <x v="0"/>
    <x v="19"/>
    <x v="2"/>
    <x v="3"/>
    <x v="0"/>
    <n v="0"/>
  </r>
  <r>
    <x v="0"/>
    <x v="0"/>
    <x v="0"/>
    <x v="20"/>
    <x v="43"/>
    <x v="0"/>
    <x v="0"/>
    <n v="0"/>
  </r>
  <r>
    <x v="0"/>
    <x v="0"/>
    <x v="0"/>
    <x v="20"/>
    <x v="43"/>
    <x v="1"/>
    <x v="1"/>
    <n v="4.0390000000000002E-2"/>
  </r>
  <r>
    <x v="0"/>
    <x v="0"/>
    <x v="0"/>
    <x v="20"/>
    <x v="43"/>
    <x v="2"/>
    <x v="2"/>
    <n v="1.7309999999999999E-2"/>
  </r>
  <r>
    <x v="0"/>
    <x v="0"/>
    <x v="0"/>
    <x v="20"/>
    <x v="43"/>
    <x v="3"/>
    <x v="0"/>
    <n v="0"/>
  </r>
  <r>
    <x v="1"/>
    <x v="0"/>
    <x v="0"/>
    <x v="20"/>
    <x v="44"/>
    <x v="0"/>
    <x v="3"/>
    <n v="0.123114"/>
  </r>
  <r>
    <x v="1"/>
    <x v="0"/>
    <x v="0"/>
    <x v="20"/>
    <x v="44"/>
    <x v="1"/>
    <x v="4"/>
    <n v="0.16294500000000001"/>
  </r>
  <r>
    <x v="1"/>
    <x v="0"/>
    <x v="0"/>
    <x v="20"/>
    <x v="44"/>
    <x v="2"/>
    <x v="5"/>
    <n v="3.6209999999999999E-2"/>
  </r>
  <r>
    <x v="1"/>
    <x v="0"/>
    <x v="0"/>
    <x v="20"/>
    <x v="44"/>
    <x v="3"/>
    <x v="6"/>
    <n v="3.9830999999999998E-2"/>
  </r>
  <r>
    <x v="2"/>
    <x v="0"/>
    <x v="0"/>
    <x v="20"/>
    <x v="34"/>
    <x v="0"/>
    <x v="0"/>
    <n v="0"/>
  </r>
  <r>
    <x v="2"/>
    <x v="0"/>
    <x v="0"/>
    <x v="20"/>
    <x v="34"/>
    <x v="1"/>
    <x v="7"/>
    <n v="9.7000000000000003E-3"/>
  </r>
  <r>
    <x v="2"/>
    <x v="0"/>
    <x v="0"/>
    <x v="20"/>
    <x v="34"/>
    <x v="2"/>
    <x v="0"/>
    <n v="0"/>
  </r>
  <r>
    <x v="2"/>
    <x v="0"/>
    <x v="0"/>
    <x v="20"/>
    <x v="34"/>
    <x v="3"/>
    <x v="0"/>
    <n v="0"/>
  </r>
  <r>
    <x v="3"/>
    <x v="0"/>
    <x v="0"/>
    <x v="20"/>
    <x v="45"/>
    <x v="0"/>
    <x v="0"/>
    <n v="0"/>
  </r>
  <r>
    <x v="3"/>
    <x v="0"/>
    <x v="0"/>
    <x v="20"/>
    <x v="45"/>
    <x v="1"/>
    <x v="7"/>
    <n v="1.32E-2"/>
  </r>
  <r>
    <x v="3"/>
    <x v="0"/>
    <x v="0"/>
    <x v="20"/>
    <x v="45"/>
    <x v="2"/>
    <x v="0"/>
    <n v="0"/>
  </r>
  <r>
    <x v="3"/>
    <x v="0"/>
    <x v="0"/>
    <x v="20"/>
    <x v="45"/>
    <x v="3"/>
    <x v="0"/>
    <n v="0"/>
  </r>
  <r>
    <x v="4"/>
    <x v="0"/>
    <x v="0"/>
    <x v="20"/>
    <x v="46"/>
    <x v="0"/>
    <x v="7"/>
    <n v="0.20039999999999999"/>
  </r>
  <r>
    <x v="4"/>
    <x v="0"/>
    <x v="0"/>
    <x v="20"/>
    <x v="46"/>
    <x v="1"/>
    <x v="0"/>
    <n v="0"/>
  </r>
  <r>
    <x v="4"/>
    <x v="0"/>
    <x v="0"/>
    <x v="20"/>
    <x v="46"/>
    <x v="2"/>
    <x v="0"/>
    <n v="0"/>
  </r>
  <r>
    <x v="4"/>
    <x v="0"/>
    <x v="0"/>
    <x v="20"/>
    <x v="46"/>
    <x v="3"/>
    <x v="0"/>
    <n v="0"/>
  </r>
  <r>
    <x v="5"/>
    <x v="1"/>
    <x v="0"/>
    <x v="20"/>
    <x v="2"/>
    <x v="0"/>
    <x v="7"/>
    <n v="0"/>
  </r>
  <r>
    <x v="5"/>
    <x v="1"/>
    <x v="0"/>
    <x v="20"/>
    <x v="2"/>
    <x v="1"/>
    <x v="0"/>
    <n v="0"/>
  </r>
  <r>
    <x v="5"/>
    <x v="1"/>
    <x v="0"/>
    <x v="20"/>
    <x v="2"/>
    <x v="2"/>
    <x v="0"/>
    <n v="0"/>
  </r>
  <r>
    <x v="5"/>
    <x v="1"/>
    <x v="0"/>
    <x v="20"/>
    <x v="2"/>
    <x v="3"/>
    <x v="0"/>
    <n v="0"/>
  </r>
  <r>
    <x v="6"/>
    <x v="0"/>
    <x v="0"/>
    <x v="20"/>
    <x v="47"/>
    <x v="0"/>
    <x v="0"/>
    <n v="0"/>
  </r>
  <r>
    <x v="6"/>
    <x v="0"/>
    <x v="0"/>
    <x v="20"/>
    <x v="47"/>
    <x v="1"/>
    <x v="0"/>
    <n v="0"/>
  </r>
  <r>
    <x v="6"/>
    <x v="0"/>
    <x v="0"/>
    <x v="20"/>
    <x v="47"/>
    <x v="2"/>
    <x v="7"/>
    <n v="8.0100000000000005E-2"/>
  </r>
  <r>
    <x v="6"/>
    <x v="0"/>
    <x v="0"/>
    <x v="20"/>
    <x v="47"/>
    <x v="3"/>
    <x v="0"/>
    <n v="0"/>
  </r>
  <r>
    <x v="7"/>
    <x v="0"/>
    <x v="0"/>
    <x v="20"/>
    <x v="18"/>
    <x v="0"/>
    <x v="0"/>
    <n v="0"/>
  </r>
  <r>
    <x v="7"/>
    <x v="0"/>
    <x v="0"/>
    <x v="20"/>
    <x v="18"/>
    <x v="1"/>
    <x v="0"/>
    <n v="0"/>
  </r>
  <r>
    <x v="7"/>
    <x v="0"/>
    <x v="0"/>
    <x v="20"/>
    <x v="18"/>
    <x v="2"/>
    <x v="0"/>
    <n v="0"/>
  </r>
  <r>
    <x v="7"/>
    <x v="0"/>
    <x v="0"/>
    <x v="20"/>
    <x v="18"/>
    <x v="3"/>
    <x v="7"/>
    <n v="3.8699999999999998E-2"/>
  </r>
  <r>
    <x v="8"/>
    <x v="0"/>
    <x v="0"/>
    <x v="20"/>
    <x v="48"/>
    <x v="0"/>
    <x v="0"/>
    <n v="0"/>
  </r>
  <r>
    <x v="8"/>
    <x v="0"/>
    <x v="0"/>
    <x v="20"/>
    <x v="48"/>
    <x v="1"/>
    <x v="7"/>
    <n v="2.5499999999999998E-2"/>
  </r>
  <r>
    <x v="8"/>
    <x v="0"/>
    <x v="0"/>
    <x v="20"/>
    <x v="48"/>
    <x v="2"/>
    <x v="0"/>
    <n v="0"/>
  </r>
  <r>
    <x v="8"/>
    <x v="0"/>
    <x v="0"/>
    <x v="20"/>
    <x v="48"/>
    <x v="3"/>
    <x v="0"/>
    <n v="0"/>
  </r>
  <r>
    <x v="9"/>
    <x v="0"/>
    <x v="0"/>
    <x v="20"/>
    <x v="2"/>
    <x v="0"/>
    <x v="0"/>
    <n v="0"/>
  </r>
  <r>
    <x v="9"/>
    <x v="0"/>
    <x v="0"/>
    <x v="20"/>
    <x v="2"/>
    <x v="1"/>
    <x v="7"/>
    <n v="0"/>
  </r>
  <r>
    <x v="9"/>
    <x v="0"/>
    <x v="0"/>
    <x v="20"/>
    <x v="2"/>
    <x v="2"/>
    <x v="0"/>
    <n v="0"/>
  </r>
  <r>
    <x v="9"/>
    <x v="0"/>
    <x v="0"/>
    <x v="20"/>
    <x v="2"/>
    <x v="3"/>
    <x v="0"/>
    <n v="0"/>
  </r>
  <r>
    <x v="10"/>
    <x v="0"/>
    <x v="0"/>
    <x v="20"/>
    <x v="49"/>
    <x v="0"/>
    <x v="0"/>
    <n v="0"/>
  </r>
  <r>
    <x v="10"/>
    <x v="0"/>
    <x v="0"/>
    <x v="20"/>
    <x v="49"/>
    <x v="1"/>
    <x v="7"/>
    <n v="1.6299999999999999E-2"/>
  </r>
  <r>
    <x v="10"/>
    <x v="0"/>
    <x v="0"/>
    <x v="20"/>
    <x v="49"/>
    <x v="2"/>
    <x v="0"/>
    <n v="0"/>
  </r>
  <r>
    <x v="10"/>
    <x v="0"/>
    <x v="0"/>
    <x v="20"/>
    <x v="49"/>
    <x v="3"/>
    <x v="0"/>
    <n v="0"/>
  </r>
  <r>
    <x v="11"/>
    <x v="0"/>
    <x v="0"/>
    <x v="20"/>
    <x v="42"/>
    <x v="0"/>
    <x v="0"/>
    <n v="0"/>
  </r>
  <r>
    <x v="11"/>
    <x v="0"/>
    <x v="0"/>
    <x v="20"/>
    <x v="42"/>
    <x v="1"/>
    <x v="7"/>
    <n v="1.0999999999999999E-2"/>
  </r>
  <r>
    <x v="11"/>
    <x v="0"/>
    <x v="0"/>
    <x v="20"/>
    <x v="42"/>
    <x v="2"/>
    <x v="0"/>
    <n v="0"/>
  </r>
  <r>
    <x v="11"/>
    <x v="0"/>
    <x v="0"/>
    <x v="20"/>
    <x v="42"/>
    <x v="3"/>
    <x v="0"/>
    <n v="0"/>
  </r>
  <r>
    <x v="12"/>
    <x v="1"/>
    <x v="0"/>
    <x v="20"/>
    <x v="2"/>
    <x v="0"/>
    <x v="0"/>
    <n v="0"/>
  </r>
  <r>
    <x v="12"/>
    <x v="1"/>
    <x v="0"/>
    <x v="20"/>
    <x v="2"/>
    <x v="1"/>
    <x v="0"/>
    <n v="0"/>
  </r>
  <r>
    <x v="12"/>
    <x v="1"/>
    <x v="0"/>
    <x v="20"/>
    <x v="2"/>
    <x v="2"/>
    <x v="0"/>
    <n v="0"/>
  </r>
  <r>
    <x v="12"/>
    <x v="1"/>
    <x v="0"/>
    <x v="20"/>
    <x v="2"/>
    <x v="3"/>
    <x v="0"/>
    <n v="0"/>
  </r>
  <r>
    <x v="0"/>
    <x v="0"/>
    <x v="0"/>
    <x v="21"/>
    <x v="43"/>
    <x v="0"/>
    <x v="0"/>
    <n v="0"/>
  </r>
  <r>
    <x v="0"/>
    <x v="0"/>
    <x v="0"/>
    <x v="21"/>
    <x v="43"/>
    <x v="1"/>
    <x v="1"/>
    <n v="4.0390000000000002E-2"/>
  </r>
  <r>
    <x v="0"/>
    <x v="0"/>
    <x v="0"/>
    <x v="21"/>
    <x v="43"/>
    <x v="2"/>
    <x v="2"/>
    <n v="1.7309999999999999E-2"/>
  </r>
  <r>
    <x v="0"/>
    <x v="0"/>
    <x v="0"/>
    <x v="21"/>
    <x v="43"/>
    <x v="3"/>
    <x v="0"/>
    <n v="0"/>
  </r>
  <r>
    <x v="1"/>
    <x v="0"/>
    <x v="0"/>
    <x v="21"/>
    <x v="44"/>
    <x v="0"/>
    <x v="3"/>
    <n v="0.123114"/>
  </r>
  <r>
    <x v="1"/>
    <x v="0"/>
    <x v="0"/>
    <x v="21"/>
    <x v="44"/>
    <x v="1"/>
    <x v="4"/>
    <n v="0.16294500000000001"/>
  </r>
  <r>
    <x v="1"/>
    <x v="0"/>
    <x v="0"/>
    <x v="21"/>
    <x v="44"/>
    <x v="2"/>
    <x v="5"/>
    <n v="3.6209999999999999E-2"/>
  </r>
  <r>
    <x v="1"/>
    <x v="0"/>
    <x v="0"/>
    <x v="21"/>
    <x v="44"/>
    <x v="3"/>
    <x v="6"/>
    <n v="3.9830999999999998E-2"/>
  </r>
  <r>
    <x v="2"/>
    <x v="0"/>
    <x v="0"/>
    <x v="21"/>
    <x v="34"/>
    <x v="0"/>
    <x v="0"/>
    <n v="0"/>
  </r>
  <r>
    <x v="2"/>
    <x v="0"/>
    <x v="0"/>
    <x v="21"/>
    <x v="34"/>
    <x v="1"/>
    <x v="7"/>
    <n v="9.7000000000000003E-3"/>
  </r>
  <r>
    <x v="2"/>
    <x v="0"/>
    <x v="0"/>
    <x v="21"/>
    <x v="34"/>
    <x v="2"/>
    <x v="0"/>
    <n v="0"/>
  </r>
  <r>
    <x v="2"/>
    <x v="0"/>
    <x v="0"/>
    <x v="21"/>
    <x v="34"/>
    <x v="3"/>
    <x v="0"/>
    <n v="0"/>
  </r>
  <r>
    <x v="3"/>
    <x v="0"/>
    <x v="0"/>
    <x v="21"/>
    <x v="45"/>
    <x v="0"/>
    <x v="0"/>
    <n v="0"/>
  </r>
  <r>
    <x v="3"/>
    <x v="0"/>
    <x v="0"/>
    <x v="21"/>
    <x v="45"/>
    <x v="1"/>
    <x v="7"/>
    <n v="1.32E-2"/>
  </r>
  <r>
    <x v="3"/>
    <x v="0"/>
    <x v="0"/>
    <x v="21"/>
    <x v="45"/>
    <x v="2"/>
    <x v="0"/>
    <n v="0"/>
  </r>
  <r>
    <x v="3"/>
    <x v="0"/>
    <x v="0"/>
    <x v="21"/>
    <x v="45"/>
    <x v="3"/>
    <x v="0"/>
    <n v="0"/>
  </r>
  <r>
    <x v="4"/>
    <x v="0"/>
    <x v="0"/>
    <x v="21"/>
    <x v="46"/>
    <x v="0"/>
    <x v="7"/>
    <n v="0.20039999999999999"/>
  </r>
  <r>
    <x v="4"/>
    <x v="0"/>
    <x v="0"/>
    <x v="21"/>
    <x v="46"/>
    <x v="1"/>
    <x v="0"/>
    <n v="0"/>
  </r>
  <r>
    <x v="4"/>
    <x v="0"/>
    <x v="0"/>
    <x v="21"/>
    <x v="46"/>
    <x v="2"/>
    <x v="0"/>
    <n v="0"/>
  </r>
  <r>
    <x v="4"/>
    <x v="0"/>
    <x v="0"/>
    <x v="21"/>
    <x v="46"/>
    <x v="3"/>
    <x v="0"/>
    <n v="0"/>
  </r>
  <r>
    <x v="5"/>
    <x v="1"/>
    <x v="0"/>
    <x v="21"/>
    <x v="2"/>
    <x v="0"/>
    <x v="7"/>
    <n v="0"/>
  </r>
  <r>
    <x v="5"/>
    <x v="1"/>
    <x v="0"/>
    <x v="21"/>
    <x v="2"/>
    <x v="1"/>
    <x v="0"/>
    <n v="0"/>
  </r>
  <r>
    <x v="5"/>
    <x v="1"/>
    <x v="0"/>
    <x v="21"/>
    <x v="2"/>
    <x v="2"/>
    <x v="0"/>
    <n v="0"/>
  </r>
  <r>
    <x v="5"/>
    <x v="1"/>
    <x v="0"/>
    <x v="21"/>
    <x v="2"/>
    <x v="3"/>
    <x v="0"/>
    <n v="0"/>
  </r>
  <r>
    <x v="6"/>
    <x v="0"/>
    <x v="0"/>
    <x v="21"/>
    <x v="47"/>
    <x v="0"/>
    <x v="0"/>
    <n v="0"/>
  </r>
  <r>
    <x v="6"/>
    <x v="0"/>
    <x v="0"/>
    <x v="21"/>
    <x v="47"/>
    <x v="1"/>
    <x v="0"/>
    <n v="0"/>
  </r>
  <r>
    <x v="6"/>
    <x v="0"/>
    <x v="0"/>
    <x v="21"/>
    <x v="47"/>
    <x v="2"/>
    <x v="7"/>
    <n v="8.0100000000000005E-2"/>
  </r>
  <r>
    <x v="6"/>
    <x v="0"/>
    <x v="0"/>
    <x v="21"/>
    <x v="47"/>
    <x v="3"/>
    <x v="0"/>
    <n v="0"/>
  </r>
  <r>
    <x v="7"/>
    <x v="0"/>
    <x v="0"/>
    <x v="21"/>
    <x v="18"/>
    <x v="0"/>
    <x v="0"/>
    <n v="0"/>
  </r>
  <r>
    <x v="7"/>
    <x v="0"/>
    <x v="0"/>
    <x v="21"/>
    <x v="18"/>
    <x v="1"/>
    <x v="0"/>
    <n v="0"/>
  </r>
  <r>
    <x v="7"/>
    <x v="0"/>
    <x v="0"/>
    <x v="21"/>
    <x v="18"/>
    <x v="2"/>
    <x v="0"/>
    <n v="0"/>
  </r>
  <r>
    <x v="7"/>
    <x v="0"/>
    <x v="0"/>
    <x v="21"/>
    <x v="18"/>
    <x v="3"/>
    <x v="7"/>
    <n v="3.8699999999999998E-2"/>
  </r>
  <r>
    <x v="8"/>
    <x v="0"/>
    <x v="0"/>
    <x v="21"/>
    <x v="48"/>
    <x v="0"/>
    <x v="0"/>
    <n v="0"/>
  </r>
  <r>
    <x v="8"/>
    <x v="0"/>
    <x v="0"/>
    <x v="21"/>
    <x v="48"/>
    <x v="1"/>
    <x v="7"/>
    <n v="2.5499999999999998E-2"/>
  </r>
  <r>
    <x v="8"/>
    <x v="0"/>
    <x v="0"/>
    <x v="21"/>
    <x v="48"/>
    <x v="2"/>
    <x v="0"/>
    <n v="0"/>
  </r>
  <r>
    <x v="8"/>
    <x v="0"/>
    <x v="0"/>
    <x v="21"/>
    <x v="48"/>
    <x v="3"/>
    <x v="0"/>
    <n v="0"/>
  </r>
  <r>
    <x v="9"/>
    <x v="0"/>
    <x v="0"/>
    <x v="21"/>
    <x v="2"/>
    <x v="0"/>
    <x v="0"/>
    <n v="0"/>
  </r>
  <r>
    <x v="9"/>
    <x v="0"/>
    <x v="0"/>
    <x v="21"/>
    <x v="2"/>
    <x v="1"/>
    <x v="7"/>
    <n v="0"/>
  </r>
  <r>
    <x v="9"/>
    <x v="0"/>
    <x v="0"/>
    <x v="21"/>
    <x v="2"/>
    <x v="2"/>
    <x v="0"/>
    <n v="0"/>
  </r>
  <r>
    <x v="9"/>
    <x v="0"/>
    <x v="0"/>
    <x v="21"/>
    <x v="2"/>
    <x v="3"/>
    <x v="0"/>
    <n v="0"/>
  </r>
  <r>
    <x v="10"/>
    <x v="0"/>
    <x v="0"/>
    <x v="21"/>
    <x v="49"/>
    <x v="0"/>
    <x v="0"/>
    <n v="0"/>
  </r>
  <r>
    <x v="10"/>
    <x v="0"/>
    <x v="0"/>
    <x v="21"/>
    <x v="49"/>
    <x v="1"/>
    <x v="7"/>
    <n v="1.6299999999999999E-2"/>
  </r>
  <r>
    <x v="10"/>
    <x v="0"/>
    <x v="0"/>
    <x v="21"/>
    <x v="49"/>
    <x v="2"/>
    <x v="0"/>
    <n v="0"/>
  </r>
  <r>
    <x v="10"/>
    <x v="0"/>
    <x v="0"/>
    <x v="21"/>
    <x v="49"/>
    <x v="3"/>
    <x v="0"/>
    <n v="0"/>
  </r>
  <r>
    <x v="11"/>
    <x v="0"/>
    <x v="0"/>
    <x v="21"/>
    <x v="42"/>
    <x v="0"/>
    <x v="0"/>
    <n v="0"/>
  </r>
  <r>
    <x v="11"/>
    <x v="0"/>
    <x v="0"/>
    <x v="21"/>
    <x v="42"/>
    <x v="1"/>
    <x v="7"/>
    <n v="1.0999999999999999E-2"/>
  </r>
  <r>
    <x v="11"/>
    <x v="0"/>
    <x v="0"/>
    <x v="21"/>
    <x v="42"/>
    <x v="2"/>
    <x v="0"/>
    <n v="0"/>
  </r>
  <r>
    <x v="11"/>
    <x v="0"/>
    <x v="0"/>
    <x v="21"/>
    <x v="42"/>
    <x v="3"/>
    <x v="0"/>
    <n v="0"/>
  </r>
  <r>
    <x v="12"/>
    <x v="1"/>
    <x v="0"/>
    <x v="21"/>
    <x v="2"/>
    <x v="0"/>
    <x v="0"/>
    <n v="0"/>
  </r>
  <r>
    <x v="12"/>
    <x v="1"/>
    <x v="0"/>
    <x v="21"/>
    <x v="2"/>
    <x v="1"/>
    <x v="0"/>
    <n v="0"/>
  </r>
  <r>
    <x v="12"/>
    <x v="1"/>
    <x v="0"/>
    <x v="21"/>
    <x v="2"/>
    <x v="2"/>
    <x v="0"/>
    <n v="0"/>
  </r>
  <r>
    <x v="12"/>
    <x v="1"/>
    <x v="0"/>
    <x v="21"/>
    <x v="2"/>
    <x v="3"/>
    <x v="0"/>
    <n v="0"/>
  </r>
  <r>
    <x v="0"/>
    <x v="0"/>
    <x v="0"/>
    <x v="22"/>
    <x v="43"/>
    <x v="0"/>
    <x v="0"/>
    <n v="0"/>
  </r>
  <r>
    <x v="0"/>
    <x v="0"/>
    <x v="0"/>
    <x v="22"/>
    <x v="43"/>
    <x v="1"/>
    <x v="1"/>
    <n v="4.0390000000000002E-2"/>
  </r>
  <r>
    <x v="0"/>
    <x v="0"/>
    <x v="0"/>
    <x v="22"/>
    <x v="43"/>
    <x v="2"/>
    <x v="2"/>
    <n v="1.7309999999999999E-2"/>
  </r>
  <r>
    <x v="0"/>
    <x v="0"/>
    <x v="0"/>
    <x v="22"/>
    <x v="43"/>
    <x v="3"/>
    <x v="0"/>
    <n v="0"/>
  </r>
  <r>
    <x v="1"/>
    <x v="0"/>
    <x v="0"/>
    <x v="22"/>
    <x v="44"/>
    <x v="0"/>
    <x v="3"/>
    <n v="0.123114"/>
  </r>
  <r>
    <x v="1"/>
    <x v="0"/>
    <x v="0"/>
    <x v="22"/>
    <x v="44"/>
    <x v="1"/>
    <x v="4"/>
    <n v="0.16294500000000001"/>
  </r>
  <r>
    <x v="1"/>
    <x v="0"/>
    <x v="0"/>
    <x v="22"/>
    <x v="44"/>
    <x v="2"/>
    <x v="5"/>
    <n v="3.6209999999999999E-2"/>
  </r>
  <r>
    <x v="1"/>
    <x v="0"/>
    <x v="0"/>
    <x v="22"/>
    <x v="44"/>
    <x v="3"/>
    <x v="6"/>
    <n v="3.9830999999999998E-2"/>
  </r>
  <r>
    <x v="2"/>
    <x v="0"/>
    <x v="0"/>
    <x v="22"/>
    <x v="34"/>
    <x v="0"/>
    <x v="0"/>
    <n v="0"/>
  </r>
  <r>
    <x v="2"/>
    <x v="0"/>
    <x v="0"/>
    <x v="22"/>
    <x v="34"/>
    <x v="1"/>
    <x v="7"/>
    <n v="9.7000000000000003E-3"/>
  </r>
  <r>
    <x v="2"/>
    <x v="0"/>
    <x v="0"/>
    <x v="22"/>
    <x v="34"/>
    <x v="2"/>
    <x v="0"/>
    <n v="0"/>
  </r>
  <r>
    <x v="2"/>
    <x v="0"/>
    <x v="0"/>
    <x v="22"/>
    <x v="34"/>
    <x v="3"/>
    <x v="0"/>
    <n v="0"/>
  </r>
  <r>
    <x v="3"/>
    <x v="0"/>
    <x v="0"/>
    <x v="22"/>
    <x v="45"/>
    <x v="0"/>
    <x v="0"/>
    <n v="0"/>
  </r>
  <r>
    <x v="3"/>
    <x v="0"/>
    <x v="0"/>
    <x v="22"/>
    <x v="45"/>
    <x v="1"/>
    <x v="7"/>
    <n v="1.32E-2"/>
  </r>
  <r>
    <x v="3"/>
    <x v="0"/>
    <x v="0"/>
    <x v="22"/>
    <x v="45"/>
    <x v="2"/>
    <x v="0"/>
    <n v="0"/>
  </r>
  <r>
    <x v="3"/>
    <x v="0"/>
    <x v="0"/>
    <x v="22"/>
    <x v="45"/>
    <x v="3"/>
    <x v="0"/>
    <n v="0"/>
  </r>
  <r>
    <x v="4"/>
    <x v="0"/>
    <x v="0"/>
    <x v="22"/>
    <x v="46"/>
    <x v="0"/>
    <x v="7"/>
    <n v="0.20039999999999999"/>
  </r>
  <r>
    <x v="4"/>
    <x v="0"/>
    <x v="0"/>
    <x v="22"/>
    <x v="46"/>
    <x v="1"/>
    <x v="0"/>
    <n v="0"/>
  </r>
  <r>
    <x v="4"/>
    <x v="0"/>
    <x v="0"/>
    <x v="22"/>
    <x v="46"/>
    <x v="2"/>
    <x v="0"/>
    <n v="0"/>
  </r>
  <r>
    <x v="4"/>
    <x v="0"/>
    <x v="0"/>
    <x v="22"/>
    <x v="46"/>
    <x v="3"/>
    <x v="0"/>
    <n v="0"/>
  </r>
  <r>
    <x v="5"/>
    <x v="1"/>
    <x v="0"/>
    <x v="22"/>
    <x v="2"/>
    <x v="0"/>
    <x v="7"/>
    <n v="0"/>
  </r>
  <r>
    <x v="5"/>
    <x v="1"/>
    <x v="0"/>
    <x v="22"/>
    <x v="2"/>
    <x v="1"/>
    <x v="0"/>
    <n v="0"/>
  </r>
  <r>
    <x v="5"/>
    <x v="1"/>
    <x v="0"/>
    <x v="22"/>
    <x v="2"/>
    <x v="2"/>
    <x v="0"/>
    <n v="0"/>
  </r>
  <r>
    <x v="5"/>
    <x v="1"/>
    <x v="0"/>
    <x v="22"/>
    <x v="2"/>
    <x v="3"/>
    <x v="0"/>
    <n v="0"/>
  </r>
  <r>
    <x v="6"/>
    <x v="0"/>
    <x v="0"/>
    <x v="22"/>
    <x v="47"/>
    <x v="0"/>
    <x v="0"/>
    <n v="0"/>
  </r>
  <r>
    <x v="6"/>
    <x v="0"/>
    <x v="0"/>
    <x v="22"/>
    <x v="47"/>
    <x v="1"/>
    <x v="0"/>
    <n v="0"/>
  </r>
  <r>
    <x v="6"/>
    <x v="0"/>
    <x v="0"/>
    <x v="22"/>
    <x v="47"/>
    <x v="2"/>
    <x v="7"/>
    <n v="8.0100000000000005E-2"/>
  </r>
  <r>
    <x v="6"/>
    <x v="0"/>
    <x v="0"/>
    <x v="22"/>
    <x v="47"/>
    <x v="3"/>
    <x v="0"/>
    <n v="0"/>
  </r>
  <r>
    <x v="7"/>
    <x v="0"/>
    <x v="0"/>
    <x v="22"/>
    <x v="18"/>
    <x v="0"/>
    <x v="0"/>
    <n v="0"/>
  </r>
  <r>
    <x v="7"/>
    <x v="0"/>
    <x v="0"/>
    <x v="22"/>
    <x v="18"/>
    <x v="1"/>
    <x v="0"/>
    <n v="0"/>
  </r>
  <r>
    <x v="7"/>
    <x v="0"/>
    <x v="0"/>
    <x v="22"/>
    <x v="18"/>
    <x v="2"/>
    <x v="0"/>
    <n v="0"/>
  </r>
  <r>
    <x v="7"/>
    <x v="0"/>
    <x v="0"/>
    <x v="22"/>
    <x v="18"/>
    <x v="3"/>
    <x v="7"/>
    <n v="3.8699999999999998E-2"/>
  </r>
  <r>
    <x v="8"/>
    <x v="0"/>
    <x v="0"/>
    <x v="22"/>
    <x v="48"/>
    <x v="0"/>
    <x v="0"/>
    <n v="0"/>
  </r>
  <r>
    <x v="8"/>
    <x v="0"/>
    <x v="0"/>
    <x v="22"/>
    <x v="48"/>
    <x v="1"/>
    <x v="7"/>
    <n v="2.5499999999999998E-2"/>
  </r>
  <r>
    <x v="8"/>
    <x v="0"/>
    <x v="0"/>
    <x v="22"/>
    <x v="48"/>
    <x v="2"/>
    <x v="0"/>
    <n v="0"/>
  </r>
  <r>
    <x v="8"/>
    <x v="0"/>
    <x v="0"/>
    <x v="22"/>
    <x v="48"/>
    <x v="3"/>
    <x v="0"/>
    <n v="0"/>
  </r>
  <r>
    <x v="9"/>
    <x v="0"/>
    <x v="0"/>
    <x v="22"/>
    <x v="2"/>
    <x v="0"/>
    <x v="0"/>
    <n v="0"/>
  </r>
  <r>
    <x v="9"/>
    <x v="0"/>
    <x v="0"/>
    <x v="22"/>
    <x v="2"/>
    <x v="1"/>
    <x v="7"/>
    <n v="0"/>
  </r>
  <r>
    <x v="9"/>
    <x v="0"/>
    <x v="0"/>
    <x v="22"/>
    <x v="2"/>
    <x v="2"/>
    <x v="0"/>
    <n v="0"/>
  </r>
  <r>
    <x v="9"/>
    <x v="0"/>
    <x v="0"/>
    <x v="22"/>
    <x v="2"/>
    <x v="3"/>
    <x v="0"/>
    <n v="0"/>
  </r>
  <r>
    <x v="10"/>
    <x v="0"/>
    <x v="0"/>
    <x v="22"/>
    <x v="49"/>
    <x v="0"/>
    <x v="0"/>
    <n v="0"/>
  </r>
  <r>
    <x v="10"/>
    <x v="0"/>
    <x v="0"/>
    <x v="22"/>
    <x v="49"/>
    <x v="1"/>
    <x v="7"/>
    <n v="1.6299999999999999E-2"/>
  </r>
  <r>
    <x v="10"/>
    <x v="0"/>
    <x v="0"/>
    <x v="22"/>
    <x v="49"/>
    <x v="2"/>
    <x v="0"/>
    <n v="0"/>
  </r>
  <r>
    <x v="10"/>
    <x v="0"/>
    <x v="0"/>
    <x v="22"/>
    <x v="49"/>
    <x v="3"/>
    <x v="0"/>
    <n v="0"/>
  </r>
  <r>
    <x v="11"/>
    <x v="0"/>
    <x v="0"/>
    <x v="22"/>
    <x v="42"/>
    <x v="0"/>
    <x v="0"/>
    <n v="0"/>
  </r>
  <r>
    <x v="11"/>
    <x v="0"/>
    <x v="0"/>
    <x v="22"/>
    <x v="42"/>
    <x v="1"/>
    <x v="7"/>
    <n v="1.0999999999999999E-2"/>
  </r>
  <r>
    <x v="11"/>
    <x v="0"/>
    <x v="0"/>
    <x v="22"/>
    <x v="42"/>
    <x v="2"/>
    <x v="0"/>
    <n v="0"/>
  </r>
  <r>
    <x v="11"/>
    <x v="0"/>
    <x v="0"/>
    <x v="22"/>
    <x v="42"/>
    <x v="3"/>
    <x v="0"/>
    <n v="0"/>
  </r>
  <r>
    <x v="12"/>
    <x v="1"/>
    <x v="0"/>
    <x v="22"/>
    <x v="2"/>
    <x v="0"/>
    <x v="0"/>
    <n v="0"/>
  </r>
  <r>
    <x v="12"/>
    <x v="1"/>
    <x v="0"/>
    <x v="22"/>
    <x v="2"/>
    <x v="1"/>
    <x v="0"/>
    <n v="0"/>
  </r>
  <r>
    <x v="12"/>
    <x v="1"/>
    <x v="0"/>
    <x v="22"/>
    <x v="2"/>
    <x v="2"/>
    <x v="0"/>
    <n v="0"/>
  </r>
  <r>
    <x v="12"/>
    <x v="1"/>
    <x v="0"/>
    <x v="22"/>
    <x v="2"/>
    <x v="3"/>
    <x v="0"/>
    <n v="0"/>
  </r>
  <r>
    <x v="0"/>
    <x v="0"/>
    <x v="1"/>
    <x v="23"/>
    <x v="50"/>
    <x v="0"/>
    <x v="0"/>
    <n v="0"/>
  </r>
  <r>
    <x v="0"/>
    <x v="0"/>
    <x v="1"/>
    <x v="23"/>
    <x v="50"/>
    <x v="1"/>
    <x v="1"/>
    <n v="3.9549000000000001E-2"/>
  </r>
  <r>
    <x v="0"/>
    <x v="0"/>
    <x v="1"/>
    <x v="23"/>
    <x v="50"/>
    <x v="2"/>
    <x v="2"/>
    <n v="1.6948999999999999E-2"/>
  </r>
  <r>
    <x v="0"/>
    <x v="0"/>
    <x v="1"/>
    <x v="23"/>
    <x v="50"/>
    <x v="3"/>
    <x v="0"/>
    <n v="0"/>
  </r>
  <r>
    <x v="1"/>
    <x v="0"/>
    <x v="1"/>
    <x v="23"/>
    <x v="51"/>
    <x v="0"/>
    <x v="3"/>
    <n v="0.12564900000000001"/>
  </r>
  <r>
    <x v="1"/>
    <x v="0"/>
    <x v="1"/>
    <x v="23"/>
    <x v="51"/>
    <x v="1"/>
    <x v="4"/>
    <n v="0.1663"/>
  </r>
  <r>
    <x v="1"/>
    <x v="0"/>
    <x v="1"/>
    <x v="23"/>
    <x v="51"/>
    <x v="2"/>
    <x v="5"/>
    <n v="3.6956000000000003E-2"/>
  </r>
  <r>
    <x v="1"/>
    <x v="0"/>
    <x v="1"/>
    <x v="23"/>
    <x v="51"/>
    <x v="3"/>
    <x v="6"/>
    <n v="4.0651E-2"/>
  </r>
  <r>
    <x v="2"/>
    <x v="0"/>
    <x v="1"/>
    <x v="23"/>
    <x v="52"/>
    <x v="0"/>
    <x v="0"/>
    <n v="0"/>
  </r>
  <r>
    <x v="2"/>
    <x v="0"/>
    <x v="1"/>
    <x v="23"/>
    <x v="52"/>
    <x v="1"/>
    <x v="7"/>
    <n v="9.9380000000000007E-3"/>
  </r>
  <r>
    <x v="2"/>
    <x v="0"/>
    <x v="1"/>
    <x v="23"/>
    <x v="52"/>
    <x v="2"/>
    <x v="0"/>
    <n v="0"/>
  </r>
  <r>
    <x v="2"/>
    <x v="0"/>
    <x v="1"/>
    <x v="23"/>
    <x v="52"/>
    <x v="3"/>
    <x v="0"/>
    <n v="0"/>
  </r>
  <r>
    <x v="3"/>
    <x v="0"/>
    <x v="1"/>
    <x v="23"/>
    <x v="53"/>
    <x v="0"/>
    <x v="0"/>
    <n v="0"/>
  </r>
  <r>
    <x v="3"/>
    <x v="0"/>
    <x v="1"/>
    <x v="23"/>
    <x v="53"/>
    <x v="1"/>
    <x v="7"/>
    <n v="1.2529999999999999E-2"/>
  </r>
  <r>
    <x v="3"/>
    <x v="0"/>
    <x v="1"/>
    <x v="23"/>
    <x v="53"/>
    <x v="2"/>
    <x v="0"/>
    <n v="0"/>
  </r>
  <r>
    <x v="3"/>
    <x v="0"/>
    <x v="1"/>
    <x v="23"/>
    <x v="53"/>
    <x v="3"/>
    <x v="0"/>
    <n v="0"/>
  </r>
  <r>
    <x v="4"/>
    <x v="0"/>
    <x v="1"/>
    <x v="23"/>
    <x v="54"/>
    <x v="0"/>
    <x v="7"/>
    <n v="0.20172799999999999"/>
  </r>
  <r>
    <x v="4"/>
    <x v="0"/>
    <x v="1"/>
    <x v="23"/>
    <x v="54"/>
    <x v="1"/>
    <x v="0"/>
    <n v="0"/>
  </r>
  <r>
    <x v="4"/>
    <x v="0"/>
    <x v="1"/>
    <x v="23"/>
    <x v="54"/>
    <x v="2"/>
    <x v="0"/>
    <n v="0"/>
  </r>
  <r>
    <x v="4"/>
    <x v="0"/>
    <x v="1"/>
    <x v="23"/>
    <x v="54"/>
    <x v="3"/>
    <x v="0"/>
    <n v="0"/>
  </r>
  <r>
    <x v="5"/>
    <x v="1"/>
    <x v="1"/>
    <x v="23"/>
    <x v="2"/>
    <x v="0"/>
    <x v="7"/>
    <n v="0"/>
  </r>
  <r>
    <x v="5"/>
    <x v="1"/>
    <x v="1"/>
    <x v="23"/>
    <x v="2"/>
    <x v="1"/>
    <x v="0"/>
    <n v="0"/>
  </r>
  <r>
    <x v="5"/>
    <x v="1"/>
    <x v="1"/>
    <x v="23"/>
    <x v="2"/>
    <x v="2"/>
    <x v="0"/>
    <n v="0"/>
  </r>
  <r>
    <x v="5"/>
    <x v="1"/>
    <x v="1"/>
    <x v="23"/>
    <x v="2"/>
    <x v="3"/>
    <x v="0"/>
    <n v="0"/>
  </r>
  <r>
    <x v="6"/>
    <x v="0"/>
    <x v="1"/>
    <x v="23"/>
    <x v="55"/>
    <x v="0"/>
    <x v="0"/>
    <n v="0"/>
  </r>
  <r>
    <x v="6"/>
    <x v="0"/>
    <x v="1"/>
    <x v="23"/>
    <x v="55"/>
    <x v="1"/>
    <x v="0"/>
    <n v="0"/>
  </r>
  <r>
    <x v="6"/>
    <x v="0"/>
    <x v="1"/>
    <x v="23"/>
    <x v="55"/>
    <x v="2"/>
    <x v="7"/>
    <n v="9.2317999999999997E-2"/>
  </r>
  <r>
    <x v="6"/>
    <x v="0"/>
    <x v="1"/>
    <x v="23"/>
    <x v="55"/>
    <x v="3"/>
    <x v="0"/>
    <n v="0"/>
  </r>
  <r>
    <x v="7"/>
    <x v="0"/>
    <x v="1"/>
    <x v="23"/>
    <x v="56"/>
    <x v="0"/>
    <x v="0"/>
    <n v="0"/>
  </r>
  <r>
    <x v="7"/>
    <x v="0"/>
    <x v="1"/>
    <x v="23"/>
    <x v="56"/>
    <x v="1"/>
    <x v="0"/>
    <n v="0"/>
  </r>
  <r>
    <x v="7"/>
    <x v="0"/>
    <x v="1"/>
    <x v="23"/>
    <x v="56"/>
    <x v="2"/>
    <x v="0"/>
    <n v="0"/>
  </r>
  <r>
    <x v="7"/>
    <x v="0"/>
    <x v="1"/>
    <x v="23"/>
    <x v="56"/>
    <x v="3"/>
    <x v="7"/>
    <n v="4.0902000000000001E-2"/>
  </r>
  <r>
    <x v="8"/>
    <x v="0"/>
    <x v="1"/>
    <x v="23"/>
    <x v="57"/>
    <x v="0"/>
    <x v="0"/>
    <n v="0"/>
  </r>
  <r>
    <x v="8"/>
    <x v="0"/>
    <x v="1"/>
    <x v="23"/>
    <x v="57"/>
    <x v="1"/>
    <x v="7"/>
    <n v="2.5529E-2"/>
  </r>
  <r>
    <x v="8"/>
    <x v="0"/>
    <x v="1"/>
    <x v="23"/>
    <x v="57"/>
    <x v="2"/>
    <x v="0"/>
    <n v="0"/>
  </r>
  <r>
    <x v="8"/>
    <x v="0"/>
    <x v="1"/>
    <x v="23"/>
    <x v="57"/>
    <x v="3"/>
    <x v="0"/>
    <n v="0"/>
  </r>
  <r>
    <x v="9"/>
    <x v="0"/>
    <x v="1"/>
    <x v="23"/>
    <x v="2"/>
    <x v="0"/>
    <x v="0"/>
    <n v="0"/>
  </r>
  <r>
    <x v="9"/>
    <x v="0"/>
    <x v="1"/>
    <x v="23"/>
    <x v="2"/>
    <x v="1"/>
    <x v="7"/>
    <n v="0"/>
  </r>
  <r>
    <x v="9"/>
    <x v="0"/>
    <x v="1"/>
    <x v="23"/>
    <x v="2"/>
    <x v="2"/>
    <x v="0"/>
    <n v="0"/>
  </r>
  <r>
    <x v="9"/>
    <x v="0"/>
    <x v="1"/>
    <x v="23"/>
    <x v="2"/>
    <x v="3"/>
    <x v="0"/>
    <n v="0"/>
  </r>
  <r>
    <x v="10"/>
    <x v="0"/>
    <x v="1"/>
    <x v="23"/>
    <x v="2"/>
    <x v="0"/>
    <x v="0"/>
    <n v="0"/>
  </r>
  <r>
    <x v="10"/>
    <x v="0"/>
    <x v="1"/>
    <x v="23"/>
    <x v="2"/>
    <x v="1"/>
    <x v="7"/>
    <n v="0"/>
  </r>
  <r>
    <x v="10"/>
    <x v="0"/>
    <x v="1"/>
    <x v="23"/>
    <x v="2"/>
    <x v="2"/>
    <x v="0"/>
    <n v="0"/>
  </r>
  <r>
    <x v="10"/>
    <x v="0"/>
    <x v="1"/>
    <x v="23"/>
    <x v="2"/>
    <x v="3"/>
    <x v="0"/>
    <n v="0"/>
  </r>
  <r>
    <x v="11"/>
    <x v="0"/>
    <x v="1"/>
    <x v="23"/>
    <x v="58"/>
    <x v="0"/>
    <x v="0"/>
    <n v="0"/>
  </r>
  <r>
    <x v="11"/>
    <x v="0"/>
    <x v="1"/>
    <x v="23"/>
    <x v="58"/>
    <x v="1"/>
    <x v="7"/>
    <n v="9.4629999999999992E-3"/>
  </r>
  <r>
    <x v="11"/>
    <x v="0"/>
    <x v="1"/>
    <x v="23"/>
    <x v="58"/>
    <x v="2"/>
    <x v="0"/>
    <n v="0"/>
  </r>
  <r>
    <x v="11"/>
    <x v="0"/>
    <x v="1"/>
    <x v="23"/>
    <x v="58"/>
    <x v="3"/>
    <x v="0"/>
    <n v="0"/>
  </r>
  <r>
    <x v="12"/>
    <x v="1"/>
    <x v="1"/>
    <x v="23"/>
    <x v="2"/>
    <x v="0"/>
    <x v="0"/>
    <n v="0"/>
  </r>
  <r>
    <x v="12"/>
    <x v="1"/>
    <x v="1"/>
    <x v="23"/>
    <x v="2"/>
    <x v="1"/>
    <x v="0"/>
    <n v="0"/>
  </r>
  <r>
    <x v="12"/>
    <x v="1"/>
    <x v="1"/>
    <x v="23"/>
    <x v="2"/>
    <x v="2"/>
    <x v="0"/>
    <n v="0"/>
  </r>
  <r>
    <x v="12"/>
    <x v="1"/>
    <x v="1"/>
    <x v="23"/>
    <x v="2"/>
    <x v="3"/>
    <x v="0"/>
    <n v="0"/>
  </r>
  <r>
    <x v="0"/>
    <x v="0"/>
    <x v="1"/>
    <x v="24"/>
    <x v="50"/>
    <x v="0"/>
    <x v="0"/>
    <n v="0"/>
  </r>
  <r>
    <x v="0"/>
    <x v="0"/>
    <x v="1"/>
    <x v="24"/>
    <x v="50"/>
    <x v="1"/>
    <x v="1"/>
    <n v="3.9549000000000001E-2"/>
  </r>
  <r>
    <x v="0"/>
    <x v="0"/>
    <x v="1"/>
    <x v="24"/>
    <x v="50"/>
    <x v="2"/>
    <x v="2"/>
    <n v="1.6948999999999999E-2"/>
  </r>
  <r>
    <x v="0"/>
    <x v="0"/>
    <x v="1"/>
    <x v="24"/>
    <x v="50"/>
    <x v="3"/>
    <x v="0"/>
    <n v="0"/>
  </r>
  <r>
    <x v="1"/>
    <x v="0"/>
    <x v="1"/>
    <x v="24"/>
    <x v="51"/>
    <x v="0"/>
    <x v="3"/>
    <n v="0.12564900000000001"/>
  </r>
  <r>
    <x v="1"/>
    <x v="0"/>
    <x v="1"/>
    <x v="24"/>
    <x v="51"/>
    <x v="1"/>
    <x v="4"/>
    <n v="0.1663"/>
  </r>
  <r>
    <x v="1"/>
    <x v="0"/>
    <x v="1"/>
    <x v="24"/>
    <x v="51"/>
    <x v="2"/>
    <x v="5"/>
    <n v="3.6956000000000003E-2"/>
  </r>
  <r>
    <x v="1"/>
    <x v="0"/>
    <x v="1"/>
    <x v="24"/>
    <x v="51"/>
    <x v="3"/>
    <x v="6"/>
    <n v="4.0651E-2"/>
  </r>
  <r>
    <x v="2"/>
    <x v="0"/>
    <x v="1"/>
    <x v="24"/>
    <x v="52"/>
    <x v="0"/>
    <x v="0"/>
    <n v="0"/>
  </r>
  <r>
    <x v="2"/>
    <x v="0"/>
    <x v="1"/>
    <x v="24"/>
    <x v="52"/>
    <x v="1"/>
    <x v="7"/>
    <n v="9.9380000000000007E-3"/>
  </r>
  <r>
    <x v="2"/>
    <x v="0"/>
    <x v="1"/>
    <x v="24"/>
    <x v="52"/>
    <x v="2"/>
    <x v="0"/>
    <n v="0"/>
  </r>
  <r>
    <x v="2"/>
    <x v="0"/>
    <x v="1"/>
    <x v="24"/>
    <x v="52"/>
    <x v="3"/>
    <x v="0"/>
    <n v="0"/>
  </r>
  <r>
    <x v="3"/>
    <x v="0"/>
    <x v="1"/>
    <x v="24"/>
    <x v="53"/>
    <x v="0"/>
    <x v="0"/>
    <n v="0"/>
  </r>
  <r>
    <x v="3"/>
    <x v="0"/>
    <x v="1"/>
    <x v="24"/>
    <x v="53"/>
    <x v="1"/>
    <x v="7"/>
    <n v="1.2529999999999999E-2"/>
  </r>
  <r>
    <x v="3"/>
    <x v="0"/>
    <x v="1"/>
    <x v="24"/>
    <x v="53"/>
    <x v="2"/>
    <x v="0"/>
    <n v="0"/>
  </r>
  <r>
    <x v="3"/>
    <x v="0"/>
    <x v="1"/>
    <x v="24"/>
    <x v="53"/>
    <x v="3"/>
    <x v="0"/>
    <n v="0"/>
  </r>
  <r>
    <x v="4"/>
    <x v="0"/>
    <x v="1"/>
    <x v="24"/>
    <x v="54"/>
    <x v="0"/>
    <x v="7"/>
    <n v="0.20172799999999999"/>
  </r>
  <r>
    <x v="4"/>
    <x v="0"/>
    <x v="1"/>
    <x v="24"/>
    <x v="54"/>
    <x v="1"/>
    <x v="0"/>
    <n v="0"/>
  </r>
  <r>
    <x v="4"/>
    <x v="0"/>
    <x v="1"/>
    <x v="24"/>
    <x v="54"/>
    <x v="2"/>
    <x v="0"/>
    <n v="0"/>
  </r>
  <r>
    <x v="4"/>
    <x v="0"/>
    <x v="1"/>
    <x v="24"/>
    <x v="54"/>
    <x v="3"/>
    <x v="0"/>
    <n v="0"/>
  </r>
  <r>
    <x v="5"/>
    <x v="1"/>
    <x v="1"/>
    <x v="24"/>
    <x v="2"/>
    <x v="0"/>
    <x v="7"/>
    <n v="0"/>
  </r>
  <r>
    <x v="5"/>
    <x v="1"/>
    <x v="1"/>
    <x v="24"/>
    <x v="2"/>
    <x v="1"/>
    <x v="0"/>
    <n v="0"/>
  </r>
  <r>
    <x v="5"/>
    <x v="1"/>
    <x v="1"/>
    <x v="24"/>
    <x v="2"/>
    <x v="2"/>
    <x v="0"/>
    <n v="0"/>
  </r>
  <r>
    <x v="5"/>
    <x v="1"/>
    <x v="1"/>
    <x v="24"/>
    <x v="2"/>
    <x v="3"/>
    <x v="0"/>
    <n v="0"/>
  </r>
  <r>
    <x v="6"/>
    <x v="0"/>
    <x v="1"/>
    <x v="24"/>
    <x v="55"/>
    <x v="0"/>
    <x v="0"/>
    <n v="0"/>
  </r>
  <r>
    <x v="6"/>
    <x v="0"/>
    <x v="1"/>
    <x v="24"/>
    <x v="55"/>
    <x v="1"/>
    <x v="0"/>
    <n v="0"/>
  </r>
  <r>
    <x v="6"/>
    <x v="0"/>
    <x v="1"/>
    <x v="24"/>
    <x v="55"/>
    <x v="2"/>
    <x v="7"/>
    <n v="9.2317999999999997E-2"/>
  </r>
  <r>
    <x v="6"/>
    <x v="0"/>
    <x v="1"/>
    <x v="24"/>
    <x v="55"/>
    <x v="3"/>
    <x v="0"/>
    <n v="0"/>
  </r>
  <r>
    <x v="7"/>
    <x v="0"/>
    <x v="1"/>
    <x v="24"/>
    <x v="56"/>
    <x v="0"/>
    <x v="0"/>
    <n v="0"/>
  </r>
  <r>
    <x v="7"/>
    <x v="0"/>
    <x v="1"/>
    <x v="24"/>
    <x v="56"/>
    <x v="1"/>
    <x v="0"/>
    <n v="0"/>
  </r>
  <r>
    <x v="7"/>
    <x v="0"/>
    <x v="1"/>
    <x v="24"/>
    <x v="56"/>
    <x v="2"/>
    <x v="0"/>
    <n v="0"/>
  </r>
  <r>
    <x v="7"/>
    <x v="0"/>
    <x v="1"/>
    <x v="24"/>
    <x v="56"/>
    <x v="3"/>
    <x v="7"/>
    <n v="4.0902000000000001E-2"/>
  </r>
  <r>
    <x v="8"/>
    <x v="0"/>
    <x v="1"/>
    <x v="24"/>
    <x v="57"/>
    <x v="0"/>
    <x v="0"/>
    <n v="0"/>
  </r>
  <r>
    <x v="8"/>
    <x v="0"/>
    <x v="1"/>
    <x v="24"/>
    <x v="57"/>
    <x v="1"/>
    <x v="7"/>
    <n v="2.5529E-2"/>
  </r>
  <r>
    <x v="8"/>
    <x v="0"/>
    <x v="1"/>
    <x v="24"/>
    <x v="57"/>
    <x v="2"/>
    <x v="0"/>
    <n v="0"/>
  </r>
  <r>
    <x v="8"/>
    <x v="0"/>
    <x v="1"/>
    <x v="24"/>
    <x v="57"/>
    <x v="3"/>
    <x v="0"/>
    <n v="0"/>
  </r>
  <r>
    <x v="9"/>
    <x v="0"/>
    <x v="1"/>
    <x v="24"/>
    <x v="2"/>
    <x v="0"/>
    <x v="0"/>
    <n v="0"/>
  </r>
  <r>
    <x v="9"/>
    <x v="0"/>
    <x v="1"/>
    <x v="24"/>
    <x v="2"/>
    <x v="1"/>
    <x v="7"/>
    <n v="0"/>
  </r>
  <r>
    <x v="9"/>
    <x v="0"/>
    <x v="1"/>
    <x v="24"/>
    <x v="2"/>
    <x v="2"/>
    <x v="0"/>
    <n v="0"/>
  </r>
  <r>
    <x v="9"/>
    <x v="0"/>
    <x v="1"/>
    <x v="24"/>
    <x v="2"/>
    <x v="3"/>
    <x v="0"/>
    <n v="0"/>
  </r>
  <r>
    <x v="10"/>
    <x v="0"/>
    <x v="1"/>
    <x v="24"/>
    <x v="2"/>
    <x v="0"/>
    <x v="0"/>
    <n v="0"/>
  </r>
  <r>
    <x v="10"/>
    <x v="0"/>
    <x v="1"/>
    <x v="24"/>
    <x v="2"/>
    <x v="1"/>
    <x v="7"/>
    <n v="0"/>
  </r>
  <r>
    <x v="10"/>
    <x v="0"/>
    <x v="1"/>
    <x v="24"/>
    <x v="2"/>
    <x v="2"/>
    <x v="0"/>
    <n v="0"/>
  </r>
  <r>
    <x v="10"/>
    <x v="0"/>
    <x v="1"/>
    <x v="24"/>
    <x v="2"/>
    <x v="3"/>
    <x v="0"/>
    <n v="0"/>
  </r>
  <r>
    <x v="11"/>
    <x v="0"/>
    <x v="1"/>
    <x v="24"/>
    <x v="58"/>
    <x v="0"/>
    <x v="0"/>
    <n v="0"/>
  </r>
  <r>
    <x v="11"/>
    <x v="0"/>
    <x v="1"/>
    <x v="24"/>
    <x v="58"/>
    <x v="1"/>
    <x v="7"/>
    <n v="9.4629999999999992E-3"/>
  </r>
  <r>
    <x v="11"/>
    <x v="0"/>
    <x v="1"/>
    <x v="24"/>
    <x v="58"/>
    <x v="2"/>
    <x v="0"/>
    <n v="0"/>
  </r>
  <r>
    <x v="11"/>
    <x v="0"/>
    <x v="1"/>
    <x v="24"/>
    <x v="58"/>
    <x v="3"/>
    <x v="0"/>
    <n v="0"/>
  </r>
  <r>
    <x v="12"/>
    <x v="1"/>
    <x v="1"/>
    <x v="24"/>
    <x v="2"/>
    <x v="0"/>
    <x v="0"/>
    <n v="0"/>
  </r>
  <r>
    <x v="12"/>
    <x v="1"/>
    <x v="1"/>
    <x v="24"/>
    <x v="2"/>
    <x v="1"/>
    <x v="0"/>
    <n v="0"/>
  </r>
  <r>
    <x v="12"/>
    <x v="1"/>
    <x v="1"/>
    <x v="24"/>
    <x v="2"/>
    <x v="2"/>
    <x v="0"/>
    <n v="0"/>
  </r>
  <r>
    <x v="12"/>
    <x v="1"/>
    <x v="1"/>
    <x v="24"/>
    <x v="2"/>
    <x v="3"/>
    <x v="0"/>
    <n v="0"/>
  </r>
  <r>
    <x v="0"/>
    <x v="0"/>
    <x v="1"/>
    <x v="25"/>
    <x v="50"/>
    <x v="0"/>
    <x v="0"/>
    <n v="0"/>
  </r>
  <r>
    <x v="0"/>
    <x v="0"/>
    <x v="1"/>
    <x v="25"/>
    <x v="50"/>
    <x v="1"/>
    <x v="1"/>
    <n v="3.9549000000000001E-2"/>
  </r>
  <r>
    <x v="0"/>
    <x v="0"/>
    <x v="1"/>
    <x v="25"/>
    <x v="50"/>
    <x v="2"/>
    <x v="2"/>
    <n v="1.6948999999999999E-2"/>
  </r>
  <r>
    <x v="0"/>
    <x v="0"/>
    <x v="1"/>
    <x v="25"/>
    <x v="50"/>
    <x v="3"/>
    <x v="0"/>
    <n v="0"/>
  </r>
  <r>
    <x v="1"/>
    <x v="0"/>
    <x v="1"/>
    <x v="25"/>
    <x v="51"/>
    <x v="0"/>
    <x v="3"/>
    <n v="0.12564900000000001"/>
  </r>
  <r>
    <x v="1"/>
    <x v="0"/>
    <x v="1"/>
    <x v="25"/>
    <x v="51"/>
    <x v="1"/>
    <x v="4"/>
    <n v="0.1663"/>
  </r>
  <r>
    <x v="1"/>
    <x v="0"/>
    <x v="1"/>
    <x v="25"/>
    <x v="51"/>
    <x v="2"/>
    <x v="5"/>
    <n v="3.6956000000000003E-2"/>
  </r>
  <r>
    <x v="1"/>
    <x v="0"/>
    <x v="1"/>
    <x v="25"/>
    <x v="51"/>
    <x v="3"/>
    <x v="6"/>
    <n v="4.0651E-2"/>
  </r>
  <r>
    <x v="2"/>
    <x v="0"/>
    <x v="1"/>
    <x v="25"/>
    <x v="52"/>
    <x v="0"/>
    <x v="0"/>
    <n v="0"/>
  </r>
  <r>
    <x v="2"/>
    <x v="0"/>
    <x v="1"/>
    <x v="25"/>
    <x v="52"/>
    <x v="1"/>
    <x v="7"/>
    <n v="9.9380000000000007E-3"/>
  </r>
  <r>
    <x v="2"/>
    <x v="0"/>
    <x v="1"/>
    <x v="25"/>
    <x v="52"/>
    <x v="2"/>
    <x v="0"/>
    <n v="0"/>
  </r>
  <r>
    <x v="2"/>
    <x v="0"/>
    <x v="1"/>
    <x v="25"/>
    <x v="52"/>
    <x v="3"/>
    <x v="0"/>
    <n v="0"/>
  </r>
  <r>
    <x v="3"/>
    <x v="0"/>
    <x v="1"/>
    <x v="25"/>
    <x v="53"/>
    <x v="0"/>
    <x v="0"/>
    <n v="0"/>
  </r>
  <r>
    <x v="3"/>
    <x v="0"/>
    <x v="1"/>
    <x v="25"/>
    <x v="53"/>
    <x v="1"/>
    <x v="7"/>
    <n v="1.2529999999999999E-2"/>
  </r>
  <r>
    <x v="3"/>
    <x v="0"/>
    <x v="1"/>
    <x v="25"/>
    <x v="53"/>
    <x v="2"/>
    <x v="0"/>
    <n v="0"/>
  </r>
  <r>
    <x v="3"/>
    <x v="0"/>
    <x v="1"/>
    <x v="25"/>
    <x v="53"/>
    <x v="3"/>
    <x v="0"/>
    <n v="0"/>
  </r>
  <r>
    <x v="4"/>
    <x v="0"/>
    <x v="1"/>
    <x v="25"/>
    <x v="54"/>
    <x v="0"/>
    <x v="7"/>
    <n v="0.20172799999999999"/>
  </r>
  <r>
    <x v="4"/>
    <x v="0"/>
    <x v="1"/>
    <x v="25"/>
    <x v="54"/>
    <x v="1"/>
    <x v="0"/>
    <n v="0"/>
  </r>
  <r>
    <x v="4"/>
    <x v="0"/>
    <x v="1"/>
    <x v="25"/>
    <x v="54"/>
    <x v="2"/>
    <x v="0"/>
    <n v="0"/>
  </r>
  <r>
    <x v="4"/>
    <x v="0"/>
    <x v="1"/>
    <x v="25"/>
    <x v="54"/>
    <x v="3"/>
    <x v="0"/>
    <n v="0"/>
  </r>
  <r>
    <x v="5"/>
    <x v="1"/>
    <x v="1"/>
    <x v="25"/>
    <x v="2"/>
    <x v="0"/>
    <x v="7"/>
    <n v="0"/>
  </r>
  <r>
    <x v="5"/>
    <x v="1"/>
    <x v="1"/>
    <x v="25"/>
    <x v="2"/>
    <x v="1"/>
    <x v="0"/>
    <n v="0"/>
  </r>
  <r>
    <x v="5"/>
    <x v="1"/>
    <x v="1"/>
    <x v="25"/>
    <x v="2"/>
    <x v="2"/>
    <x v="0"/>
    <n v="0"/>
  </r>
  <r>
    <x v="5"/>
    <x v="1"/>
    <x v="1"/>
    <x v="25"/>
    <x v="2"/>
    <x v="3"/>
    <x v="0"/>
    <n v="0"/>
  </r>
  <r>
    <x v="6"/>
    <x v="0"/>
    <x v="1"/>
    <x v="25"/>
    <x v="55"/>
    <x v="0"/>
    <x v="0"/>
    <n v="0"/>
  </r>
  <r>
    <x v="6"/>
    <x v="0"/>
    <x v="1"/>
    <x v="25"/>
    <x v="55"/>
    <x v="1"/>
    <x v="0"/>
    <n v="0"/>
  </r>
  <r>
    <x v="6"/>
    <x v="0"/>
    <x v="1"/>
    <x v="25"/>
    <x v="55"/>
    <x v="2"/>
    <x v="7"/>
    <n v="9.2317999999999997E-2"/>
  </r>
  <r>
    <x v="6"/>
    <x v="0"/>
    <x v="1"/>
    <x v="25"/>
    <x v="55"/>
    <x v="3"/>
    <x v="0"/>
    <n v="0"/>
  </r>
  <r>
    <x v="7"/>
    <x v="0"/>
    <x v="1"/>
    <x v="25"/>
    <x v="56"/>
    <x v="0"/>
    <x v="0"/>
    <n v="0"/>
  </r>
  <r>
    <x v="7"/>
    <x v="0"/>
    <x v="1"/>
    <x v="25"/>
    <x v="56"/>
    <x v="1"/>
    <x v="0"/>
    <n v="0"/>
  </r>
  <r>
    <x v="7"/>
    <x v="0"/>
    <x v="1"/>
    <x v="25"/>
    <x v="56"/>
    <x v="2"/>
    <x v="0"/>
    <n v="0"/>
  </r>
  <r>
    <x v="7"/>
    <x v="0"/>
    <x v="1"/>
    <x v="25"/>
    <x v="56"/>
    <x v="3"/>
    <x v="7"/>
    <n v="4.0902000000000001E-2"/>
  </r>
  <r>
    <x v="8"/>
    <x v="0"/>
    <x v="1"/>
    <x v="25"/>
    <x v="57"/>
    <x v="0"/>
    <x v="0"/>
    <n v="0"/>
  </r>
  <r>
    <x v="8"/>
    <x v="0"/>
    <x v="1"/>
    <x v="25"/>
    <x v="57"/>
    <x v="1"/>
    <x v="7"/>
    <n v="2.5529E-2"/>
  </r>
  <r>
    <x v="8"/>
    <x v="0"/>
    <x v="1"/>
    <x v="25"/>
    <x v="57"/>
    <x v="2"/>
    <x v="0"/>
    <n v="0"/>
  </r>
  <r>
    <x v="8"/>
    <x v="0"/>
    <x v="1"/>
    <x v="25"/>
    <x v="57"/>
    <x v="3"/>
    <x v="0"/>
    <n v="0"/>
  </r>
  <r>
    <x v="9"/>
    <x v="0"/>
    <x v="1"/>
    <x v="25"/>
    <x v="2"/>
    <x v="0"/>
    <x v="0"/>
    <n v="0"/>
  </r>
  <r>
    <x v="9"/>
    <x v="0"/>
    <x v="1"/>
    <x v="25"/>
    <x v="2"/>
    <x v="1"/>
    <x v="7"/>
    <n v="0"/>
  </r>
  <r>
    <x v="9"/>
    <x v="0"/>
    <x v="1"/>
    <x v="25"/>
    <x v="2"/>
    <x v="2"/>
    <x v="0"/>
    <n v="0"/>
  </r>
  <r>
    <x v="9"/>
    <x v="0"/>
    <x v="1"/>
    <x v="25"/>
    <x v="2"/>
    <x v="3"/>
    <x v="0"/>
    <n v="0"/>
  </r>
  <r>
    <x v="10"/>
    <x v="0"/>
    <x v="1"/>
    <x v="25"/>
    <x v="2"/>
    <x v="0"/>
    <x v="0"/>
    <n v="0"/>
  </r>
  <r>
    <x v="10"/>
    <x v="0"/>
    <x v="1"/>
    <x v="25"/>
    <x v="2"/>
    <x v="1"/>
    <x v="7"/>
    <n v="0"/>
  </r>
  <r>
    <x v="10"/>
    <x v="0"/>
    <x v="1"/>
    <x v="25"/>
    <x v="2"/>
    <x v="2"/>
    <x v="0"/>
    <n v="0"/>
  </r>
  <r>
    <x v="10"/>
    <x v="0"/>
    <x v="1"/>
    <x v="25"/>
    <x v="2"/>
    <x v="3"/>
    <x v="0"/>
    <n v="0"/>
  </r>
  <r>
    <x v="11"/>
    <x v="0"/>
    <x v="1"/>
    <x v="25"/>
    <x v="58"/>
    <x v="0"/>
    <x v="0"/>
    <n v="0"/>
  </r>
  <r>
    <x v="11"/>
    <x v="0"/>
    <x v="1"/>
    <x v="25"/>
    <x v="58"/>
    <x v="1"/>
    <x v="7"/>
    <n v="9.4629999999999992E-3"/>
  </r>
  <r>
    <x v="11"/>
    <x v="0"/>
    <x v="1"/>
    <x v="25"/>
    <x v="58"/>
    <x v="2"/>
    <x v="0"/>
    <n v="0"/>
  </r>
  <r>
    <x v="11"/>
    <x v="0"/>
    <x v="1"/>
    <x v="25"/>
    <x v="58"/>
    <x v="3"/>
    <x v="0"/>
    <n v="0"/>
  </r>
  <r>
    <x v="12"/>
    <x v="1"/>
    <x v="1"/>
    <x v="25"/>
    <x v="2"/>
    <x v="0"/>
    <x v="0"/>
    <n v="0"/>
  </r>
  <r>
    <x v="12"/>
    <x v="1"/>
    <x v="1"/>
    <x v="25"/>
    <x v="2"/>
    <x v="1"/>
    <x v="0"/>
    <n v="0"/>
  </r>
  <r>
    <x v="12"/>
    <x v="1"/>
    <x v="1"/>
    <x v="25"/>
    <x v="2"/>
    <x v="2"/>
    <x v="0"/>
    <n v="0"/>
  </r>
  <r>
    <x v="12"/>
    <x v="1"/>
    <x v="1"/>
    <x v="25"/>
    <x v="2"/>
    <x v="3"/>
    <x v="0"/>
    <n v="0"/>
  </r>
  <r>
    <x v="0"/>
    <x v="0"/>
    <x v="1"/>
    <x v="26"/>
    <x v="50"/>
    <x v="0"/>
    <x v="0"/>
    <n v="0"/>
  </r>
  <r>
    <x v="0"/>
    <x v="0"/>
    <x v="1"/>
    <x v="26"/>
    <x v="50"/>
    <x v="1"/>
    <x v="1"/>
    <n v="3.9549000000000001E-2"/>
  </r>
  <r>
    <x v="0"/>
    <x v="0"/>
    <x v="1"/>
    <x v="26"/>
    <x v="50"/>
    <x v="2"/>
    <x v="2"/>
    <n v="1.6948999999999999E-2"/>
  </r>
  <r>
    <x v="0"/>
    <x v="0"/>
    <x v="1"/>
    <x v="26"/>
    <x v="50"/>
    <x v="3"/>
    <x v="0"/>
    <n v="0"/>
  </r>
  <r>
    <x v="1"/>
    <x v="0"/>
    <x v="1"/>
    <x v="26"/>
    <x v="51"/>
    <x v="0"/>
    <x v="3"/>
    <n v="0.12564900000000001"/>
  </r>
  <r>
    <x v="1"/>
    <x v="0"/>
    <x v="1"/>
    <x v="26"/>
    <x v="51"/>
    <x v="1"/>
    <x v="4"/>
    <n v="0.1663"/>
  </r>
  <r>
    <x v="1"/>
    <x v="0"/>
    <x v="1"/>
    <x v="26"/>
    <x v="51"/>
    <x v="2"/>
    <x v="5"/>
    <n v="3.6956000000000003E-2"/>
  </r>
  <r>
    <x v="1"/>
    <x v="0"/>
    <x v="1"/>
    <x v="26"/>
    <x v="51"/>
    <x v="3"/>
    <x v="6"/>
    <n v="4.0651E-2"/>
  </r>
  <r>
    <x v="2"/>
    <x v="0"/>
    <x v="1"/>
    <x v="26"/>
    <x v="52"/>
    <x v="0"/>
    <x v="0"/>
    <n v="0"/>
  </r>
  <r>
    <x v="2"/>
    <x v="0"/>
    <x v="1"/>
    <x v="26"/>
    <x v="52"/>
    <x v="1"/>
    <x v="7"/>
    <n v="9.9380000000000007E-3"/>
  </r>
  <r>
    <x v="2"/>
    <x v="0"/>
    <x v="1"/>
    <x v="26"/>
    <x v="52"/>
    <x v="2"/>
    <x v="0"/>
    <n v="0"/>
  </r>
  <r>
    <x v="2"/>
    <x v="0"/>
    <x v="1"/>
    <x v="26"/>
    <x v="52"/>
    <x v="3"/>
    <x v="0"/>
    <n v="0"/>
  </r>
  <r>
    <x v="3"/>
    <x v="0"/>
    <x v="1"/>
    <x v="26"/>
    <x v="53"/>
    <x v="0"/>
    <x v="0"/>
    <n v="0"/>
  </r>
  <r>
    <x v="3"/>
    <x v="0"/>
    <x v="1"/>
    <x v="26"/>
    <x v="53"/>
    <x v="1"/>
    <x v="7"/>
    <n v="1.2529999999999999E-2"/>
  </r>
  <r>
    <x v="3"/>
    <x v="0"/>
    <x v="1"/>
    <x v="26"/>
    <x v="53"/>
    <x v="2"/>
    <x v="0"/>
    <n v="0"/>
  </r>
  <r>
    <x v="3"/>
    <x v="0"/>
    <x v="1"/>
    <x v="26"/>
    <x v="53"/>
    <x v="3"/>
    <x v="0"/>
    <n v="0"/>
  </r>
  <r>
    <x v="4"/>
    <x v="0"/>
    <x v="1"/>
    <x v="26"/>
    <x v="54"/>
    <x v="0"/>
    <x v="7"/>
    <n v="0.20172799999999999"/>
  </r>
  <r>
    <x v="4"/>
    <x v="0"/>
    <x v="1"/>
    <x v="26"/>
    <x v="54"/>
    <x v="1"/>
    <x v="0"/>
    <n v="0"/>
  </r>
  <r>
    <x v="4"/>
    <x v="0"/>
    <x v="1"/>
    <x v="26"/>
    <x v="54"/>
    <x v="2"/>
    <x v="0"/>
    <n v="0"/>
  </r>
  <r>
    <x v="4"/>
    <x v="0"/>
    <x v="1"/>
    <x v="26"/>
    <x v="54"/>
    <x v="3"/>
    <x v="0"/>
    <n v="0"/>
  </r>
  <r>
    <x v="5"/>
    <x v="1"/>
    <x v="1"/>
    <x v="26"/>
    <x v="2"/>
    <x v="0"/>
    <x v="7"/>
    <n v="0"/>
  </r>
  <r>
    <x v="5"/>
    <x v="1"/>
    <x v="1"/>
    <x v="26"/>
    <x v="2"/>
    <x v="1"/>
    <x v="0"/>
    <n v="0"/>
  </r>
  <r>
    <x v="5"/>
    <x v="1"/>
    <x v="1"/>
    <x v="26"/>
    <x v="2"/>
    <x v="2"/>
    <x v="0"/>
    <n v="0"/>
  </r>
  <r>
    <x v="5"/>
    <x v="1"/>
    <x v="1"/>
    <x v="26"/>
    <x v="2"/>
    <x v="3"/>
    <x v="0"/>
    <n v="0"/>
  </r>
  <r>
    <x v="6"/>
    <x v="0"/>
    <x v="1"/>
    <x v="26"/>
    <x v="55"/>
    <x v="0"/>
    <x v="0"/>
    <n v="0"/>
  </r>
  <r>
    <x v="6"/>
    <x v="0"/>
    <x v="1"/>
    <x v="26"/>
    <x v="55"/>
    <x v="1"/>
    <x v="0"/>
    <n v="0"/>
  </r>
  <r>
    <x v="6"/>
    <x v="0"/>
    <x v="1"/>
    <x v="26"/>
    <x v="55"/>
    <x v="2"/>
    <x v="7"/>
    <n v="9.2317999999999997E-2"/>
  </r>
  <r>
    <x v="6"/>
    <x v="0"/>
    <x v="1"/>
    <x v="26"/>
    <x v="55"/>
    <x v="3"/>
    <x v="0"/>
    <n v="0"/>
  </r>
  <r>
    <x v="7"/>
    <x v="0"/>
    <x v="1"/>
    <x v="26"/>
    <x v="56"/>
    <x v="0"/>
    <x v="0"/>
    <n v="0"/>
  </r>
  <r>
    <x v="7"/>
    <x v="0"/>
    <x v="1"/>
    <x v="26"/>
    <x v="56"/>
    <x v="1"/>
    <x v="0"/>
    <n v="0"/>
  </r>
  <r>
    <x v="7"/>
    <x v="0"/>
    <x v="1"/>
    <x v="26"/>
    <x v="56"/>
    <x v="2"/>
    <x v="0"/>
    <n v="0"/>
  </r>
  <r>
    <x v="7"/>
    <x v="0"/>
    <x v="1"/>
    <x v="26"/>
    <x v="56"/>
    <x v="3"/>
    <x v="7"/>
    <n v="4.0902000000000001E-2"/>
  </r>
  <r>
    <x v="8"/>
    <x v="0"/>
    <x v="1"/>
    <x v="26"/>
    <x v="57"/>
    <x v="0"/>
    <x v="0"/>
    <n v="0"/>
  </r>
  <r>
    <x v="8"/>
    <x v="0"/>
    <x v="1"/>
    <x v="26"/>
    <x v="57"/>
    <x v="1"/>
    <x v="7"/>
    <n v="2.5529E-2"/>
  </r>
  <r>
    <x v="8"/>
    <x v="0"/>
    <x v="1"/>
    <x v="26"/>
    <x v="57"/>
    <x v="2"/>
    <x v="0"/>
    <n v="0"/>
  </r>
  <r>
    <x v="8"/>
    <x v="0"/>
    <x v="1"/>
    <x v="26"/>
    <x v="57"/>
    <x v="3"/>
    <x v="0"/>
    <n v="0"/>
  </r>
  <r>
    <x v="9"/>
    <x v="0"/>
    <x v="1"/>
    <x v="26"/>
    <x v="2"/>
    <x v="0"/>
    <x v="0"/>
    <n v="0"/>
  </r>
  <r>
    <x v="9"/>
    <x v="0"/>
    <x v="1"/>
    <x v="26"/>
    <x v="2"/>
    <x v="1"/>
    <x v="7"/>
    <n v="0"/>
  </r>
  <r>
    <x v="9"/>
    <x v="0"/>
    <x v="1"/>
    <x v="26"/>
    <x v="2"/>
    <x v="2"/>
    <x v="0"/>
    <n v="0"/>
  </r>
  <r>
    <x v="9"/>
    <x v="0"/>
    <x v="1"/>
    <x v="26"/>
    <x v="2"/>
    <x v="3"/>
    <x v="0"/>
    <n v="0"/>
  </r>
  <r>
    <x v="10"/>
    <x v="0"/>
    <x v="1"/>
    <x v="26"/>
    <x v="2"/>
    <x v="0"/>
    <x v="0"/>
    <n v="0"/>
  </r>
  <r>
    <x v="10"/>
    <x v="0"/>
    <x v="1"/>
    <x v="26"/>
    <x v="2"/>
    <x v="1"/>
    <x v="7"/>
    <n v="0"/>
  </r>
  <r>
    <x v="10"/>
    <x v="0"/>
    <x v="1"/>
    <x v="26"/>
    <x v="2"/>
    <x v="2"/>
    <x v="0"/>
    <n v="0"/>
  </r>
  <r>
    <x v="10"/>
    <x v="0"/>
    <x v="1"/>
    <x v="26"/>
    <x v="2"/>
    <x v="3"/>
    <x v="0"/>
    <n v="0"/>
  </r>
  <r>
    <x v="11"/>
    <x v="0"/>
    <x v="1"/>
    <x v="26"/>
    <x v="58"/>
    <x v="0"/>
    <x v="0"/>
    <n v="0"/>
  </r>
  <r>
    <x v="11"/>
    <x v="0"/>
    <x v="1"/>
    <x v="26"/>
    <x v="58"/>
    <x v="1"/>
    <x v="7"/>
    <n v="9.4629999999999992E-3"/>
  </r>
  <r>
    <x v="11"/>
    <x v="0"/>
    <x v="1"/>
    <x v="26"/>
    <x v="58"/>
    <x v="2"/>
    <x v="0"/>
    <n v="0"/>
  </r>
  <r>
    <x v="11"/>
    <x v="0"/>
    <x v="1"/>
    <x v="26"/>
    <x v="58"/>
    <x v="3"/>
    <x v="0"/>
    <n v="0"/>
  </r>
  <r>
    <x v="12"/>
    <x v="1"/>
    <x v="1"/>
    <x v="26"/>
    <x v="2"/>
    <x v="0"/>
    <x v="0"/>
    <n v="0"/>
  </r>
  <r>
    <x v="12"/>
    <x v="1"/>
    <x v="1"/>
    <x v="26"/>
    <x v="2"/>
    <x v="1"/>
    <x v="0"/>
    <n v="0"/>
  </r>
  <r>
    <x v="12"/>
    <x v="1"/>
    <x v="1"/>
    <x v="26"/>
    <x v="2"/>
    <x v="2"/>
    <x v="0"/>
    <n v="0"/>
  </r>
  <r>
    <x v="12"/>
    <x v="1"/>
    <x v="1"/>
    <x v="26"/>
    <x v="2"/>
    <x v="3"/>
    <x v="0"/>
    <n v="0"/>
  </r>
  <r>
    <x v="0"/>
    <x v="0"/>
    <x v="1"/>
    <x v="27"/>
    <x v="50"/>
    <x v="0"/>
    <x v="0"/>
    <n v="0"/>
  </r>
  <r>
    <x v="0"/>
    <x v="0"/>
    <x v="1"/>
    <x v="27"/>
    <x v="50"/>
    <x v="1"/>
    <x v="1"/>
    <n v="3.9549000000000001E-2"/>
  </r>
  <r>
    <x v="0"/>
    <x v="0"/>
    <x v="1"/>
    <x v="27"/>
    <x v="50"/>
    <x v="2"/>
    <x v="2"/>
    <n v="1.6948999999999999E-2"/>
  </r>
  <r>
    <x v="0"/>
    <x v="0"/>
    <x v="1"/>
    <x v="27"/>
    <x v="50"/>
    <x v="3"/>
    <x v="0"/>
    <n v="0"/>
  </r>
  <r>
    <x v="1"/>
    <x v="0"/>
    <x v="1"/>
    <x v="27"/>
    <x v="51"/>
    <x v="0"/>
    <x v="3"/>
    <n v="0.12564900000000001"/>
  </r>
  <r>
    <x v="1"/>
    <x v="0"/>
    <x v="1"/>
    <x v="27"/>
    <x v="51"/>
    <x v="1"/>
    <x v="4"/>
    <n v="0.1663"/>
  </r>
  <r>
    <x v="1"/>
    <x v="0"/>
    <x v="1"/>
    <x v="27"/>
    <x v="51"/>
    <x v="2"/>
    <x v="5"/>
    <n v="3.6956000000000003E-2"/>
  </r>
  <r>
    <x v="1"/>
    <x v="0"/>
    <x v="1"/>
    <x v="27"/>
    <x v="51"/>
    <x v="3"/>
    <x v="6"/>
    <n v="4.0651E-2"/>
  </r>
  <r>
    <x v="2"/>
    <x v="0"/>
    <x v="1"/>
    <x v="27"/>
    <x v="52"/>
    <x v="0"/>
    <x v="0"/>
    <n v="0"/>
  </r>
  <r>
    <x v="2"/>
    <x v="0"/>
    <x v="1"/>
    <x v="27"/>
    <x v="52"/>
    <x v="1"/>
    <x v="7"/>
    <n v="9.9380000000000007E-3"/>
  </r>
  <r>
    <x v="2"/>
    <x v="0"/>
    <x v="1"/>
    <x v="27"/>
    <x v="52"/>
    <x v="2"/>
    <x v="0"/>
    <n v="0"/>
  </r>
  <r>
    <x v="2"/>
    <x v="0"/>
    <x v="1"/>
    <x v="27"/>
    <x v="52"/>
    <x v="3"/>
    <x v="0"/>
    <n v="0"/>
  </r>
  <r>
    <x v="3"/>
    <x v="0"/>
    <x v="1"/>
    <x v="27"/>
    <x v="53"/>
    <x v="0"/>
    <x v="0"/>
    <n v="0"/>
  </r>
  <r>
    <x v="3"/>
    <x v="0"/>
    <x v="1"/>
    <x v="27"/>
    <x v="53"/>
    <x v="1"/>
    <x v="7"/>
    <n v="1.2529999999999999E-2"/>
  </r>
  <r>
    <x v="3"/>
    <x v="0"/>
    <x v="1"/>
    <x v="27"/>
    <x v="53"/>
    <x v="2"/>
    <x v="0"/>
    <n v="0"/>
  </r>
  <r>
    <x v="3"/>
    <x v="0"/>
    <x v="1"/>
    <x v="27"/>
    <x v="53"/>
    <x v="3"/>
    <x v="0"/>
    <n v="0"/>
  </r>
  <r>
    <x v="4"/>
    <x v="0"/>
    <x v="1"/>
    <x v="27"/>
    <x v="54"/>
    <x v="0"/>
    <x v="7"/>
    <n v="0.20172799999999999"/>
  </r>
  <r>
    <x v="4"/>
    <x v="0"/>
    <x v="1"/>
    <x v="27"/>
    <x v="54"/>
    <x v="1"/>
    <x v="0"/>
    <n v="0"/>
  </r>
  <r>
    <x v="4"/>
    <x v="0"/>
    <x v="1"/>
    <x v="27"/>
    <x v="54"/>
    <x v="2"/>
    <x v="0"/>
    <n v="0"/>
  </r>
  <r>
    <x v="4"/>
    <x v="0"/>
    <x v="1"/>
    <x v="27"/>
    <x v="54"/>
    <x v="3"/>
    <x v="0"/>
    <n v="0"/>
  </r>
  <r>
    <x v="5"/>
    <x v="1"/>
    <x v="1"/>
    <x v="27"/>
    <x v="2"/>
    <x v="0"/>
    <x v="7"/>
    <n v="0"/>
  </r>
  <r>
    <x v="5"/>
    <x v="1"/>
    <x v="1"/>
    <x v="27"/>
    <x v="2"/>
    <x v="1"/>
    <x v="0"/>
    <n v="0"/>
  </r>
  <r>
    <x v="5"/>
    <x v="1"/>
    <x v="1"/>
    <x v="27"/>
    <x v="2"/>
    <x v="2"/>
    <x v="0"/>
    <n v="0"/>
  </r>
  <r>
    <x v="5"/>
    <x v="1"/>
    <x v="1"/>
    <x v="27"/>
    <x v="2"/>
    <x v="3"/>
    <x v="0"/>
    <n v="0"/>
  </r>
  <r>
    <x v="6"/>
    <x v="0"/>
    <x v="1"/>
    <x v="27"/>
    <x v="55"/>
    <x v="0"/>
    <x v="0"/>
    <n v="0"/>
  </r>
  <r>
    <x v="6"/>
    <x v="0"/>
    <x v="1"/>
    <x v="27"/>
    <x v="55"/>
    <x v="1"/>
    <x v="0"/>
    <n v="0"/>
  </r>
  <r>
    <x v="6"/>
    <x v="0"/>
    <x v="1"/>
    <x v="27"/>
    <x v="55"/>
    <x v="2"/>
    <x v="7"/>
    <n v="9.2317999999999997E-2"/>
  </r>
  <r>
    <x v="6"/>
    <x v="0"/>
    <x v="1"/>
    <x v="27"/>
    <x v="55"/>
    <x v="3"/>
    <x v="0"/>
    <n v="0"/>
  </r>
  <r>
    <x v="7"/>
    <x v="0"/>
    <x v="1"/>
    <x v="27"/>
    <x v="56"/>
    <x v="0"/>
    <x v="0"/>
    <n v="0"/>
  </r>
  <r>
    <x v="7"/>
    <x v="0"/>
    <x v="1"/>
    <x v="27"/>
    <x v="56"/>
    <x v="1"/>
    <x v="0"/>
    <n v="0"/>
  </r>
  <r>
    <x v="7"/>
    <x v="0"/>
    <x v="1"/>
    <x v="27"/>
    <x v="56"/>
    <x v="2"/>
    <x v="0"/>
    <n v="0"/>
  </r>
  <r>
    <x v="7"/>
    <x v="0"/>
    <x v="1"/>
    <x v="27"/>
    <x v="56"/>
    <x v="3"/>
    <x v="7"/>
    <n v="4.0902000000000001E-2"/>
  </r>
  <r>
    <x v="8"/>
    <x v="0"/>
    <x v="1"/>
    <x v="27"/>
    <x v="57"/>
    <x v="0"/>
    <x v="0"/>
    <n v="0"/>
  </r>
  <r>
    <x v="8"/>
    <x v="0"/>
    <x v="1"/>
    <x v="27"/>
    <x v="57"/>
    <x v="1"/>
    <x v="7"/>
    <n v="2.5529E-2"/>
  </r>
  <r>
    <x v="8"/>
    <x v="0"/>
    <x v="1"/>
    <x v="27"/>
    <x v="57"/>
    <x v="2"/>
    <x v="0"/>
    <n v="0"/>
  </r>
  <r>
    <x v="8"/>
    <x v="0"/>
    <x v="1"/>
    <x v="27"/>
    <x v="57"/>
    <x v="3"/>
    <x v="0"/>
    <n v="0"/>
  </r>
  <r>
    <x v="9"/>
    <x v="0"/>
    <x v="1"/>
    <x v="27"/>
    <x v="2"/>
    <x v="0"/>
    <x v="0"/>
    <n v="0"/>
  </r>
  <r>
    <x v="9"/>
    <x v="0"/>
    <x v="1"/>
    <x v="27"/>
    <x v="2"/>
    <x v="1"/>
    <x v="7"/>
    <n v="0"/>
  </r>
  <r>
    <x v="9"/>
    <x v="0"/>
    <x v="1"/>
    <x v="27"/>
    <x v="2"/>
    <x v="2"/>
    <x v="0"/>
    <n v="0"/>
  </r>
  <r>
    <x v="9"/>
    <x v="0"/>
    <x v="1"/>
    <x v="27"/>
    <x v="2"/>
    <x v="3"/>
    <x v="0"/>
    <n v="0"/>
  </r>
  <r>
    <x v="10"/>
    <x v="0"/>
    <x v="1"/>
    <x v="27"/>
    <x v="2"/>
    <x v="0"/>
    <x v="0"/>
    <n v="0"/>
  </r>
  <r>
    <x v="10"/>
    <x v="0"/>
    <x v="1"/>
    <x v="27"/>
    <x v="2"/>
    <x v="1"/>
    <x v="7"/>
    <n v="0"/>
  </r>
  <r>
    <x v="10"/>
    <x v="0"/>
    <x v="1"/>
    <x v="27"/>
    <x v="2"/>
    <x v="2"/>
    <x v="0"/>
    <n v="0"/>
  </r>
  <r>
    <x v="10"/>
    <x v="0"/>
    <x v="1"/>
    <x v="27"/>
    <x v="2"/>
    <x v="3"/>
    <x v="0"/>
    <n v="0"/>
  </r>
  <r>
    <x v="11"/>
    <x v="0"/>
    <x v="1"/>
    <x v="27"/>
    <x v="58"/>
    <x v="0"/>
    <x v="0"/>
    <n v="0"/>
  </r>
  <r>
    <x v="11"/>
    <x v="0"/>
    <x v="1"/>
    <x v="27"/>
    <x v="58"/>
    <x v="1"/>
    <x v="7"/>
    <n v="9.4629999999999992E-3"/>
  </r>
  <r>
    <x v="11"/>
    <x v="0"/>
    <x v="1"/>
    <x v="27"/>
    <x v="58"/>
    <x v="2"/>
    <x v="0"/>
    <n v="0"/>
  </r>
  <r>
    <x v="11"/>
    <x v="0"/>
    <x v="1"/>
    <x v="27"/>
    <x v="58"/>
    <x v="3"/>
    <x v="0"/>
    <n v="0"/>
  </r>
  <r>
    <x v="12"/>
    <x v="1"/>
    <x v="1"/>
    <x v="27"/>
    <x v="2"/>
    <x v="0"/>
    <x v="0"/>
    <n v="0"/>
  </r>
  <r>
    <x v="12"/>
    <x v="1"/>
    <x v="1"/>
    <x v="27"/>
    <x v="2"/>
    <x v="1"/>
    <x v="0"/>
    <n v="0"/>
  </r>
  <r>
    <x v="12"/>
    <x v="1"/>
    <x v="1"/>
    <x v="27"/>
    <x v="2"/>
    <x v="2"/>
    <x v="0"/>
    <n v="0"/>
  </r>
  <r>
    <x v="12"/>
    <x v="1"/>
    <x v="1"/>
    <x v="27"/>
    <x v="2"/>
    <x v="3"/>
    <x v="0"/>
    <n v="0"/>
  </r>
  <r>
    <x v="13"/>
    <x v="1"/>
    <x v="0"/>
    <x v="0"/>
    <x v="59"/>
    <x v="0"/>
    <x v="0"/>
    <n v="0"/>
  </r>
  <r>
    <x v="13"/>
    <x v="1"/>
    <x v="0"/>
    <x v="0"/>
    <x v="59"/>
    <x v="1"/>
    <x v="0"/>
    <n v="0"/>
  </r>
  <r>
    <x v="13"/>
    <x v="1"/>
    <x v="0"/>
    <x v="0"/>
    <x v="59"/>
    <x v="2"/>
    <x v="7"/>
    <n v="1.29E-2"/>
  </r>
  <r>
    <x v="13"/>
    <x v="1"/>
    <x v="0"/>
    <x v="0"/>
    <x v="59"/>
    <x v="3"/>
    <x v="0"/>
    <n v="0"/>
  </r>
  <r>
    <x v="14"/>
    <x v="0"/>
    <x v="0"/>
    <x v="0"/>
    <x v="60"/>
    <x v="0"/>
    <x v="0"/>
    <n v="0"/>
  </r>
  <r>
    <x v="14"/>
    <x v="0"/>
    <x v="0"/>
    <x v="0"/>
    <x v="60"/>
    <x v="1"/>
    <x v="7"/>
    <n v="0.1037"/>
  </r>
  <r>
    <x v="14"/>
    <x v="0"/>
    <x v="0"/>
    <x v="0"/>
    <x v="60"/>
    <x v="2"/>
    <x v="0"/>
    <n v="0"/>
  </r>
  <r>
    <x v="14"/>
    <x v="0"/>
    <x v="0"/>
    <x v="0"/>
    <x v="60"/>
    <x v="3"/>
    <x v="0"/>
    <n v="0"/>
  </r>
  <r>
    <x v="13"/>
    <x v="1"/>
    <x v="0"/>
    <x v="1"/>
    <x v="59"/>
    <x v="0"/>
    <x v="0"/>
    <n v="0"/>
  </r>
  <r>
    <x v="13"/>
    <x v="1"/>
    <x v="0"/>
    <x v="1"/>
    <x v="59"/>
    <x v="1"/>
    <x v="0"/>
    <n v="0"/>
  </r>
  <r>
    <x v="13"/>
    <x v="1"/>
    <x v="0"/>
    <x v="1"/>
    <x v="59"/>
    <x v="2"/>
    <x v="7"/>
    <n v="1.29E-2"/>
  </r>
  <r>
    <x v="13"/>
    <x v="1"/>
    <x v="0"/>
    <x v="1"/>
    <x v="59"/>
    <x v="3"/>
    <x v="0"/>
    <n v="0"/>
  </r>
  <r>
    <x v="13"/>
    <x v="1"/>
    <x v="0"/>
    <x v="2"/>
    <x v="59"/>
    <x v="0"/>
    <x v="0"/>
    <n v="0"/>
  </r>
  <r>
    <x v="13"/>
    <x v="1"/>
    <x v="0"/>
    <x v="2"/>
    <x v="59"/>
    <x v="1"/>
    <x v="0"/>
    <n v="0"/>
  </r>
  <r>
    <x v="13"/>
    <x v="1"/>
    <x v="0"/>
    <x v="2"/>
    <x v="59"/>
    <x v="2"/>
    <x v="7"/>
    <n v="1.29E-2"/>
  </r>
  <r>
    <x v="13"/>
    <x v="1"/>
    <x v="0"/>
    <x v="2"/>
    <x v="59"/>
    <x v="3"/>
    <x v="0"/>
    <n v="0"/>
  </r>
  <r>
    <x v="13"/>
    <x v="1"/>
    <x v="0"/>
    <x v="3"/>
    <x v="59"/>
    <x v="0"/>
    <x v="0"/>
    <n v="0"/>
  </r>
  <r>
    <x v="13"/>
    <x v="1"/>
    <x v="0"/>
    <x v="3"/>
    <x v="59"/>
    <x v="1"/>
    <x v="0"/>
    <n v="0"/>
  </r>
  <r>
    <x v="13"/>
    <x v="1"/>
    <x v="0"/>
    <x v="3"/>
    <x v="59"/>
    <x v="2"/>
    <x v="7"/>
    <n v="1.29E-2"/>
  </r>
  <r>
    <x v="13"/>
    <x v="1"/>
    <x v="0"/>
    <x v="3"/>
    <x v="59"/>
    <x v="3"/>
    <x v="0"/>
    <n v="0"/>
  </r>
  <r>
    <x v="13"/>
    <x v="1"/>
    <x v="0"/>
    <x v="4"/>
    <x v="59"/>
    <x v="0"/>
    <x v="0"/>
    <n v="0"/>
  </r>
  <r>
    <x v="13"/>
    <x v="1"/>
    <x v="0"/>
    <x v="4"/>
    <x v="59"/>
    <x v="1"/>
    <x v="0"/>
    <n v="0"/>
  </r>
  <r>
    <x v="13"/>
    <x v="1"/>
    <x v="0"/>
    <x v="4"/>
    <x v="59"/>
    <x v="2"/>
    <x v="7"/>
    <n v="1.29E-2"/>
  </r>
  <r>
    <x v="13"/>
    <x v="1"/>
    <x v="0"/>
    <x v="4"/>
    <x v="59"/>
    <x v="3"/>
    <x v="0"/>
    <n v="0"/>
  </r>
  <r>
    <x v="13"/>
    <x v="1"/>
    <x v="0"/>
    <x v="5"/>
    <x v="59"/>
    <x v="0"/>
    <x v="0"/>
    <n v="0"/>
  </r>
  <r>
    <x v="13"/>
    <x v="1"/>
    <x v="0"/>
    <x v="5"/>
    <x v="59"/>
    <x v="1"/>
    <x v="0"/>
    <n v="0"/>
  </r>
  <r>
    <x v="13"/>
    <x v="1"/>
    <x v="0"/>
    <x v="5"/>
    <x v="59"/>
    <x v="2"/>
    <x v="7"/>
    <n v="1.29E-2"/>
  </r>
  <r>
    <x v="13"/>
    <x v="1"/>
    <x v="0"/>
    <x v="5"/>
    <x v="59"/>
    <x v="3"/>
    <x v="0"/>
    <n v="0"/>
  </r>
  <r>
    <x v="13"/>
    <x v="1"/>
    <x v="0"/>
    <x v="6"/>
    <x v="59"/>
    <x v="0"/>
    <x v="0"/>
    <n v="0"/>
  </r>
  <r>
    <x v="13"/>
    <x v="1"/>
    <x v="0"/>
    <x v="6"/>
    <x v="59"/>
    <x v="1"/>
    <x v="0"/>
    <n v="0"/>
  </r>
  <r>
    <x v="13"/>
    <x v="1"/>
    <x v="0"/>
    <x v="6"/>
    <x v="59"/>
    <x v="2"/>
    <x v="7"/>
    <n v="1.29E-2"/>
  </r>
  <r>
    <x v="13"/>
    <x v="1"/>
    <x v="0"/>
    <x v="6"/>
    <x v="59"/>
    <x v="3"/>
    <x v="0"/>
    <n v="0"/>
  </r>
  <r>
    <x v="13"/>
    <x v="1"/>
    <x v="0"/>
    <x v="7"/>
    <x v="59"/>
    <x v="0"/>
    <x v="0"/>
    <n v="0"/>
  </r>
  <r>
    <x v="13"/>
    <x v="1"/>
    <x v="0"/>
    <x v="7"/>
    <x v="59"/>
    <x v="1"/>
    <x v="0"/>
    <n v="0"/>
  </r>
  <r>
    <x v="13"/>
    <x v="1"/>
    <x v="0"/>
    <x v="7"/>
    <x v="59"/>
    <x v="2"/>
    <x v="7"/>
    <n v="1.29E-2"/>
  </r>
  <r>
    <x v="13"/>
    <x v="1"/>
    <x v="0"/>
    <x v="7"/>
    <x v="59"/>
    <x v="3"/>
    <x v="0"/>
    <n v="0"/>
  </r>
  <r>
    <x v="13"/>
    <x v="1"/>
    <x v="0"/>
    <x v="8"/>
    <x v="59"/>
    <x v="0"/>
    <x v="0"/>
    <n v="0"/>
  </r>
  <r>
    <x v="13"/>
    <x v="1"/>
    <x v="0"/>
    <x v="8"/>
    <x v="59"/>
    <x v="1"/>
    <x v="0"/>
    <n v="0"/>
  </r>
  <r>
    <x v="13"/>
    <x v="1"/>
    <x v="0"/>
    <x v="8"/>
    <x v="59"/>
    <x v="2"/>
    <x v="7"/>
    <n v="1.29E-2"/>
  </r>
  <r>
    <x v="13"/>
    <x v="1"/>
    <x v="0"/>
    <x v="8"/>
    <x v="59"/>
    <x v="3"/>
    <x v="0"/>
    <n v="0"/>
  </r>
  <r>
    <x v="13"/>
    <x v="1"/>
    <x v="0"/>
    <x v="9"/>
    <x v="59"/>
    <x v="0"/>
    <x v="0"/>
    <n v="0"/>
  </r>
  <r>
    <x v="13"/>
    <x v="1"/>
    <x v="0"/>
    <x v="9"/>
    <x v="59"/>
    <x v="1"/>
    <x v="0"/>
    <n v="0"/>
  </r>
  <r>
    <x v="13"/>
    <x v="1"/>
    <x v="0"/>
    <x v="9"/>
    <x v="59"/>
    <x v="2"/>
    <x v="7"/>
    <n v="1.29E-2"/>
  </r>
  <r>
    <x v="13"/>
    <x v="1"/>
    <x v="0"/>
    <x v="9"/>
    <x v="59"/>
    <x v="3"/>
    <x v="0"/>
    <n v="0"/>
  </r>
  <r>
    <x v="13"/>
    <x v="1"/>
    <x v="0"/>
    <x v="10"/>
    <x v="59"/>
    <x v="0"/>
    <x v="0"/>
    <n v="0"/>
  </r>
  <r>
    <x v="13"/>
    <x v="1"/>
    <x v="0"/>
    <x v="10"/>
    <x v="59"/>
    <x v="1"/>
    <x v="0"/>
    <n v="0"/>
  </r>
  <r>
    <x v="13"/>
    <x v="1"/>
    <x v="0"/>
    <x v="10"/>
    <x v="59"/>
    <x v="2"/>
    <x v="7"/>
    <n v="1.29E-2"/>
  </r>
  <r>
    <x v="13"/>
    <x v="1"/>
    <x v="0"/>
    <x v="10"/>
    <x v="59"/>
    <x v="3"/>
    <x v="0"/>
    <n v="0"/>
  </r>
  <r>
    <x v="13"/>
    <x v="1"/>
    <x v="0"/>
    <x v="11"/>
    <x v="59"/>
    <x v="0"/>
    <x v="0"/>
    <n v="0"/>
  </r>
  <r>
    <x v="13"/>
    <x v="1"/>
    <x v="0"/>
    <x v="11"/>
    <x v="59"/>
    <x v="1"/>
    <x v="0"/>
    <n v="0"/>
  </r>
  <r>
    <x v="13"/>
    <x v="1"/>
    <x v="0"/>
    <x v="11"/>
    <x v="59"/>
    <x v="2"/>
    <x v="7"/>
    <n v="1.29E-2"/>
  </r>
  <r>
    <x v="13"/>
    <x v="1"/>
    <x v="0"/>
    <x v="11"/>
    <x v="59"/>
    <x v="3"/>
    <x v="0"/>
    <n v="0"/>
  </r>
  <r>
    <x v="13"/>
    <x v="1"/>
    <x v="0"/>
    <x v="12"/>
    <x v="59"/>
    <x v="0"/>
    <x v="0"/>
    <n v="0"/>
  </r>
  <r>
    <x v="13"/>
    <x v="1"/>
    <x v="0"/>
    <x v="12"/>
    <x v="59"/>
    <x v="1"/>
    <x v="0"/>
    <n v="0"/>
  </r>
  <r>
    <x v="13"/>
    <x v="1"/>
    <x v="0"/>
    <x v="12"/>
    <x v="59"/>
    <x v="2"/>
    <x v="7"/>
    <n v="1.29E-2"/>
  </r>
  <r>
    <x v="13"/>
    <x v="1"/>
    <x v="0"/>
    <x v="12"/>
    <x v="59"/>
    <x v="3"/>
    <x v="0"/>
    <n v="0"/>
  </r>
  <r>
    <x v="13"/>
    <x v="1"/>
    <x v="0"/>
    <x v="13"/>
    <x v="2"/>
    <x v="0"/>
    <x v="0"/>
    <n v="0"/>
  </r>
  <r>
    <x v="13"/>
    <x v="1"/>
    <x v="0"/>
    <x v="13"/>
    <x v="2"/>
    <x v="1"/>
    <x v="0"/>
    <n v="0"/>
  </r>
  <r>
    <x v="13"/>
    <x v="1"/>
    <x v="0"/>
    <x v="13"/>
    <x v="2"/>
    <x v="2"/>
    <x v="7"/>
    <n v="0"/>
  </r>
  <r>
    <x v="13"/>
    <x v="1"/>
    <x v="0"/>
    <x v="13"/>
    <x v="2"/>
    <x v="3"/>
    <x v="0"/>
    <n v="0"/>
  </r>
  <r>
    <x v="13"/>
    <x v="1"/>
    <x v="0"/>
    <x v="14"/>
    <x v="2"/>
    <x v="0"/>
    <x v="0"/>
    <n v="0"/>
  </r>
  <r>
    <x v="13"/>
    <x v="1"/>
    <x v="0"/>
    <x v="14"/>
    <x v="2"/>
    <x v="1"/>
    <x v="0"/>
    <n v="0"/>
  </r>
  <r>
    <x v="13"/>
    <x v="1"/>
    <x v="0"/>
    <x v="14"/>
    <x v="2"/>
    <x v="2"/>
    <x v="7"/>
    <n v="0"/>
  </r>
  <r>
    <x v="13"/>
    <x v="1"/>
    <x v="0"/>
    <x v="14"/>
    <x v="2"/>
    <x v="3"/>
    <x v="0"/>
    <n v="0"/>
  </r>
  <r>
    <x v="13"/>
    <x v="1"/>
    <x v="0"/>
    <x v="15"/>
    <x v="2"/>
    <x v="0"/>
    <x v="0"/>
    <n v="0"/>
  </r>
  <r>
    <x v="13"/>
    <x v="1"/>
    <x v="0"/>
    <x v="15"/>
    <x v="2"/>
    <x v="1"/>
    <x v="0"/>
    <n v="0"/>
  </r>
  <r>
    <x v="13"/>
    <x v="1"/>
    <x v="0"/>
    <x v="15"/>
    <x v="2"/>
    <x v="2"/>
    <x v="7"/>
    <n v="0"/>
  </r>
  <r>
    <x v="13"/>
    <x v="1"/>
    <x v="0"/>
    <x v="15"/>
    <x v="2"/>
    <x v="3"/>
    <x v="0"/>
    <n v="0"/>
  </r>
  <r>
    <x v="13"/>
    <x v="1"/>
    <x v="0"/>
    <x v="16"/>
    <x v="2"/>
    <x v="0"/>
    <x v="0"/>
    <n v="0"/>
  </r>
  <r>
    <x v="13"/>
    <x v="1"/>
    <x v="0"/>
    <x v="16"/>
    <x v="2"/>
    <x v="1"/>
    <x v="0"/>
    <n v="0"/>
  </r>
  <r>
    <x v="13"/>
    <x v="1"/>
    <x v="0"/>
    <x v="16"/>
    <x v="2"/>
    <x v="2"/>
    <x v="7"/>
    <n v="0"/>
  </r>
  <r>
    <x v="13"/>
    <x v="1"/>
    <x v="0"/>
    <x v="16"/>
    <x v="2"/>
    <x v="3"/>
    <x v="0"/>
    <n v="0"/>
  </r>
  <r>
    <x v="13"/>
    <x v="1"/>
    <x v="0"/>
    <x v="17"/>
    <x v="2"/>
    <x v="0"/>
    <x v="0"/>
    <n v="0"/>
  </r>
  <r>
    <x v="13"/>
    <x v="1"/>
    <x v="0"/>
    <x v="17"/>
    <x v="2"/>
    <x v="1"/>
    <x v="0"/>
    <n v="0"/>
  </r>
  <r>
    <x v="13"/>
    <x v="1"/>
    <x v="0"/>
    <x v="17"/>
    <x v="2"/>
    <x v="2"/>
    <x v="7"/>
    <n v="0"/>
  </r>
  <r>
    <x v="13"/>
    <x v="1"/>
    <x v="0"/>
    <x v="17"/>
    <x v="2"/>
    <x v="3"/>
    <x v="0"/>
    <n v="0"/>
  </r>
  <r>
    <x v="13"/>
    <x v="1"/>
    <x v="0"/>
    <x v="18"/>
    <x v="2"/>
    <x v="0"/>
    <x v="0"/>
    <n v="0"/>
  </r>
  <r>
    <x v="13"/>
    <x v="1"/>
    <x v="0"/>
    <x v="18"/>
    <x v="2"/>
    <x v="1"/>
    <x v="0"/>
    <n v="0"/>
  </r>
  <r>
    <x v="13"/>
    <x v="1"/>
    <x v="0"/>
    <x v="18"/>
    <x v="2"/>
    <x v="2"/>
    <x v="7"/>
    <n v="0"/>
  </r>
  <r>
    <x v="13"/>
    <x v="1"/>
    <x v="0"/>
    <x v="18"/>
    <x v="2"/>
    <x v="3"/>
    <x v="0"/>
    <n v="0"/>
  </r>
  <r>
    <x v="13"/>
    <x v="1"/>
    <x v="0"/>
    <x v="19"/>
    <x v="2"/>
    <x v="0"/>
    <x v="0"/>
    <n v="0"/>
  </r>
  <r>
    <x v="13"/>
    <x v="1"/>
    <x v="0"/>
    <x v="19"/>
    <x v="2"/>
    <x v="1"/>
    <x v="0"/>
    <n v="0"/>
  </r>
  <r>
    <x v="13"/>
    <x v="1"/>
    <x v="0"/>
    <x v="19"/>
    <x v="2"/>
    <x v="2"/>
    <x v="7"/>
    <n v="0"/>
  </r>
  <r>
    <x v="13"/>
    <x v="1"/>
    <x v="0"/>
    <x v="19"/>
    <x v="2"/>
    <x v="3"/>
    <x v="0"/>
    <n v="0"/>
  </r>
  <r>
    <x v="13"/>
    <x v="1"/>
    <x v="0"/>
    <x v="20"/>
    <x v="2"/>
    <x v="0"/>
    <x v="0"/>
    <n v="0"/>
  </r>
  <r>
    <x v="13"/>
    <x v="1"/>
    <x v="0"/>
    <x v="20"/>
    <x v="2"/>
    <x v="1"/>
    <x v="0"/>
    <n v="0"/>
  </r>
  <r>
    <x v="13"/>
    <x v="1"/>
    <x v="0"/>
    <x v="20"/>
    <x v="2"/>
    <x v="2"/>
    <x v="7"/>
    <n v="0"/>
  </r>
  <r>
    <x v="13"/>
    <x v="1"/>
    <x v="0"/>
    <x v="20"/>
    <x v="2"/>
    <x v="3"/>
    <x v="0"/>
    <n v="0"/>
  </r>
  <r>
    <x v="13"/>
    <x v="1"/>
    <x v="0"/>
    <x v="21"/>
    <x v="2"/>
    <x v="0"/>
    <x v="0"/>
    <n v="0"/>
  </r>
  <r>
    <x v="13"/>
    <x v="1"/>
    <x v="0"/>
    <x v="21"/>
    <x v="2"/>
    <x v="1"/>
    <x v="0"/>
    <n v="0"/>
  </r>
  <r>
    <x v="13"/>
    <x v="1"/>
    <x v="0"/>
    <x v="21"/>
    <x v="2"/>
    <x v="2"/>
    <x v="7"/>
    <n v="0"/>
  </r>
  <r>
    <x v="13"/>
    <x v="1"/>
    <x v="0"/>
    <x v="21"/>
    <x v="2"/>
    <x v="3"/>
    <x v="0"/>
    <n v="0"/>
  </r>
  <r>
    <x v="13"/>
    <x v="1"/>
    <x v="0"/>
    <x v="22"/>
    <x v="2"/>
    <x v="0"/>
    <x v="0"/>
    <n v="0"/>
  </r>
  <r>
    <x v="13"/>
    <x v="1"/>
    <x v="0"/>
    <x v="22"/>
    <x v="2"/>
    <x v="1"/>
    <x v="0"/>
    <n v="0"/>
  </r>
  <r>
    <x v="13"/>
    <x v="1"/>
    <x v="0"/>
    <x v="22"/>
    <x v="2"/>
    <x v="2"/>
    <x v="7"/>
    <n v="0"/>
  </r>
  <r>
    <x v="13"/>
    <x v="1"/>
    <x v="0"/>
    <x v="22"/>
    <x v="2"/>
    <x v="3"/>
    <x v="0"/>
    <n v="0"/>
  </r>
  <r>
    <x v="13"/>
    <x v="1"/>
    <x v="1"/>
    <x v="23"/>
    <x v="2"/>
    <x v="0"/>
    <x v="0"/>
    <n v="0"/>
  </r>
  <r>
    <x v="13"/>
    <x v="1"/>
    <x v="1"/>
    <x v="23"/>
    <x v="2"/>
    <x v="1"/>
    <x v="0"/>
    <n v="0"/>
  </r>
  <r>
    <x v="13"/>
    <x v="1"/>
    <x v="1"/>
    <x v="23"/>
    <x v="2"/>
    <x v="2"/>
    <x v="7"/>
    <n v="0"/>
  </r>
  <r>
    <x v="13"/>
    <x v="1"/>
    <x v="1"/>
    <x v="23"/>
    <x v="2"/>
    <x v="3"/>
    <x v="0"/>
    <n v="0"/>
  </r>
  <r>
    <x v="13"/>
    <x v="1"/>
    <x v="1"/>
    <x v="24"/>
    <x v="2"/>
    <x v="0"/>
    <x v="0"/>
    <n v="0"/>
  </r>
  <r>
    <x v="13"/>
    <x v="1"/>
    <x v="1"/>
    <x v="24"/>
    <x v="2"/>
    <x v="1"/>
    <x v="0"/>
    <n v="0"/>
  </r>
  <r>
    <x v="13"/>
    <x v="1"/>
    <x v="1"/>
    <x v="24"/>
    <x v="2"/>
    <x v="2"/>
    <x v="7"/>
    <n v="0"/>
  </r>
  <r>
    <x v="13"/>
    <x v="1"/>
    <x v="1"/>
    <x v="24"/>
    <x v="2"/>
    <x v="3"/>
    <x v="0"/>
    <n v="0"/>
  </r>
  <r>
    <x v="13"/>
    <x v="1"/>
    <x v="1"/>
    <x v="25"/>
    <x v="2"/>
    <x v="0"/>
    <x v="0"/>
    <n v="0"/>
  </r>
  <r>
    <x v="13"/>
    <x v="1"/>
    <x v="1"/>
    <x v="25"/>
    <x v="2"/>
    <x v="1"/>
    <x v="0"/>
    <n v="0"/>
  </r>
  <r>
    <x v="13"/>
    <x v="1"/>
    <x v="1"/>
    <x v="25"/>
    <x v="2"/>
    <x v="2"/>
    <x v="7"/>
    <n v="0"/>
  </r>
  <r>
    <x v="13"/>
    <x v="1"/>
    <x v="1"/>
    <x v="25"/>
    <x v="2"/>
    <x v="3"/>
    <x v="0"/>
    <n v="0"/>
  </r>
  <r>
    <x v="13"/>
    <x v="1"/>
    <x v="1"/>
    <x v="26"/>
    <x v="2"/>
    <x v="0"/>
    <x v="0"/>
    <n v="0"/>
  </r>
  <r>
    <x v="13"/>
    <x v="1"/>
    <x v="1"/>
    <x v="26"/>
    <x v="2"/>
    <x v="1"/>
    <x v="0"/>
    <n v="0"/>
  </r>
  <r>
    <x v="13"/>
    <x v="1"/>
    <x v="1"/>
    <x v="26"/>
    <x v="2"/>
    <x v="2"/>
    <x v="7"/>
    <n v="0"/>
  </r>
  <r>
    <x v="13"/>
    <x v="1"/>
    <x v="1"/>
    <x v="26"/>
    <x v="2"/>
    <x v="3"/>
    <x v="0"/>
    <n v="0"/>
  </r>
  <r>
    <x v="13"/>
    <x v="1"/>
    <x v="1"/>
    <x v="27"/>
    <x v="2"/>
    <x v="0"/>
    <x v="0"/>
    <n v="0"/>
  </r>
  <r>
    <x v="13"/>
    <x v="1"/>
    <x v="1"/>
    <x v="27"/>
    <x v="2"/>
    <x v="1"/>
    <x v="0"/>
    <n v="0"/>
  </r>
  <r>
    <x v="13"/>
    <x v="1"/>
    <x v="1"/>
    <x v="27"/>
    <x v="2"/>
    <x v="2"/>
    <x v="7"/>
    <n v="0"/>
  </r>
  <r>
    <x v="13"/>
    <x v="1"/>
    <x v="1"/>
    <x v="27"/>
    <x v="2"/>
    <x v="3"/>
    <x v="0"/>
    <n v="0"/>
  </r>
  <r>
    <x v="15"/>
    <x v="0"/>
    <x v="0"/>
    <x v="1"/>
    <x v="61"/>
    <x v="0"/>
    <x v="0"/>
    <n v="0"/>
  </r>
  <r>
    <x v="15"/>
    <x v="0"/>
    <x v="0"/>
    <x v="1"/>
    <x v="61"/>
    <x v="1"/>
    <x v="7"/>
    <n v="6.3E-3"/>
  </r>
  <r>
    <x v="15"/>
    <x v="0"/>
    <x v="0"/>
    <x v="1"/>
    <x v="61"/>
    <x v="2"/>
    <x v="0"/>
    <n v="0"/>
  </r>
  <r>
    <x v="15"/>
    <x v="0"/>
    <x v="0"/>
    <x v="1"/>
    <x v="61"/>
    <x v="3"/>
    <x v="0"/>
    <n v="0"/>
  </r>
  <r>
    <x v="15"/>
    <x v="0"/>
    <x v="0"/>
    <x v="2"/>
    <x v="61"/>
    <x v="0"/>
    <x v="0"/>
    <n v="0"/>
  </r>
  <r>
    <x v="15"/>
    <x v="0"/>
    <x v="0"/>
    <x v="2"/>
    <x v="61"/>
    <x v="1"/>
    <x v="7"/>
    <n v="6.3E-3"/>
  </r>
  <r>
    <x v="15"/>
    <x v="0"/>
    <x v="0"/>
    <x v="2"/>
    <x v="61"/>
    <x v="2"/>
    <x v="0"/>
    <n v="0"/>
  </r>
  <r>
    <x v="15"/>
    <x v="0"/>
    <x v="0"/>
    <x v="2"/>
    <x v="61"/>
    <x v="3"/>
    <x v="0"/>
    <n v="0"/>
  </r>
  <r>
    <x v="15"/>
    <x v="0"/>
    <x v="0"/>
    <x v="3"/>
    <x v="61"/>
    <x v="0"/>
    <x v="0"/>
    <n v="0"/>
  </r>
  <r>
    <x v="15"/>
    <x v="0"/>
    <x v="0"/>
    <x v="3"/>
    <x v="61"/>
    <x v="1"/>
    <x v="7"/>
    <n v="6.3E-3"/>
  </r>
  <r>
    <x v="15"/>
    <x v="0"/>
    <x v="0"/>
    <x v="3"/>
    <x v="61"/>
    <x v="2"/>
    <x v="0"/>
    <n v="0"/>
  </r>
  <r>
    <x v="15"/>
    <x v="0"/>
    <x v="0"/>
    <x v="3"/>
    <x v="61"/>
    <x v="3"/>
    <x v="0"/>
    <n v="0"/>
  </r>
  <r>
    <x v="15"/>
    <x v="0"/>
    <x v="0"/>
    <x v="4"/>
    <x v="61"/>
    <x v="0"/>
    <x v="0"/>
    <n v="0"/>
  </r>
  <r>
    <x v="15"/>
    <x v="0"/>
    <x v="0"/>
    <x v="4"/>
    <x v="61"/>
    <x v="1"/>
    <x v="7"/>
    <n v="6.3E-3"/>
  </r>
  <r>
    <x v="15"/>
    <x v="0"/>
    <x v="0"/>
    <x v="4"/>
    <x v="61"/>
    <x v="2"/>
    <x v="0"/>
    <n v="0"/>
  </r>
  <r>
    <x v="15"/>
    <x v="0"/>
    <x v="0"/>
    <x v="4"/>
    <x v="61"/>
    <x v="3"/>
    <x v="0"/>
    <n v="0"/>
  </r>
  <r>
    <x v="15"/>
    <x v="0"/>
    <x v="0"/>
    <x v="5"/>
    <x v="61"/>
    <x v="0"/>
    <x v="0"/>
    <n v="0"/>
  </r>
  <r>
    <x v="15"/>
    <x v="0"/>
    <x v="0"/>
    <x v="5"/>
    <x v="61"/>
    <x v="1"/>
    <x v="7"/>
    <n v="6.3E-3"/>
  </r>
  <r>
    <x v="15"/>
    <x v="0"/>
    <x v="0"/>
    <x v="5"/>
    <x v="61"/>
    <x v="2"/>
    <x v="0"/>
    <n v="0"/>
  </r>
  <r>
    <x v="15"/>
    <x v="0"/>
    <x v="0"/>
    <x v="5"/>
    <x v="61"/>
    <x v="3"/>
    <x v="0"/>
    <n v="0"/>
  </r>
  <r>
    <x v="15"/>
    <x v="0"/>
    <x v="0"/>
    <x v="6"/>
    <x v="61"/>
    <x v="0"/>
    <x v="0"/>
    <n v="0"/>
  </r>
  <r>
    <x v="15"/>
    <x v="0"/>
    <x v="0"/>
    <x v="6"/>
    <x v="61"/>
    <x v="1"/>
    <x v="7"/>
    <n v="6.3E-3"/>
  </r>
  <r>
    <x v="15"/>
    <x v="0"/>
    <x v="0"/>
    <x v="6"/>
    <x v="61"/>
    <x v="2"/>
    <x v="0"/>
    <n v="0"/>
  </r>
  <r>
    <x v="15"/>
    <x v="0"/>
    <x v="0"/>
    <x v="6"/>
    <x v="61"/>
    <x v="3"/>
    <x v="0"/>
    <n v="0"/>
  </r>
  <r>
    <x v="15"/>
    <x v="0"/>
    <x v="0"/>
    <x v="7"/>
    <x v="61"/>
    <x v="0"/>
    <x v="0"/>
    <n v="0"/>
  </r>
  <r>
    <x v="15"/>
    <x v="0"/>
    <x v="0"/>
    <x v="7"/>
    <x v="61"/>
    <x v="1"/>
    <x v="7"/>
    <n v="6.3E-3"/>
  </r>
  <r>
    <x v="15"/>
    <x v="0"/>
    <x v="0"/>
    <x v="7"/>
    <x v="61"/>
    <x v="2"/>
    <x v="0"/>
    <n v="0"/>
  </r>
  <r>
    <x v="15"/>
    <x v="0"/>
    <x v="0"/>
    <x v="7"/>
    <x v="61"/>
    <x v="3"/>
    <x v="0"/>
    <n v="0"/>
  </r>
  <r>
    <x v="15"/>
    <x v="0"/>
    <x v="0"/>
    <x v="8"/>
    <x v="61"/>
    <x v="0"/>
    <x v="0"/>
    <n v="0"/>
  </r>
  <r>
    <x v="15"/>
    <x v="0"/>
    <x v="0"/>
    <x v="8"/>
    <x v="61"/>
    <x v="1"/>
    <x v="7"/>
    <n v="6.3E-3"/>
  </r>
  <r>
    <x v="15"/>
    <x v="0"/>
    <x v="0"/>
    <x v="8"/>
    <x v="61"/>
    <x v="2"/>
    <x v="0"/>
    <n v="0"/>
  </r>
  <r>
    <x v="15"/>
    <x v="0"/>
    <x v="0"/>
    <x v="8"/>
    <x v="61"/>
    <x v="3"/>
    <x v="0"/>
    <n v="0"/>
  </r>
  <r>
    <x v="15"/>
    <x v="0"/>
    <x v="0"/>
    <x v="9"/>
    <x v="61"/>
    <x v="0"/>
    <x v="0"/>
    <n v="0"/>
  </r>
  <r>
    <x v="15"/>
    <x v="0"/>
    <x v="0"/>
    <x v="9"/>
    <x v="61"/>
    <x v="1"/>
    <x v="7"/>
    <n v="6.3E-3"/>
  </r>
  <r>
    <x v="15"/>
    <x v="0"/>
    <x v="0"/>
    <x v="9"/>
    <x v="61"/>
    <x v="2"/>
    <x v="0"/>
    <n v="0"/>
  </r>
  <r>
    <x v="15"/>
    <x v="0"/>
    <x v="0"/>
    <x v="9"/>
    <x v="61"/>
    <x v="3"/>
    <x v="0"/>
    <n v="0"/>
  </r>
  <r>
    <x v="15"/>
    <x v="0"/>
    <x v="0"/>
    <x v="10"/>
    <x v="61"/>
    <x v="0"/>
    <x v="0"/>
    <n v="0"/>
  </r>
  <r>
    <x v="15"/>
    <x v="0"/>
    <x v="0"/>
    <x v="10"/>
    <x v="61"/>
    <x v="1"/>
    <x v="7"/>
    <n v="6.3E-3"/>
  </r>
  <r>
    <x v="15"/>
    <x v="0"/>
    <x v="0"/>
    <x v="10"/>
    <x v="61"/>
    <x v="2"/>
    <x v="0"/>
    <n v="0"/>
  </r>
  <r>
    <x v="15"/>
    <x v="0"/>
    <x v="0"/>
    <x v="10"/>
    <x v="61"/>
    <x v="3"/>
    <x v="0"/>
    <n v="0"/>
  </r>
  <r>
    <x v="15"/>
    <x v="0"/>
    <x v="0"/>
    <x v="11"/>
    <x v="61"/>
    <x v="0"/>
    <x v="0"/>
    <n v="0"/>
  </r>
  <r>
    <x v="15"/>
    <x v="0"/>
    <x v="0"/>
    <x v="11"/>
    <x v="61"/>
    <x v="1"/>
    <x v="7"/>
    <n v="6.3E-3"/>
  </r>
  <r>
    <x v="15"/>
    <x v="0"/>
    <x v="0"/>
    <x v="11"/>
    <x v="61"/>
    <x v="2"/>
    <x v="0"/>
    <n v="0"/>
  </r>
  <r>
    <x v="15"/>
    <x v="0"/>
    <x v="0"/>
    <x v="11"/>
    <x v="61"/>
    <x v="3"/>
    <x v="0"/>
    <n v="0"/>
  </r>
  <r>
    <x v="15"/>
    <x v="0"/>
    <x v="0"/>
    <x v="12"/>
    <x v="61"/>
    <x v="0"/>
    <x v="0"/>
    <n v="0"/>
  </r>
  <r>
    <x v="15"/>
    <x v="0"/>
    <x v="0"/>
    <x v="12"/>
    <x v="61"/>
    <x v="1"/>
    <x v="7"/>
    <n v="6.3E-3"/>
  </r>
  <r>
    <x v="15"/>
    <x v="0"/>
    <x v="0"/>
    <x v="12"/>
    <x v="61"/>
    <x v="2"/>
    <x v="0"/>
    <n v="0"/>
  </r>
  <r>
    <x v="15"/>
    <x v="0"/>
    <x v="0"/>
    <x v="12"/>
    <x v="61"/>
    <x v="3"/>
    <x v="0"/>
    <n v="0"/>
  </r>
  <r>
    <x v="15"/>
    <x v="0"/>
    <x v="0"/>
    <x v="13"/>
    <x v="62"/>
    <x v="0"/>
    <x v="0"/>
    <n v="0"/>
  </r>
  <r>
    <x v="15"/>
    <x v="0"/>
    <x v="0"/>
    <x v="13"/>
    <x v="62"/>
    <x v="1"/>
    <x v="7"/>
    <n v="8.0000000000000002E-3"/>
  </r>
  <r>
    <x v="15"/>
    <x v="0"/>
    <x v="0"/>
    <x v="13"/>
    <x v="62"/>
    <x v="2"/>
    <x v="0"/>
    <n v="0"/>
  </r>
  <r>
    <x v="15"/>
    <x v="0"/>
    <x v="0"/>
    <x v="13"/>
    <x v="62"/>
    <x v="3"/>
    <x v="0"/>
    <n v="0"/>
  </r>
  <r>
    <x v="15"/>
    <x v="0"/>
    <x v="0"/>
    <x v="14"/>
    <x v="62"/>
    <x v="0"/>
    <x v="0"/>
    <n v="0"/>
  </r>
  <r>
    <x v="15"/>
    <x v="0"/>
    <x v="0"/>
    <x v="14"/>
    <x v="62"/>
    <x v="1"/>
    <x v="7"/>
    <n v="8.0000000000000002E-3"/>
  </r>
  <r>
    <x v="15"/>
    <x v="0"/>
    <x v="0"/>
    <x v="14"/>
    <x v="62"/>
    <x v="2"/>
    <x v="0"/>
    <n v="0"/>
  </r>
  <r>
    <x v="15"/>
    <x v="0"/>
    <x v="0"/>
    <x v="14"/>
    <x v="62"/>
    <x v="3"/>
    <x v="0"/>
    <n v="0"/>
  </r>
  <r>
    <x v="15"/>
    <x v="0"/>
    <x v="0"/>
    <x v="15"/>
    <x v="63"/>
    <x v="0"/>
    <x v="0"/>
    <n v="0"/>
  </r>
  <r>
    <x v="15"/>
    <x v="0"/>
    <x v="0"/>
    <x v="15"/>
    <x v="63"/>
    <x v="1"/>
    <x v="7"/>
    <n v="7.9000000000000008E-3"/>
  </r>
  <r>
    <x v="15"/>
    <x v="0"/>
    <x v="0"/>
    <x v="15"/>
    <x v="63"/>
    <x v="2"/>
    <x v="0"/>
    <n v="0"/>
  </r>
  <r>
    <x v="15"/>
    <x v="0"/>
    <x v="0"/>
    <x v="15"/>
    <x v="63"/>
    <x v="3"/>
    <x v="0"/>
    <n v="0"/>
  </r>
  <r>
    <x v="15"/>
    <x v="0"/>
    <x v="0"/>
    <x v="16"/>
    <x v="63"/>
    <x v="0"/>
    <x v="0"/>
    <n v="0"/>
  </r>
  <r>
    <x v="15"/>
    <x v="0"/>
    <x v="0"/>
    <x v="16"/>
    <x v="63"/>
    <x v="1"/>
    <x v="7"/>
    <n v="7.9000000000000008E-3"/>
  </r>
  <r>
    <x v="15"/>
    <x v="0"/>
    <x v="0"/>
    <x v="16"/>
    <x v="63"/>
    <x v="2"/>
    <x v="0"/>
    <n v="0"/>
  </r>
  <r>
    <x v="15"/>
    <x v="0"/>
    <x v="0"/>
    <x v="16"/>
    <x v="63"/>
    <x v="3"/>
    <x v="0"/>
    <n v="0"/>
  </r>
  <r>
    <x v="15"/>
    <x v="0"/>
    <x v="0"/>
    <x v="17"/>
    <x v="63"/>
    <x v="0"/>
    <x v="0"/>
    <n v="0"/>
  </r>
  <r>
    <x v="15"/>
    <x v="0"/>
    <x v="0"/>
    <x v="17"/>
    <x v="63"/>
    <x v="1"/>
    <x v="7"/>
    <n v="7.9000000000000008E-3"/>
  </r>
  <r>
    <x v="15"/>
    <x v="0"/>
    <x v="0"/>
    <x v="17"/>
    <x v="63"/>
    <x v="2"/>
    <x v="0"/>
    <n v="0"/>
  </r>
  <r>
    <x v="15"/>
    <x v="0"/>
    <x v="0"/>
    <x v="17"/>
    <x v="63"/>
    <x v="3"/>
    <x v="0"/>
    <n v="0"/>
  </r>
  <r>
    <x v="15"/>
    <x v="0"/>
    <x v="0"/>
    <x v="18"/>
    <x v="64"/>
    <x v="0"/>
    <x v="0"/>
    <n v="0"/>
  </r>
  <r>
    <x v="15"/>
    <x v="0"/>
    <x v="0"/>
    <x v="18"/>
    <x v="64"/>
    <x v="1"/>
    <x v="7"/>
    <n v="6.4999999999999997E-3"/>
  </r>
  <r>
    <x v="15"/>
    <x v="0"/>
    <x v="0"/>
    <x v="18"/>
    <x v="64"/>
    <x v="2"/>
    <x v="0"/>
    <n v="0"/>
  </r>
  <r>
    <x v="15"/>
    <x v="0"/>
    <x v="0"/>
    <x v="18"/>
    <x v="64"/>
    <x v="3"/>
    <x v="0"/>
    <n v="0"/>
  </r>
  <r>
    <x v="15"/>
    <x v="0"/>
    <x v="0"/>
    <x v="19"/>
    <x v="64"/>
    <x v="0"/>
    <x v="0"/>
    <n v="0"/>
  </r>
  <r>
    <x v="15"/>
    <x v="0"/>
    <x v="0"/>
    <x v="19"/>
    <x v="64"/>
    <x v="1"/>
    <x v="7"/>
    <n v="6.4999999999999997E-3"/>
  </r>
  <r>
    <x v="15"/>
    <x v="0"/>
    <x v="0"/>
    <x v="19"/>
    <x v="64"/>
    <x v="2"/>
    <x v="0"/>
    <n v="0"/>
  </r>
  <r>
    <x v="15"/>
    <x v="0"/>
    <x v="0"/>
    <x v="19"/>
    <x v="64"/>
    <x v="3"/>
    <x v="0"/>
    <n v="0"/>
  </r>
  <r>
    <x v="15"/>
    <x v="0"/>
    <x v="0"/>
    <x v="20"/>
    <x v="65"/>
    <x v="0"/>
    <x v="0"/>
    <n v="0"/>
  </r>
  <r>
    <x v="15"/>
    <x v="0"/>
    <x v="0"/>
    <x v="20"/>
    <x v="65"/>
    <x v="1"/>
    <x v="7"/>
    <n v="6.6E-3"/>
  </r>
  <r>
    <x v="15"/>
    <x v="0"/>
    <x v="0"/>
    <x v="20"/>
    <x v="65"/>
    <x v="2"/>
    <x v="0"/>
    <n v="0"/>
  </r>
  <r>
    <x v="15"/>
    <x v="0"/>
    <x v="0"/>
    <x v="20"/>
    <x v="65"/>
    <x v="3"/>
    <x v="0"/>
    <n v="0"/>
  </r>
  <r>
    <x v="15"/>
    <x v="0"/>
    <x v="0"/>
    <x v="21"/>
    <x v="65"/>
    <x v="0"/>
    <x v="0"/>
    <n v="0"/>
  </r>
  <r>
    <x v="15"/>
    <x v="0"/>
    <x v="0"/>
    <x v="21"/>
    <x v="65"/>
    <x v="1"/>
    <x v="7"/>
    <n v="6.6E-3"/>
  </r>
  <r>
    <x v="15"/>
    <x v="0"/>
    <x v="0"/>
    <x v="21"/>
    <x v="65"/>
    <x v="2"/>
    <x v="0"/>
    <n v="0"/>
  </r>
  <r>
    <x v="15"/>
    <x v="0"/>
    <x v="0"/>
    <x v="21"/>
    <x v="65"/>
    <x v="3"/>
    <x v="0"/>
    <n v="0"/>
  </r>
  <r>
    <x v="15"/>
    <x v="0"/>
    <x v="0"/>
    <x v="22"/>
    <x v="65"/>
    <x v="0"/>
    <x v="0"/>
    <n v="0"/>
  </r>
  <r>
    <x v="15"/>
    <x v="0"/>
    <x v="0"/>
    <x v="22"/>
    <x v="65"/>
    <x v="1"/>
    <x v="7"/>
    <n v="6.6E-3"/>
  </r>
  <r>
    <x v="15"/>
    <x v="0"/>
    <x v="0"/>
    <x v="22"/>
    <x v="65"/>
    <x v="2"/>
    <x v="0"/>
    <n v="0"/>
  </r>
  <r>
    <x v="15"/>
    <x v="0"/>
    <x v="0"/>
    <x v="22"/>
    <x v="65"/>
    <x v="3"/>
    <x v="0"/>
    <n v="0"/>
  </r>
  <r>
    <x v="15"/>
    <x v="0"/>
    <x v="1"/>
    <x v="23"/>
    <x v="66"/>
    <x v="0"/>
    <x v="0"/>
    <n v="0"/>
  </r>
  <r>
    <x v="15"/>
    <x v="0"/>
    <x v="1"/>
    <x v="23"/>
    <x v="66"/>
    <x v="1"/>
    <x v="7"/>
    <n v="6.6360000000000004E-3"/>
  </r>
  <r>
    <x v="15"/>
    <x v="0"/>
    <x v="1"/>
    <x v="23"/>
    <x v="66"/>
    <x v="2"/>
    <x v="0"/>
    <n v="0"/>
  </r>
  <r>
    <x v="15"/>
    <x v="0"/>
    <x v="1"/>
    <x v="23"/>
    <x v="66"/>
    <x v="3"/>
    <x v="0"/>
    <n v="0"/>
  </r>
  <r>
    <x v="15"/>
    <x v="0"/>
    <x v="1"/>
    <x v="24"/>
    <x v="66"/>
    <x v="0"/>
    <x v="0"/>
    <n v="0"/>
  </r>
  <r>
    <x v="15"/>
    <x v="0"/>
    <x v="1"/>
    <x v="24"/>
    <x v="66"/>
    <x v="1"/>
    <x v="7"/>
    <n v="6.6360000000000004E-3"/>
  </r>
  <r>
    <x v="15"/>
    <x v="0"/>
    <x v="1"/>
    <x v="24"/>
    <x v="66"/>
    <x v="2"/>
    <x v="0"/>
    <n v="0"/>
  </r>
  <r>
    <x v="15"/>
    <x v="0"/>
    <x v="1"/>
    <x v="24"/>
    <x v="66"/>
    <x v="3"/>
    <x v="0"/>
    <n v="0"/>
  </r>
  <r>
    <x v="15"/>
    <x v="0"/>
    <x v="1"/>
    <x v="25"/>
    <x v="66"/>
    <x v="0"/>
    <x v="0"/>
    <n v="0"/>
  </r>
  <r>
    <x v="15"/>
    <x v="0"/>
    <x v="1"/>
    <x v="25"/>
    <x v="66"/>
    <x v="1"/>
    <x v="7"/>
    <n v="6.6360000000000004E-3"/>
  </r>
  <r>
    <x v="15"/>
    <x v="0"/>
    <x v="1"/>
    <x v="25"/>
    <x v="66"/>
    <x v="2"/>
    <x v="0"/>
    <n v="0"/>
  </r>
  <r>
    <x v="15"/>
    <x v="0"/>
    <x v="1"/>
    <x v="25"/>
    <x v="66"/>
    <x v="3"/>
    <x v="0"/>
    <n v="0"/>
  </r>
  <r>
    <x v="15"/>
    <x v="0"/>
    <x v="1"/>
    <x v="26"/>
    <x v="66"/>
    <x v="0"/>
    <x v="0"/>
    <n v="0"/>
  </r>
  <r>
    <x v="15"/>
    <x v="0"/>
    <x v="1"/>
    <x v="26"/>
    <x v="66"/>
    <x v="1"/>
    <x v="7"/>
    <n v="6.6360000000000004E-3"/>
  </r>
  <r>
    <x v="15"/>
    <x v="0"/>
    <x v="1"/>
    <x v="26"/>
    <x v="66"/>
    <x v="2"/>
    <x v="0"/>
    <n v="0"/>
  </r>
  <r>
    <x v="15"/>
    <x v="0"/>
    <x v="1"/>
    <x v="26"/>
    <x v="66"/>
    <x v="3"/>
    <x v="0"/>
    <n v="0"/>
  </r>
  <r>
    <x v="15"/>
    <x v="0"/>
    <x v="1"/>
    <x v="27"/>
    <x v="66"/>
    <x v="0"/>
    <x v="0"/>
    <n v="0"/>
  </r>
  <r>
    <x v="15"/>
    <x v="0"/>
    <x v="1"/>
    <x v="27"/>
    <x v="66"/>
    <x v="1"/>
    <x v="7"/>
    <n v="6.6360000000000004E-3"/>
  </r>
  <r>
    <x v="15"/>
    <x v="0"/>
    <x v="1"/>
    <x v="27"/>
    <x v="66"/>
    <x v="2"/>
    <x v="0"/>
    <n v="0"/>
  </r>
  <r>
    <x v="15"/>
    <x v="0"/>
    <x v="1"/>
    <x v="27"/>
    <x v="66"/>
    <x v="3"/>
    <x v="0"/>
    <n v="0"/>
  </r>
  <r>
    <x v="14"/>
    <x v="0"/>
    <x v="0"/>
    <x v="1"/>
    <x v="60"/>
    <x v="0"/>
    <x v="0"/>
    <n v="0"/>
  </r>
  <r>
    <x v="14"/>
    <x v="0"/>
    <x v="0"/>
    <x v="1"/>
    <x v="60"/>
    <x v="1"/>
    <x v="7"/>
    <n v="0.1037"/>
  </r>
  <r>
    <x v="14"/>
    <x v="0"/>
    <x v="0"/>
    <x v="1"/>
    <x v="60"/>
    <x v="2"/>
    <x v="0"/>
    <n v="0"/>
  </r>
  <r>
    <x v="14"/>
    <x v="0"/>
    <x v="0"/>
    <x v="1"/>
    <x v="60"/>
    <x v="3"/>
    <x v="0"/>
    <n v="0"/>
  </r>
  <r>
    <x v="14"/>
    <x v="0"/>
    <x v="0"/>
    <x v="2"/>
    <x v="60"/>
    <x v="0"/>
    <x v="0"/>
    <n v="0"/>
  </r>
  <r>
    <x v="14"/>
    <x v="0"/>
    <x v="0"/>
    <x v="2"/>
    <x v="60"/>
    <x v="1"/>
    <x v="7"/>
    <n v="0.1037"/>
  </r>
  <r>
    <x v="14"/>
    <x v="0"/>
    <x v="0"/>
    <x v="2"/>
    <x v="60"/>
    <x v="2"/>
    <x v="0"/>
    <n v="0"/>
  </r>
  <r>
    <x v="14"/>
    <x v="0"/>
    <x v="0"/>
    <x v="2"/>
    <x v="60"/>
    <x v="3"/>
    <x v="0"/>
    <n v="0"/>
  </r>
  <r>
    <x v="14"/>
    <x v="0"/>
    <x v="0"/>
    <x v="3"/>
    <x v="60"/>
    <x v="0"/>
    <x v="0"/>
    <n v="0"/>
  </r>
  <r>
    <x v="14"/>
    <x v="0"/>
    <x v="0"/>
    <x v="3"/>
    <x v="60"/>
    <x v="1"/>
    <x v="7"/>
    <n v="0.1037"/>
  </r>
  <r>
    <x v="14"/>
    <x v="0"/>
    <x v="0"/>
    <x v="3"/>
    <x v="60"/>
    <x v="2"/>
    <x v="0"/>
    <n v="0"/>
  </r>
  <r>
    <x v="14"/>
    <x v="0"/>
    <x v="0"/>
    <x v="3"/>
    <x v="60"/>
    <x v="3"/>
    <x v="0"/>
    <n v="0"/>
  </r>
  <r>
    <x v="14"/>
    <x v="0"/>
    <x v="0"/>
    <x v="4"/>
    <x v="60"/>
    <x v="0"/>
    <x v="0"/>
    <n v="0"/>
  </r>
  <r>
    <x v="14"/>
    <x v="0"/>
    <x v="0"/>
    <x v="4"/>
    <x v="60"/>
    <x v="1"/>
    <x v="7"/>
    <n v="0.1037"/>
  </r>
  <r>
    <x v="14"/>
    <x v="0"/>
    <x v="0"/>
    <x v="4"/>
    <x v="60"/>
    <x v="2"/>
    <x v="0"/>
    <n v="0"/>
  </r>
  <r>
    <x v="14"/>
    <x v="0"/>
    <x v="0"/>
    <x v="4"/>
    <x v="60"/>
    <x v="3"/>
    <x v="0"/>
    <n v="0"/>
  </r>
  <r>
    <x v="14"/>
    <x v="0"/>
    <x v="0"/>
    <x v="5"/>
    <x v="60"/>
    <x v="0"/>
    <x v="0"/>
    <n v="0"/>
  </r>
  <r>
    <x v="14"/>
    <x v="0"/>
    <x v="0"/>
    <x v="5"/>
    <x v="60"/>
    <x v="1"/>
    <x v="7"/>
    <n v="0.1037"/>
  </r>
  <r>
    <x v="14"/>
    <x v="0"/>
    <x v="0"/>
    <x v="5"/>
    <x v="60"/>
    <x v="2"/>
    <x v="0"/>
    <n v="0"/>
  </r>
  <r>
    <x v="14"/>
    <x v="0"/>
    <x v="0"/>
    <x v="5"/>
    <x v="60"/>
    <x v="3"/>
    <x v="0"/>
    <n v="0"/>
  </r>
  <r>
    <x v="14"/>
    <x v="0"/>
    <x v="0"/>
    <x v="6"/>
    <x v="60"/>
    <x v="0"/>
    <x v="0"/>
    <n v="0"/>
  </r>
  <r>
    <x v="14"/>
    <x v="0"/>
    <x v="0"/>
    <x v="6"/>
    <x v="60"/>
    <x v="1"/>
    <x v="7"/>
    <n v="0.1037"/>
  </r>
  <r>
    <x v="14"/>
    <x v="0"/>
    <x v="0"/>
    <x v="6"/>
    <x v="60"/>
    <x v="2"/>
    <x v="0"/>
    <n v="0"/>
  </r>
  <r>
    <x v="14"/>
    <x v="0"/>
    <x v="0"/>
    <x v="6"/>
    <x v="60"/>
    <x v="3"/>
    <x v="0"/>
    <n v="0"/>
  </r>
  <r>
    <x v="14"/>
    <x v="0"/>
    <x v="0"/>
    <x v="7"/>
    <x v="60"/>
    <x v="0"/>
    <x v="0"/>
    <n v="0"/>
  </r>
  <r>
    <x v="14"/>
    <x v="0"/>
    <x v="0"/>
    <x v="7"/>
    <x v="60"/>
    <x v="1"/>
    <x v="7"/>
    <n v="0.1037"/>
  </r>
  <r>
    <x v="14"/>
    <x v="0"/>
    <x v="0"/>
    <x v="7"/>
    <x v="60"/>
    <x v="2"/>
    <x v="0"/>
    <n v="0"/>
  </r>
  <r>
    <x v="14"/>
    <x v="0"/>
    <x v="0"/>
    <x v="7"/>
    <x v="60"/>
    <x v="3"/>
    <x v="0"/>
    <n v="0"/>
  </r>
  <r>
    <x v="14"/>
    <x v="0"/>
    <x v="0"/>
    <x v="8"/>
    <x v="60"/>
    <x v="0"/>
    <x v="0"/>
    <n v="0"/>
  </r>
  <r>
    <x v="14"/>
    <x v="0"/>
    <x v="0"/>
    <x v="8"/>
    <x v="60"/>
    <x v="1"/>
    <x v="7"/>
    <n v="0.1037"/>
  </r>
  <r>
    <x v="14"/>
    <x v="0"/>
    <x v="0"/>
    <x v="8"/>
    <x v="60"/>
    <x v="2"/>
    <x v="0"/>
    <n v="0"/>
  </r>
  <r>
    <x v="14"/>
    <x v="0"/>
    <x v="0"/>
    <x v="8"/>
    <x v="60"/>
    <x v="3"/>
    <x v="0"/>
    <n v="0"/>
  </r>
  <r>
    <x v="14"/>
    <x v="0"/>
    <x v="0"/>
    <x v="9"/>
    <x v="60"/>
    <x v="0"/>
    <x v="0"/>
    <n v="0"/>
  </r>
  <r>
    <x v="14"/>
    <x v="0"/>
    <x v="0"/>
    <x v="9"/>
    <x v="60"/>
    <x v="1"/>
    <x v="7"/>
    <n v="0.1037"/>
  </r>
  <r>
    <x v="14"/>
    <x v="0"/>
    <x v="0"/>
    <x v="9"/>
    <x v="60"/>
    <x v="2"/>
    <x v="0"/>
    <n v="0"/>
  </r>
  <r>
    <x v="14"/>
    <x v="0"/>
    <x v="0"/>
    <x v="9"/>
    <x v="60"/>
    <x v="3"/>
    <x v="0"/>
    <n v="0"/>
  </r>
  <r>
    <x v="14"/>
    <x v="0"/>
    <x v="0"/>
    <x v="10"/>
    <x v="60"/>
    <x v="0"/>
    <x v="0"/>
    <n v="0"/>
  </r>
  <r>
    <x v="14"/>
    <x v="0"/>
    <x v="0"/>
    <x v="10"/>
    <x v="60"/>
    <x v="1"/>
    <x v="7"/>
    <n v="0.1037"/>
  </r>
  <r>
    <x v="14"/>
    <x v="0"/>
    <x v="0"/>
    <x v="10"/>
    <x v="60"/>
    <x v="2"/>
    <x v="0"/>
    <n v="0"/>
  </r>
  <r>
    <x v="14"/>
    <x v="0"/>
    <x v="0"/>
    <x v="10"/>
    <x v="60"/>
    <x v="3"/>
    <x v="0"/>
    <n v="0"/>
  </r>
  <r>
    <x v="14"/>
    <x v="0"/>
    <x v="0"/>
    <x v="11"/>
    <x v="60"/>
    <x v="0"/>
    <x v="0"/>
    <n v="0"/>
  </r>
  <r>
    <x v="14"/>
    <x v="0"/>
    <x v="0"/>
    <x v="11"/>
    <x v="60"/>
    <x v="1"/>
    <x v="7"/>
    <n v="0.1037"/>
  </r>
  <r>
    <x v="14"/>
    <x v="0"/>
    <x v="0"/>
    <x v="11"/>
    <x v="60"/>
    <x v="2"/>
    <x v="0"/>
    <n v="0"/>
  </r>
  <r>
    <x v="14"/>
    <x v="0"/>
    <x v="0"/>
    <x v="11"/>
    <x v="60"/>
    <x v="3"/>
    <x v="0"/>
    <n v="0"/>
  </r>
  <r>
    <x v="14"/>
    <x v="0"/>
    <x v="0"/>
    <x v="12"/>
    <x v="60"/>
    <x v="0"/>
    <x v="0"/>
    <n v="0"/>
  </r>
  <r>
    <x v="14"/>
    <x v="0"/>
    <x v="0"/>
    <x v="12"/>
    <x v="60"/>
    <x v="1"/>
    <x v="7"/>
    <n v="0.1037"/>
  </r>
  <r>
    <x v="14"/>
    <x v="0"/>
    <x v="0"/>
    <x v="12"/>
    <x v="60"/>
    <x v="2"/>
    <x v="0"/>
    <n v="0"/>
  </r>
  <r>
    <x v="14"/>
    <x v="0"/>
    <x v="0"/>
    <x v="12"/>
    <x v="60"/>
    <x v="3"/>
    <x v="0"/>
    <n v="0"/>
  </r>
  <r>
    <x v="14"/>
    <x v="0"/>
    <x v="0"/>
    <x v="13"/>
    <x v="67"/>
    <x v="0"/>
    <x v="0"/>
    <n v="0"/>
  </r>
  <r>
    <x v="14"/>
    <x v="0"/>
    <x v="0"/>
    <x v="13"/>
    <x v="67"/>
    <x v="1"/>
    <x v="7"/>
    <n v="0.13930000000000001"/>
  </r>
  <r>
    <x v="14"/>
    <x v="0"/>
    <x v="0"/>
    <x v="13"/>
    <x v="67"/>
    <x v="2"/>
    <x v="0"/>
    <n v="0"/>
  </r>
  <r>
    <x v="14"/>
    <x v="0"/>
    <x v="0"/>
    <x v="13"/>
    <x v="67"/>
    <x v="3"/>
    <x v="0"/>
    <n v="0"/>
  </r>
  <r>
    <x v="14"/>
    <x v="0"/>
    <x v="0"/>
    <x v="14"/>
    <x v="67"/>
    <x v="0"/>
    <x v="0"/>
    <n v="0"/>
  </r>
  <r>
    <x v="14"/>
    <x v="0"/>
    <x v="0"/>
    <x v="14"/>
    <x v="67"/>
    <x v="1"/>
    <x v="7"/>
    <n v="0.13930000000000001"/>
  </r>
  <r>
    <x v="14"/>
    <x v="0"/>
    <x v="0"/>
    <x v="14"/>
    <x v="67"/>
    <x v="2"/>
    <x v="0"/>
    <n v="0"/>
  </r>
  <r>
    <x v="14"/>
    <x v="0"/>
    <x v="0"/>
    <x v="14"/>
    <x v="67"/>
    <x v="3"/>
    <x v="0"/>
    <n v="0"/>
  </r>
  <r>
    <x v="14"/>
    <x v="0"/>
    <x v="0"/>
    <x v="15"/>
    <x v="68"/>
    <x v="0"/>
    <x v="0"/>
    <n v="0"/>
  </r>
  <r>
    <x v="14"/>
    <x v="0"/>
    <x v="0"/>
    <x v="15"/>
    <x v="68"/>
    <x v="1"/>
    <x v="7"/>
    <n v="0.13800000000000001"/>
  </r>
  <r>
    <x v="14"/>
    <x v="0"/>
    <x v="0"/>
    <x v="15"/>
    <x v="68"/>
    <x v="2"/>
    <x v="0"/>
    <n v="0"/>
  </r>
  <r>
    <x v="14"/>
    <x v="0"/>
    <x v="0"/>
    <x v="15"/>
    <x v="68"/>
    <x v="3"/>
    <x v="0"/>
    <n v="0"/>
  </r>
  <r>
    <x v="14"/>
    <x v="0"/>
    <x v="0"/>
    <x v="16"/>
    <x v="68"/>
    <x v="0"/>
    <x v="0"/>
    <n v="0"/>
  </r>
  <r>
    <x v="14"/>
    <x v="0"/>
    <x v="0"/>
    <x v="16"/>
    <x v="68"/>
    <x v="1"/>
    <x v="7"/>
    <n v="0.13800000000000001"/>
  </r>
  <r>
    <x v="14"/>
    <x v="0"/>
    <x v="0"/>
    <x v="16"/>
    <x v="68"/>
    <x v="2"/>
    <x v="0"/>
    <n v="0"/>
  </r>
  <r>
    <x v="14"/>
    <x v="0"/>
    <x v="0"/>
    <x v="16"/>
    <x v="68"/>
    <x v="3"/>
    <x v="0"/>
    <n v="0"/>
  </r>
  <r>
    <x v="14"/>
    <x v="0"/>
    <x v="0"/>
    <x v="17"/>
    <x v="68"/>
    <x v="0"/>
    <x v="0"/>
    <n v="0"/>
  </r>
  <r>
    <x v="14"/>
    <x v="0"/>
    <x v="0"/>
    <x v="17"/>
    <x v="68"/>
    <x v="1"/>
    <x v="7"/>
    <n v="0.13800000000000001"/>
  </r>
  <r>
    <x v="14"/>
    <x v="0"/>
    <x v="0"/>
    <x v="17"/>
    <x v="68"/>
    <x v="2"/>
    <x v="0"/>
    <n v="0"/>
  </r>
  <r>
    <x v="14"/>
    <x v="0"/>
    <x v="0"/>
    <x v="17"/>
    <x v="68"/>
    <x v="3"/>
    <x v="0"/>
    <n v="0"/>
  </r>
  <r>
    <x v="14"/>
    <x v="0"/>
    <x v="0"/>
    <x v="18"/>
    <x v="69"/>
    <x v="0"/>
    <x v="0"/>
    <n v="0"/>
  </r>
  <r>
    <x v="14"/>
    <x v="0"/>
    <x v="0"/>
    <x v="18"/>
    <x v="69"/>
    <x v="1"/>
    <x v="7"/>
    <n v="0.14149999999999999"/>
  </r>
  <r>
    <x v="14"/>
    <x v="0"/>
    <x v="0"/>
    <x v="18"/>
    <x v="69"/>
    <x v="2"/>
    <x v="0"/>
    <n v="0"/>
  </r>
  <r>
    <x v="14"/>
    <x v="0"/>
    <x v="0"/>
    <x v="18"/>
    <x v="69"/>
    <x v="3"/>
    <x v="0"/>
    <n v="0"/>
  </r>
  <r>
    <x v="14"/>
    <x v="0"/>
    <x v="0"/>
    <x v="19"/>
    <x v="69"/>
    <x v="0"/>
    <x v="0"/>
    <n v="0"/>
  </r>
  <r>
    <x v="14"/>
    <x v="0"/>
    <x v="0"/>
    <x v="19"/>
    <x v="69"/>
    <x v="1"/>
    <x v="7"/>
    <n v="0.14149999999999999"/>
  </r>
  <r>
    <x v="14"/>
    <x v="0"/>
    <x v="0"/>
    <x v="19"/>
    <x v="69"/>
    <x v="2"/>
    <x v="0"/>
    <n v="0"/>
  </r>
  <r>
    <x v="14"/>
    <x v="0"/>
    <x v="0"/>
    <x v="19"/>
    <x v="69"/>
    <x v="3"/>
    <x v="0"/>
    <n v="0"/>
  </r>
  <r>
    <x v="14"/>
    <x v="0"/>
    <x v="0"/>
    <x v="20"/>
    <x v="70"/>
    <x v="0"/>
    <x v="0"/>
    <n v="0"/>
  </r>
  <r>
    <x v="14"/>
    <x v="0"/>
    <x v="0"/>
    <x v="20"/>
    <x v="70"/>
    <x v="1"/>
    <x v="7"/>
    <n v="0.14199999999999999"/>
  </r>
  <r>
    <x v="14"/>
    <x v="0"/>
    <x v="0"/>
    <x v="20"/>
    <x v="70"/>
    <x v="2"/>
    <x v="0"/>
    <n v="0"/>
  </r>
  <r>
    <x v="14"/>
    <x v="0"/>
    <x v="0"/>
    <x v="20"/>
    <x v="70"/>
    <x v="3"/>
    <x v="0"/>
    <n v="0"/>
  </r>
  <r>
    <x v="14"/>
    <x v="0"/>
    <x v="0"/>
    <x v="21"/>
    <x v="70"/>
    <x v="0"/>
    <x v="0"/>
    <n v="0"/>
  </r>
  <r>
    <x v="14"/>
    <x v="0"/>
    <x v="0"/>
    <x v="21"/>
    <x v="70"/>
    <x v="1"/>
    <x v="7"/>
    <n v="0.14199999999999999"/>
  </r>
  <r>
    <x v="14"/>
    <x v="0"/>
    <x v="0"/>
    <x v="21"/>
    <x v="70"/>
    <x v="2"/>
    <x v="0"/>
    <n v="0"/>
  </r>
  <r>
    <x v="14"/>
    <x v="0"/>
    <x v="0"/>
    <x v="21"/>
    <x v="70"/>
    <x v="3"/>
    <x v="0"/>
    <n v="0"/>
  </r>
  <r>
    <x v="14"/>
    <x v="0"/>
    <x v="0"/>
    <x v="22"/>
    <x v="70"/>
    <x v="0"/>
    <x v="0"/>
    <n v="0"/>
  </r>
  <r>
    <x v="14"/>
    <x v="0"/>
    <x v="0"/>
    <x v="22"/>
    <x v="70"/>
    <x v="1"/>
    <x v="7"/>
    <n v="0.14199999999999999"/>
  </r>
  <r>
    <x v="14"/>
    <x v="0"/>
    <x v="0"/>
    <x v="22"/>
    <x v="70"/>
    <x v="2"/>
    <x v="0"/>
    <n v="0"/>
  </r>
  <r>
    <x v="14"/>
    <x v="0"/>
    <x v="0"/>
    <x v="22"/>
    <x v="70"/>
    <x v="3"/>
    <x v="0"/>
    <n v="0"/>
  </r>
  <r>
    <x v="14"/>
    <x v="0"/>
    <x v="1"/>
    <x v="23"/>
    <x v="71"/>
    <x v="0"/>
    <x v="0"/>
    <n v="0"/>
  </r>
  <r>
    <x v="14"/>
    <x v="0"/>
    <x v="1"/>
    <x v="23"/>
    <x v="71"/>
    <x v="1"/>
    <x v="7"/>
    <n v="0.13985600000000001"/>
  </r>
  <r>
    <x v="14"/>
    <x v="0"/>
    <x v="1"/>
    <x v="23"/>
    <x v="71"/>
    <x v="2"/>
    <x v="0"/>
    <n v="0"/>
  </r>
  <r>
    <x v="14"/>
    <x v="0"/>
    <x v="1"/>
    <x v="23"/>
    <x v="71"/>
    <x v="3"/>
    <x v="0"/>
    <n v="0"/>
  </r>
  <r>
    <x v="14"/>
    <x v="0"/>
    <x v="1"/>
    <x v="24"/>
    <x v="71"/>
    <x v="0"/>
    <x v="0"/>
    <n v="0"/>
  </r>
  <r>
    <x v="14"/>
    <x v="0"/>
    <x v="1"/>
    <x v="24"/>
    <x v="71"/>
    <x v="1"/>
    <x v="7"/>
    <n v="0.13985600000000001"/>
  </r>
  <r>
    <x v="14"/>
    <x v="0"/>
    <x v="1"/>
    <x v="24"/>
    <x v="71"/>
    <x v="2"/>
    <x v="0"/>
    <n v="0"/>
  </r>
  <r>
    <x v="14"/>
    <x v="0"/>
    <x v="1"/>
    <x v="24"/>
    <x v="71"/>
    <x v="3"/>
    <x v="0"/>
    <n v="0"/>
  </r>
  <r>
    <x v="14"/>
    <x v="0"/>
    <x v="1"/>
    <x v="25"/>
    <x v="71"/>
    <x v="0"/>
    <x v="0"/>
    <n v="0"/>
  </r>
  <r>
    <x v="14"/>
    <x v="0"/>
    <x v="1"/>
    <x v="25"/>
    <x v="71"/>
    <x v="1"/>
    <x v="7"/>
    <n v="0.13985600000000001"/>
  </r>
  <r>
    <x v="14"/>
    <x v="0"/>
    <x v="1"/>
    <x v="25"/>
    <x v="71"/>
    <x v="2"/>
    <x v="0"/>
    <n v="0"/>
  </r>
  <r>
    <x v="14"/>
    <x v="0"/>
    <x v="1"/>
    <x v="25"/>
    <x v="71"/>
    <x v="3"/>
    <x v="0"/>
    <n v="0"/>
  </r>
  <r>
    <x v="14"/>
    <x v="0"/>
    <x v="1"/>
    <x v="26"/>
    <x v="71"/>
    <x v="0"/>
    <x v="0"/>
    <n v="0"/>
  </r>
  <r>
    <x v="14"/>
    <x v="0"/>
    <x v="1"/>
    <x v="26"/>
    <x v="71"/>
    <x v="1"/>
    <x v="7"/>
    <n v="0.13985600000000001"/>
  </r>
  <r>
    <x v="14"/>
    <x v="0"/>
    <x v="1"/>
    <x v="26"/>
    <x v="71"/>
    <x v="2"/>
    <x v="0"/>
    <n v="0"/>
  </r>
  <r>
    <x v="14"/>
    <x v="0"/>
    <x v="1"/>
    <x v="26"/>
    <x v="71"/>
    <x v="3"/>
    <x v="0"/>
    <n v="0"/>
  </r>
  <r>
    <x v="16"/>
    <x v="0"/>
    <x v="0"/>
    <x v="0"/>
    <x v="72"/>
    <x v="0"/>
    <x v="0"/>
    <n v="0"/>
  </r>
  <r>
    <x v="16"/>
    <x v="0"/>
    <x v="0"/>
    <x v="0"/>
    <x v="72"/>
    <x v="1"/>
    <x v="7"/>
    <n v="3.1300000000000001E-2"/>
  </r>
  <r>
    <x v="16"/>
    <x v="0"/>
    <x v="0"/>
    <x v="0"/>
    <x v="72"/>
    <x v="2"/>
    <x v="0"/>
    <n v="0"/>
  </r>
  <r>
    <x v="16"/>
    <x v="0"/>
    <x v="0"/>
    <x v="0"/>
    <x v="72"/>
    <x v="3"/>
    <x v="0"/>
    <n v="0"/>
  </r>
  <r>
    <x v="16"/>
    <x v="0"/>
    <x v="0"/>
    <x v="1"/>
    <x v="72"/>
    <x v="0"/>
    <x v="0"/>
    <n v="0"/>
  </r>
  <r>
    <x v="16"/>
    <x v="0"/>
    <x v="0"/>
    <x v="1"/>
    <x v="72"/>
    <x v="1"/>
    <x v="7"/>
    <n v="3.1300000000000001E-2"/>
  </r>
  <r>
    <x v="16"/>
    <x v="0"/>
    <x v="0"/>
    <x v="1"/>
    <x v="72"/>
    <x v="2"/>
    <x v="0"/>
    <n v="0"/>
  </r>
  <r>
    <x v="16"/>
    <x v="0"/>
    <x v="0"/>
    <x v="1"/>
    <x v="72"/>
    <x v="3"/>
    <x v="0"/>
    <n v="0"/>
  </r>
  <r>
    <x v="16"/>
    <x v="0"/>
    <x v="0"/>
    <x v="2"/>
    <x v="72"/>
    <x v="0"/>
    <x v="0"/>
    <n v="0"/>
  </r>
  <r>
    <x v="16"/>
    <x v="0"/>
    <x v="0"/>
    <x v="2"/>
    <x v="72"/>
    <x v="1"/>
    <x v="7"/>
    <n v="3.1300000000000001E-2"/>
  </r>
  <r>
    <x v="16"/>
    <x v="0"/>
    <x v="0"/>
    <x v="2"/>
    <x v="72"/>
    <x v="2"/>
    <x v="0"/>
    <n v="0"/>
  </r>
  <r>
    <x v="16"/>
    <x v="0"/>
    <x v="0"/>
    <x v="2"/>
    <x v="72"/>
    <x v="3"/>
    <x v="0"/>
    <n v="0"/>
  </r>
  <r>
    <x v="16"/>
    <x v="0"/>
    <x v="0"/>
    <x v="3"/>
    <x v="72"/>
    <x v="0"/>
    <x v="0"/>
    <n v="0"/>
  </r>
  <r>
    <x v="16"/>
    <x v="0"/>
    <x v="0"/>
    <x v="3"/>
    <x v="72"/>
    <x v="1"/>
    <x v="7"/>
    <n v="3.1300000000000001E-2"/>
  </r>
  <r>
    <x v="16"/>
    <x v="0"/>
    <x v="0"/>
    <x v="3"/>
    <x v="72"/>
    <x v="2"/>
    <x v="0"/>
    <n v="0"/>
  </r>
  <r>
    <x v="16"/>
    <x v="0"/>
    <x v="0"/>
    <x v="3"/>
    <x v="72"/>
    <x v="3"/>
    <x v="0"/>
    <n v="0"/>
  </r>
  <r>
    <x v="16"/>
    <x v="0"/>
    <x v="0"/>
    <x v="4"/>
    <x v="72"/>
    <x v="0"/>
    <x v="0"/>
    <n v="0"/>
  </r>
  <r>
    <x v="16"/>
    <x v="0"/>
    <x v="0"/>
    <x v="4"/>
    <x v="72"/>
    <x v="1"/>
    <x v="7"/>
    <n v="3.1300000000000001E-2"/>
  </r>
  <r>
    <x v="16"/>
    <x v="0"/>
    <x v="0"/>
    <x v="4"/>
    <x v="72"/>
    <x v="2"/>
    <x v="0"/>
    <n v="0"/>
  </r>
  <r>
    <x v="16"/>
    <x v="0"/>
    <x v="0"/>
    <x v="4"/>
    <x v="72"/>
    <x v="3"/>
    <x v="0"/>
    <n v="0"/>
  </r>
  <r>
    <x v="16"/>
    <x v="0"/>
    <x v="0"/>
    <x v="5"/>
    <x v="72"/>
    <x v="0"/>
    <x v="0"/>
    <n v="0"/>
  </r>
  <r>
    <x v="16"/>
    <x v="0"/>
    <x v="0"/>
    <x v="5"/>
    <x v="72"/>
    <x v="1"/>
    <x v="7"/>
    <n v="3.1300000000000001E-2"/>
  </r>
  <r>
    <x v="16"/>
    <x v="0"/>
    <x v="0"/>
    <x v="5"/>
    <x v="72"/>
    <x v="2"/>
    <x v="0"/>
    <n v="0"/>
  </r>
  <r>
    <x v="16"/>
    <x v="0"/>
    <x v="0"/>
    <x v="5"/>
    <x v="72"/>
    <x v="3"/>
    <x v="0"/>
    <n v="0"/>
  </r>
  <r>
    <x v="16"/>
    <x v="0"/>
    <x v="0"/>
    <x v="6"/>
    <x v="72"/>
    <x v="0"/>
    <x v="0"/>
    <n v="0"/>
  </r>
  <r>
    <x v="16"/>
    <x v="0"/>
    <x v="0"/>
    <x v="6"/>
    <x v="72"/>
    <x v="1"/>
    <x v="7"/>
    <n v="3.1300000000000001E-2"/>
  </r>
  <r>
    <x v="16"/>
    <x v="0"/>
    <x v="0"/>
    <x v="6"/>
    <x v="72"/>
    <x v="2"/>
    <x v="0"/>
    <n v="0"/>
  </r>
  <r>
    <x v="16"/>
    <x v="0"/>
    <x v="0"/>
    <x v="6"/>
    <x v="72"/>
    <x v="3"/>
    <x v="0"/>
    <n v="0"/>
  </r>
  <r>
    <x v="16"/>
    <x v="0"/>
    <x v="0"/>
    <x v="7"/>
    <x v="72"/>
    <x v="0"/>
    <x v="0"/>
    <n v="0"/>
  </r>
  <r>
    <x v="16"/>
    <x v="0"/>
    <x v="0"/>
    <x v="7"/>
    <x v="72"/>
    <x v="1"/>
    <x v="7"/>
    <n v="3.1300000000000001E-2"/>
  </r>
  <r>
    <x v="16"/>
    <x v="0"/>
    <x v="0"/>
    <x v="7"/>
    <x v="72"/>
    <x v="2"/>
    <x v="0"/>
    <n v="0"/>
  </r>
  <r>
    <x v="16"/>
    <x v="0"/>
    <x v="0"/>
    <x v="7"/>
    <x v="72"/>
    <x v="3"/>
    <x v="0"/>
    <n v="0"/>
  </r>
  <r>
    <x v="16"/>
    <x v="0"/>
    <x v="0"/>
    <x v="8"/>
    <x v="72"/>
    <x v="0"/>
    <x v="0"/>
    <n v="0"/>
  </r>
  <r>
    <x v="16"/>
    <x v="0"/>
    <x v="0"/>
    <x v="8"/>
    <x v="72"/>
    <x v="1"/>
    <x v="7"/>
    <n v="3.1300000000000001E-2"/>
  </r>
  <r>
    <x v="16"/>
    <x v="0"/>
    <x v="0"/>
    <x v="8"/>
    <x v="72"/>
    <x v="2"/>
    <x v="0"/>
    <n v="0"/>
  </r>
  <r>
    <x v="16"/>
    <x v="0"/>
    <x v="0"/>
    <x v="8"/>
    <x v="72"/>
    <x v="3"/>
    <x v="0"/>
    <n v="0"/>
  </r>
  <r>
    <x v="16"/>
    <x v="0"/>
    <x v="0"/>
    <x v="9"/>
    <x v="72"/>
    <x v="0"/>
    <x v="0"/>
    <n v="0"/>
  </r>
  <r>
    <x v="16"/>
    <x v="0"/>
    <x v="0"/>
    <x v="9"/>
    <x v="72"/>
    <x v="1"/>
    <x v="7"/>
    <n v="3.1300000000000001E-2"/>
  </r>
  <r>
    <x v="16"/>
    <x v="0"/>
    <x v="0"/>
    <x v="9"/>
    <x v="72"/>
    <x v="2"/>
    <x v="0"/>
    <n v="0"/>
  </r>
  <r>
    <x v="16"/>
    <x v="0"/>
    <x v="0"/>
    <x v="9"/>
    <x v="72"/>
    <x v="3"/>
    <x v="0"/>
    <n v="0"/>
  </r>
  <r>
    <x v="16"/>
    <x v="0"/>
    <x v="0"/>
    <x v="10"/>
    <x v="72"/>
    <x v="0"/>
    <x v="0"/>
    <n v="0"/>
  </r>
  <r>
    <x v="16"/>
    <x v="0"/>
    <x v="0"/>
    <x v="10"/>
    <x v="72"/>
    <x v="1"/>
    <x v="7"/>
    <n v="3.1300000000000001E-2"/>
  </r>
  <r>
    <x v="16"/>
    <x v="0"/>
    <x v="0"/>
    <x v="10"/>
    <x v="72"/>
    <x v="2"/>
    <x v="0"/>
    <n v="0"/>
  </r>
  <r>
    <x v="16"/>
    <x v="0"/>
    <x v="0"/>
    <x v="10"/>
    <x v="72"/>
    <x v="3"/>
    <x v="0"/>
    <n v="0"/>
  </r>
  <r>
    <x v="16"/>
    <x v="0"/>
    <x v="0"/>
    <x v="11"/>
    <x v="72"/>
    <x v="0"/>
    <x v="0"/>
    <n v="0"/>
  </r>
  <r>
    <x v="16"/>
    <x v="0"/>
    <x v="0"/>
    <x v="11"/>
    <x v="72"/>
    <x v="1"/>
    <x v="7"/>
    <n v="3.1300000000000001E-2"/>
  </r>
  <r>
    <x v="16"/>
    <x v="0"/>
    <x v="0"/>
    <x v="11"/>
    <x v="72"/>
    <x v="2"/>
    <x v="0"/>
    <n v="0"/>
  </r>
  <r>
    <x v="16"/>
    <x v="0"/>
    <x v="0"/>
    <x v="11"/>
    <x v="72"/>
    <x v="3"/>
    <x v="0"/>
    <n v="0"/>
  </r>
  <r>
    <x v="16"/>
    <x v="0"/>
    <x v="0"/>
    <x v="12"/>
    <x v="72"/>
    <x v="0"/>
    <x v="0"/>
    <n v="0"/>
  </r>
  <r>
    <x v="16"/>
    <x v="0"/>
    <x v="0"/>
    <x v="12"/>
    <x v="72"/>
    <x v="1"/>
    <x v="7"/>
    <n v="3.1300000000000001E-2"/>
  </r>
  <r>
    <x v="16"/>
    <x v="0"/>
    <x v="0"/>
    <x v="12"/>
    <x v="72"/>
    <x v="2"/>
    <x v="0"/>
    <n v="0"/>
  </r>
  <r>
    <x v="16"/>
    <x v="0"/>
    <x v="0"/>
    <x v="12"/>
    <x v="72"/>
    <x v="3"/>
    <x v="0"/>
    <n v="0"/>
  </r>
  <r>
    <x v="16"/>
    <x v="0"/>
    <x v="0"/>
    <x v="13"/>
    <x v="73"/>
    <x v="0"/>
    <x v="0"/>
    <n v="0"/>
  </r>
  <r>
    <x v="16"/>
    <x v="0"/>
    <x v="0"/>
    <x v="13"/>
    <x v="73"/>
    <x v="1"/>
    <x v="7"/>
    <n v="3.78E-2"/>
  </r>
  <r>
    <x v="16"/>
    <x v="0"/>
    <x v="0"/>
    <x v="13"/>
    <x v="73"/>
    <x v="2"/>
    <x v="0"/>
    <n v="0"/>
  </r>
  <r>
    <x v="16"/>
    <x v="0"/>
    <x v="0"/>
    <x v="13"/>
    <x v="73"/>
    <x v="3"/>
    <x v="0"/>
    <n v="0"/>
  </r>
  <r>
    <x v="16"/>
    <x v="0"/>
    <x v="0"/>
    <x v="14"/>
    <x v="73"/>
    <x v="0"/>
    <x v="0"/>
    <n v="0"/>
  </r>
  <r>
    <x v="16"/>
    <x v="0"/>
    <x v="0"/>
    <x v="14"/>
    <x v="73"/>
    <x v="1"/>
    <x v="7"/>
    <n v="3.78E-2"/>
  </r>
  <r>
    <x v="16"/>
    <x v="0"/>
    <x v="0"/>
    <x v="14"/>
    <x v="73"/>
    <x v="2"/>
    <x v="0"/>
    <n v="0"/>
  </r>
  <r>
    <x v="16"/>
    <x v="0"/>
    <x v="0"/>
    <x v="14"/>
    <x v="73"/>
    <x v="3"/>
    <x v="0"/>
    <n v="0"/>
  </r>
  <r>
    <x v="16"/>
    <x v="0"/>
    <x v="0"/>
    <x v="15"/>
    <x v="74"/>
    <x v="0"/>
    <x v="0"/>
    <n v="0"/>
  </r>
  <r>
    <x v="16"/>
    <x v="0"/>
    <x v="0"/>
    <x v="15"/>
    <x v="74"/>
    <x v="1"/>
    <x v="7"/>
    <n v="3.7400000000000003E-2"/>
  </r>
  <r>
    <x v="16"/>
    <x v="0"/>
    <x v="0"/>
    <x v="15"/>
    <x v="74"/>
    <x v="2"/>
    <x v="0"/>
    <n v="0"/>
  </r>
  <r>
    <x v="16"/>
    <x v="0"/>
    <x v="0"/>
    <x v="15"/>
    <x v="74"/>
    <x v="3"/>
    <x v="0"/>
    <n v="0"/>
  </r>
  <r>
    <x v="16"/>
    <x v="0"/>
    <x v="0"/>
    <x v="16"/>
    <x v="74"/>
    <x v="0"/>
    <x v="0"/>
    <n v="0"/>
  </r>
  <r>
    <x v="16"/>
    <x v="0"/>
    <x v="0"/>
    <x v="16"/>
    <x v="74"/>
    <x v="1"/>
    <x v="7"/>
    <n v="3.7400000000000003E-2"/>
  </r>
  <r>
    <x v="16"/>
    <x v="0"/>
    <x v="0"/>
    <x v="16"/>
    <x v="74"/>
    <x v="2"/>
    <x v="0"/>
    <n v="0"/>
  </r>
  <r>
    <x v="16"/>
    <x v="0"/>
    <x v="0"/>
    <x v="16"/>
    <x v="74"/>
    <x v="3"/>
    <x v="0"/>
    <n v="0"/>
  </r>
  <r>
    <x v="16"/>
    <x v="0"/>
    <x v="0"/>
    <x v="17"/>
    <x v="74"/>
    <x v="0"/>
    <x v="0"/>
    <n v="0"/>
  </r>
  <r>
    <x v="16"/>
    <x v="0"/>
    <x v="0"/>
    <x v="17"/>
    <x v="74"/>
    <x v="1"/>
    <x v="7"/>
    <n v="3.7400000000000003E-2"/>
  </r>
  <r>
    <x v="16"/>
    <x v="0"/>
    <x v="0"/>
    <x v="17"/>
    <x v="74"/>
    <x v="2"/>
    <x v="0"/>
    <n v="0"/>
  </r>
  <r>
    <x v="16"/>
    <x v="0"/>
    <x v="0"/>
    <x v="17"/>
    <x v="74"/>
    <x v="3"/>
    <x v="0"/>
    <n v="0"/>
  </r>
  <r>
    <x v="16"/>
    <x v="0"/>
    <x v="0"/>
    <x v="18"/>
    <x v="75"/>
    <x v="0"/>
    <x v="0"/>
    <n v="0"/>
  </r>
  <r>
    <x v="16"/>
    <x v="0"/>
    <x v="0"/>
    <x v="18"/>
    <x v="75"/>
    <x v="1"/>
    <x v="7"/>
    <n v="3.6600000000000001E-2"/>
  </r>
  <r>
    <x v="16"/>
    <x v="0"/>
    <x v="0"/>
    <x v="18"/>
    <x v="75"/>
    <x v="2"/>
    <x v="0"/>
    <n v="0"/>
  </r>
  <r>
    <x v="16"/>
    <x v="0"/>
    <x v="0"/>
    <x v="18"/>
    <x v="75"/>
    <x v="3"/>
    <x v="0"/>
    <n v="0"/>
  </r>
  <r>
    <x v="16"/>
    <x v="0"/>
    <x v="0"/>
    <x v="19"/>
    <x v="75"/>
    <x v="0"/>
    <x v="0"/>
    <n v="0"/>
  </r>
  <r>
    <x v="16"/>
    <x v="0"/>
    <x v="0"/>
    <x v="19"/>
    <x v="75"/>
    <x v="1"/>
    <x v="7"/>
    <n v="3.6600000000000001E-2"/>
  </r>
  <r>
    <x v="16"/>
    <x v="0"/>
    <x v="0"/>
    <x v="19"/>
    <x v="75"/>
    <x v="2"/>
    <x v="0"/>
    <n v="0"/>
  </r>
  <r>
    <x v="16"/>
    <x v="0"/>
    <x v="0"/>
    <x v="19"/>
    <x v="75"/>
    <x v="3"/>
    <x v="0"/>
    <n v="0"/>
  </r>
  <r>
    <x v="16"/>
    <x v="0"/>
    <x v="0"/>
    <x v="20"/>
    <x v="76"/>
    <x v="0"/>
    <x v="0"/>
    <n v="0"/>
  </r>
  <r>
    <x v="16"/>
    <x v="0"/>
    <x v="0"/>
    <x v="20"/>
    <x v="76"/>
    <x v="1"/>
    <x v="7"/>
    <n v="3.6700000000000003E-2"/>
  </r>
  <r>
    <x v="16"/>
    <x v="0"/>
    <x v="0"/>
    <x v="20"/>
    <x v="76"/>
    <x v="2"/>
    <x v="0"/>
    <n v="0"/>
  </r>
  <r>
    <x v="16"/>
    <x v="0"/>
    <x v="0"/>
    <x v="20"/>
    <x v="76"/>
    <x v="3"/>
    <x v="0"/>
    <n v="0"/>
  </r>
  <r>
    <x v="16"/>
    <x v="0"/>
    <x v="0"/>
    <x v="21"/>
    <x v="76"/>
    <x v="0"/>
    <x v="0"/>
    <n v="0"/>
  </r>
  <r>
    <x v="16"/>
    <x v="0"/>
    <x v="0"/>
    <x v="21"/>
    <x v="76"/>
    <x v="1"/>
    <x v="7"/>
    <n v="3.6700000000000003E-2"/>
  </r>
  <r>
    <x v="16"/>
    <x v="0"/>
    <x v="0"/>
    <x v="21"/>
    <x v="76"/>
    <x v="2"/>
    <x v="0"/>
    <n v="0"/>
  </r>
  <r>
    <x v="16"/>
    <x v="0"/>
    <x v="0"/>
    <x v="21"/>
    <x v="76"/>
    <x v="3"/>
    <x v="0"/>
    <n v="0"/>
  </r>
  <r>
    <x v="16"/>
    <x v="0"/>
    <x v="0"/>
    <x v="22"/>
    <x v="76"/>
    <x v="0"/>
    <x v="0"/>
    <n v="0"/>
  </r>
  <r>
    <x v="16"/>
    <x v="0"/>
    <x v="0"/>
    <x v="22"/>
    <x v="76"/>
    <x v="1"/>
    <x v="7"/>
    <n v="3.6700000000000003E-2"/>
  </r>
  <r>
    <x v="16"/>
    <x v="0"/>
    <x v="0"/>
    <x v="22"/>
    <x v="76"/>
    <x v="2"/>
    <x v="0"/>
    <n v="0"/>
  </r>
  <r>
    <x v="16"/>
    <x v="0"/>
    <x v="0"/>
    <x v="22"/>
    <x v="76"/>
    <x v="3"/>
    <x v="0"/>
    <n v="0"/>
  </r>
  <r>
    <x v="16"/>
    <x v="0"/>
    <x v="1"/>
    <x v="23"/>
    <x v="77"/>
    <x v="0"/>
    <x v="0"/>
    <n v="0"/>
  </r>
  <r>
    <x v="16"/>
    <x v="0"/>
    <x v="1"/>
    <x v="23"/>
    <x v="77"/>
    <x v="1"/>
    <x v="7"/>
    <n v="3.5046000000000001E-2"/>
  </r>
  <r>
    <x v="16"/>
    <x v="0"/>
    <x v="1"/>
    <x v="23"/>
    <x v="77"/>
    <x v="2"/>
    <x v="0"/>
    <n v="0"/>
  </r>
  <r>
    <x v="16"/>
    <x v="0"/>
    <x v="1"/>
    <x v="23"/>
    <x v="77"/>
    <x v="3"/>
    <x v="0"/>
    <n v="0"/>
  </r>
  <r>
    <x v="16"/>
    <x v="0"/>
    <x v="1"/>
    <x v="24"/>
    <x v="77"/>
    <x v="0"/>
    <x v="0"/>
    <n v="0"/>
  </r>
  <r>
    <x v="16"/>
    <x v="0"/>
    <x v="1"/>
    <x v="24"/>
    <x v="77"/>
    <x v="1"/>
    <x v="7"/>
    <n v="3.5046000000000001E-2"/>
  </r>
  <r>
    <x v="16"/>
    <x v="0"/>
    <x v="1"/>
    <x v="24"/>
    <x v="77"/>
    <x v="2"/>
    <x v="0"/>
    <n v="0"/>
  </r>
  <r>
    <x v="16"/>
    <x v="0"/>
    <x v="1"/>
    <x v="24"/>
    <x v="77"/>
    <x v="3"/>
    <x v="0"/>
    <n v="0"/>
  </r>
  <r>
    <x v="16"/>
    <x v="0"/>
    <x v="1"/>
    <x v="25"/>
    <x v="77"/>
    <x v="0"/>
    <x v="0"/>
    <n v="0"/>
  </r>
  <r>
    <x v="16"/>
    <x v="0"/>
    <x v="1"/>
    <x v="25"/>
    <x v="77"/>
    <x v="1"/>
    <x v="7"/>
    <n v="3.5046000000000001E-2"/>
  </r>
  <r>
    <x v="16"/>
    <x v="0"/>
    <x v="1"/>
    <x v="25"/>
    <x v="77"/>
    <x v="2"/>
    <x v="0"/>
    <n v="0"/>
  </r>
  <r>
    <x v="16"/>
    <x v="0"/>
    <x v="1"/>
    <x v="25"/>
    <x v="77"/>
    <x v="3"/>
    <x v="0"/>
    <n v="0"/>
  </r>
  <r>
    <x v="16"/>
    <x v="0"/>
    <x v="1"/>
    <x v="26"/>
    <x v="77"/>
    <x v="0"/>
    <x v="0"/>
    <n v="0"/>
  </r>
  <r>
    <x v="16"/>
    <x v="0"/>
    <x v="1"/>
    <x v="26"/>
    <x v="77"/>
    <x v="1"/>
    <x v="7"/>
    <n v="3.5046000000000001E-2"/>
  </r>
  <r>
    <x v="16"/>
    <x v="0"/>
    <x v="1"/>
    <x v="26"/>
    <x v="77"/>
    <x v="2"/>
    <x v="0"/>
    <n v="0"/>
  </r>
  <r>
    <x v="16"/>
    <x v="0"/>
    <x v="1"/>
    <x v="26"/>
    <x v="77"/>
    <x v="3"/>
    <x v="0"/>
    <n v="0"/>
  </r>
  <r>
    <x v="16"/>
    <x v="0"/>
    <x v="1"/>
    <x v="27"/>
    <x v="77"/>
    <x v="0"/>
    <x v="0"/>
    <n v="0"/>
  </r>
  <r>
    <x v="16"/>
    <x v="0"/>
    <x v="1"/>
    <x v="27"/>
    <x v="77"/>
    <x v="1"/>
    <x v="7"/>
    <n v="3.5046000000000001E-2"/>
  </r>
  <r>
    <x v="16"/>
    <x v="0"/>
    <x v="1"/>
    <x v="27"/>
    <x v="77"/>
    <x v="2"/>
    <x v="0"/>
    <n v="0"/>
  </r>
  <r>
    <x v="16"/>
    <x v="0"/>
    <x v="1"/>
    <x v="27"/>
    <x v="77"/>
    <x v="3"/>
    <x v="0"/>
    <n v="0"/>
  </r>
  <r>
    <x v="15"/>
    <x v="0"/>
    <x v="0"/>
    <x v="0"/>
    <x v="61"/>
    <x v="0"/>
    <x v="0"/>
    <n v="0"/>
  </r>
  <r>
    <x v="15"/>
    <x v="0"/>
    <x v="0"/>
    <x v="0"/>
    <x v="61"/>
    <x v="1"/>
    <x v="7"/>
    <n v="6.3E-3"/>
  </r>
  <r>
    <x v="15"/>
    <x v="0"/>
    <x v="0"/>
    <x v="0"/>
    <x v="61"/>
    <x v="2"/>
    <x v="0"/>
    <n v="0"/>
  </r>
  <r>
    <x v="15"/>
    <x v="0"/>
    <x v="0"/>
    <x v="0"/>
    <x v="61"/>
    <x v="3"/>
    <x v="0"/>
    <n v="0"/>
  </r>
  <r>
    <x v="14"/>
    <x v="0"/>
    <x v="1"/>
    <x v="27"/>
    <x v="71"/>
    <x v="0"/>
    <x v="0"/>
    <n v="0"/>
  </r>
  <r>
    <x v="14"/>
    <x v="0"/>
    <x v="1"/>
    <x v="27"/>
    <x v="71"/>
    <x v="1"/>
    <x v="7"/>
    <n v="0.13985600000000001"/>
  </r>
  <r>
    <x v="14"/>
    <x v="0"/>
    <x v="1"/>
    <x v="27"/>
    <x v="71"/>
    <x v="2"/>
    <x v="0"/>
    <n v="0"/>
  </r>
  <r>
    <x v="14"/>
    <x v="0"/>
    <x v="1"/>
    <x v="27"/>
    <x v="71"/>
    <x v="3"/>
    <x v="0"/>
    <n v="0"/>
  </r>
  <r>
    <x v="0"/>
    <x v="0"/>
    <x v="1"/>
    <x v="28"/>
    <x v="50"/>
    <x v="0"/>
    <x v="0"/>
    <n v="0"/>
  </r>
  <r>
    <x v="0"/>
    <x v="0"/>
    <x v="1"/>
    <x v="28"/>
    <x v="50"/>
    <x v="1"/>
    <x v="1"/>
    <n v="3.9549000000000001E-2"/>
  </r>
  <r>
    <x v="0"/>
    <x v="0"/>
    <x v="1"/>
    <x v="28"/>
    <x v="50"/>
    <x v="2"/>
    <x v="2"/>
    <n v="1.6948999999999999E-2"/>
  </r>
  <r>
    <x v="0"/>
    <x v="0"/>
    <x v="1"/>
    <x v="28"/>
    <x v="50"/>
    <x v="3"/>
    <x v="0"/>
    <n v="0"/>
  </r>
  <r>
    <x v="1"/>
    <x v="0"/>
    <x v="1"/>
    <x v="28"/>
    <x v="51"/>
    <x v="0"/>
    <x v="3"/>
    <n v="0.12564900000000001"/>
  </r>
  <r>
    <x v="1"/>
    <x v="0"/>
    <x v="1"/>
    <x v="28"/>
    <x v="51"/>
    <x v="1"/>
    <x v="4"/>
    <n v="0.1663"/>
  </r>
  <r>
    <x v="1"/>
    <x v="0"/>
    <x v="1"/>
    <x v="28"/>
    <x v="51"/>
    <x v="2"/>
    <x v="5"/>
    <n v="3.6956000000000003E-2"/>
  </r>
  <r>
    <x v="1"/>
    <x v="0"/>
    <x v="1"/>
    <x v="28"/>
    <x v="51"/>
    <x v="3"/>
    <x v="6"/>
    <n v="4.0651E-2"/>
  </r>
  <r>
    <x v="2"/>
    <x v="0"/>
    <x v="1"/>
    <x v="28"/>
    <x v="52"/>
    <x v="0"/>
    <x v="0"/>
    <n v="0"/>
  </r>
  <r>
    <x v="2"/>
    <x v="0"/>
    <x v="1"/>
    <x v="28"/>
    <x v="52"/>
    <x v="1"/>
    <x v="7"/>
    <n v="9.9380000000000007E-3"/>
  </r>
  <r>
    <x v="2"/>
    <x v="0"/>
    <x v="1"/>
    <x v="28"/>
    <x v="52"/>
    <x v="2"/>
    <x v="0"/>
    <n v="0"/>
  </r>
  <r>
    <x v="2"/>
    <x v="0"/>
    <x v="1"/>
    <x v="28"/>
    <x v="52"/>
    <x v="3"/>
    <x v="0"/>
    <n v="0"/>
  </r>
  <r>
    <x v="3"/>
    <x v="0"/>
    <x v="1"/>
    <x v="28"/>
    <x v="53"/>
    <x v="0"/>
    <x v="0"/>
    <n v="0"/>
  </r>
  <r>
    <x v="3"/>
    <x v="0"/>
    <x v="1"/>
    <x v="28"/>
    <x v="53"/>
    <x v="1"/>
    <x v="7"/>
    <n v="1.2529999999999999E-2"/>
  </r>
  <r>
    <x v="3"/>
    <x v="0"/>
    <x v="1"/>
    <x v="28"/>
    <x v="53"/>
    <x v="2"/>
    <x v="0"/>
    <n v="0"/>
  </r>
  <r>
    <x v="3"/>
    <x v="0"/>
    <x v="1"/>
    <x v="28"/>
    <x v="53"/>
    <x v="3"/>
    <x v="0"/>
    <n v="0"/>
  </r>
  <r>
    <x v="4"/>
    <x v="0"/>
    <x v="1"/>
    <x v="28"/>
    <x v="54"/>
    <x v="0"/>
    <x v="7"/>
    <n v="0.20172799999999999"/>
  </r>
  <r>
    <x v="4"/>
    <x v="0"/>
    <x v="1"/>
    <x v="28"/>
    <x v="54"/>
    <x v="1"/>
    <x v="0"/>
    <n v="0"/>
  </r>
  <r>
    <x v="4"/>
    <x v="0"/>
    <x v="1"/>
    <x v="28"/>
    <x v="54"/>
    <x v="2"/>
    <x v="0"/>
    <n v="0"/>
  </r>
  <r>
    <x v="4"/>
    <x v="0"/>
    <x v="1"/>
    <x v="28"/>
    <x v="54"/>
    <x v="3"/>
    <x v="0"/>
    <n v="0"/>
  </r>
  <r>
    <x v="5"/>
    <x v="1"/>
    <x v="1"/>
    <x v="28"/>
    <x v="2"/>
    <x v="0"/>
    <x v="7"/>
    <n v="0"/>
  </r>
  <r>
    <x v="5"/>
    <x v="1"/>
    <x v="1"/>
    <x v="28"/>
    <x v="2"/>
    <x v="1"/>
    <x v="0"/>
    <n v="0"/>
  </r>
  <r>
    <x v="5"/>
    <x v="1"/>
    <x v="1"/>
    <x v="28"/>
    <x v="2"/>
    <x v="2"/>
    <x v="0"/>
    <n v="0"/>
  </r>
  <r>
    <x v="5"/>
    <x v="1"/>
    <x v="1"/>
    <x v="28"/>
    <x v="2"/>
    <x v="3"/>
    <x v="0"/>
    <n v="0"/>
  </r>
  <r>
    <x v="6"/>
    <x v="0"/>
    <x v="1"/>
    <x v="28"/>
    <x v="55"/>
    <x v="0"/>
    <x v="0"/>
    <n v="0"/>
  </r>
  <r>
    <x v="6"/>
    <x v="0"/>
    <x v="1"/>
    <x v="28"/>
    <x v="55"/>
    <x v="1"/>
    <x v="0"/>
    <n v="0"/>
  </r>
  <r>
    <x v="6"/>
    <x v="0"/>
    <x v="1"/>
    <x v="28"/>
    <x v="55"/>
    <x v="2"/>
    <x v="7"/>
    <n v="9.2317999999999997E-2"/>
  </r>
  <r>
    <x v="6"/>
    <x v="0"/>
    <x v="1"/>
    <x v="28"/>
    <x v="55"/>
    <x v="3"/>
    <x v="0"/>
    <n v="0"/>
  </r>
  <r>
    <x v="7"/>
    <x v="0"/>
    <x v="1"/>
    <x v="28"/>
    <x v="56"/>
    <x v="0"/>
    <x v="0"/>
    <n v="0"/>
  </r>
  <r>
    <x v="7"/>
    <x v="0"/>
    <x v="1"/>
    <x v="28"/>
    <x v="56"/>
    <x v="1"/>
    <x v="0"/>
    <n v="0"/>
  </r>
  <r>
    <x v="7"/>
    <x v="0"/>
    <x v="1"/>
    <x v="28"/>
    <x v="56"/>
    <x v="2"/>
    <x v="0"/>
    <n v="0"/>
  </r>
  <r>
    <x v="7"/>
    <x v="0"/>
    <x v="1"/>
    <x v="28"/>
    <x v="56"/>
    <x v="3"/>
    <x v="7"/>
    <n v="4.0902000000000001E-2"/>
  </r>
  <r>
    <x v="8"/>
    <x v="0"/>
    <x v="1"/>
    <x v="28"/>
    <x v="57"/>
    <x v="0"/>
    <x v="0"/>
    <n v="0"/>
  </r>
  <r>
    <x v="8"/>
    <x v="0"/>
    <x v="1"/>
    <x v="28"/>
    <x v="57"/>
    <x v="1"/>
    <x v="7"/>
    <n v="2.5529E-2"/>
  </r>
  <r>
    <x v="8"/>
    <x v="0"/>
    <x v="1"/>
    <x v="28"/>
    <x v="57"/>
    <x v="2"/>
    <x v="0"/>
    <n v="0"/>
  </r>
  <r>
    <x v="8"/>
    <x v="0"/>
    <x v="1"/>
    <x v="28"/>
    <x v="57"/>
    <x v="3"/>
    <x v="0"/>
    <n v="0"/>
  </r>
  <r>
    <x v="9"/>
    <x v="0"/>
    <x v="1"/>
    <x v="28"/>
    <x v="2"/>
    <x v="0"/>
    <x v="0"/>
    <n v="0"/>
  </r>
  <r>
    <x v="9"/>
    <x v="0"/>
    <x v="1"/>
    <x v="28"/>
    <x v="2"/>
    <x v="1"/>
    <x v="7"/>
    <n v="0"/>
  </r>
  <r>
    <x v="9"/>
    <x v="0"/>
    <x v="1"/>
    <x v="28"/>
    <x v="2"/>
    <x v="2"/>
    <x v="0"/>
    <n v="0"/>
  </r>
  <r>
    <x v="9"/>
    <x v="0"/>
    <x v="1"/>
    <x v="28"/>
    <x v="2"/>
    <x v="3"/>
    <x v="0"/>
    <n v="0"/>
  </r>
  <r>
    <x v="10"/>
    <x v="0"/>
    <x v="1"/>
    <x v="28"/>
    <x v="2"/>
    <x v="0"/>
    <x v="0"/>
    <n v="0"/>
  </r>
  <r>
    <x v="10"/>
    <x v="0"/>
    <x v="1"/>
    <x v="28"/>
    <x v="2"/>
    <x v="1"/>
    <x v="7"/>
    <n v="0"/>
  </r>
  <r>
    <x v="10"/>
    <x v="0"/>
    <x v="1"/>
    <x v="28"/>
    <x v="2"/>
    <x v="2"/>
    <x v="0"/>
    <n v="0"/>
  </r>
  <r>
    <x v="10"/>
    <x v="0"/>
    <x v="1"/>
    <x v="28"/>
    <x v="2"/>
    <x v="3"/>
    <x v="0"/>
    <n v="0"/>
  </r>
  <r>
    <x v="11"/>
    <x v="0"/>
    <x v="1"/>
    <x v="28"/>
    <x v="58"/>
    <x v="0"/>
    <x v="0"/>
    <n v="0"/>
  </r>
  <r>
    <x v="11"/>
    <x v="0"/>
    <x v="1"/>
    <x v="28"/>
    <x v="58"/>
    <x v="1"/>
    <x v="7"/>
    <n v="9.4629999999999992E-3"/>
  </r>
  <r>
    <x v="11"/>
    <x v="0"/>
    <x v="1"/>
    <x v="28"/>
    <x v="58"/>
    <x v="2"/>
    <x v="0"/>
    <n v="0"/>
  </r>
  <r>
    <x v="11"/>
    <x v="0"/>
    <x v="1"/>
    <x v="28"/>
    <x v="58"/>
    <x v="3"/>
    <x v="0"/>
    <n v="0"/>
  </r>
  <r>
    <x v="12"/>
    <x v="1"/>
    <x v="1"/>
    <x v="28"/>
    <x v="2"/>
    <x v="0"/>
    <x v="0"/>
    <n v="0"/>
  </r>
  <r>
    <x v="12"/>
    <x v="1"/>
    <x v="1"/>
    <x v="28"/>
    <x v="2"/>
    <x v="1"/>
    <x v="0"/>
    <n v="0"/>
  </r>
  <r>
    <x v="12"/>
    <x v="1"/>
    <x v="1"/>
    <x v="28"/>
    <x v="2"/>
    <x v="2"/>
    <x v="0"/>
    <n v="0"/>
  </r>
  <r>
    <x v="12"/>
    <x v="1"/>
    <x v="1"/>
    <x v="28"/>
    <x v="2"/>
    <x v="3"/>
    <x v="0"/>
    <n v="0"/>
  </r>
  <r>
    <x v="13"/>
    <x v="1"/>
    <x v="1"/>
    <x v="28"/>
    <x v="2"/>
    <x v="0"/>
    <x v="0"/>
    <n v="0"/>
  </r>
  <r>
    <x v="13"/>
    <x v="1"/>
    <x v="1"/>
    <x v="28"/>
    <x v="2"/>
    <x v="1"/>
    <x v="0"/>
    <n v="0"/>
  </r>
  <r>
    <x v="13"/>
    <x v="1"/>
    <x v="1"/>
    <x v="28"/>
    <x v="2"/>
    <x v="2"/>
    <x v="7"/>
    <n v="0"/>
  </r>
  <r>
    <x v="13"/>
    <x v="1"/>
    <x v="1"/>
    <x v="28"/>
    <x v="2"/>
    <x v="3"/>
    <x v="0"/>
    <n v="0"/>
  </r>
  <r>
    <x v="15"/>
    <x v="0"/>
    <x v="1"/>
    <x v="28"/>
    <x v="66"/>
    <x v="0"/>
    <x v="0"/>
    <n v="0"/>
  </r>
  <r>
    <x v="15"/>
    <x v="0"/>
    <x v="1"/>
    <x v="28"/>
    <x v="66"/>
    <x v="1"/>
    <x v="7"/>
    <n v="6.6360000000000004E-3"/>
  </r>
  <r>
    <x v="15"/>
    <x v="0"/>
    <x v="1"/>
    <x v="28"/>
    <x v="66"/>
    <x v="2"/>
    <x v="0"/>
    <n v="0"/>
  </r>
  <r>
    <x v="15"/>
    <x v="0"/>
    <x v="1"/>
    <x v="28"/>
    <x v="66"/>
    <x v="3"/>
    <x v="0"/>
    <n v="0"/>
  </r>
  <r>
    <x v="16"/>
    <x v="0"/>
    <x v="1"/>
    <x v="28"/>
    <x v="77"/>
    <x v="0"/>
    <x v="0"/>
    <n v="0"/>
  </r>
  <r>
    <x v="16"/>
    <x v="0"/>
    <x v="1"/>
    <x v="28"/>
    <x v="77"/>
    <x v="1"/>
    <x v="7"/>
    <n v="3.5046000000000001E-2"/>
  </r>
  <r>
    <x v="16"/>
    <x v="0"/>
    <x v="1"/>
    <x v="28"/>
    <x v="77"/>
    <x v="2"/>
    <x v="0"/>
    <n v="0"/>
  </r>
  <r>
    <x v="16"/>
    <x v="0"/>
    <x v="1"/>
    <x v="28"/>
    <x v="77"/>
    <x v="3"/>
    <x v="0"/>
    <n v="0"/>
  </r>
  <r>
    <x v="14"/>
    <x v="0"/>
    <x v="1"/>
    <x v="28"/>
    <x v="71"/>
    <x v="0"/>
    <x v="0"/>
    <n v="0"/>
  </r>
  <r>
    <x v="14"/>
    <x v="0"/>
    <x v="1"/>
    <x v="28"/>
    <x v="71"/>
    <x v="1"/>
    <x v="7"/>
    <n v="0.13985600000000001"/>
  </r>
  <r>
    <x v="14"/>
    <x v="0"/>
    <x v="1"/>
    <x v="28"/>
    <x v="71"/>
    <x v="2"/>
    <x v="0"/>
    <n v="0"/>
  </r>
  <r>
    <x v="14"/>
    <x v="0"/>
    <x v="1"/>
    <x v="28"/>
    <x v="71"/>
    <x v="3"/>
    <x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7">
  <r>
    <x v="0"/>
    <x v="0"/>
    <x v="0"/>
    <s v="Clothes Washers, Front-Loading, Electric, ENERGY STAR 7/8 (CEE Tier 1, IMEF 2.77)"/>
    <x v="0"/>
    <x v="0"/>
    <x v="0"/>
    <x v="0"/>
    <x v="0"/>
    <n v="556.12739923000004"/>
    <x v="0"/>
    <n v="75.10681228"/>
  </r>
  <r>
    <x v="0"/>
    <x v="0"/>
    <x v="0"/>
    <s v="Clothes Washers, Front-Loading, Electric, ENERGY STAR v8 Most Efficient 2017 (CEE Tier 1, IMEF 2.93)"/>
    <x v="1"/>
    <x v="0"/>
    <x v="1"/>
    <x v="0"/>
    <x v="0"/>
    <n v="176092.68745254001"/>
    <x v="0"/>
    <n v="86.139712279999998"/>
  </r>
  <r>
    <x v="0"/>
    <x v="0"/>
    <x v="0"/>
    <s v="Clothes Washers, Front-Loading, Electric, ENERGY STAR v8 Most Efficient 2017 (CEE Tier 1, IMEF 2.93)"/>
    <x v="1"/>
    <x v="0"/>
    <x v="1"/>
    <x v="1"/>
    <x v="0"/>
    <n v="0"/>
    <x v="0"/>
    <n v="86.139712279999998"/>
  </r>
  <r>
    <x v="0"/>
    <x v="0"/>
    <x v="0"/>
    <s v="Clothes Washers, Front-Loading, Electric, ENERGY STAR v8 Most Efficient 2018 (CEE Tier 2, IMEF TBD)"/>
    <x v="2"/>
    <x v="0"/>
    <x v="2"/>
    <x v="0"/>
    <x v="0"/>
    <n v="0"/>
    <x v="0"/>
    <n v="0"/>
  </r>
  <r>
    <x v="0"/>
    <x v="0"/>
    <x v="0"/>
    <s v="Clothes Washers, Front-Loading, Electric, ENERGY STAR v8 Most Efficient 2018 (CEE Tier 2, IMEF TBD)"/>
    <x v="2"/>
    <x v="0"/>
    <x v="2"/>
    <x v="1"/>
    <x v="0"/>
    <n v="0"/>
    <x v="0"/>
    <n v="0"/>
  </r>
  <r>
    <x v="0"/>
    <x v="1"/>
    <x v="0"/>
    <s v="Clothes Washers, Standard-size Top-Loading, Electric, ENERGY STAR v7 (IMEF 2.06)"/>
    <x v="3"/>
    <x v="1"/>
    <x v="3"/>
    <x v="0"/>
    <x v="0"/>
    <n v="73781.209777530006"/>
    <x v="0"/>
    <n v="-0.55008771999999995"/>
  </r>
  <r>
    <x v="0"/>
    <x v="1"/>
    <x v="0"/>
    <s v="Clothes Washers, Standard-size Top-Loading, Electric, ENERGY STAR v7 (IMEF 2.06)"/>
    <x v="3"/>
    <x v="1"/>
    <x v="3"/>
    <x v="1"/>
    <x v="0"/>
    <n v="0"/>
    <x v="0"/>
    <n v="-0.55008771999999995"/>
  </r>
  <r>
    <x v="0"/>
    <x v="0"/>
    <x v="0"/>
    <s v="Clothes Washers, Standard-size Top Loading, Electric, ENERGY STAR Most Efficient 2017+"/>
    <x v="4"/>
    <x v="1"/>
    <x v="4"/>
    <x v="0"/>
    <x v="0"/>
    <n v="0"/>
    <x v="0"/>
    <n v="0"/>
  </r>
  <r>
    <x v="0"/>
    <x v="0"/>
    <x v="0"/>
    <s v="Clothes Washers, Standard-size Top-Loading, Electric, ENERGY STAR Most Efficient 2017 (CEE Tier 1, IMEF 2.76)"/>
    <x v="5"/>
    <x v="1"/>
    <x v="0"/>
    <x v="0"/>
    <x v="1"/>
    <n v="104534.39301451"/>
    <x v="0"/>
    <n v="79.794812280000002"/>
  </r>
  <r>
    <x v="0"/>
    <x v="0"/>
    <x v="0"/>
    <s v="Clothes Washers, Standard-size Top-Loading, Electric, ENERGY STAR Most Efficient 2017 (CEE Tier 1, IMEF 2.76)"/>
    <x v="5"/>
    <x v="1"/>
    <x v="0"/>
    <x v="1"/>
    <x v="1"/>
    <n v="0"/>
    <x v="0"/>
    <n v="79.794812280000002"/>
  </r>
  <r>
    <x v="0"/>
    <x v="0"/>
    <x v="1"/>
    <s v="Non-Residential, Commercial Air Compressors (2016)"/>
    <x v="6"/>
    <x v="2"/>
    <x v="5"/>
    <x v="0"/>
    <x v="0"/>
    <n v="44.017612929999999"/>
    <x v="0"/>
    <n v="2335.0974863000001"/>
  </r>
  <r>
    <x v="0"/>
    <x v="0"/>
    <x v="2"/>
    <s v="Commercial Desktops, ENERGY STAR 8.0"/>
    <x v="7"/>
    <x v="3"/>
    <x v="6"/>
    <x v="0"/>
    <x v="0"/>
    <n v="312598.2623997"/>
    <x v="0"/>
    <n v="43.848761519999996"/>
  </r>
  <r>
    <x v="0"/>
    <x v="0"/>
    <x v="2"/>
    <s v="Commercial Desktops, ENERGY STAR 8.0"/>
    <x v="7"/>
    <x v="3"/>
    <x v="6"/>
    <x v="1"/>
    <x v="0"/>
    <n v="0"/>
    <x v="0"/>
    <n v="43.848761519999996"/>
  </r>
  <r>
    <x v="0"/>
    <x v="0"/>
    <x v="2"/>
    <s v="Commercial Desktops, ENERGY STAR 8.0"/>
    <x v="7"/>
    <x v="3"/>
    <x v="6"/>
    <x v="2"/>
    <x v="0"/>
    <n v="233472.01285460999"/>
    <x v="0"/>
    <n v="43.848761519999996"/>
  </r>
  <r>
    <x v="0"/>
    <x v="0"/>
    <x v="3"/>
    <s v="Ductless Heat Pumps, Manufactured Home, Existing Displace - eFAF"/>
    <x v="8"/>
    <x v="4"/>
    <x v="7"/>
    <x v="0"/>
    <x v="2"/>
    <n v="0"/>
    <x v="0"/>
    <n v="2847.95602289"/>
  </r>
  <r>
    <x v="0"/>
    <x v="0"/>
    <x v="3"/>
    <s v="Ductless Heat Pumps, Manufactured Home, Existing Displace - eFAF"/>
    <x v="8"/>
    <x v="4"/>
    <x v="7"/>
    <x v="0"/>
    <x v="3"/>
    <n v="26"/>
    <x v="0"/>
    <n v="2847.95602289"/>
  </r>
  <r>
    <x v="0"/>
    <x v="0"/>
    <x v="3"/>
    <s v="Ductless Heat Pumps, Manufactured Home, Existing Displace - eFAF"/>
    <x v="8"/>
    <x v="4"/>
    <x v="7"/>
    <x v="0"/>
    <x v="4"/>
    <n v="2460.0049021899999"/>
    <x v="0"/>
    <n v="2847.95602289"/>
  </r>
  <r>
    <x v="0"/>
    <x v="0"/>
    <x v="3"/>
    <s v="Ductless Heat Pumps, Manufactured Home, Existing Displace - eFAF"/>
    <x v="8"/>
    <x v="4"/>
    <x v="7"/>
    <x v="2"/>
    <x v="2"/>
    <n v="0"/>
    <x v="0"/>
    <n v="2847.95602289"/>
  </r>
  <r>
    <x v="0"/>
    <x v="0"/>
    <x v="3"/>
    <s v="Ductless Heat Pumps, Manufactured Home, Existing Displace - eFAF"/>
    <x v="8"/>
    <x v="4"/>
    <x v="7"/>
    <x v="2"/>
    <x v="3"/>
    <n v="0"/>
    <x v="0"/>
    <n v="2847.95602289"/>
  </r>
  <r>
    <x v="0"/>
    <x v="0"/>
    <x v="3"/>
    <s v="Ductless Heat Pumps, Manufactured Home, Existing Displace - eFAF"/>
    <x v="8"/>
    <x v="4"/>
    <x v="7"/>
    <x v="2"/>
    <x v="4"/>
    <n v="0"/>
    <x v="0"/>
    <n v="2847.95602289"/>
  </r>
  <r>
    <x v="0"/>
    <x v="0"/>
    <x v="3"/>
    <s v="Ductless Heat Pumps, Manufactured Home, Existing Displace - eFAF"/>
    <x v="8"/>
    <x v="4"/>
    <x v="7"/>
    <x v="1"/>
    <x v="2"/>
    <n v="0"/>
    <x v="0"/>
    <n v="2847.95602289"/>
  </r>
  <r>
    <x v="0"/>
    <x v="0"/>
    <x v="3"/>
    <s v="Ductless Heat Pumps, Manufactured Home, Existing Displace - eFAF"/>
    <x v="8"/>
    <x v="4"/>
    <x v="7"/>
    <x v="1"/>
    <x v="3"/>
    <n v="0"/>
    <x v="0"/>
    <n v="2847.95602289"/>
  </r>
  <r>
    <x v="0"/>
    <x v="0"/>
    <x v="3"/>
    <s v="Ductless Heat Pumps, Manufactured Home, Existing Displace - eFAF"/>
    <x v="8"/>
    <x v="4"/>
    <x v="7"/>
    <x v="1"/>
    <x v="4"/>
    <n v="621.50122554999996"/>
    <x v="0"/>
    <n v="2847.95602289"/>
  </r>
  <r>
    <x v="0"/>
    <x v="0"/>
    <x v="3"/>
    <s v="Ductless Heat Pumps, Single-Family Home, Existing Displace - eFAF"/>
    <x v="9"/>
    <x v="5"/>
    <x v="7"/>
    <x v="0"/>
    <x v="2"/>
    <n v="0"/>
    <x v="0"/>
    <n v="2479.0628890399998"/>
  </r>
  <r>
    <x v="0"/>
    <x v="0"/>
    <x v="3"/>
    <s v="Ductless Heat Pumps, Single-Family Home, Existing Displace - eFAF"/>
    <x v="9"/>
    <x v="5"/>
    <x v="7"/>
    <x v="0"/>
    <x v="3"/>
    <n v="95"/>
    <x v="0"/>
    <n v="2479.0628890399998"/>
  </r>
  <r>
    <x v="0"/>
    <x v="0"/>
    <x v="3"/>
    <s v="Ductless Heat Pumps, Single-Family Home, Existing Displace - eFAF"/>
    <x v="9"/>
    <x v="5"/>
    <x v="7"/>
    <x v="0"/>
    <x v="4"/>
    <n v="2186.4815930499999"/>
    <x v="0"/>
    <n v="2479.0628890399998"/>
  </r>
  <r>
    <x v="0"/>
    <x v="0"/>
    <x v="3"/>
    <s v="Ductless Heat Pumps, Single-Family Home, Existing Displace - eFAF"/>
    <x v="9"/>
    <x v="5"/>
    <x v="7"/>
    <x v="2"/>
    <x v="2"/>
    <n v="0"/>
    <x v="0"/>
    <n v="2479.0628890399998"/>
  </r>
  <r>
    <x v="0"/>
    <x v="0"/>
    <x v="3"/>
    <s v="Ductless Heat Pumps, Single-Family Home, Existing Displace - eFAF"/>
    <x v="9"/>
    <x v="5"/>
    <x v="7"/>
    <x v="2"/>
    <x v="3"/>
    <n v="0"/>
    <x v="0"/>
    <n v="2479.0628890399998"/>
  </r>
  <r>
    <x v="0"/>
    <x v="0"/>
    <x v="3"/>
    <s v="Ductless Heat Pumps, Single-Family Home, Existing Displace - eFAF"/>
    <x v="9"/>
    <x v="5"/>
    <x v="7"/>
    <x v="2"/>
    <x v="4"/>
    <n v="0"/>
    <x v="0"/>
    <n v="2479.0628890399998"/>
  </r>
  <r>
    <x v="0"/>
    <x v="0"/>
    <x v="3"/>
    <s v="Ductless Heat Pumps, Single-Family Home, Existing Displace - eFAF"/>
    <x v="9"/>
    <x v="5"/>
    <x v="7"/>
    <x v="1"/>
    <x v="2"/>
    <n v="0"/>
    <x v="0"/>
    <n v="2479.0628890399998"/>
  </r>
  <r>
    <x v="0"/>
    <x v="0"/>
    <x v="3"/>
    <s v="Ductless Heat Pumps, Single-Family Home, Existing Displace - eFAF"/>
    <x v="9"/>
    <x v="5"/>
    <x v="7"/>
    <x v="1"/>
    <x v="3"/>
    <n v="0"/>
    <x v="0"/>
    <n v="2479.0628890399998"/>
  </r>
  <r>
    <x v="0"/>
    <x v="0"/>
    <x v="3"/>
    <s v="Ductless Heat Pumps, Single-Family Home, Existing Displace - eFAF"/>
    <x v="9"/>
    <x v="5"/>
    <x v="7"/>
    <x v="1"/>
    <x v="4"/>
    <n v="456.29631861000001"/>
    <x v="0"/>
    <n v="2479.0628890399998"/>
  </r>
  <r>
    <x v="0"/>
    <x v="0"/>
    <x v="3"/>
    <s v="Ductless Heat Pumps, Single-Family Home, Existing Displace - Zonal"/>
    <x v="10"/>
    <x v="6"/>
    <x v="7"/>
    <x v="0"/>
    <x v="2"/>
    <n v="0"/>
    <x v="0"/>
    <n v="1549.82844161"/>
  </r>
  <r>
    <x v="0"/>
    <x v="0"/>
    <x v="3"/>
    <s v="Ductless Heat Pumps, Single-Family Home, Existing Displace - Zonal"/>
    <x v="10"/>
    <x v="6"/>
    <x v="7"/>
    <x v="0"/>
    <x v="3"/>
    <n v="6377"/>
    <x v="0"/>
    <n v="1549.82844161"/>
  </r>
  <r>
    <x v="0"/>
    <x v="0"/>
    <x v="3"/>
    <s v="Ductless Heat Pumps, Single-Family Home, Existing Displace - Zonal"/>
    <x v="10"/>
    <x v="6"/>
    <x v="7"/>
    <x v="0"/>
    <x v="4"/>
    <n v="18375.02623639"/>
    <x v="0"/>
    <n v="1549.82844161"/>
  </r>
  <r>
    <x v="0"/>
    <x v="0"/>
    <x v="3"/>
    <s v="Ductless Heat Pumps, Single-Family Home, Existing Displace - Zonal"/>
    <x v="10"/>
    <x v="6"/>
    <x v="7"/>
    <x v="2"/>
    <x v="2"/>
    <n v="0"/>
    <x v="0"/>
    <n v="1549.82844161"/>
  </r>
  <r>
    <x v="0"/>
    <x v="0"/>
    <x v="3"/>
    <s v="Ductless Heat Pumps, Single-Family Home, Existing Displace - Zonal"/>
    <x v="10"/>
    <x v="6"/>
    <x v="7"/>
    <x v="2"/>
    <x v="3"/>
    <n v="0"/>
    <x v="0"/>
    <n v="1549.82844161"/>
  </r>
  <r>
    <x v="0"/>
    <x v="0"/>
    <x v="3"/>
    <s v="Ductless Heat Pumps, Single-Family Home, Existing Displace - Zonal"/>
    <x v="10"/>
    <x v="6"/>
    <x v="7"/>
    <x v="2"/>
    <x v="4"/>
    <n v="0"/>
    <x v="0"/>
    <n v="1549.82844161"/>
  </r>
  <r>
    <x v="0"/>
    <x v="0"/>
    <x v="3"/>
    <s v="Ductless Heat Pumps, Single-Family Home, Existing Displace - Zonal"/>
    <x v="10"/>
    <x v="6"/>
    <x v="7"/>
    <x v="1"/>
    <x v="2"/>
    <n v="0"/>
    <x v="0"/>
    <n v="1549.82844161"/>
  </r>
  <r>
    <x v="0"/>
    <x v="0"/>
    <x v="3"/>
    <s v="Ductless Heat Pumps, Single-Family Home, Existing Displace - Zonal"/>
    <x v="10"/>
    <x v="6"/>
    <x v="7"/>
    <x v="1"/>
    <x v="3"/>
    <n v="0"/>
    <x v="0"/>
    <n v="1549.82844161"/>
  </r>
  <r>
    <x v="0"/>
    <x v="0"/>
    <x v="3"/>
    <s v="Ductless Heat Pumps, Single-Family Home, Existing Displace - Zonal"/>
    <x v="10"/>
    <x v="6"/>
    <x v="7"/>
    <x v="1"/>
    <x v="4"/>
    <n v="0"/>
    <x v="0"/>
    <n v="1549.82844161"/>
  </r>
  <r>
    <x v="0"/>
    <x v="0"/>
    <x v="4"/>
    <s v="HPWH, Existing Construction, Large Tank, Tier 1"/>
    <x v="11"/>
    <x v="7"/>
    <x v="7"/>
    <x v="2"/>
    <x v="0"/>
    <n v="10955.448453380001"/>
    <x v="0"/>
    <n v="1049.1477771"/>
  </r>
  <r>
    <x v="0"/>
    <x v="0"/>
    <x v="4"/>
    <s v="HPWH, Existing Construction, Large Tank, Tier 1"/>
    <x v="11"/>
    <x v="7"/>
    <x v="7"/>
    <x v="0"/>
    <x v="0"/>
    <n v="10955.448453380001"/>
    <x v="0"/>
    <n v="1049.1477771"/>
  </r>
  <r>
    <x v="0"/>
    <x v="0"/>
    <x v="4"/>
    <s v="HPWH, Existing Construction, Large Tank, Tier 1"/>
    <x v="11"/>
    <x v="7"/>
    <x v="7"/>
    <x v="1"/>
    <x v="0"/>
    <n v="5169.4945754199998"/>
    <x v="0"/>
    <n v="1049.1477771"/>
  </r>
  <r>
    <x v="0"/>
    <x v="0"/>
    <x v="4"/>
    <s v="HPWH, Existing Construction, Large Tank, Tier 2"/>
    <x v="12"/>
    <x v="7"/>
    <x v="8"/>
    <x v="2"/>
    <x v="0"/>
    <n v="383.44069587000001"/>
    <x v="0"/>
    <n v="288.90995240000001"/>
  </r>
  <r>
    <x v="0"/>
    <x v="0"/>
    <x v="4"/>
    <s v="HPWH, Existing Construction, Large Tank, Tier 2"/>
    <x v="12"/>
    <x v="7"/>
    <x v="8"/>
    <x v="0"/>
    <x v="0"/>
    <n v="10955.448453380001"/>
    <x v="0"/>
    <n v="288.90995240000001"/>
  </r>
  <r>
    <x v="0"/>
    <x v="0"/>
    <x v="4"/>
    <s v="HPWH, Existing Construction, Large Tank, Tier 2"/>
    <x v="12"/>
    <x v="7"/>
    <x v="8"/>
    <x v="1"/>
    <x v="0"/>
    <n v="4940.7199039500001"/>
    <x v="0"/>
    <n v="288.90995240000001"/>
  </r>
  <r>
    <x v="0"/>
    <x v="2"/>
    <x v="4"/>
    <s v="HPWH, Existing Construction, Large Tank, Tier 3"/>
    <x v="13"/>
    <x v="7"/>
    <x v="9"/>
    <x v="2"/>
    <x v="0"/>
    <n v="141.785"/>
    <x v="0"/>
    <n v="169.11900077000001"/>
  </r>
  <r>
    <x v="0"/>
    <x v="2"/>
    <x v="4"/>
    <s v="HPWH, Existing Construction, Large Tank, Tier 3"/>
    <x v="13"/>
    <x v="7"/>
    <x v="9"/>
    <x v="0"/>
    <x v="0"/>
    <n v="4051"/>
    <x v="0"/>
    <n v="169.11900077000001"/>
  </r>
  <r>
    <x v="0"/>
    <x v="2"/>
    <x v="4"/>
    <s v="HPWH, Existing Construction, Large Tank, Tier 3"/>
    <x v="13"/>
    <x v="7"/>
    <x v="9"/>
    <x v="1"/>
    <x v="0"/>
    <n v="1427"/>
    <x v="0"/>
    <n v="169.11900077000001"/>
  </r>
  <r>
    <x v="0"/>
    <x v="0"/>
    <x v="4"/>
    <s v="HPWH, Existing Construction, Large Tank, Tier 4"/>
    <x v="14"/>
    <x v="7"/>
    <x v="10"/>
    <x v="2"/>
    <x v="0"/>
    <n v="3.8344069599999999"/>
    <x v="0"/>
    <n v="290.07965223000002"/>
  </r>
  <r>
    <x v="0"/>
    <x v="0"/>
    <x v="4"/>
    <s v="HPWH, Existing Construction, Large Tank, Tier 4"/>
    <x v="14"/>
    <x v="7"/>
    <x v="10"/>
    <x v="0"/>
    <x v="0"/>
    <n v="109.55448453"/>
    <x v="0"/>
    <n v="290.07965223000002"/>
  </r>
  <r>
    <x v="0"/>
    <x v="0"/>
    <x v="4"/>
    <s v="HPWH, Existing Construction, Large Tank, Tier 4"/>
    <x v="14"/>
    <x v="7"/>
    <x v="10"/>
    <x v="1"/>
    <x v="0"/>
    <n v="91.295403780000001"/>
    <x v="0"/>
    <n v="290.07965223000002"/>
  </r>
  <r>
    <x v="0"/>
    <x v="2"/>
    <x v="4"/>
    <s v="HPWH, Existing Construction, Small Tank, Tier 1"/>
    <x v="15"/>
    <x v="8"/>
    <x v="7"/>
    <x v="2"/>
    <x v="0"/>
    <n v="346.5"/>
    <x v="0"/>
    <n v="1049.1477771"/>
  </r>
  <r>
    <x v="0"/>
    <x v="2"/>
    <x v="4"/>
    <s v="HPWH, Existing Construction, Small Tank, Tier 1"/>
    <x v="15"/>
    <x v="8"/>
    <x v="7"/>
    <x v="0"/>
    <x v="0"/>
    <n v="9900"/>
    <x v="0"/>
    <n v="1049.1477771"/>
  </r>
  <r>
    <x v="0"/>
    <x v="2"/>
    <x v="4"/>
    <s v="HPWH, Existing Construction, Small Tank, Tier 1"/>
    <x v="15"/>
    <x v="8"/>
    <x v="7"/>
    <x v="1"/>
    <x v="0"/>
    <n v="5335"/>
    <x v="0"/>
    <n v="1049.1477771"/>
  </r>
  <r>
    <x v="0"/>
    <x v="0"/>
    <x v="4"/>
    <s v="HPWH, Existing Construction, Small Tank, Tier 2"/>
    <x v="16"/>
    <x v="8"/>
    <x v="8"/>
    <x v="2"/>
    <x v="0"/>
    <n v="1032.48158337"/>
    <x v="0"/>
    <n v="288.90995240000001"/>
  </r>
  <r>
    <x v="0"/>
    <x v="0"/>
    <x v="4"/>
    <s v="HPWH, Existing Construction, Small Tank, Tier 2"/>
    <x v="16"/>
    <x v="8"/>
    <x v="8"/>
    <x v="0"/>
    <x v="0"/>
    <n v="29499.4738105"/>
    <x v="0"/>
    <n v="288.90995240000001"/>
  </r>
  <r>
    <x v="0"/>
    <x v="0"/>
    <x v="4"/>
    <s v="HPWH, Existing Construction, Small Tank, Tier 2"/>
    <x v="16"/>
    <x v="8"/>
    <x v="8"/>
    <x v="1"/>
    <x v="0"/>
    <n v="11916.606683710001"/>
    <x v="0"/>
    <n v="288.90995240000001"/>
  </r>
  <r>
    <x v="0"/>
    <x v="0"/>
    <x v="4"/>
    <s v="HPWH, Existing Construction, Small Tank, Tier 3"/>
    <x v="17"/>
    <x v="8"/>
    <x v="9"/>
    <x v="2"/>
    <x v="0"/>
    <n v="1032.48158337"/>
    <x v="0"/>
    <n v="169.11900077000001"/>
  </r>
  <r>
    <x v="0"/>
    <x v="0"/>
    <x v="4"/>
    <s v="HPWH, Existing Construction, Small Tank, Tier 3"/>
    <x v="17"/>
    <x v="8"/>
    <x v="9"/>
    <x v="0"/>
    <x v="0"/>
    <n v="29499.4738105"/>
    <x v="0"/>
    <n v="169.11900077000001"/>
  </r>
  <r>
    <x v="0"/>
    <x v="0"/>
    <x v="4"/>
    <s v="HPWH, Existing Construction, Small Tank, Tier 3"/>
    <x v="17"/>
    <x v="8"/>
    <x v="9"/>
    <x v="1"/>
    <x v="0"/>
    <n v="5899.8947620999998"/>
    <x v="0"/>
    <n v="169.11900077000001"/>
  </r>
  <r>
    <x v="0"/>
    <x v="0"/>
    <x v="4"/>
    <s v="HPWH, Existing Construction, Small Tank, Tier 4"/>
    <x v="18"/>
    <x v="8"/>
    <x v="10"/>
    <x v="2"/>
    <x v="0"/>
    <n v="10.429106900000001"/>
    <x v="0"/>
    <n v="290.07965223000002"/>
  </r>
  <r>
    <x v="0"/>
    <x v="0"/>
    <x v="4"/>
    <s v="HPWH, Existing Construction, Small Tank, Tier 4"/>
    <x v="18"/>
    <x v="8"/>
    <x v="10"/>
    <x v="0"/>
    <x v="0"/>
    <n v="297.97448293000002"/>
    <x v="0"/>
    <n v="290.07965223000002"/>
  </r>
  <r>
    <x v="0"/>
    <x v="0"/>
    <x v="4"/>
    <s v="HPWH, Existing Construction, Small Tank, Tier 4"/>
    <x v="18"/>
    <x v="8"/>
    <x v="10"/>
    <x v="1"/>
    <x v="0"/>
    <n v="140.60378082"/>
    <x v="0"/>
    <n v="290.07965223000002"/>
  </r>
  <r>
    <x v="0"/>
    <x v="0"/>
    <x v="4"/>
    <s v="HPWH, New Construction, Large Tank, Tier 1"/>
    <x v="19"/>
    <x v="9"/>
    <x v="7"/>
    <x v="2"/>
    <x v="0"/>
    <n v="5016.3105743400001"/>
    <x v="0"/>
    <n v="492.45087756999999"/>
  </r>
  <r>
    <x v="0"/>
    <x v="0"/>
    <x v="4"/>
    <s v="HPWH, New Construction, Large Tank, Tier 1"/>
    <x v="19"/>
    <x v="9"/>
    <x v="7"/>
    <x v="0"/>
    <x v="0"/>
    <n v="5016.3105743400001"/>
    <x v="0"/>
    <n v="492.45087756999999"/>
  </r>
  <r>
    <x v="0"/>
    <x v="0"/>
    <x v="4"/>
    <s v="HPWH, New Construction, Large Tank, Tier 1"/>
    <x v="19"/>
    <x v="9"/>
    <x v="7"/>
    <x v="1"/>
    <x v="0"/>
    <n v="791"/>
    <x v="0"/>
    <n v="492.45087756999999"/>
  </r>
  <r>
    <x v="0"/>
    <x v="0"/>
    <x v="4"/>
    <s v="HPWH, New Construction, Large Tank, Tier 2"/>
    <x v="20"/>
    <x v="9"/>
    <x v="8"/>
    <x v="2"/>
    <x v="0"/>
    <n v="501.63105743"/>
    <x v="0"/>
    <n v="135.60907501"/>
  </r>
  <r>
    <x v="0"/>
    <x v="0"/>
    <x v="4"/>
    <s v="HPWH, New Construction, Large Tank, Tier 2"/>
    <x v="20"/>
    <x v="9"/>
    <x v="8"/>
    <x v="0"/>
    <x v="0"/>
    <n v="5016.3105743400001"/>
    <x v="0"/>
    <n v="135.60907501"/>
  </r>
  <r>
    <x v="0"/>
    <x v="0"/>
    <x v="4"/>
    <s v="HPWH, New Construction, Large Tank, Tier 2"/>
    <x v="20"/>
    <x v="9"/>
    <x v="8"/>
    <x v="1"/>
    <x v="0"/>
    <n v="784"/>
    <x v="0"/>
    <n v="135.60907501"/>
  </r>
  <r>
    <x v="0"/>
    <x v="0"/>
    <x v="4"/>
    <s v="HPWH, New Construction, Large Tank, Tier 3"/>
    <x v="21"/>
    <x v="9"/>
    <x v="9"/>
    <x v="2"/>
    <x v="0"/>
    <n v="501.63105743"/>
    <x v="0"/>
    <n v="79.381381880000006"/>
  </r>
  <r>
    <x v="0"/>
    <x v="0"/>
    <x v="4"/>
    <s v="HPWH, New Construction, Large Tank, Tier 3"/>
    <x v="21"/>
    <x v="9"/>
    <x v="9"/>
    <x v="0"/>
    <x v="0"/>
    <n v="5016.3105743400001"/>
    <x v="0"/>
    <n v="79.381381880000006"/>
  </r>
  <r>
    <x v="0"/>
    <x v="0"/>
    <x v="4"/>
    <s v="HPWH, New Construction, Large Tank, Tier 3"/>
    <x v="21"/>
    <x v="9"/>
    <x v="9"/>
    <x v="1"/>
    <x v="0"/>
    <n v="783"/>
    <x v="0"/>
    <n v="79.381381880000006"/>
  </r>
  <r>
    <x v="0"/>
    <x v="0"/>
    <x v="4"/>
    <s v="HPWH, New Construction, Large Tank, Tier 4"/>
    <x v="22"/>
    <x v="9"/>
    <x v="10"/>
    <x v="2"/>
    <x v="0"/>
    <n v="5.0163105699999999"/>
    <x v="0"/>
    <n v="136.15811083"/>
  </r>
  <r>
    <x v="0"/>
    <x v="0"/>
    <x v="4"/>
    <s v="HPWH, New Construction, Large Tank, Tier 4"/>
    <x v="22"/>
    <x v="9"/>
    <x v="10"/>
    <x v="0"/>
    <x v="0"/>
    <n v="50.163105739999999"/>
    <x v="0"/>
    <n v="136.15811083"/>
  </r>
  <r>
    <x v="0"/>
    <x v="0"/>
    <x v="4"/>
    <s v="HPWH, New Construction, Large Tank, Tier 4"/>
    <x v="22"/>
    <x v="9"/>
    <x v="10"/>
    <x v="1"/>
    <x v="0"/>
    <n v="0"/>
    <x v="0"/>
    <n v="136.15811083"/>
  </r>
  <r>
    <x v="0"/>
    <x v="0"/>
    <x v="4"/>
    <s v="HPWH, New Construction, Small Tank, Tier 1"/>
    <x v="23"/>
    <x v="10"/>
    <x v="7"/>
    <x v="2"/>
    <x v="0"/>
    <n v="599.25725431000001"/>
    <x v="0"/>
    <n v="576.24648145000003"/>
  </r>
  <r>
    <x v="0"/>
    <x v="0"/>
    <x v="4"/>
    <s v="HPWH, New Construction, Small Tank, Tier 1"/>
    <x v="23"/>
    <x v="10"/>
    <x v="7"/>
    <x v="0"/>
    <x v="0"/>
    <n v="5992.5725431000001"/>
    <x v="0"/>
    <n v="576.24648145000003"/>
  </r>
  <r>
    <x v="0"/>
    <x v="0"/>
    <x v="4"/>
    <s v="HPWH, New Construction, Small Tank, Tier 1"/>
    <x v="23"/>
    <x v="10"/>
    <x v="7"/>
    <x v="1"/>
    <x v="0"/>
    <n v="1904"/>
    <x v="0"/>
    <n v="576.24648145000003"/>
  </r>
  <r>
    <x v="0"/>
    <x v="0"/>
    <x v="4"/>
    <s v="HPWH, New Construction, Small Tank, Tier 2"/>
    <x v="24"/>
    <x v="10"/>
    <x v="8"/>
    <x v="2"/>
    <x v="0"/>
    <n v="593.26468177000004"/>
    <x v="0"/>
    <n v="158.68435997"/>
  </r>
  <r>
    <x v="0"/>
    <x v="0"/>
    <x v="4"/>
    <s v="HPWH, New Construction, Small Tank, Tier 2"/>
    <x v="24"/>
    <x v="10"/>
    <x v="8"/>
    <x v="0"/>
    <x v="0"/>
    <n v="5932.64681767"/>
    <x v="0"/>
    <n v="158.68435997"/>
  </r>
  <r>
    <x v="0"/>
    <x v="0"/>
    <x v="4"/>
    <s v="HPWH, New Construction, Small Tank, Tier 2"/>
    <x v="24"/>
    <x v="10"/>
    <x v="8"/>
    <x v="1"/>
    <x v="0"/>
    <n v="1889"/>
    <x v="0"/>
    <n v="158.68435997"/>
  </r>
  <r>
    <x v="0"/>
    <x v="0"/>
    <x v="4"/>
    <s v="HPWH, New Construction, Small Tank, Tier 3"/>
    <x v="25"/>
    <x v="10"/>
    <x v="9"/>
    <x v="2"/>
    <x v="0"/>
    <n v="593.26468177000004"/>
    <x v="0"/>
    <n v="92.888944030000005"/>
  </r>
  <r>
    <x v="0"/>
    <x v="0"/>
    <x v="4"/>
    <s v="HPWH, New Construction, Small Tank, Tier 3"/>
    <x v="25"/>
    <x v="10"/>
    <x v="9"/>
    <x v="0"/>
    <x v="0"/>
    <n v="5932.64681767"/>
    <x v="0"/>
    <n v="92.888944030000005"/>
  </r>
  <r>
    <x v="0"/>
    <x v="0"/>
    <x v="4"/>
    <s v="HPWH, New Construction, Small Tank, Tier 3"/>
    <x v="25"/>
    <x v="10"/>
    <x v="9"/>
    <x v="1"/>
    <x v="0"/>
    <n v="1884"/>
    <x v="0"/>
    <n v="92.888944030000005"/>
  </r>
  <r>
    <x v="0"/>
    <x v="0"/>
    <x v="4"/>
    <s v="HPWH, New Construction, Small Tank, Tier 4"/>
    <x v="26"/>
    <x v="10"/>
    <x v="10"/>
    <x v="2"/>
    <x v="0"/>
    <n v="5.9925725400000003"/>
    <x v="0"/>
    <n v="159.32681991000001"/>
  </r>
  <r>
    <x v="0"/>
    <x v="0"/>
    <x v="4"/>
    <s v="HPWH, New Construction, Small Tank, Tier 4"/>
    <x v="26"/>
    <x v="10"/>
    <x v="10"/>
    <x v="0"/>
    <x v="0"/>
    <n v="59.92572543"/>
    <x v="0"/>
    <n v="159.32681991000001"/>
  </r>
  <r>
    <x v="0"/>
    <x v="0"/>
    <x v="4"/>
    <s v="HPWH, New Construction, Small Tank, Tier 4"/>
    <x v="26"/>
    <x v="10"/>
    <x v="10"/>
    <x v="1"/>
    <x v="0"/>
    <n v="0"/>
    <x v="0"/>
    <n v="159.32681991000001"/>
  </r>
  <r>
    <x v="0"/>
    <x v="0"/>
    <x v="5"/>
    <s v="Idaho Code, Single-Family, IECC 2018"/>
    <x v="27"/>
    <x v="11"/>
    <x v="11"/>
    <x v="0"/>
    <x v="0"/>
    <n v="18145"/>
    <x v="0"/>
    <n v="746.36554107999996"/>
  </r>
  <r>
    <x v="0"/>
    <x v="0"/>
    <x v="5"/>
    <s v="Idaho Code, Single-Family, IECC 2021"/>
    <x v="28"/>
    <x v="11"/>
    <x v="12"/>
    <x v="0"/>
    <x v="0"/>
    <n v="18145"/>
    <x v="0"/>
    <n v="504"/>
  </r>
  <r>
    <x v="0"/>
    <x v="0"/>
    <x v="6"/>
    <s v="Idaho Code, New Commercial, IECC 2015"/>
    <x v="29"/>
    <x v="12"/>
    <x v="13"/>
    <x v="0"/>
    <x v="4"/>
    <n v="5524545.3902984802"/>
    <x v="0"/>
    <n v="0.80088550000000003"/>
  </r>
  <r>
    <x v="0"/>
    <x v="0"/>
    <x v="6"/>
    <s v="Idaho Code, New Commercial, IECC 2018"/>
    <x v="30"/>
    <x v="12"/>
    <x v="14"/>
    <x v="0"/>
    <x v="0"/>
    <n v="5524545.3902984802"/>
    <x v="0"/>
    <n v="0.34766965"/>
  </r>
  <r>
    <x v="0"/>
    <x v="0"/>
    <x v="7"/>
    <s v="Idaho Code, New Multifamily, IECC 2018"/>
    <x v="31"/>
    <x v="13"/>
    <x v="11"/>
    <x v="0"/>
    <x v="0"/>
    <n v="3377.8130407399999"/>
    <x v="0"/>
    <n v="1059.31079563"/>
  </r>
  <r>
    <x v="0"/>
    <x v="0"/>
    <x v="6"/>
    <s v="Idaho Code, New Commercial, IECC 2021"/>
    <x v="32"/>
    <x v="12"/>
    <x v="15"/>
    <x v="0"/>
    <x v="0"/>
    <n v="2762272.6951492401"/>
    <x v="0"/>
    <n v="0.35917096999999998"/>
  </r>
  <r>
    <x v="0"/>
    <x v="0"/>
    <x v="7"/>
    <s v="Idaho Code, New Multifamily, IECC 2021"/>
    <x v="33"/>
    <x v="13"/>
    <x v="12"/>
    <x v="0"/>
    <x v="0"/>
    <n v="3377.8130407399999"/>
    <x v="0"/>
    <n v="443.7"/>
  </r>
  <r>
    <x v="0"/>
    <x v="1"/>
    <x v="5"/>
    <s v="Idaho Home Energy Rating System (HERS)/ENERGY STAR, New Multifamily"/>
    <x v="34"/>
    <x v="14"/>
    <x v="16"/>
    <x v="0"/>
    <x v="0"/>
    <n v="150"/>
    <x v="0"/>
    <n v="2000"/>
  </r>
  <r>
    <x v="0"/>
    <x v="1"/>
    <x v="5"/>
    <s v="Idaho Home Energy Rating System (HERS)/ENERGY STAR, New Multifamily"/>
    <x v="34"/>
    <x v="14"/>
    <x v="16"/>
    <x v="1"/>
    <x v="0"/>
    <n v="0"/>
    <x v="0"/>
    <n v="2000"/>
  </r>
  <r>
    <x v="0"/>
    <x v="0"/>
    <x v="5"/>
    <s v="Idaho Home Energy Rating System (HERS)/ENERGY STAR, New Single-Family"/>
    <x v="35"/>
    <x v="15"/>
    <x v="16"/>
    <x v="0"/>
    <x v="0"/>
    <n v="3727.9677712600001"/>
    <x v="0"/>
    <n v="807.60851158000003"/>
  </r>
  <r>
    <x v="0"/>
    <x v="0"/>
    <x v="5"/>
    <s v="Idaho Home Energy Rating System (HERS)/ENERGY STAR, New Single-Family"/>
    <x v="35"/>
    <x v="15"/>
    <x v="16"/>
    <x v="1"/>
    <x v="0"/>
    <n v="0"/>
    <x v="0"/>
    <n v="807.60851158000003"/>
  </r>
  <r>
    <x v="0"/>
    <x v="0"/>
    <x v="5"/>
    <s v="Idaho Performance Path, New Single-Family"/>
    <x v="36"/>
    <x v="16"/>
    <x v="16"/>
    <x v="0"/>
    <x v="0"/>
    <n v="300"/>
    <x v="0"/>
    <n v="819.10931174999996"/>
  </r>
  <r>
    <x v="0"/>
    <x v="0"/>
    <x v="5"/>
    <s v="Idaho Performance Path, New Single-Family"/>
    <x v="36"/>
    <x v="16"/>
    <x v="16"/>
    <x v="1"/>
    <x v="0"/>
    <n v="300"/>
    <x v="0"/>
    <n v="819.10931174999996"/>
  </r>
  <r>
    <x v="0"/>
    <x v="0"/>
    <x v="1"/>
    <s v="Non-Residential, Industrial Air Compressors (2016)"/>
    <x v="37"/>
    <x v="2"/>
    <x v="17"/>
    <x v="0"/>
    <x v="0"/>
    <n v="1616.53148349"/>
    <x v="0"/>
    <n v="5048.06036356"/>
  </r>
  <r>
    <x v="0"/>
    <x v="0"/>
    <x v="8"/>
    <s v="Manufactured Home, HUD Code"/>
    <x v="38"/>
    <x v="17"/>
    <x v="18"/>
    <x v="0"/>
    <x v="0"/>
    <n v="5315.6519324999999"/>
    <x v="0"/>
    <n v="0"/>
  </r>
  <r>
    <x v="0"/>
    <x v="0"/>
    <x v="8"/>
    <s v="Manufactured Home, HUD Code"/>
    <x v="38"/>
    <x v="17"/>
    <x v="18"/>
    <x v="1"/>
    <x v="0"/>
    <n v="0"/>
    <x v="0"/>
    <n v="0"/>
  </r>
  <r>
    <x v="0"/>
    <x v="1"/>
    <x v="8"/>
    <s v="Manufactured Home, Inefficient"/>
    <x v="39"/>
    <x v="17"/>
    <x v="19"/>
    <x v="0"/>
    <x v="0"/>
    <n v="1518.757695"/>
    <x v="0"/>
    <n v="-1200.06674404"/>
  </r>
  <r>
    <x v="0"/>
    <x v="1"/>
    <x v="8"/>
    <s v="Manufactured Home, Inefficient"/>
    <x v="39"/>
    <x v="17"/>
    <x v="19"/>
    <x v="1"/>
    <x v="0"/>
    <n v="0"/>
    <x v="0"/>
    <n v="-1200.06674404"/>
  </r>
  <r>
    <x v="0"/>
    <x v="0"/>
    <x v="8"/>
    <s v="Manufactured Home, NEEM 1.1"/>
    <x v="40"/>
    <x v="17"/>
    <x v="20"/>
    <x v="0"/>
    <x v="0"/>
    <n v="5315.6519324999999"/>
    <x v="0"/>
    <n v="1328.9311196399999"/>
  </r>
  <r>
    <x v="0"/>
    <x v="0"/>
    <x v="8"/>
    <s v="Manufactured Home, NEEM 1.1"/>
    <x v="40"/>
    <x v="17"/>
    <x v="20"/>
    <x v="1"/>
    <x v="0"/>
    <n v="210.97955253000001"/>
    <x v="0"/>
    <n v="1328.9311196399999"/>
  </r>
  <r>
    <x v="0"/>
    <x v="0"/>
    <x v="8"/>
    <s v="Manufactured Home, NEEM Plus"/>
    <x v="41"/>
    <x v="17"/>
    <x v="21"/>
    <x v="0"/>
    <x v="0"/>
    <n v="301.39936075999998"/>
    <x v="0"/>
    <n v="1893.4229323"/>
  </r>
  <r>
    <x v="0"/>
    <x v="0"/>
    <x v="8"/>
    <s v="Manufactured Home, NEEM Plus"/>
    <x v="41"/>
    <x v="17"/>
    <x v="21"/>
    <x v="1"/>
    <x v="0"/>
    <n v="210.97955253000001"/>
    <x v="0"/>
    <n v="1893.4229323"/>
  </r>
  <r>
    <x v="0"/>
    <x v="0"/>
    <x v="6"/>
    <s v="Montana Code, New Commercial, IECC 2018"/>
    <x v="42"/>
    <x v="18"/>
    <x v="22"/>
    <x v="0"/>
    <x v="0"/>
    <n v="1752789.5425660801"/>
    <x v="0"/>
    <n v="1.57648089"/>
  </r>
  <r>
    <x v="0"/>
    <x v="0"/>
    <x v="7"/>
    <s v="Montana Code, New Multifamily, IECC 2018"/>
    <x v="43"/>
    <x v="19"/>
    <x v="11"/>
    <x v="0"/>
    <x v="0"/>
    <n v="617.51034843000002"/>
    <x v="0"/>
    <n v="505"/>
  </r>
  <r>
    <x v="0"/>
    <x v="0"/>
    <x v="6"/>
    <s v="Montana Code, New Commercial, IECC 2021"/>
    <x v="44"/>
    <x v="18"/>
    <x v="23"/>
    <x v="0"/>
    <x v="0"/>
    <n v="876394.77128304006"/>
    <x v="0"/>
    <n v="0.43718245"/>
  </r>
  <r>
    <x v="0"/>
    <x v="0"/>
    <x v="7"/>
    <s v="Montana Code, New Multifamily, IECC 2021"/>
    <x v="45"/>
    <x v="19"/>
    <x v="12"/>
    <x v="0"/>
    <x v="0"/>
    <n v="617.51034843000002"/>
    <x v="0"/>
    <n v="15.83712487"/>
  </r>
  <r>
    <x v="0"/>
    <x v="0"/>
    <x v="5"/>
    <s v="Montana Home Energy Rating System (HERS)/ENERGY STAR, New Single-Family"/>
    <x v="46"/>
    <x v="20"/>
    <x v="16"/>
    <x v="0"/>
    <x v="0"/>
    <n v="25"/>
    <x v="0"/>
    <n v="834.34440517999997"/>
  </r>
  <r>
    <x v="0"/>
    <x v="0"/>
    <x v="5"/>
    <s v="Montana Home Energy Rating System (HERS)/ENERGY STAR, New Single-Family"/>
    <x v="46"/>
    <x v="20"/>
    <x v="16"/>
    <x v="1"/>
    <x v="0"/>
    <n v="0"/>
    <x v="0"/>
    <n v="834.34440517999997"/>
  </r>
  <r>
    <x v="0"/>
    <x v="0"/>
    <x v="5"/>
    <s v="Montana Performance Path, New Single-Family"/>
    <x v="47"/>
    <x v="21"/>
    <x v="16"/>
    <x v="0"/>
    <x v="0"/>
    <n v="10"/>
    <x v="0"/>
    <n v="834.34440517999997"/>
  </r>
  <r>
    <x v="0"/>
    <x v="0"/>
    <x v="5"/>
    <s v="Montana Performance Path, New Single-Family"/>
    <x v="47"/>
    <x v="21"/>
    <x v="16"/>
    <x v="1"/>
    <x v="0"/>
    <n v="10"/>
    <x v="0"/>
    <n v="834.34440517999997"/>
  </r>
  <r>
    <x v="0"/>
    <x v="0"/>
    <x v="5"/>
    <s v="Montana Code, Single-Family, IECC 2018"/>
    <x v="48"/>
    <x v="22"/>
    <x v="11"/>
    <x v="0"/>
    <x v="0"/>
    <n v="3071"/>
    <x v="0"/>
    <n v="850.39740426000003"/>
  </r>
  <r>
    <x v="0"/>
    <x v="0"/>
    <x v="5"/>
    <s v="Montana Code, Single-Family, IECC 2021"/>
    <x v="49"/>
    <x v="22"/>
    <x v="12"/>
    <x v="0"/>
    <x v="0"/>
    <n v="3071"/>
    <x v="0"/>
    <n v="5"/>
  </r>
  <r>
    <x v="0"/>
    <x v="1"/>
    <x v="2"/>
    <s v="Commercial Desktops, Non-Qualifying"/>
    <x v="50"/>
    <x v="3"/>
    <x v="24"/>
    <x v="0"/>
    <x v="0"/>
    <n v="33794.699766359998"/>
    <x v="0"/>
    <n v="-27.799353010000001"/>
  </r>
  <r>
    <x v="0"/>
    <x v="1"/>
    <x v="2"/>
    <s v="Commercial Desktops, Non-Qualifying"/>
    <x v="50"/>
    <x v="3"/>
    <x v="24"/>
    <x v="1"/>
    <x v="0"/>
    <n v="0"/>
    <x v="0"/>
    <n v="-27.799353010000001"/>
  </r>
  <r>
    <x v="0"/>
    <x v="1"/>
    <x v="2"/>
    <s v="Commercial Desktops, Non-Qualifying"/>
    <x v="50"/>
    <x v="3"/>
    <x v="24"/>
    <x v="2"/>
    <x v="0"/>
    <n v="0"/>
    <x v="0"/>
    <n v="-27.799353010000001"/>
  </r>
  <r>
    <x v="0"/>
    <x v="0"/>
    <x v="6"/>
    <s v="Oregon Code, New Commercial, OZERCC 2019"/>
    <x v="51"/>
    <x v="23"/>
    <x v="25"/>
    <x v="0"/>
    <x v="4"/>
    <n v="12053542.65454459"/>
    <x v="0"/>
    <n v="0.77530597000000001"/>
  </r>
  <r>
    <x v="0"/>
    <x v="0"/>
    <x v="6"/>
    <s v="Oregon Code, New Commercial, OZERCC 2021"/>
    <x v="52"/>
    <x v="23"/>
    <x v="26"/>
    <x v="0"/>
    <x v="0"/>
    <n v="12053542.65454459"/>
    <x v="0"/>
    <n v="0.26519665999999997"/>
  </r>
  <r>
    <x v="0"/>
    <x v="0"/>
    <x v="6"/>
    <s v="Oregon Code, New Commercial, OZERCC 2023"/>
    <x v="53"/>
    <x v="23"/>
    <x v="27"/>
    <x v="0"/>
    <x v="0"/>
    <n v="7081456.3095449498"/>
    <x v="0"/>
    <n v="0.43442882999999999"/>
  </r>
  <r>
    <x v="0"/>
    <x v="0"/>
    <x v="5"/>
    <s v="Oregon Earth Advantage, New Single-Family"/>
    <x v="54"/>
    <x v="24"/>
    <x v="16"/>
    <x v="0"/>
    <x v="0"/>
    <n v="8"/>
    <x v="0"/>
    <n v="1240.5800106500001"/>
  </r>
  <r>
    <x v="0"/>
    <x v="0"/>
    <x v="5"/>
    <s v="Oregon Earth Advantage, New Single-Family"/>
    <x v="54"/>
    <x v="24"/>
    <x v="16"/>
    <x v="1"/>
    <x v="0"/>
    <n v="2"/>
    <x v="0"/>
    <n v="1240.5800106500001"/>
  </r>
  <r>
    <x v="0"/>
    <x v="0"/>
    <x v="5"/>
    <s v="Oregon Energy Performance Score Home, New Single-Family"/>
    <x v="55"/>
    <x v="25"/>
    <x v="16"/>
    <x v="0"/>
    <x v="0"/>
    <n v="1684.35"/>
    <x v="0"/>
    <n v="1123.17322201"/>
  </r>
  <r>
    <x v="0"/>
    <x v="0"/>
    <x v="5"/>
    <s v="Oregon Energy Performance Score Home, New Single-Family"/>
    <x v="55"/>
    <x v="25"/>
    <x v="16"/>
    <x v="1"/>
    <x v="0"/>
    <n v="1684.35"/>
    <x v="0"/>
    <n v="1123.17322201"/>
  </r>
  <r>
    <x v="0"/>
    <x v="1"/>
    <x v="5"/>
    <s v="Oregon Home Energy Rating System (HERS)/ENERGY STAR, New Multifamily"/>
    <x v="56"/>
    <x v="26"/>
    <x v="16"/>
    <x v="0"/>
    <x v="0"/>
    <n v="5"/>
    <x v="0"/>
    <n v="2000"/>
  </r>
  <r>
    <x v="0"/>
    <x v="1"/>
    <x v="5"/>
    <s v="Oregon Home Energy Rating System (HERS)/ENERGY STAR, New Multifamily"/>
    <x v="56"/>
    <x v="26"/>
    <x v="16"/>
    <x v="1"/>
    <x v="0"/>
    <n v="0"/>
    <x v="0"/>
    <n v="2000"/>
  </r>
  <r>
    <x v="0"/>
    <x v="0"/>
    <x v="5"/>
    <s v="Oregon Home Energy Rating System (HERS)/ENERGY STAR New Single-Family"/>
    <x v="57"/>
    <x v="27"/>
    <x v="16"/>
    <x v="0"/>
    <x v="0"/>
    <n v="0"/>
    <x v="0"/>
    <n v="1240.5800106500001"/>
  </r>
  <r>
    <x v="0"/>
    <x v="0"/>
    <x v="5"/>
    <s v="Oregon Home Energy Rating System (HERS)/ENERGY STAR New Single-Family"/>
    <x v="57"/>
    <x v="27"/>
    <x v="16"/>
    <x v="1"/>
    <x v="0"/>
    <n v="0"/>
    <x v="0"/>
    <n v="1240.5800106500001"/>
  </r>
  <r>
    <x v="0"/>
    <x v="0"/>
    <x v="5"/>
    <s v="Oregon Performance Path, New Single-Family"/>
    <x v="58"/>
    <x v="28"/>
    <x v="16"/>
    <x v="0"/>
    <x v="0"/>
    <n v="10"/>
    <x v="0"/>
    <n v="1123.17322201"/>
  </r>
  <r>
    <x v="0"/>
    <x v="0"/>
    <x v="5"/>
    <s v="Oregon Performance Path, New Single-Family"/>
    <x v="58"/>
    <x v="28"/>
    <x v="16"/>
    <x v="1"/>
    <x v="0"/>
    <n v="0"/>
    <x v="0"/>
    <n v="1123.17322201"/>
  </r>
  <r>
    <x v="0"/>
    <x v="0"/>
    <x v="7"/>
    <s v="Oregon Code, New Multifamily, ORSC 2021"/>
    <x v="59"/>
    <x v="29"/>
    <x v="28"/>
    <x v="0"/>
    <x v="0"/>
    <n v="3003.9197237799999"/>
    <x v="0"/>
    <n v="0"/>
  </r>
  <r>
    <x v="0"/>
    <x v="3"/>
    <x v="7"/>
    <s v="Oregon Code, New Multifamily, ORSC 2023"/>
    <x v="60"/>
    <x v="29"/>
    <x v="29"/>
    <x v="0"/>
    <x v="0"/>
    <n v="0"/>
    <x v="0"/>
    <n v="195"/>
  </r>
  <r>
    <x v="0"/>
    <x v="0"/>
    <x v="5"/>
    <s v="Oregon Code, Single-Family, ORSC 2021"/>
    <x v="61"/>
    <x v="30"/>
    <x v="28"/>
    <x v="0"/>
    <x v="0"/>
    <n v="12308"/>
    <x v="0"/>
    <n v="671"/>
  </r>
  <r>
    <x v="0"/>
    <x v="0"/>
    <x v="5"/>
    <s v="Oregon Code, Single-Family, ORSC 2023"/>
    <x v="62"/>
    <x v="30"/>
    <x v="29"/>
    <x v="0"/>
    <x v="0"/>
    <n v="12308"/>
    <x v="0"/>
    <n v="943"/>
  </r>
  <r>
    <x v="0"/>
    <x v="0"/>
    <x v="9"/>
    <s v="Commercial Strategic Energy Management (SEM)"/>
    <x v="63"/>
    <x v="31"/>
    <x v="30"/>
    <x v="0"/>
    <x v="3"/>
    <n v="0"/>
    <x v="0"/>
    <n v="8760000"/>
  </r>
  <r>
    <x v="0"/>
    <x v="0"/>
    <x v="9"/>
    <s v="Commercial Strategic Energy Management (SEM)"/>
    <x v="63"/>
    <x v="31"/>
    <x v="30"/>
    <x v="2"/>
    <x v="3"/>
    <n v="0"/>
    <x v="0"/>
    <n v="8760000"/>
  </r>
  <r>
    <x v="0"/>
    <x v="0"/>
    <x v="9"/>
    <s v="Commercial Strategic Energy Management (SEM)"/>
    <x v="63"/>
    <x v="31"/>
    <x v="30"/>
    <x v="1"/>
    <x v="3"/>
    <n v="0"/>
    <x v="0"/>
    <n v="8760000"/>
  </r>
  <r>
    <x v="0"/>
    <x v="0"/>
    <x v="9"/>
    <s v="Industrial Strategic Energy Management (SEM)"/>
    <x v="64"/>
    <x v="32"/>
    <x v="30"/>
    <x v="0"/>
    <x v="3"/>
    <n v="0"/>
    <x v="0"/>
    <n v="8760000"/>
  </r>
  <r>
    <x v="0"/>
    <x v="0"/>
    <x v="9"/>
    <s v="Industrial Strategic Energy Management (SEM)"/>
    <x v="64"/>
    <x v="32"/>
    <x v="30"/>
    <x v="2"/>
    <x v="3"/>
    <n v="0"/>
    <x v="0"/>
    <n v="8760000"/>
  </r>
  <r>
    <x v="0"/>
    <x v="0"/>
    <x v="9"/>
    <s v="Industrial Strategic Energy Management (SEM)"/>
    <x v="64"/>
    <x v="32"/>
    <x v="30"/>
    <x v="1"/>
    <x v="3"/>
    <n v="0"/>
    <x v="0"/>
    <n v="8760000"/>
  </r>
  <r>
    <x v="0"/>
    <x v="0"/>
    <x v="10"/>
    <s v="Refrigeration Operator Certification Projects"/>
    <x v="65"/>
    <x v="33"/>
    <x v="30"/>
    <x v="0"/>
    <x v="4"/>
    <n v="0.12138160000000001"/>
    <x v="0"/>
    <n v="8760000"/>
  </r>
  <r>
    <x v="0"/>
    <x v="0"/>
    <x v="10"/>
    <s v="Refrigeration Operator Certification Projects"/>
    <x v="65"/>
    <x v="33"/>
    <x v="30"/>
    <x v="2"/>
    <x v="4"/>
    <n v="0"/>
    <x v="0"/>
    <n v="8760000"/>
  </r>
  <r>
    <x v="0"/>
    <x v="0"/>
    <x v="10"/>
    <s v="Refrigeration Operator Certification Projects"/>
    <x v="65"/>
    <x v="33"/>
    <x v="30"/>
    <x v="1"/>
    <x v="4"/>
    <n v="6.0690800000000003E-2"/>
    <x v="0"/>
    <n v="8760000"/>
  </r>
  <r>
    <x v="0"/>
    <x v="0"/>
    <x v="0"/>
    <s v="Room Air Cleaners, All Sizes, Non-Qualifying"/>
    <x v="66"/>
    <x v="34"/>
    <x v="24"/>
    <x v="0"/>
    <x v="0"/>
    <n v="88001.712298810002"/>
    <x v="0"/>
    <n v="-6.1911982099999996"/>
  </r>
  <r>
    <x v="0"/>
    <x v="1"/>
    <x v="0"/>
    <s v="Freezers, Standard-size Chest, Non-Qualifying"/>
    <x v="67"/>
    <x v="35"/>
    <x v="24"/>
    <x v="0"/>
    <x v="0"/>
    <n v="14183.99606218"/>
    <x v="0"/>
    <n v="-2.8473778300000001"/>
  </r>
  <r>
    <x v="0"/>
    <x v="0"/>
    <x v="0"/>
    <s v="Freezers, Compact Chest and Upright, Non-Qualifying"/>
    <x v="68"/>
    <x v="36"/>
    <x v="24"/>
    <x v="0"/>
    <x v="0"/>
    <n v="50233.656064410003"/>
    <x v="0"/>
    <n v="-1.72686059"/>
  </r>
  <r>
    <x v="0"/>
    <x v="3"/>
    <x v="0"/>
    <s v="Room Air Conditioners, Med/Large, Non-Qualifying"/>
    <x v="69"/>
    <x v="37"/>
    <x v="24"/>
    <x v="0"/>
    <x v="0"/>
    <n v="1515.5397324999999"/>
    <x v="0"/>
    <n v="0"/>
  </r>
  <r>
    <x v="0"/>
    <x v="1"/>
    <x v="0"/>
    <s v="Refrigerators, Standard-size Bottom-mount Freezers, Non-Qualifying"/>
    <x v="70"/>
    <x v="38"/>
    <x v="24"/>
    <x v="0"/>
    <x v="0"/>
    <n v="2528.5205864700001"/>
    <x v="0"/>
    <n v="-48.371692029999998"/>
  </r>
  <r>
    <x v="0"/>
    <x v="1"/>
    <x v="0"/>
    <s v="Refrigerators, Standard-size Bottom-mount Freezers, Non-Qualifying"/>
    <x v="70"/>
    <x v="38"/>
    <x v="24"/>
    <x v="1"/>
    <x v="0"/>
    <n v="0"/>
    <x v="0"/>
    <n v="-48.371692029999998"/>
  </r>
  <r>
    <x v="0"/>
    <x v="1"/>
    <x v="0"/>
    <s v="Refrigerators, Standard-size Side-mount Freezers, Non-Qualifying"/>
    <x v="71"/>
    <x v="39"/>
    <x v="24"/>
    <x v="0"/>
    <x v="0"/>
    <n v="58974.326312270001"/>
    <x v="0"/>
    <n v="-2.5188902299999998"/>
  </r>
  <r>
    <x v="0"/>
    <x v="1"/>
    <x v="0"/>
    <s v="Refrigerators, Standard-size Side-mount Freezers, Non-Qualifying"/>
    <x v="71"/>
    <x v="39"/>
    <x v="24"/>
    <x v="1"/>
    <x v="0"/>
    <n v="0"/>
    <x v="0"/>
    <n v="-2.5188902299999998"/>
  </r>
  <r>
    <x v="0"/>
    <x v="1"/>
    <x v="0"/>
    <s v="Freezers, Standard-size Upright, Non-Qualifying"/>
    <x v="72"/>
    <x v="40"/>
    <x v="24"/>
    <x v="0"/>
    <x v="0"/>
    <n v="19289.382205599999"/>
    <x v="0"/>
    <n v="-7.9393648099999998"/>
  </r>
  <r>
    <x v="0"/>
    <x v="0"/>
    <x v="0"/>
    <s v="Clothes Dryers, Standard, Electric, UCEF 3.00 to 4.19"/>
    <x v="73"/>
    <x v="41"/>
    <x v="31"/>
    <x v="0"/>
    <x v="0"/>
    <n v="25307.131796760001"/>
    <x v="0"/>
    <n v="280.96180164999998"/>
  </r>
  <r>
    <x v="0"/>
    <x v="0"/>
    <x v="0"/>
    <s v="Clothes Dryers, Standard, Electric, UCEF 3.00 to 4.19"/>
    <x v="73"/>
    <x v="41"/>
    <x v="31"/>
    <x v="1"/>
    <x v="0"/>
    <n v="6326.7829491900002"/>
    <x v="0"/>
    <n v="280.96180164999998"/>
  </r>
  <r>
    <x v="0"/>
    <x v="0"/>
    <x v="0"/>
    <s v="Clothes Dryers, Standard, Electric, UCEF 3.00 to 4.19"/>
    <x v="73"/>
    <x v="41"/>
    <x v="31"/>
    <x v="2"/>
    <x v="0"/>
    <n v="0"/>
    <x v="0"/>
    <n v="280.96180164999998"/>
  </r>
  <r>
    <x v="0"/>
    <x v="0"/>
    <x v="0"/>
    <s v="Clothes Dryers, Standard, Electric, UCEF 4.20 to 5.29"/>
    <x v="74"/>
    <x v="41"/>
    <x v="32"/>
    <x v="0"/>
    <x v="0"/>
    <n v="0"/>
    <x v="0"/>
    <n v="355.55630531000003"/>
  </r>
  <r>
    <x v="0"/>
    <x v="0"/>
    <x v="0"/>
    <s v="Clothes Dryers, Standard, Electric, UCEF 4.20 to 5.29"/>
    <x v="74"/>
    <x v="41"/>
    <x v="32"/>
    <x v="1"/>
    <x v="0"/>
    <n v="0"/>
    <x v="0"/>
    <n v="355.55630531000003"/>
  </r>
  <r>
    <x v="0"/>
    <x v="0"/>
    <x v="0"/>
    <s v="Clothes Dryers, Standard, Electric, UCEF 4.20 to 5.29"/>
    <x v="74"/>
    <x v="41"/>
    <x v="32"/>
    <x v="2"/>
    <x v="0"/>
    <n v="0"/>
    <x v="0"/>
    <n v="355.55630531000003"/>
  </r>
  <r>
    <x v="0"/>
    <x v="0"/>
    <x v="0"/>
    <s v="Clothes Dryers, Standard, Electric, UCEF 5.30 to 6.09"/>
    <x v="75"/>
    <x v="41"/>
    <x v="33"/>
    <x v="0"/>
    <x v="0"/>
    <n v="0"/>
    <x v="0"/>
    <n v="436.91925670000001"/>
  </r>
  <r>
    <x v="0"/>
    <x v="0"/>
    <x v="0"/>
    <s v="Clothes Dryers, Standard, Electric, UCEF 5.30 to 6.09"/>
    <x v="75"/>
    <x v="41"/>
    <x v="33"/>
    <x v="1"/>
    <x v="0"/>
    <n v="0"/>
    <x v="0"/>
    <n v="436.91925670000001"/>
  </r>
  <r>
    <x v="0"/>
    <x v="0"/>
    <x v="0"/>
    <s v="Clothes Dryers, Standard, Electric, UCEF 5.30 to 6.09"/>
    <x v="75"/>
    <x v="41"/>
    <x v="33"/>
    <x v="2"/>
    <x v="0"/>
    <n v="0"/>
    <x v="0"/>
    <n v="436.91925670000001"/>
  </r>
  <r>
    <x v="0"/>
    <x v="0"/>
    <x v="0"/>
    <s v="Clothes Dryers, Standard, Electric, UCEF 6.10 to 7.19"/>
    <x v="76"/>
    <x v="41"/>
    <x v="34"/>
    <x v="0"/>
    <x v="0"/>
    <n v="0"/>
    <x v="0"/>
    <n v="478.15276754000001"/>
  </r>
  <r>
    <x v="0"/>
    <x v="0"/>
    <x v="0"/>
    <s v="Clothes Dryers, Standard, Electric, UCEF 6.10 to 7.19"/>
    <x v="76"/>
    <x v="41"/>
    <x v="34"/>
    <x v="1"/>
    <x v="0"/>
    <n v="0"/>
    <x v="0"/>
    <n v="478.15276754000001"/>
  </r>
  <r>
    <x v="0"/>
    <x v="0"/>
    <x v="0"/>
    <s v="Clothes Dryers, Standard, Electric, UCEF 6.10 to 7.19"/>
    <x v="76"/>
    <x v="41"/>
    <x v="34"/>
    <x v="2"/>
    <x v="0"/>
    <n v="0"/>
    <x v="0"/>
    <n v="478.15276754000001"/>
  </r>
  <r>
    <x v="0"/>
    <x v="0"/>
    <x v="0"/>
    <s v="Clothes Dryers, Standard, Electric, UCEF 7.20 to 8.00"/>
    <x v="77"/>
    <x v="41"/>
    <x v="35"/>
    <x v="0"/>
    <x v="0"/>
    <n v="3615.3045423899998"/>
    <x v="0"/>
    <n v="510.39602108999998"/>
  </r>
  <r>
    <x v="0"/>
    <x v="0"/>
    <x v="0"/>
    <s v="Clothes Dryers, Standard, Electric, UCEF 7.20 to 8.00"/>
    <x v="77"/>
    <x v="41"/>
    <x v="35"/>
    <x v="1"/>
    <x v="0"/>
    <n v="903.82613560000004"/>
    <x v="0"/>
    <n v="510.39602108999998"/>
  </r>
  <r>
    <x v="0"/>
    <x v="0"/>
    <x v="0"/>
    <s v="Clothes Dryers, Standard, Electric, UCEF 7.20 to 8.00"/>
    <x v="77"/>
    <x v="41"/>
    <x v="35"/>
    <x v="2"/>
    <x v="0"/>
    <n v="0"/>
    <x v="0"/>
    <n v="510.39602108999998"/>
  </r>
  <r>
    <x v="0"/>
    <x v="0"/>
    <x v="0"/>
    <s v="Room Air Cleaners, All Sizes, ENERGY STAR v2"/>
    <x v="78"/>
    <x v="34"/>
    <x v="36"/>
    <x v="0"/>
    <x v="0"/>
    <n v="141118.97207412001"/>
    <x v="0"/>
    <n v="41.802586349999999"/>
  </r>
  <r>
    <x v="0"/>
    <x v="1"/>
    <x v="0"/>
    <s v="Refrigerators, Standard-size Bottom-mount Freezers, ENERGY STAR Most Efficient (CEE Tier 2)"/>
    <x v="79"/>
    <x v="38"/>
    <x v="37"/>
    <x v="0"/>
    <x v="0"/>
    <n v="27692.280052940001"/>
    <x v="0"/>
    <n v="94.712395810000004"/>
  </r>
  <r>
    <x v="0"/>
    <x v="1"/>
    <x v="0"/>
    <s v="Refrigerators, Standard-size Bottom-mount Freezers, ENERGY STAR Most Efficient (CEE Tier 2)"/>
    <x v="79"/>
    <x v="38"/>
    <x v="37"/>
    <x v="1"/>
    <x v="0"/>
    <n v="0"/>
    <x v="0"/>
    <n v="94.712395810000004"/>
  </r>
  <r>
    <x v="0"/>
    <x v="0"/>
    <x v="0"/>
    <s v="Refrigerators, Standard-size Side-mount Freezers, ENERGY STAR v5 Most Efficient (CEE Tier 2)"/>
    <x v="80"/>
    <x v="39"/>
    <x v="37"/>
    <x v="0"/>
    <x v="1"/>
    <n v="10853.47237827"/>
    <x v="0"/>
    <n v="106.05575447"/>
  </r>
  <r>
    <x v="0"/>
    <x v="0"/>
    <x v="0"/>
    <s v="Refrigerators, Standard-size Side-mount Freezers, ENERGY STAR v5 Most Efficient (CEE Tier 2)"/>
    <x v="80"/>
    <x v="39"/>
    <x v="37"/>
    <x v="1"/>
    <x v="1"/>
    <n v="0"/>
    <x v="0"/>
    <n v="106.05575447"/>
  </r>
  <r>
    <x v="0"/>
    <x v="0"/>
    <x v="0"/>
    <s v="Freezers, Standard-size Upright, TBD"/>
    <x v="81"/>
    <x v="40"/>
    <x v="38"/>
    <x v="0"/>
    <x v="0"/>
    <n v="0"/>
    <x v="0"/>
    <n v="0"/>
  </r>
  <r>
    <x v="0"/>
    <x v="0"/>
    <x v="0"/>
    <s v="Clothes Dryers, Standard, Electric, ENERGY STAR v1"/>
    <x v="82"/>
    <x v="41"/>
    <x v="39"/>
    <x v="0"/>
    <x v="0"/>
    <n v="151398.28612373001"/>
    <x v="0"/>
    <n v="52.031702559999999"/>
  </r>
  <r>
    <x v="0"/>
    <x v="0"/>
    <x v="0"/>
    <s v="Clothes Dryers, Standard, Electric, ENERGY STAR v1"/>
    <x v="82"/>
    <x v="41"/>
    <x v="39"/>
    <x v="1"/>
    <x v="0"/>
    <n v="19817.499284639998"/>
    <x v="0"/>
    <n v="52.031702559999999"/>
  </r>
  <r>
    <x v="0"/>
    <x v="0"/>
    <x v="0"/>
    <s v="Clothes Dryers, Standard, Electric, ENERGY STAR v1"/>
    <x v="82"/>
    <x v="41"/>
    <x v="39"/>
    <x v="2"/>
    <x v="0"/>
    <n v="0"/>
    <x v="0"/>
    <n v="52.031702559999999"/>
  </r>
  <r>
    <x v="0"/>
    <x v="0"/>
    <x v="0"/>
    <s v="Room Air Conditioners, Med/Large, ENERGY STAR v4"/>
    <x v="83"/>
    <x v="37"/>
    <x v="40"/>
    <x v="0"/>
    <x v="0"/>
    <n v="11818.57275067"/>
    <x v="0"/>
    <n v="-1.90699087"/>
  </r>
  <r>
    <x v="0"/>
    <x v="0"/>
    <x v="0"/>
    <s v="Refrigerators, Standard-size Top-mount Freezers/Other, ENERGY STAR v5 (CEE Tier 1)"/>
    <x v="84"/>
    <x v="42"/>
    <x v="41"/>
    <x v="0"/>
    <x v="0"/>
    <n v="4.0000000000000001E-8"/>
    <x v="0"/>
    <n v="5.7231145999999997"/>
  </r>
  <r>
    <x v="0"/>
    <x v="0"/>
    <x v="0"/>
    <s v="Refrigerators, Standard-size Top-mount Freezers/Other, ENERGY STAR v5 (CEE Tier 1)"/>
    <x v="84"/>
    <x v="42"/>
    <x v="41"/>
    <x v="1"/>
    <x v="0"/>
    <n v="0"/>
    <x v="0"/>
    <n v="5.7231145999999997"/>
  </r>
  <r>
    <x v="0"/>
    <x v="0"/>
    <x v="0"/>
    <s v="Freezers, Standard-size Chest, ENERGY STAR v5"/>
    <x v="85"/>
    <x v="35"/>
    <x v="41"/>
    <x v="0"/>
    <x v="0"/>
    <n v="2429.2923328000002"/>
    <x v="0"/>
    <n v="24.641119249999999"/>
  </r>
  <r>
    <x v="0"/>
    <x v="0"/>
    <x v="0"/>
    <s v="Freezers, Standard-size Chest, ENERGY STAR v5"/>
    <x v="85"/>
    <x v="35"/>
    <x v="41"/>
    <x v="1"/>
    <x v="0"/>
    <n v="0"/>
    <x v="0"/>
    <n v="24.641119249999999"/>
  </r>
  <r>
    <x v="0"/>
    <x v="0"/>
    <x v="0"/>
    <s v="Freezers, Standard-size Chest, ENERGY STAR v5 +5%"/>
    <x v="86"/>
    <x v="35"/>
    <x v="42"/>
    <x v="0"/>
    <x v="0"/>
    <n v="24.677809719999999"/>
    <x v="0"/>
    <n v="51.916314059999998"/>
  </r>
  <r>
    <x v="0"/>
    <x v="0"/>
    <x v="0"/>
    <s v="Freezers, Standard-size Chest, ENERGY STAR v5 +5%"/>
    <x v="86"/>
    <x v="35"/>
    <x v="42"/>
    <x v="1"/>
    <x v="0"/>
    <n v="0"/>
    <x v="0"/>
    <n v="51.916314059999998"/>
  </r>
  <r>
    <x v="0"/>
    <x v="0"/>
    <x v="0"/>
    <s v="Freezers, Compact Chest and Upright, ENERGY STAR v5"/>
    <x v="87"/>
    <x v="36"/>
    <x v="41"/>
    <x v="0"/>
    <x v="0"/>
    <n v="5599.1036528200002"/>
    <x v="0"/>
    <n v="21.616066579999998"/>
  </r>
  <r>
    <x v="0"/>
    <x v="0"/>
    <x v="0"/>
    <s v="Freezers, Compact Chest and Upright, ENERGY STAR v5"/>
    <x v="87"/>
    <x v="36"/>
    <x v="41"/>
    <x v="1"/>
    <x v="0"/>
    <n v="0"/>
    <x v="0"/>
    <n v="21.616066579999998"/>
  </r>
  <r>
    <x v="0"/>
    <x v="0"/>
    <x v="0"/>
    <s v="Freezers, Compact Chest and Upright, ENERGY STAR v5 +5%"/>
    <x v="88"/>
    <x v="36"/>
    <x v="42"/>
    <x v="0"/>
    <x v="0"/>
    <n v="110.11726195999999"/>
    <x v="0"/>
    <n v="44.790115290000003"/>
  </r>
  <r>
    <x v="0"/>
    <x v="0"/>
    <x v="0"/>
    <s v="Freezers, Compact Chest and Upright, ENERGY STAR v5 +5%"/>
    <x v="88"/>
    <x v="36"/>
    <x v="42"/>
    <x v="1"/>
    <x v="0"/>
    <n v="0"/>
    <x v="0"/>
    <n v="44.790115290000003"/>
  </r>
  <r>
    <x v="0"/>
    <x v="0"/>
    <x v="0"/>
    <s v="Refrigerators, Standard-size Top-mount Freezers/Other, ENERGY STAR Most Efficient (CEE Tier 2)"/>
    <x v="89"/>
    <x v="42"/>
    <x v="37"/>
    <x v="0"/>
    <x v="1"/>
    <n v="154257.3328414"/>
    <x v="0"/>
    <n v="20.72905729"/>
  </r>
  <r>
    <x v="0"/>
    <x v="0"/>
    <x v="0"/>
    <s v="Refrigerators, Standard-size Top-mount Freezers/Other, ENERGY STAR Most Efficient (CEE Tier 2)"/>
    <x v="89"/>
    <x v="42"/>
    <x v="37"/>
    <x v="1"/>
    <x v="1"/>
    <n v="0"/>
    <x v="0"/>
    <n v="20.72905729"/>
  </r>
  <r>
    <x v="0"/>
    <x v="0"/>
    <x v="0"/>
    <s v="Room Air Conditioners, Med/Large, ENERGY STAR Most Efficient"/>
    <x v="90"/>
    <x v="37"/>
    <x v="37"/>
    <x v="0"/>
    <x v="1"/>
    <n v="19676.710492300001"/>
    <x v="0"/>
    <n v="58.958138820000002"/>
  </r>
  <r>
    <x v="0"/>
    <x v="1"/>
    <x v="0"/>
    <s v="Refrigerators, Standard-size Bottom-mount Freezers, ENERGY STAR v5 (CEE Tier 1)"/>
    <x v="91"/>
    <x v="38"/>
    <x v="41"/>
    <x v="0"/>
    <x v="0"/>
    <n v="186580.64936059"/>
    <x v="0"/>
    <n v="-7.9734500700000002"/>
  </r>
  <r>
    <x v="0"/>
    <x v="1"/>
    <x v="0"/>
    <s v="Refrigerators, Standard-size Bottom-mount Freezers, ENERGY STAR v5 (CEE Tier 1)"/>
    <x v="91"/>
    <x v="38"/>
    <x v="41"/>
    <x v="1"/>
    <x v="0"/>
    <n v="0"/>
    <x v="0"/>
    <n v="-7.9734500700000002"/>
  </r>
  <r>
    <x v="0"/>
    <x v="3"/>
    <x v="0"/>
    <s v="Refrigerators, Standard-size Side-mount Freezers, ENERGY STAR v5 (CEE Tier 1)"/>
    <x v="92"/>
    <x v="39"/>
    <x v="41"/>
    <x v="0"/>
    <x v="0"/>
    <n v="6766.2089999999998"/>
    <x v="0"/>
    <n v="32.220843780000003"/>
  </r>
  <r>
    <x v="0"/>
    <x v="3"/>
    <x v="0"/>
    <s v="Refrigerators, Standard-size Side-mount Freezers, ENERGY STAR v5 (CEE Tier 1)"/>
    <x v="92"/>
    <x v="39"/>
    <x v="41"/>
    <x v="1"/>
    <x v="0"/>
    <n v="0"/>
    <x v="0"/>
    <n v="32.220843780000003"/>
  </r>
  <r>
    <x v="0"/>
    <x v="0"/>
    <x v="0"/>
    <s v="Freezers, Standard-size Upright, ENERGY STAR v5"/>
    <x v="93"/>
    <x v="40"/>
    <x v="41"/>
    <x v="0"/>
    <x v="0"/>
    <n v="15975.13348602"/>
    <x v="0"/>
    <n v="35.752220960000002"/>
  </r>
  <r>
    <x v="0"/>
    <x v="0"/>
    <x v="0"/>
    <s v="Freezers, Standard-size Upright, ENERGY STAR v5"/>
    <x v="93"/>
    <x v="40"/>
    <x v="41"/>
    <x v="1"/>
    <x v="0"/>
    <n v="0"/>
    <x v="0"/>
    <n v="35.752220960000002"/>
  </r>
  <r>
    <x v="0"/>
    <x v="0"/>
    <x v="0"/>
    <s v="Freezers, Standard-size Upright, ENERGY STAR v5 +5%"/>
    <x v="94"/>
    <x v="40"/>
    <x v="42"/>
    <x v="0"/>
    <x v="0"/>
    <n v="14292.72177887"/>
    <x v="0"/>
    <n v="101.96812629999999"/>
  </r>
  <r>
    <x v="0"/>
    <x v="0"/>
    <x v="0"/>
    <s v="Freezers, Standard-size Upright, ENERGY STAR v5 +5%"/>
    <x v="94"/>
    <x v="40"/>
    <x v="42"/>
    <x v="1"/>
    <x v="0"/>
    <n v="0"/>
    <x v="0"/>
    <n v="101.96812629999999"/>
  </r>
  <r>
    <x v="0"/>
    <x v="1"/>
    <x v="0"/>
    <s v="Televisions, Ultra-High Definition, ENERGY STAR v9 (On Mode Power)"/>
    <x v="95"/>
    <x v="43"/>
    <x v="43"/>
    <x v="0"/>
    <x v="0"/>
    <n v="776048.27227203001"/>
    <x v="0"/>
    <n v="66.850502989999995"/>
  </r>
  <r>
    <x v="0"/>
    <x v="1"/>
    <x v="0"/>
    <s v="Televisions, Ultra-High Definition, ENERGY STAR v9 (On Mode Power)"/>
    <x v="95"/>
    <x v="43"/>
    <x v="43"/>
    <x v="2"/>
    <x v="0"/>
    <n v="472607.01527471998"/>
    <x v="0"/>
    <n v="66.850502989999995"/>
  </r>
  <r>
    <x v="0"/>
    <x v="1"/>
    <x v="0"/>
    <s v="Clothes Dryers, Standard, Electric, Non-Qualifying"/>
    <x v="96"/>
    <x v="41"/>
    <x v="24"/>
    <x v="0"/>
    <x v="0"/>
    <n v="183688.47730570001"/>
    <x v="0"/>
    <n v="-41.42004567"/>
  </r>
  <r>
    <x v="0"/>
    <x v="1"/>
    <x v="0"/>
    <s v="Clothes Dryers, Standard, Electric, Non-Qualifying"/>
    <x v="96"/>
    <x v="41"/>
    <x v="24"/>
    <x v="1"/>
    <x v="0"/>
    <n v="0"/>
    <x v="0"/>
    <n v="-41.42004567"/>
  </r>
  <r>
    <x v="0"/>
    <x v="1"/>
    <x v="0"/>
    <s v="Clothes Dryers, Standard, Electric, Non-Qualifying"/>
    <x v="96"/>
    <x v="41"/>
    <x v="24"/>
    <x v="2"/>
    <x v="0"/>
    <n v="0"/>
    <x v="0"/>
    <n v="-41.42004567"/>
  </r>
  <r>
    <x v="0"/>
    <x v="2"/>
    <x v="0"/>
    <s v="Clothes Washers, Front-Loading, Electric, Non-Qualifying (IMEF 1.84)"/>
    <x v="97"/>
    <x v="0"/>
    <x v="24"/>
    <x v="0"/>
    <x v="0"/>
    <n v="8628.7433806400004"/>
    <x v="0"/>
    <n v="-35.722187720000001"/>
  </r>
  <r>
    <x v="0"/>
    <x v="2"/>
    <x v="0"/>
    <s v="Clothes Washers, Front-Loading, Electric, Non-Qualifying (IMEF 1.84)"/>
    <x v="97"/>
    <x v="0"/>
    <x v="24"/>
    <x v="1"/>
    <x v="0"/>
    <n v="0"/>
    <x v="0"/>
    <n v="-35.722187720000001"/>
  </r>
  <r>
    <x v="0"/>
    <x v="1"/>
    <x v="0"/>
    <s v="Clothes Washers, Standard-size Top-Loading, Electric, Non-Qualifying"/>
    <x v="98"/>
    <x v="1"/>
    <x v="24"/>
    <x v="0"/>
    <x v="0"/>
    <n v="152641.67983563"/>
    <x v="0"/>
    <n v="-87.965187720000003"/>
  </r>
  <r>
    <x v="0"/>
    <x v="1"/>
    <x v="0"/>
    <s v="Clothes Washers, Standard-size Top-Loading, Electric, Non-Qualifying"/>
    <x v="98"/>
    <x v="1"/>
    <x v="24"/>
    <x v="1"/>
    <x v="0"/>
    <n v="0"/>
    <x v="0"/>
    <n v="-87.965187720000003"/>
  </r>
  <r>
    <x v="0"/>
    <x v="1"/>
    <x v="0"/>
    <s v="Refrigerators, Standard-size Top-mount Freezers/Other, Non-Qualifying"/>
    <x v="99"/>
    <x v="42"/>
    <x v="24"/>
    <x v="0"/>
    <x v="0"/>
    <n v="66141.718758119998"/>
    <x v="0"/>
    <n v="-12.82470554"/>
  </r>
  <r>
    <x v="0"/>
    <x v="1"/>
    <x v="0"/>
    <s v="Refrigerators, Standard-size Top-mount Freezers/Other, Non-Qualifying"/>
    <x v="99"/>
    <x v="42"/>
    <x v="24"/>
    <x v="1"/>
    <x v="0"/>
    <n v="0"/>
    <x v="0"/>
    <n v="-12.82470554"/>
  </r>
  <r>
    <x v="0"/>
    <x v="0"/>
    <x v="11"/>
    <s v="Commercial T8 Linear Fluorescent, 25W"/>
    <x v="100"/>
    <x v="44"/>
    <x v="7"/>
    <x v="0"/>
    <x v="4"/>
    <n v="32954.873777870002"/>
    <x v="0"/>
    <n v="24.39671551"/>
  </r>
  <r>
    <x v="0"/>
    <x v="0"/>
    <x v="11"/>
    <s v="Commercial T8 Linear Fluorescent, 25W"/>
    <x v="100"/>
    <x v="44"/>
    <x v="7"/>
    <x v="2"/>
    <x v="4"/>
    <n v="0"/>
    <x v="0"/>
    <n v="24.39671551"/>
  </r>
  <r>
    <x v="0"/>
    <x v="0"/>
    <x v="11"/>
    <s v="Commercial T8 Linear Fluorescent, 25W"/>
    <x v="100"/>
    <x v="44"/>
    <x v="7"/>
    <x v="1"/>
    <x v="4"/>
    <n v="0"/>
    <x v="0"/>
    <n v="24.39671551"/>
  </r>
  <r>
    <x v="0"/>
    <x v="0"/>
    <x v="11"/>
    <s v="Industrial T8 Linear Fluorescent, 25W"/>
    <x v="101"/>
    <x v="45"/>
    <x v="7"/>
    <x v="0"/>
    <x v="4"/>
    <n v="2826.60878645"/>
    <x v="0"/>
    <n v="24.39671551"/>
  </r>
  <r>
    <x v="0"/>
    <x v="0"/>
    <x v="11"/>
    <s v="Industrial T8 Linear Fluorescent, 25W"/>
    <x v="101"/>
    <x v="45"/>
    <x v="7"/>
    <x v="2"/>
    <x v="4"/>
    <n v="0"/>
    <x v="0"/>
    <n v="24.39671551"/>
  </r>
  <r>
    <x v="0"/>
    <x v="0"/>
    <x v="11"/>
    <s v="Industrial T8 Linear Fluorescent, 25W"/>
    <x v="101"/>
    <x v="45"/>
    <x v="7"/>
    <x v="1"/>
    <x v="4"/>
    <n v="0"/>
    <x v="0"/>
    <n v="24.39671551"/>
  </r>
  <r>
    <x v="0"/>
    <x v="0"/>
    <x v="11"/>
    <s v="Commercial T8 Linear Fluorescent, 28W"/>
    <x v="102"/>
    <x v="46"/>
    <x v="7"/>
    <x v="0"/>
    <x v="4"/>
    <n v="565740.43214306002"/>
    <x v="0"/>
    <n v="14.519726670000001"/>
  </r>
  <r>
    <x v="0"/>
    <x v="0"/>
    <x v="11"/>
    <s v="Commercial T8 Linear Fluorescent, 28W"/>
    <x v="102"/>
    <x v="46"/>
    <x v="7"/>
    <x v="2"/>
    <x v="4"/>
    <n v="0"/>
    <x v="0"/>
    <n v="14.519726670000001"/>
  </r>
  <r>
    <x v="0"/>
    <x v="0"/>
    <x v="11"/>
    <s v="Commercial T8 Linear Fluorescent, 28W"/>
    <x v="102"/>
    <x v="46"/>
    <x v="7"/>
    <x v="1"/>
    <x v="4"/>
    <n v="0"/>
    <x v="0"/>
    <n v="14.519726670000001"/>
  </r>
  <r>
    <x v="0"/>
    <x v="0"/>
    <x v="11"/>
    <s v="Industrial T8 Linear Fluorescent, 28W"/>
    <x v="103"/>
    <x v="47"/>
    <x v="7"/>
    <x v="0"/>
    <x v="4"/>
    <n v="140686.52521634"/>
    <x v="0"/>
    <n v="14.519726670000001"/>
  </r>
  <r>
    <x v="0"/>
    <x v="0"/>
    <x v="11"/>
    <s v="Industrial T8 Linear Fluorescent, 28W"/>
    <x v="103"/>
    <x v="47"/>
    <x v="7"/>
    <x v="2"/>
    <x v="4"/>
    <n v="0"/>
    <x v="0"/>
    <n v="14.519726670000001"/>
  </r>
  <r>
    <x v="0"/>
    <x v="0"/>
    <x v="11"/>
    <s v="Industrial T8 Linear Fluorescent, 28W"/>
    <x v="103"/>
    <x v="47"/>
    <x v="7"/>
    <x v="1"/>
    <x v="4"/>
    <n v="0"/>
    <x v="0"/>
    <n v="14.519726670000001"/>
  </r>
  <r>
    <x v="0"/>
    <x v="0"/>
    <x v="5"/>
    <s v="Washington BuiltGreen Home, New Single-Family"/>
    <x v="104"/>
    <x v="48"/>
    <x v="16"/>
    <x v="0"/>
    <x v="0"/>
    <n v="292.2"/>
    <x v="0"/>
    <n v="1329.89976553"/>
  </r>
  <r>
    <x v="0"/>
    <x v="0"/>
    <x v="5"/>
    <s v="Washington BuiltGreen Home, New Single-Family"/>
    <x v="104"/>
    <x v="48"/>
    <x v="16"/>
    <x v="1"/>
    <x v="0"/>
    <n v="0"/>
    <x v="0"/>
    <n v="1329.89976553"/>
  </r>
  <r>
    <x v="0"/>
    <x v="0"/>
    <x v="6"/>
    <s v="Washington Code, New Commercial, WSEC 2015"/>
    <x v="105"/>
    <x v="49"/>
    <x v="44"/>
    <x v="0"/>
    <x v="4"/>
    <n v="24807993.69436197"/>
    <x v="0"/>
    <n v="0.57087186999999995"/>
  </r>
  <r>
    <x v="0"/>
    <x v="3"/>
    <x v="6"/>
    <s v="Washington Code, New Commercial, WSEC 2018"/>
    <x v="106"/>
    <x v="49"/>
    <x v="45"/>
    <x v="0"/>
    <x v="4"/>
    <n v="19743486.75257872"/>
    <x v="0"/>
    <n v="0.27776269999999997"/>
  </r>
  <r>
    <x v="0"/>
    <x v="0"/>
    <x v="6"/>
    <s v="Washington Code, New Commercial, WSEC 2021"/>
    <x v="107"/>
    <x v="49"/>
    <x v="46"/>
    <x v="0"/>
    <x v="0"/>
    <n v="17055495.664873861"/>
    <x v="0"/>
    <n v="0.53754592999999995"/>
  </r>
  <r>
    <x v="0"/>
    <x v="0"/>
    <x v="7"/>
    <s v="Washington Code, New Multifamily, WSEC 2021"/>
    <x v="108"/>
    <x v="50"/>
    <x v="47"/>
    <x v="0"/>
    <x v="0"/>
    <n v="4837.4930318999996"/>
    <x v="0"/>
    <n v="542"/>
  </r>
  <r>
    <x v="0"/>
    <x v="0"/>
    <x v="6"/>
    <s v="Washington Code, New Commercial, WSEC 2024"/>
    <x v="109"/>
    <x v="49"/>
    <x v="48"/>
    <x v="0"/>
    <x v="1"/>
    <n v="0"/>
    <x v="0"/>
    <n v="0.49454226000000001"/>
  </r>
  <r>
    <x v="0"/>
    <x v="1"/>
    <x v="5"/>
    <s v="Washington Home Energy Rating System (HERS)/ENERGY STAR, New Multifamily"/>
    <x v="110"/>
    <x v="51"/>
    <x v="16"/>
    <x v="0"/>
    <x v="0"/>
    <n v="0"/>
    <x v="0"/>
    <n v="300"/>
  </r>
  <r>
    <x v="0"/>
    <x v="1"/>
    <x v="5"/>
    <s v="Washington Home Energy Rating System (HERS)/ENERGY STAR, New Multifamily"/>
    <x v="110"/>
    <x v="51"/>
    <x v="16"/>
    <x v="1"/>
    <x v="0"/>
    <n v="0"/>
    <x v="0"/>
    <n v="300"/>
  </r>
  <r>
    <x v="0"/>
    <x v="0"/>
    <x v="5"/>
    <s v="Washington Home Energy Rating System (HERS)/ENERGY STAR, New Single-Family"/>
    <x v="111"/>
    <x v="52"/>
    <x v="16"/>
    <x v="0"/>
    <x v="0"/>
    <n v="265.86"/>
    <x v="0"/>
    <n v="1329.89976553"/>
  </r>
  <r>
    <x v="0"/>
    <x v="0"/>
    <x v="5"/>
    <s v="Washington Home Energy Rating System (HERS)/ENERGY STAR, New Single-Family"/>
    <x v="111"/>
    <x v="52"/>
    <x v="16"/>
    <x v="1"/>
    <x v="0"/>
    <n v="0"/>
    <x v="0"/>
    <n v="1329.89976553"/>
  </r>
  <r>
    <x v="0"/>
    <x v="0"/>
    <x v="5"/>
    <s v="Washington National Green Building Standard, New Single-Family"/>
    <x v="112"/>
    <x v="53"/>
    <x v="16"/>
    <x v="0"/>
    <x v="0"/>
    <n v="4.5"/>
    <x v="0"/>
    <n v="1329.89976553"/>
  </r>
  <r>
    <x v="0"/>
    <x v="0"/>
    <x v="5"/>
    <s v="Washington National Green Building Standard, New Single-Family"/>
    <x v="112"/>
    <x v="53"/>
    <x v="16"/>
    <x v="1"/>
    <x v="0"/>
    <n v="0"/>
    <x v="0"/>
    <n v="1329.89976553"/>
  </r>
  <r>
    <x v="0"/>
    <x v="0"/>
    <x v="5"/>
    <s v="Washington Performance Path, New Single-Family"/>
    <x v="113"/>
    <x v="54"/>
    <x v="16"/>
    <x v="0"/>
    <x v="0"/>
    <n v="70"/>
    <x v="0"/>
    <n v="2736.7661195800001"/>
  </r>
  <r>
    <x v="0"/>
    <x v="0"/>
    <x v="5"/>
    <s v="Washington Performance Path, New Single-Family"/>
    <x v="113"/>
    <x v="54"/>
    <x v="16"/>
    <x v="1"/>
    <x v="0"/>
    <n v="63"/>
    <x v="0"/>
    <n v="2736.7661195800001"/>
  </r>
  <r>
    <x v="0"/>
    <x v="0"/>
    <x v="5"/>
    <s v="Washington Code, Single-Family, WSEC 2021"/>
    <x v="114"/>
    <x v="55"/>
    <x v="47"/>
    <x v="0"/>
    <x v="0"/>
    <n v="29250"/>
    <x v="0"/>
    <n v="126"/>
  </r>
  <r>
    <x v="0"/>
    <x v="0"/>
    <x v="5"/>
    <s v="Idaho National Green Building Standard, New Single-Family"/>
    <x v="115"/>
    <x v="56"/>
    <x v="16"/>
    <x v="0"/>
    <x v="0"/>
    <n v="0"/>
    <x v="0"/>
    <n v="807.60851158000003"/>
  </r>
  <r>
    <x v="0"/>
    <x v="0"/>
    <x v="5"/>
    <s v="Idaho National Green Building Standard, New Single-Family"/>
    <x v="115"/>
    <x v="56"/>
    <x v="16"/>
    <x v="1"/>
    <x v="0"/>
    <n v="0"/>
    <x v="0"/>
    <n v="807.60851158000003"/>
  </r>
  <r>
    <x v="0"/>
    <x v="0"/>
    <x v="5"/>
    <s v="Montana National Green Building Standard, New Single-Family"/>
    <x v="116"/>
    <x v="57"/>
    <x v="16"/>
    <x v="0"/>
    <x v="0"/>
    <n v="0"/>
    <x v="0"/>
    <n v="834.34440517999997"/>
  </r>
  <r>
    <x v="0"/>
    <x v="0"/>
    <x v="5"/>
    <s v="Montana National Green Building Standard, New Single-Family"/>
    <x v="116"/>
    <x v="57"/>
    <x v="16"/>
    <x v="1"/>
    <x v="0"/>
    <n v="0"/>
    <x v="0"/>
    <n v="834.34440517999997"/>
  </r>
  <r>
    <x v="0"/>
    <x v="0"/>
    <x v="5"/>
    <s v="Oregon National Green Building Standard, New Single-Family"/>
    <x v="117"/>
    <x v="58"/>
    <x v="16"/>
    <x v="0"/>
    <x v="0"/>
    <n v="0"/>
    <x v="0"/>
    <n v="1240.5800106500001"/>
  </r>
  <r>
    <x v="0"/>
    <x v="0"/>
    <x v="5"/>
    <s v="Oregon National Green Building Standard, New Single-Family"/>
    <x v="117"/>
    <x v="58"/>
    <x v="16"/>
    <x v="1"/>
    <x v="0"/>
    <n v="0"/>
    <x v="0"/>
    <n v="1240.5800106500001"/>
  </r>
  <r>
    <x v="0"/>
    <x v="0"/>
    <x v="1"/>
    <s v="Non-Residential, Uninterruptible Power Supplies (2020)"/>
    <x v="118"/>
    <x v="59"/>
    <x v="49"/>
    <x v="0"/>
    <x v="0"/>
    <n v="137741.48724756"/>
    <x v="0"/>
    <n v="32.461487609999999"/>
  </r>
  <r>
    <x v="0"/>
    <x v="0"/>
    <x v="1"/>
    <s v="Non-Residential, Portable Air Conditioners (2020)"/>
    <x v="119"/>
    <x v="60"/>
    <x v="49"/>
    <x v="0"/>
    <x v="0"/>
    <n v="7928.6004129800003"/>
    <x v="0"/>
    <n v="58.720546859999999"/>
  </r>
  <r>
    <x v="0"/>
    <x v="0"/>
    <x v="12"/>
    <s v="Residential, Uninterruptible Power Supplies (2020)"/>
    <x v="120"/>
    <x v="59"/>
    <x v="50"/>
    <x v="0"/>
    <x v="0"/>
    <n v="52881.135304520001"/>
    <x v="0"/>
    <n v="32.630683519999998"/>
  </r>
  <r>
    <x v="0"/>
    <x v="0"/>
    <x v="12"/>
    <s v="Residential, Portable Air Conditioners (2020)"/>
    <x v="121"/>
    <x v="60"/>
    <x v="50"/>
    <x v="0"/>
    <x v="0"/>
    <n v="40420.957438730002"/>
    <x v="0"/>
    <n v="41.58485623"/>
  </r>
  <r>
    <x v="0"/>
    <x v="0"/>
    <x v="13"/>
    <s v="Commercial, Variable Speed Clean Water Pump - CS Replacement"/>
    <x v="122"/>
    <x v="61"/>
    <x v="8"/>
    <x v="0"/>
    <x v="0"/>
    <n v="132.4573144"/>
    <x v="0"/>
    <n v="553.12676630999999"/>
  </r>
  <r>
    <x v="0"/>
    <x v="0"/>
    <x v="13"/>
    <s v="Commercial, Variable Speed Clean Water Pump - CS Replacement"/>
    <x v="122"/>
    <x v="61"/>
    <x v="8"/>
    <x v="2"/>
    <x v="0"/>
    <n v="0"/>
    <x v="0"/>
    <n v="553.12676630999999"/>
  </r>
  <r>
    <x v="0"/>
    <x v="0"/>
    <x v="13"/>
    <s v="Commercial, Variable Speed Clean Water Pump - CS Replacement"/>
    <x v="122"/>
    <x v="61"/>
    <x v="8"/>
    <x v="1"/>
    <x v="0"/>
    <n v="0"/>
    <x v="0"/>
    <n v="553.12676630999999"/>
  </r>
  <r>
    <x v="0"/>
    <x v="0"/>
    <x v="13"/>
    <s v="Commercial, Variable Speed Clean Water Pump - CS Replacement"/>
    <x v="122"/>
    <x v="61"/>
    <x v="8"/>
    <x v="0"/>
    <x v="1"/>
    <n v="0"/>
    <x v="0"/>
    <n v="553.12676630999999"/>
  </r>
  <r>
    <x v="0"/>
    <x v="0"/>
    <x v="13"/>
    <s v="Commercial, Variable Speed Clean Water Pump - CS Replacement"/>
    <x v="122"/>
    <x v="61"/>
    <x v="8"/>
    <x v="2"/>
    <x v="1"/>
    <n v="0"/>
    <x v="0"/>
    <n v="553.12676630999999"/>
  </r>
  <r>
    <x v="0"/>
    <x v="0"/>
    <x v="13"/>
    <s v="Commercial, Variable Speed Clean Water Pump - CS Replacement"/>
    <x v="122"/>
    <x v="61"/>
    <x v="8"/>
    <x v="1"/>
    <x v="1"/>
    <n v="0"/>
    <x v="0"/>
    <n v="553.12676630999999"/>
  </r>
  <r>
    <x v="0"/>
    <x v="0"/>
    <x v="13"/>
    <s v="Commercial, Variable Speed Clean Water Pump"/>
    <x v="123"/>
    <x v="61"/>
    <x v="7"/>
    <x v="0"/>
    <x v="0"/>
    <n v="253.67582636"/>
    <x v="0"/>
    <n v="1187.56299171"/>
  </r>
  <r>
    <x v="0"/>
    <x v="0"/>
    <x v="13"/>
    <s v="Commercial, Variable Speed Clean Water Pump"/>
    <x v="123"/>
    <x v="61"/>
    <x v="7"/>
    <x v="2"/>
    <x v="0"/>
    <n v="0"/>
    <x v="0"/>
    <n v="1187.56299171"/>
  </r>
  <r>
    <x v="0"/>
    <x v="0"/>
    <x v="13"/>
    <s v="Commercial, Variable Speed Clean Water Pump"/>
    <x v="123"/>
    <x v="61"/>
    <x v="7"/>
    <x v="1"/>
    <x v="0"/>
    <n v="0"/>
    <x v="0"/>
    <n v="1187.56299171"/>
  </r>
  <r>
    <x v="0"/>
    <x v="0"/>
    <x v="13"/>
    <s v="Commercial, Variable Speed Clean Water Pump"/>
    <x v="123"/>
    <x v="61"/>
    <x v="7"/>
    <x v="0"/>
    <x v="1"/>
    <n v="0"/>
    <x v="0"/>
    <n v="1187.56299171"/>
  </r>
  <r>
    <x v="0"/>
    <x v="0"/>
    <x v="13"/>
    <s v="Commercial, Variable Speed Clean Water Pump"/>
    <x v="123"/>
    <x v="61"/>
    <x v="7"/>
    <x v="2"/>
    <x v="1"/>
    <n v="0"/>
    <x v="0"/>
    <n v="1187.56299171"/>
  </r>
  <r>
    <x v="0"/>
    <x v="0"/>
    <x v="13"/>
    <s v="Commercial, Variable Speed Clean Water Pump"/>
    <x v="123"/>
    <x v="61"/>
    <x v="7"/>
    <x v="1"/>
    <x v="1"/>
    <n v="0"/>
    <x v="0"/>
    <n v="1187.56299171"/>
  </r>
  <r>
    <x v="0"/>
    <x v="0"/>
    <x v="13"/>
    <s v="Commercial, Constant Speed Clean Water Pump"/>
    <x v="124"/>
    <x v="62"/>
    <x v="30"/>
    <x v="0"/>
    <x v="0"/>
    <n v="1335.54435586"/>
    <x v="0"/>
    <n v="1523.1456348700001"/>
  </r>
  <r>
    <x v="0"/>
    <x v="0"/>
    <x v="13"/>
    <s v="Commercial, Constant Speed Clean Water Pump"/>
    <x v="124"/>
    <x v="62"/>
    <x v="30"/>
    <x v="2"/>
    <x v="0"/>
    <n v="0"/>
    <x v="0"/>
    <n v="1523.1456348700001"/>
  </r>
  <r>
    <x v="0"/>
    <x v="0"/>
    <x v="13"/>
    <s v="Commercial, Constant Speed Clean Water Pump"/>
    <x v="124"/>
    <x v="62"/>
    <x v="30"/>
    <x v="1"/>
    <x v="0"/>
    <n v="0"/>
    <x v="0"/>
    <n v="1523.1456348700001"/>
  </r>
  <r>
    <x v="0"/>
    <x v="0"/>
    <x v="13"/>
    <s v="Commercial, Constant Speed Clean Water Pump"/>
    <x v="124"/>
    <x v="62"/>
    <x v="30"/>
    <x v="0"/>
    <x v="1"/>
    <n v="0"/>
    <x v="0"/>
    <n v="1523.1456348700001"/>
  </r>
  <r>
    <x v="0"/>
    <x v="0"/>
    <x v="13"/>
    <s v="Commercial, Constant Speed Clean Water Pump"/>
    <x v="124"/>
    <x v="62"/>
    <x v="30"/>
    <x v="2"/>
    <x v="1"/>
    <n v="0"/>
    <x v="0"/>
    <n v="1523.1456348700001"/>
  </r>
  <r>
    <x v="0"/>
    <x v="0"/>
    <x v="13"/>
    <s v="Commercial, Constant Speed Clean Water Pump"/>
    <x v="124"/>
    <x v="62"/>
    <x v="30"/>
    <x v="1"/>
    <x v="1"/>
    <n v="0"/>
    <x v="0"/>
    <n v="1523.1456348700001"/>
  </r>
  <r>
    <x v="0"/>
    <x v="0"/>
    <x v="13"/>
    <s v="Commercial, DHW ECM Circulator with Controls"/>
    <x v="125"/>
    <x v="63"/>
    <x v="9"/>
    <x v="0"/>
    <x v="0"/>
    <n v="19.965"/>
    <x v="0"/>
    <n v="2499.4300000500002"/>
  </r>
  <r>
    <x v="0"/>
    <x v="0"/>
    <x v="13"/>
    <s v="Commercial, DHW ECM Circulator with Controls"/>
    <x v="125"/>
    <x v="63"/>
    <x v="9"/>
    <x v="2"/>
    <x v="0"/>
    <n v="0"/>
    <x v="0"/>
    <n v="2499.4300000500002"/>
  </r>
  <r>
    <x v="0"/>
    <x v="0"/>
    <x v="13"/>
    <s v="Commercial, DHW ECM Circulator with Controls"/>
    <x v="125"/>
    <x v="63"/>
    <x v="9"/>
    <x v="1"/>
    <x v="0"/>
    <n v="0"/>
    <x v="0"/>
    <n v="2499.4300000500002"/>
  </r>
  <r>
    <x v="0"/>
    <x v="0"/>
    <x v="13"/>
    <s v="Commercial, DHW Induction Circulator with Controls"/>
    <x v="126"/>
    <x v="63"/>
    <x v="8"/>
    <x v="0"/>
    <x v="0"/>
    <n v="0"/>
    <x v="0"/>
    <n v="645.70325013000001"/>
  </r>
  <r>
    <x v="0"/>
    <x v="0"/>
    <x v="13"/>
    <s v="Commercial, DHW Induction Circulator with Controls"/>
    <x v="126"/>
    <x v="63"/>
    <x v="8"/>
    <x v="2"/>
    <x v="0"/>
    <n v="0"/>
    <x v="0"/>
    <n v="645.70325013000001"/>
  </r>
  <r>
    <x v="0"/>
    <x v="0"/>
    <x v="13"/>
    <s v="Commercial, DHW Induction Circulator with Controls"/>
    <x v="126"/>
    <x v="63"/>
    <x v="8"/>
    <x v="1"/>
    <x v="0"/>
    <n v="0"/>
    <x v="0"/>
    <n v="645.70325013000001"/>
  </r>
  <r>
    <x v="0"/>
    <x v="0"/>
    <x v="13"/>
    <s v="Commercial, DHW ECM Circulator"/>
    <x v="127"/>
    <x v="63"/>
    <x v="7"/>
    <x v="0"/>
    <x v="0"/>
    <n v="24.956250000000001"/>
    <x v="0"/>
    <n v="34.146078369999998"/>
  </r>
  <r>
    <x v="0"/>
    <x v="0"/>
    <x v="13"/>
    <s v="Commercial, DHW ECM Circulator"/>
    <x v="127"/>
    <x v="63"/>
    <x v="7"/>
    <x v="2"/>
    <x v="0"/>
    <n v="0"/>
    <x v="0"/>
    <n v="34.146078369999998"/>
  </r>
  <r>
    <x v="0"/>
    <x v="0"/>
    <x v="13"/>
    <s v="Commercial, DHW ECM Circulator"/>
    <x v="127"/>
    <x v="63"/>
    <x v="7"/>
    <x v="1"/>
    <x v="0"/>
    <n v="0"/>
    <x v="0"/>
    <n v="34.146078369999998"/>
  </r>
  <r>
    <x v="0"/>
    <x v="0"/>
    <x v="13"/>
    <s v="Residential, DHW ECM Circulator with Controls"/>
    <x v="128"/>
    <x v="64"/>
    <x v="9"/>
    <x v="0"/>
    <x v="0"/>
    <n v="1964.8887500000001"/>
    <x v="0"/>
    <n v="1613.5065321300001"/>
  </r>
  <r>
    <x v="0"/>
    <x v="0"/>
    <x v="13"/>
    <s v="Residential, DHW ECM Circulator with Controls"/>
    <x v="128"/>
    <x v="64"/>
    <x v="9"/>
    <x v="2"/>
    <x v="0"/>
    <n v="0"/>
    <x v="0"/>
    <n v="1613.5065321300001"/>
  </r>
  <r>
    <x v="0"/>
    <x v="0"/>
    <x v="13"/>
    <s v="Residential, DHW ECM Circulator with Controls"/>
    <x v="128"/>
    <x v="64"/>
    <x v="9"/>
    <x v="1"/>
    <x v="0"/>
    <n v="0"/>
    <x v="0"/>
    <n v="1613.5065321300001"/>
  </r>
  <r>
    <x v="0"/>
    <x v="0"/>
    <x v="13"/>
    <s v="Residential, DHW Induction Circulator with Controls"/>
    <x v="129"/>
    <x v="64"/>
    <x v="8"/>
    <x v="0"/>
    <x v="0"/>
    <n v="680.47375"/>
    <x v="0"/>
    <n v="270.25194477999997"/>
  </r>
  <r>
    <x v="0"/>
    <x v="0"/>
    <x v="13"/>
    <s v="Residential, DHW Induction Circulator with Controls"/>
    <x v="129"/>
    <x v="64"/>
    <x v="8"/>
    <x v="2"/>
    <x v="0"/>
    <n v="0"/>
    <x v="0"/>
    <n v="270.25194477999997"/>
  </r>
  <r>
    <x v="0"/>
    <x v="0"/>
    <x v="13"/>
    <s v="Residential, DHW Induction Circulator with Controls"/>
    <x v="129"/>
    <x v="64"/>
    <x v="8"/>
    <x v="1"/>
    <x v="0"/>
    <n v="0"/>
    <x v="0"/>
    <n v="270.25194477999997"/>
  </r>
  <r>
    <x v="0"/>
    <x v="0"/>
    <x v="13"/>
    <s v="Residential, DHW ECM Circulator"/>
    <x v="130"/>
    <x v="64"/>
    <x v="7"/>
    <x v="0"/>
    <x v="0"/>
    <n v="1142.9962499999999"/>
    <x v="0"/>
    <n v="88.223883990000004"/>
  </r>
  <r>
    <x v="0"/>
    <x v="0"/>
    <x v="13"/>
    <s v="Residential, DHW ECM Circulator"/>
    <x v="130"/>
    <x v="64"/>
    <x v="7"/>
    <x v="2"/>
    <x v="0"/>
    <n v="0"/>
    <x v="0"/>
    <n v="88.223883990000004"/>
  </r>
  <r>
    <x v="0"/>
    <x v="0"/>
    <x v="13"/>
    <s v="Residential, DHW ECM Circulator"/>
    <x v="130"/>
    <x v="64"/>
    <x v="7"/>
    <x v="1"/>
    <x v="0"/>
    <n v="0"/>
    <x v="0"/>
    <n v="88.223883990000004"/>
  </r>
  <r>
    <x v="0"/>
    <x v="0"/>
    <x v="13"/>
    <s v="Commercial, Hydronic Heating Circulator with ECM and Controls"/>
    <x v="131"/>
    <x v="65"/>
    <x v="8"/>
    <x v="0"/>
    <x v="0"/>
    <n v="217.95124999999999"/>
    <x v="0"/>
    <n v="783.99738831000002"/>
  </r>
  <r>
    <x v="0"/>
    <x v="0"/>
    <x v="13"/>
    <s v="Commercial, Hydronic Heating Circulator with ECM and Controls"/>
    <x v="131"/>
    <x v="65"/>
    <x v="8"/>
    <x v="2"/>
    <x v="0"/>
    <n v="0"/>
    <x v="0"/>
    <n v="783.99738831000002"/>
  </r>
  <r>
    <x v="0"/>
    <x v="0"/>
    <x v="13"/>
    <s v="Commercial, Hydronic Heating Circulator with ECM and Controls"/>
    <x v="131"/>
    <x v="65"/>
    <x v="8"/>
    <x v="1"/>
    <x v="0"/>
    <n v="0"/>
    <x v="0"/>
    <n v="783.99738831000002"/>
  </r>
  <r>
    <x v="0"/>
    <x v="0"/>
    <x v="13"/>
    <s v="Commercial, Hydronic Heating Circulator with ECM"/>
    <x v="132"/>
    <x v="65"/>
    <x v="7"/>
    <x v="0"/>
    <x v="0"/>
    <n v="14.52"/>
    <x v="0"/>
    <n v="766.63359917000002"/>
  </r>
  <r>
    <x v="0"/>
    <x v="0"/>
    <x v="13"/>
    <s v="Commercial, Hydronic Heating Circulator with ECM"/>
    <x v="132"/>
    <x v="65"/>
    <x v="7"/>
    <x v="2"/>
    <x v="0"/>
    <n v="0"/>
    <x v="0"/>
    <n v="766.63359917000002"/>
  </r>
  <r>
    <x v="0"/>
    <x v="0"/>
    <x v="13"/>
    <s v="Commercial, Hydronic Heating Circulator with ECM"/>
    <x v="132"/>
    <x v="65"/>
    <x v="7"/>
    <x v="1"/>
    <x v="0"/>
    <n v="0"/>
    <x v="0"/>
    <n v="766.63359917000002"/>
  </r>
  <r>
    <x v="0"/>
    <x v="0"/>
    <x v="13"/>
    <s v="Residential, Hydronic Heating Circulator with ECM and Controls"/>
    <x v="133"/>
    <x v="66"/>
    <x v="8"/>
    <x v="0"/>
    <x v="0"/>
    <n v="1936.605"/>
    <x v="0"/>
    <n v="343.30448959"/>
  </r>
  <r>
    <x v="0"/>
    <x v="0"/>
    <x v="13"/>
    <s v="Residential, Hydronic Heating Circulator with ECM and Controls"/>
    <x v="133"/>
    <x v="66"/>
    <x v="8"/>
    <x v="2"/>
    <x v="0"/>
    <n v="0"/>
    <x v="0"/>
    <n v="343.30448959"/>
  </r>
  <r>
    <x v="0"/>
    <x v="0"/>
    <x v="13"/>
    <s v="Residential, Hydronic Heating Circulator with ECM and Controls"/>
    <x v="133"/>
    <x v="66"/>
    <x v="8"/>
    <x v="1"/>
    <x v="0"/>
    <n v="0"/>
    <x v="0"/>
    <n v="343.30448959"/>
  </r>
  <r>
    <x v="0"/>
    <x v="0"/>
    <x v="13"/>
    <s v="Residential, Hydronic Heating Circulator with ECM"/>
    <x v="134"/>
    <x v="66"/>
    <x v="7"/>
    <x v="0"/>
    <x v="0"/>
    <n v="856.83124999999995"/>
    <x v="0"/>
    <n v="87.042615659999996"/>
  </r>
  <r>
    <x v="0"/>
    <x v="0"/>
    <x v="13"/>
    <s v="Residential, Hydronic Heating Circulator with ECM"/>
    <x v="134"/>
    <x v="66"/>
    <x v="7"/>
    <x v="2"/>
    <x v="0"/>
    <n v="0"/>
    <x v="0"/>
    <n v="87.042615659999996"/>
  </r>
  <r>
    <x v="0"/>
    <x v="0"/>
    <x v="13"/>
    <s v="Residential, Hydronic Heating Circulator with ECM"/>
    <x v="134"/>
    <x v="66"/>
    <x v="7"/>
    <x v="1"/>
    <x v="0"/>
    <n v="0"/>
    <x v="0"/>
    <n v="87.042615659999996"/>
  </r>
  <r>
    <x v="0"/>
    <x v="0"/>
    <x v="0"/>
    <s v="Televisions, Ultra-High Definition, ENERGY STAR v9 (Standby Mode Power)"/>
    <x v="135"/>
    <x v="67"/>
    <x v="43"/>
    <x v="0"/>
    <x v="0"/>
    <n v="788603.49061218998"/>
    <x v="0"/>
    <n v="82.400400000000005"/>
  </r>
  <r>
    <x v="0"/>
    <x v="0"/>
    <x v="0"/>
    <s v="Televisions, Ultra-High Definition, ENERGY STAR v9 (Standby Mode Power)"/>
    <x v="135"/>
    <x v="67"/>
    <x v="43"/>
    <x v="2"/>
    <x v="0"/>
    <n v="471646.70398692001"/>
    <x v="0"/>
    <n v="82.400400000000005"/>
  </r>
  <r>
    <x v="0"/>
    <x v="1"/>
    <x v="0"/>
    <s v="Clothes Washers, Front-Loading, Electric, ENERGY STAR 7/8 (CEE Tier 1, IMEF 2.77)"/>
    <x v="0"/>
    <x v="0"/>
    <x v="0"/>
    <x v="0"/>
    <x v="0"/>
    <n v="1596.72432551"/>
    <x v="0"/>
    <n v="75.10681228"/>
  </r>
  <r>
    <x v="0"/>
    <x v="3"/>
    <x v="0"/>
    <s v="Clothes Washers, Front-Loading, Electric, ENERGY STAR 7/8 (CEE Tier 1, IMEF 2.77)"/>
    <x v="0"/>
    <x v="0"/>
    <x v="0"/>
    <x v="0"/>
    <x v="0"/>
    <n v="4470.8281114199999"/>
    <x v="0"/>
    <n v="75.10681228"/>
  </r>
  <r>
    <x v="0"/>
    <x v="2"/>
    <x v="0"/>
    <s v="Clothes Washers, Front-Loading, Electric, ENERGY STAR 7/8 (CEE Tier 1, IMEF 2.77)"/>
    <x v="0"/>
    <x v="0"/>
    <x v="0"/>
    <x v="0"/>
    <x v="0"/>
    <n v="11273.822707859999"/>
    <x v="0"/>
    <n v="75.10681228"/>
  </r>
  <r>
    <x v="0"/>
    <x v="1"/>
    <x v="0"/>
    <s v="Clothes Washers, Front-Loading, Electric, ENERGY STAR v8 Most Efficient 2017 (CEE Tier 1, IMEF 2.93)"/>
    <x v="1"/>
    <x v="0"/>
    <x v="1"/>
    <x v="0"/>
    <x v="0"/>
    <n v="170783.59154724001"/>
    <x v="0"/>
    <n v="86.139712279999998"/>
  </r>
  <r>
    <x v="0"/>
    <x v="1"/>
    <x v="0"/>
    <s v="Clothes Washers, Front-Loading, Electric, ENERGY STAR v8 Most Efficient 2017 (CEE Tier 1, IMEF 2.93)"/>
    <x v="1"/>
    <x v="0"/>
    <x v="1"/>
    <x v="1"/>
    <x v="0"/>
    <n v="0"/>
    <x v="0"/>
    <n v="86.139712279999998"/>
  </r>
  <r>
    <x v="0"/>
    <x v="3"/>
    <x v="0"/>
    <s v="Clothes Washers, Front-Loading, Electric, ENERGY STAR v8 Most Efficient 2017 (CEE Tier 1, IMEF 2.93)"/>
    <x v="1"/>
    <x v="0"/>
    <x v="1"/>
    <x v="0"/>
    <x v="0"/>
    <n v="165709.71004079"/>
    <x v="0"/>
    <n v="86.139712279999998"/>
  </r>
  <r>
    <x v="0"/>
    <x v="3"/>
    <x v="0"/>
    <s v="Clothes Washers, Front-Loading, Electric, ENERGY STAR v8 Most Efficient 2017 (CEE Tier 1, IMEF 2.93)"/>
    <x v="1"/>
    <x v="0"/>
    <x v="1"/>
    <x v="1"/>
    <x v="0"/>
    <n v="0"/>
    <x v="0"/>
    <n v="86.139712279999998"/>
  </r>
  <r>
    <x v="0"/>
    <x v="2"/>
    <x v="0"/>
    <s v="Clothes Washers, Front-Loading, Electric, ENERGY STAR v8 Most Efficient 2017 (CEE Tier 1, IMEF 2.93)"/>
    <x v="1"/>
    <x v="0"/>
    <x v="1"/>
    <x v="0"/>
    <x v="0"/>
    <n v="155202.60862645999"/>
    <x v="0"/>
    <n v="86.139712279999998"/>
  </r>
  <r>
    <x v="0"/>
    <x v="2"/>
    <x v="0"/>
    <s v="Clothes Washers, Front-Loading, Electric, ENERGY STAR v8 Most Efficient 2017 (CEE Tier 1, IMEF 2.93)"/>
    <x v="1"/>
    <x v="0"/>
    <x v="1"/>
    <x v="1"/>
    <x v="0"/>
    <n v="0"/>
    <x v="0"/>
    <n v="86.139712279999998"/>
  </r>
  <r>
    <x v="0"/>
    <x v="1"/>
    <x v="0"/>
    <s v="Clothes Washers, Front-Loading, Electric, ENERGY STAR v8 Most Efficient 2018 (CEE Tier 2, IMEF TBD)"/>
    <x v="2"/>
    <x v="0"/>
    <x v="2"/>
    <x v="0"/>
    <x v="0"/>
    <n v="0"/>
    <x v="0"/>
    <n v="0"/>
  </r>
  <r>
    <x v="0"/>
    <x v="1"/>
    <x v="0"/>
    <s v="Clothes Washers, Front-Loading, Electric, ENERGY STAR v8 Most Efficient 2018 (CEE Tier 2, IMEF TBD)"/>
    <x v="2"/>
    <x v="0"/>
    <x v="2"/>
    <x v="1"/>
    <x v="0"/>
    <n v="0"/>
    <x v="0"/>
    <n v="0"/>
  </r>
  <r>
    <x v="0"/>
    <x v="3"/>
    <x v="0"/>
    <s v="Clothes Washers, Front-Loading, Electric, ENERGY STAR v8 Most Efficient 2018 (CEE Tier 2, IMEF TBD)"/>
    <x v="2"/>
    <x v="0"/>
    <x v="2"/>
    <x v="0"/>
    <x v="0"/>
    <n v="0"/>
    <x v="0"/>
    <n v="0"/>
  </r>
  <r>
    <x v="0"/>
    <x v="3"/>
    <x v="0"/>
    <s v="Clothes Washers, Front-Loading, Electric, ENERGY STAR v8 Most Efficient 2018 (CEE Tier 2, IMEF TBD)"/>
    <x v="2"/>
    <x v="0"/>
    <x v="2"/>
    <x v="1"/>
    <x v="0"/>
    <n v="0"/>
    <x v="0"/>
    <n v="0"/>
  </r>
  <r>
    <x v="0"/>
    <x v="2"/>
    <x v="0"/>
    <s v="Clothes Washers, Front-Loading, Electric, ENERGY STAR v8 Most Efficient 2018 (CEE Tier 2, IMEF TBD)"/>
    <x v="2"/>
    <x v="0"/>
    <x v="2"/>
    <x v="0"/>
    <x v="0"/>
    <n v="0"/>
    <x v="0"/>
    <n v="0"/>
  </r>
  <r>
    <x v="0"/>
    <x v="2"/>
    <x v="0"/>
    <s v="Clothes Washers, Front-Loading, Electric, ENERGY STAR v8 Most Efficient 2018 (CEE Tier 2, IMEF TBD)"/>
    <x v="2"/>
    <x v="0"/>
    <x v="2"/>
    <x v="1"/>
    <x v="0"/>
    <n v="0"/>
    <x v="0"/>
    <n v="0"/>
  </r>
  <r>
    <x v="0"/>
    <x v="3"/>
    <x v="0"/>
    <s v="Clothes Washers, Standard-size Top-Loading, Electric, ENERGY STAR v7 (IMEF 2.06)"/>
    <x v="3"/>
    <x v="1"/>
    <x v="3"/>
    <x v="0"/>
    <x v="0"/>
    <n v="74547.499321469993"/>
    <x v="0"/>
    <n v="-0.55008771999999995"/>
  </r>
  <r>
    <x v="0"/>
    <x v="3"/>
    <x v="0"/>
    <s v="Clothes Washers, Standard-size Top-Loading, Electric, ENERGY STAR v7 (IMEF 2.06)"/>
    <x v="3"/>
    <x v="1"/>
    <x v="3"/>
    <x v="1"/>
    <x v="0"/>
    <n v="0"/>
    <x v="0"/>
    <n v="-0.55008771999999995"/>
  </r>
  <r>
    <x v="0"/>
    <x v="2"/>
    <x v="0"/>
    <s v="Clothes Washers, Standard-size Top-Loading, Electric, ENERGY STAR v7 (IMEF 2.06)"/>
    <x v="3"/>
    <x v="1"/>
    <x v="3"/>
    <x v="0"/>
    <x v="0"/>
    <n v="82097.419863000003"/>
    <x v="0"/>
    <n v="-0.55008771999999995"/>
  </r>
  <r>
    <x v="0"/>
    <x v="2"/>
    <x v="0"/>
    <s v="Clothes Washers, Standard-size Top-Loading, Electric, ENERGY STAR v7 (IMEF 2.06)"/>
    <x v="3"/>
    <x v="1"/>
    <x v="3"/>
    <x v="1"/>
    <x v="0"/>
    <n v="0"/>
    <x v="0"/>
    <n v="-0.55008771999999995"/>
  </r>
  <r>
    <x v="0"/>
    <x v="0"/>
    <x v="0"/>
    <s v="Clothes Washers, Standard-size Top-Loading, Electric, ENERGY STAR v7 (IMEF 2.06)"/>
    <x v="3"/>
    <x v="1"/>
    <x v="3"/>
    <x v="0"/>
    <x v="0"/>
    <n v="80175.913867590003"/>
    <x v="0"/>
    <n v="-0.55008771999999995"/>
  </r>
  <r>
    <x v="0"/>
    <x v="0"/>
    <x v="0"/>
    <s v="Clothes Washers, Standard-size Top-Loading, Electric, ENERGY STAR v7 (IMEF 2.06)"/>
    <x v="3"/>
    <x v="1"/>
    <x v="3"/>
    <x v="1"/>
    <x v="0"/>
    <n v="0"/>
    <x v="0"/>
    <n v="-0.55008771999999995"/>
  </r>
  <r>
    <x v="0"/>
    <x v="1"/>
    <x v="0"/>
    <s v="Clothes Washers, Standard-size Top Loading, Electric, ENERGY STAR Most Efficient 2017+"/>
    <x v="4"/>
    <x v="1"/>
    <x v="4"/>
    <x v="0"/>
    <x v="0"/>
    <n v="0"/>
    <x v="0"/>
    <n v="0"/>
  </r>
  <r>
    <x v="0"/>
    <x v="3"/>
    <x v="0"/>
    <s v="Clothes Washers, Standard-size Top Loading, Electric, ENERGY STAR Most Efficient 2017+"/>
    <x v="4"/>
    <x v="1"/>
    <x v="4"/>
    <x v="0"/>
    <x v="0"/>
    <n v="0"/>
    <x v="0"/>
    <n v="0"/>
  </r>
  <r>
    <x v="0"/>
    <x v="2"/>
    <x v="0"/>
    <s v="Clothes Washers, Standard-size Top Loading, Electric, ENERGY STAR Most Efficient 2017+"/>
    <x v="4"/>
    <x v="1"/>
    <x v="4"/>
    <x v="0"/>
    <x v="0"/>
    <n v="0"/>
    <x v="0"/>
    <n v="0"/>
  </r>
  <r>
    <x v="0"/>
    <x v="1"/>
    <x v="0"/>
    <s v="Clothes Washers, Standard-size Top-Loading, Electric, ENERGY STAR Most Efficient 2017 (CEE Tier 1, IMEF 2.76)"/>
    <x v="5"/>
    <x v="1"/>
    <x v="0"/>
    <x v="0"/>
    <x v="0"/>
    <n v="75002.695780459995"/>
    <x v="0"/>
    <n v="79.794812280000002"/>
  </r>
  <r>
    <x v="0"/>
    <x v="1"/>
    <x v="0"/>
    <s v="Clothes Washers, Standard-size Top-Loading, Electric, ENERGY STAR Most Efficient 2017 (CEE Tier 1, IMEF 2.76)"/>
    <x v="5"/>
    <x v="1"/>
    <x v="0"/>
    <x v="1"/>
    <x v="0"/>
    <n v="0"/>
    <x v="0"/>
    <n v="79.794812280000002"/>
  </r>
  <r>
    <x v="0"/>
    <x v="3"/>
    <x v="0"/>
    <s v="Clothes Washers, Standard-size Top-Loading, Electric, ENERGY STAR Most Efficient 2017 (CEE Tier 1, IMEF 2.76)"/>
    <x v="5"/>
    <x v="1"/>
    <x v="0"/>
    <x v="0"/>
    <x v="0"/>
    <n v="53539.37040331"/>
    <x v="0"/>
    <n v="79.794812280000002"/>
  </r>
  <r>
    <x v="0"/>
    <x v="3"/>
    <x v="0"/>
    <s v="Clothes Washers, Standard-size Top-Loading, Electric, ENERGY STAR Most Efficient 2017 (CEE Tier 1, IMEF 2.76)"/>
    <x v="5"/>
    <x v="1"/>
    <x v="0"/>
    <x v="1"/>
    <x v="0"/>
    <n v="0"/>
    <x v="0"/>
    <n v="79.794812280000002"/>
  </r>
  <r>
    <x v="0"/>
    <x v="2"/>
    <x v="0"/>
    <s v="Clothes Washers, Standard-size Top-Loading, Electric, ENERGY STAR Most Efficient 2017 (CEE Tier 1, IMEF 2.76)"/>
    <x v="5"/>
    <x v="1"/>
    <x v="0"/>
    <x v="0"/>
    <x v="0"/>
    <n v="40132.596937629998"/>
    <x v="0"/>
    <n v="79.794812280000002"/>
  </r>
  <r>
    <x v="0"/>
    <x v="2"/>
    <x v="0"/>
    <s v="Clothes Washers, Standard-size Top-Loading, Electric, ENERGY STAR Most Efficient 2017 (CEE Tier 1, IMEF 2.76)"/>
    <x v="5"/>
    <x v="1"/>
    <x v="0"/>
    <x v="1"/>
    <x v="0"/>
    <n v="0"/>
    <x v="0"/>
    <n v="79.794812280000002"/>
  </r>
  <r>
    <x v="0"/>
    <x v="1"/>
    <x v="1"/>
    <s v="Non-Residential, Commercial Air Compressors (2016)"/>
    <x v="6"/>
    <x v="2"/>
    <x v="5"/>
    <x v="0"/>
    <x v="0"/>
    <n v="20.848956699999999"/>
    <x v="0"/>
    <n v="2335.0974863000001"/>
  </r>
  <r>
    <x v="0"/>
    <x v="3"/>
    <x v="1"/>
    <s v="Non-Residential, Commercial Air Compressors (2016)"/>
    <x v="6"/>
    <x v="2"/>
    <x v="5"/>
    <x v="0"/>
    <x v="0"/>
    <n v="20.57109801"/>
    <x v="0"/>
    <n v="2335.0974863000001"/>
  </r>
  <r>
    <x v="0"/>
    <x v="2"/>
    <x v="1"/>
    <s v="Non-Residential, Commercial Air Compressors (2016)"/>
    <x v="6"/>
    <x v="2"/>
    <x v="5"/>
    <x v="0"/>
    <x v="0"/>
    <n v="20.296208369999999"/>
    <x v="0"/>
    <n v="2335.0974863000001"/>
  </r>
  <r>
    <x v="0"/>
    <x v="1"/>
    <x v="2"/>
    <s v="Commercial Desktops, ENERGY STAR 8.0"/>
    <x v="7"/>
    <x v="3"/>
    <x v="6"/>
    <x v="0"/>
    <x v="0"/>
    <n v="318557.69422663999"/>
    <x v="0"/>
    <n v="43.850650590000001"/>
  </r>
  <r>
    <x v="0"/>
    <x v="1"/>
    <x v="2"/>
    <s v="Commercial Desktops, ENERGY STAR 8.0"/>
    <x v="7"/>
    <x v="3"/>
    <x v="6"/>
    <x v="1"/>
    <x v="0"/>
    <n v="0"/>
    <x v="0"/>
    <n v="43.850650590000001"/>
  </r>
  <r>
    <x v="0"/>
    <x v="1"/>
    <x v="2"/>
    <s v="Commercial Desktops, ENERGY STAR 8.0"/>
    <x v="7"/>
    <x v="3"/>
    <x v="6"/>
    <x v="2"/>
    <x v="0"/>
    <n v="242877.38327645999"/>
    <x v="0"/>
    <n v="43.850650590000001"/>
  </r>
  <r>
    <x v="0"/>
    <x v="3"/>
    <x v="2"/>
    <s v="Commercial Desktops, ENERGY STAR 8.0"/>
    <x v="7"/>
    <x v="3"/>
    <x v="6"/>
    <x v="0"/>
    <x v="0"/>
    <n v="329767.38827284001"/>
    <x v="0"/>
    <n v="43.85302961"/>
  </r>
  <r>
    <x v="0"/>
    <x v="3"/>
    <x v="2"/>
    <s v="Commercial Desktops, ENERGY STAR 8.0"/>
    <x v="7"/>
    <x v="3"/>
    <x v="6"/>
    <x v="1"/>
    <x v="0"/>
    <n v="0"/>
    <x v="0"/>
    <n v="43.85302961"/>
  </r>
  <r>
    <x v="0"/>
    <x v="3"/>
    <x v="2"/>
    <s v="Commercial Desktops, ENERGY STAR 8.0"/>
    <x v="7"/>
    <x v="3"/>
    <x v="6"/>
    <x v="2"/>
    <x v="0"/>
    <n v="256775.4759127"/>
    <x v="0"/>
    <n v="43.85302961"/>
  </r>
  <r>
    <x v="0"/>
    <x v="2"/>
    <x v="2"/>
    <s v="Commercial Desktops, ENERGY STAR 8.0"/>
    <x v="7"/>
    <x v="3"/>
    <x v="6"/>
    <x v="0"/>
    <x v="0"/>
    <n v="330471.39008693001"/>
    <x v="0"/>
    <n v="43.851798770000002"/>
  </r>
  <r>
    <x v="0"/>
    <x v="2"/>
    <x v="2"/>
    <s v="Commercial Desktops, ENERGY STAR 8.0"/>
    <x v="7"/>
    <x v="3"/>
    <x v="6"/>
    <x v="1"/>
    <x v="0"/>
    <n v="0"/>
    <x v="0"/>
    <n v="43.851798770000002"/>
  </r>
  <r>
    <x v="0"/>
    <x v="2"/>
    <x v="2"/>
    <s v="Commercial Desktops, ENERGY STAR 8.0"/>
    <x v="7"/>
    <x v="3"/>
    <x v="6"/>
    <x v="2"/>
    <x v="0"/>
    <n v="262877.07708563999"/>
    <x v="0"/>
    <n v="43.851798770000002"/>
  </r>
  <r>
    <x v="0"/>
    <x v="1"/>
    <x v="3"/>
    <s v="Ductless Heat Pumps, Manufactured Home, Existing Displace - eFAF"/>
    <x v="8"/>
    <x v="4"/>
    <x v="7"/>
    <x v="0"/>
    <x v="2"/>
    <n v="22"/>
    <x v="0"/>
    <n v="2847.95602289"/>
  </r>
  <r>
    <x v="0"/>
    <x v="1"/>
    <x v="3"/>
    <s v="Ductless Heat Pumps, Manufactured Home, Existing Displace - eFAF"/>
    <x v="8"/>
    <x v="4"/>
    <x v="7"/>
    <x v="0"/>
    <x v="3"/>
    <n v="0"/>
    <x v="0"/>
    <n v="2847.95602289"/>
  </r>
  <r>
    <x v="0"/>
    <x v="1"/>
    <x v="3"/>
    <s v="Ductless Heat Pumps, Manufactured Home, Existing Displace - eFAF"/>
    <x v="8"/>
    <x v="4"/>
    <x v="7"/>
    <x v="0"/>
    <x v="4"/>
    <n v="2460.0049021899999"/>
    <x v="0"/>
    <n v="2847.95602289"/>
  </r>
  <r>
    <x v="0"/>
    <x v="1"/>
    <x v="3"/>
    <s v="Ductless Heat Pumps, Manufactured Home, Existing Displace - eFAF"/>
    <x v="8"/>
    <x v="4"/>
    <x v="7"/>
    <x v="2"/>
    <x v="2"/>
    <n v="0"/>
    <x v="0"/>
    <n v="2847.95602289"/>
  </r>
  <r>
    <x v="0"/>
    <x v="1"/>
    <x v="3"/>
    <s v="Ductless Heat Pumps, Manufactured Home, Existing Displace - eFAF"/>
    <x v="8"/>
    <x v="4"/>
    <x v="7"/>
    <x v="2"/>
    <x v="3"/>
    <n v="0"/>
    <x v="0"/>
    <n v="2847.95602289"/>
  </r>
  <r>
    <x v="0"/>
    <x v="1"/>
    <x v="3"/>
    <s v="Ductless Heat Pumps, Manufactured Home, Existing Displace - eFAF"/>
    <x v="8"/>
    <x v="4"/>
    <x v="7"/>
    <x v="2"/>
    <x v="4"/>
    <n v="0"/>
    <x v="0"/>
    <n v="2847.95602289"/>
  </r>
  <r>
    <x v="0"/>
    <x v="1"/>
    <x v="3"/>
    <s v="Ductless Heat Pumps, Manufactured Home, Existing Displace - eFAF"/>
    <x v="8"/>
    <x v="4"/>
    <x v="7"/>
    <x v="1"/>
    <x v="2"/>
    <n v="0"/>
    <x v="0"/>
    <n v="2847.95602289"/>
  </r>
  <r>
    <x v="0"/>
    <x v="1"/>
    <x v="3"/>
    <s v="Ductless Heat Pumps, Manufactured Home, Existing Displace - eFAF"/>
    <x v="8"/>
    <x v="4"/>
    <x v="7"/>
    <x v="1"/>
    <x v="3"/>
    <n v="0"/>
    <x v="0"/>
    <n v="2847.95602289"/>
  </r>
  <r>
    <x v="0"/>
    <x v="1"/>
    <x v="3"/>
    <s v="Ductless Heat Pumps, Manufactured Home, Existing Displace - eFAF"/>
    <x v="8"/>
    <x v="4"/>
    <x v="7"/>
    <x v="1"/>
    <x v="4"/>
    <n v="912.98243290000005"/>
    <x v="0"/>
    <n v="2847.95602289"/>
  </r>
  <r>
    <x v="0"/>
    <x v="3"/>
    <x v="3"/>
    <s v="Ductless Heat Pumps, Manufactured Home, Existing Displace - eFAF"/>
    <x v="8"/>
    <x v="4"/>
    <x v="7"/>
    <x v="0"/>
    <x v="2"/>
    <n v="1"/>
    <x v="0"/>
    <n v="2847.95602289"/>
  </r>
  <r>
    <x v="0"/>
    <x v="3"/>
    <x v="3"/>
    <s v="Ductless Heat Pumps, Manufactured Home, Existing Displace - eFAF"/>
    <x v="8"/>
    <x v="4"/>
    <x v="7"/>
    <x v="0"/>
    <x v="3"/>
    <n v="0"/>
    <x v="0"/>
    <n v="2847.95602289"/>
  </r>
  <r>
    <x v="0"/>
    <x v="3"/>
    <x v="3"/>
    <s v="Ductless Heat Pumps, Manufactured Home, Existing Displace - eFAF"/>
    <x v="8"/>
    <x v="4"/>
    <x v="7"/>
    <x v="0"/>
    <x v="4"/>
    <n v="2383.4827317899999"/>
    <x v="0"/>
    <n v="2847.95602289"/>
  </r>
  <r>
    <x v="0"/>
    <x v="3"/>
    <x v="3"/>
    <s v="Ductless Heat Pumps, Manufactured Home, Existing Displace - eFAF"/>
    <x v="8"/>
    <x v="4"/>
    <x v="7"/>
    <x v="2"/>
    <x v="2"/>
    <n v="0"/>
    <x v="0"/>
    <n v="2847.95602289"/>
  </r>
  <r>
    <x v="0"/>
    <x v="3"/>
    <x v="3"/>
    <s v="Ductless Heat Pumps, Manufactured Home, Existing Displace - eFAF"/>
    <x v="8"/>
    <x v="4"/>
    <x v="7"/>
    <x v="2"/>
    <x v="3"/>
    <n v="0"/>
    <x v="0"/>
    <n v="2847.95602289"/>
  </r>
  <r>
    <x v="0"/>
    <x v="3"/>
    <x v="3"/>
    <s v="Ductless Heat Pumps, Manufactured Home, Existing Displace - eFAF"/>
    <x v="8"/>
    <x v="4"/>
    <x v="7"/>
    <x v="2"/>
    <x v="4"/>
    <n v="0"/>
    <x v="0"/>
    <n v="2847.95602289"/>
  </r>
  <r>
    <x v="0"/>
    <x v="3"/>
    <x v="3"/>
    <s v="Ductless Heat Pumps, Manufactured Home, Existing Displace - eFAF"/>
    <x v="8"/>
    <x v="4"/>
    <x v="7"/>
    <x v="1"/>
    <x v="2"/>
    <n v="0"/>
    <x v="0"/>
    <n v="2847.95602289"/>
  </r>
  <r>
    <x v="0"/>
    <x v="3"/>
    <x v="3"/>
    <s v="Ductless Heat Pumps, Manufactured Home, Existing Displace - eFAF"/>
    <x v="8"/>
    <x v="4"/>
    <x v="7"/>
    <x v="1"/>
    <x v="3"/>
    <n v="0"/>
    <x v="0"/>
    <n v="2847.95602289"/>
  </r>
  <r>
    <x v="0"/>
    <x v="3"/>
    <x v="3"/>
    <s v="Ductless Heat Pumps, Manufactured Home, Existing Displace - eFAF"/>
    <x v="8"/>
    <x v="4"/>
    <x v="7"/>
    <x v="1"/>
    <x v="4"/>
    <n v="974.56645443000002"/>
    <x v="0"/>
    <n v="2847.95602289"/>
  </r>
  <r>
    <x v="0"/>
    <x v="2"/>
    <x v="3"/>
    <s v="Ductless Heat Pumps, Manufactured Home, Existing Displace - eFAF"/>
    <x v="8"/>
    <x v="4"/>
    <x v="7"/>
    <x v="0"/>
    <x v="2"/>
    <n v="0"/>
    <x v="0"/>
    <n v="2847.95602289"/>
  </r>
  <r>
    <x v="0"/>
    <x v="2"/>
    <x v="3"/>
    <s v="Ductless Heat Pumps, Manufactured Home, Existing Displace - eFAF"/>
    <x v="8"/>
    <x v="4"/>
    <x v="7"/>
    <x v="0"/>
    <x v="3"/>
    <n v="0"/>
    <x v="0"/>
    <n v="2847.95602289"/>
  </r>
  <r>
    <x v="0"/>
    <x v="2"/>
    <x v="3"/>
    <s v="Ductless Heat Pumps, Manufactured Home, Existing Displace - eFAF"/>
    <x v="8"/>
    <x v="4"/>
    <x v="7"/>
    <x v="0"/>
    <x v="4"/>
    <n v="2650.9906354999998"/>
    <x v="0"/>
    <n v="2847.95602289"/>
  </r>
  <r>
    <x v="0"/>
    <x v="2"/>
    <x v="3"/>
    <s v="Ductless Heat Pumps, Manufactured Home, Existing Displace - eFAF"/>
    <x v="8"/>
    <x v="4"/>
    <x v="7"/>
    <x v="2"/>
    <x v="2"/>
    <n v="0"/>
    <x v="0"/>
    <n v="2847.95602289"/>
  </r>
  <r>
    <x v="0"/>
    <x v="2"/>
    <x v="3"/>
    <s v="Ductless Heat Pumps, Manufactured Home, Existing Displace - eFAF"/>
    <x v="8"/>
    <x v="4"/>
    <x v="7"/>
    <x v="2"/>
    <x v="3"/>
    <n v="0"/>
    <x v="0"/>
    <n v="2847.95602289"/>
  </r>
  <r>
    <x v="0"/>
    <x v="2"/>
    <x v="3"/>
    <s v="Ductless Heat Pumps, Manufactured Home, Existing Displace - eFAF"/>
    <x v="8"/>
    <x v="4"/>
    <x v="7"/>
    <x v="2"/>
    <x v="4"/>
    <n v="0"/>
    <x v="0"/>
    <n v="2847.95602289"/>
  </r>
  <r>
    <x v="0"/>
    <x v="2"/>
    <x v="3"/>
    <s v="Ductless Heat Pumps, Manufactured Home, Existing Displace - eFAF"/>
    <x v="8"/>
    <x v="4"/>
    <x v="7"/>
    <x v="1"/>
    <x v="2"/>
    <n v="0"/>
    <x v="0"/>
    <n v="2847.95602289"/>
  </r>
  <r>
    <x v="0"/>
    <x v="2"/>
    <x v="3"/>
    <s v="Ductless Heat Pumps, Manufactured Home, Existing Displace - eFAF"/>
    <x v="8"/>
    <x v="4"/>
    <x v="7"/>
    <x v="1"/>
    <x v="3"/>
    <n v="0"/>
    <x v="0"/>
    <n v="2847.95602289"/>
  </r>
  <r>
    <x v="0"/>
    <x v="2"/>
    <x v="3"/>
    <s v="Ductless Heat Pumps, Manufactured Home, Existing Displace - eFAF"/>
    <x v="8"/>
    <x v="4"/>
    <x v="7"/>
    <x v="1"/>
    <x v="4"/>
    <n v="1203.87933847"/>
    <x v="0"/>
    <n v="2847.95602289"/>
  </r>
  <r>
    <x v="0"/>
    <x v="1"/>
    <x v="3"/>
    <s v="Ductless Heat Pumps, Single-Family Home, Existing Displace - eFAF"/>
    <x v="9"/>
    <x v="5"/>
    <x v="7"/>
    <x v="0"/>
    <x v="2"/>
    <n v="141"/>
    <x v="0"/>
    <n v="2479.0628890399998"/>
  </r>
  <r>
    <x v="0"/>
    <x v="1"/>
    <x v="3"/>
    <s v="Ductless Heat Pumps, Single-Family Home, Existing Displace - eFAF"/>
    <x v="9"/>
    <x v="5"/>
    <x v="7"/>
    <x v="0"/>
    <x v="3"/>
    <n v="0"/>
    <x v="0"/>
    <n v="2479.0628890399998"/>
  </r>
  <r>
    <x v="0"/>
    <x v="1"/>
    <x v="3"/>
    <s v="Ductless Heat Pumps, Single-Family Home, Existing Displace - eFAF"/>
    <x v="9"/>
    <x v="5"/>
    <x v="7"/>
    <x v="0"/>
    <x v="4"/>
    <n v="2207.9729322899998"/>
    <x v="0"/>
    <n v="2479.0628890399998"/>
  </r>
  <r>
    <x v="0"/>
    <x v="1"/>
    <x v="3"/>
    <s v="Ductless Heat Pumps, Single-Family Home, Existing Displace - eFAF"/>
    <x v="9"/>
    <x v="5"/>
    <x v="7"/>
    <x v="2"/>
    <x v="2"/>
    <n v="0"/>
    <x v="0"/>
    <n v="2479.0628890399998"/>
  </r>
  <r>
    <x v="0"/>
    <x v="1"/>
    <x v="3"/>
    <s v="Ductless Heat Pumps, Single-Family Home, Existing Displace - eFAF"/>
    <x v="9"/>
    <x v="5"/>
    <x v="7"/>
    <x v="2"/>
    <x v="3"/>
    <n v="0"/>
    <x v="0"/>
    <n v="2479.0628890399998"/>
  </r>
  <r>
    <x v="0"/>
    <x v="1"/>
    <x v="3"/>
    <s v="Ductless Heat Pumps, Single-Family Home, Existing Displace - eFAF"/>
    <x v="9"/>
    <x v="5"/>
    <x v="7"/>
    <x v="2"/>
    <x v="4"/>
    <n v="0"/>
    <x v="0"/>
    <n v="2479.0628890399998"/>
  </r>
  <r>
    <x v="0"/>
    <x v="1"/>
    <x v="3"/>
    <s v="Ductless Heat Pumps, Single-Family Home, Existing Displace - eFAF"/>
    <x v="9"/>
    <x v="5"/>
    <x v="7"/>
    <x v="1"/>
    <x v="2"/>
    <n v="0"/>
    <x v="0"/>
    <n v="2479.0628890399998"/>
  </r>
  <r>
    <x v="0"/>
    <x v="1"/>
    <x v="3"/>
    <s v="Ductless Heat Pumps, Single-Family Home, Existing Displace - eFAF"/>
    <x v="9"/>
    <x v="5"/>
    <x v="7"/>
    <x v="1"/>
    <x v="3"/>
    <n v="0"/>
    <x v="0"/>
    <n v="2479.0628890399998"/>
  </r>
  <r>
    <x v="0"/>
    <x v="1"/>
    <x v="3"/>
    <s v="Ductless Heat Pumps, Single-Family Home, Existing Displace - eFAF"/>
    <x v="9"/>
    <x v="5"/>
    <x v="7"/>
    <x v="1"/>
    <x v="4"/>
    <n v="864.04785931000004"/>
    <x v="0"/>
    <n v="2479.0628890399998"/>
  </r>
  <r>
    <x v="0"/>
    <x v="3"/>
    <x v="3"/>
    <s v="Ductless Heat Pumps, Single-Family Home, Existing Displace - eFAF"/>
    <x v="9"/>
    <x v="5"/>
    <x v="7"/>
    <x v="0"/>
    <x v="2"/>
    <n v="2"/>
    <x v="0"/>
    <n v="2479.0628890399998"/>
  </r>
  <r>
    <x v="0"/>
    <x v="3"/>
    <x v="3"/>
    <s v="Ductless Heat Pumps, Single-Family Home, Existing Displace - eFAF"/>
    <x v="9"/>
    <x v="5"/>
    <x v="7"/>
    <x v="0"/>
    <x v="3"/>
    <n v="0"/>
    <x v="0"/>
    <n v="2479.0628890399998"/>
  </r>
  <r>
    <x v="0"/>
    <x v="3"/>
    <x v="3"/>
    <s v="Ductless Heat Pumps, Single-Family Home, Existing Displace - eFAF"/>
    <x v="9"/>
    <x v="5"/>
    <x v="7"/>
    <x v="0"/>
    <x v="4"/>
    <n v="2686.6905338500001"/>
    <x v="0"/>
    <n v="2479.0628890399998"/>
  </r>
  <r>
    <x v="0"/>
    <x v="3"/>
    <x v="3"/>
    <s v="Ductless Heat Pumps, Single-Family Home, Existing Displace - eFAF"/>
    <x v="9"/>
    <x v="5"/>
    <x v="7"/>
    <x v="2"/>
    <x v="2"/>
    <n v="0"/>
    <x v="0"/>
    <n v="2479.0628890399998"/>
  </r>
  <r>
    <x v="0"/>
    <x v="3"/>
    <x v="3"/>
    <s v="Ductless Heat Pumps, Single-Family Home, Existing Displace - eFAF"/>
    <x v="9"/>
    <x v="5"/>
    <x v="7"/>
    <x v="2"/>
    <x v="3"/>
    <n v="0"/>
    <x v="0"/>
    <n v="2479.0628890399998"/>
  </r>
  <r>
    <x v="0"/>
    <x v="3"/>
    <x v="3"/>
    <s v="Ductless Heat Pumps, Single-Family Home, Existing Displace - eFAF"/>
    <x v="9"/>
    <x v="5"/>
    <x v="7"/>
    <x v="2"/>
    <x v="4"/>
    <n v="0"/>
    <x v="0"/>
    <n v="2479.0628890399998"/>
  </r>
  <r>
    <x v="0"/>
    <x v="3"/>
    <x v="3"/>
    <s v="Ductless Heat Pumps, Single-Family Home, Existing Displace - eFAF"/>
    <x v="9"/>
    <x v="5"/>
    <x v="7"/>
    <x v="1"/>
    <x v="2"/>
    <n v="0"/>
    <x v="0"/>
    <n v="2479.0628890399998"/>
  </r>
  <r>
    <x v="0"/>
    <x v="3"/>
    <x v="3"/>
    <s v="Ductless Heat Pumps, Single-Family Home, Existing Displace - eFAF"/>
    <x v="9"/>
    <x v="5"/>
    <x v="7"/>
    <x v="1"/>
    <x v="3"/>
    <n v="0"/>
    <x v="0"/>
    <n v="2479.0628890399998"/>
  </r>
  <r>
    <x v="0"/>
    <x v="3"/>
    <x v="3"/>
    <s v="Ductless Heat Pumps, Single-Family Home, Existing Displace - eFAF"/>
    <x v="9"/>
    <x v="5"/>
    <x v="7"/>
    <x v="1"/>
    <x v="4"/>
    <n v="1098.8998015"/>
    <x v="0"/>
    <n v="2479.0628890399998"/>
  </r>
  <r>
    <x v="0"/>
    <x v="2"/>
    <x v="3"/>
    <s v="Ductless Heat Pumps, Single-Family Home, Existing Displace - eFAF"/>
    <x v="9"/>
    <x v="5"/>
    <x v="7"/>
    <x v="0"/>
    <x v="2"/>
    <n v="0"/>
    <x v="0"/>
    <n v="2479.0628890399998"/>
  </r>
  <r>
    <x v="0"/>
    <x v="2"/>
    <x v="3"/>
    <s v="Ductless Heat Pumps, Single-Family Home, Existing Displace - eFAF"/>
    <x v="9"/>
    <x v="5"/>
    <x v="7"/>
    <x v="0"/>
    <x v="3"/>
    <n v="0"/>
    <x v="0"/>
    <n v="2479.0628890399998"/>
  </r>
  <r>
    <x v="0"/>
    <x v="2"/>
    <x v="3"/>
    <s v="Ductless Heat Pumps, Single-Family Home, Existing Displace - eFAF"/>
    <x v="9"/>
    <x v="5"/>
    <x v="7"/>
    <x v="0"/>
    <x v="4"/>
    <n v="2452.7910000000002"/>
    <x v="0"/>
    <n v="2479.0628890399998"/>
  </r>
  <r>
    <x v="0"/>
    <x v="2"/>
    <x v="3"/>
    <s v="Ductless Heat Pumps, Single-Family Home, Existing Displace - eFAF"/>
    <x v="9"/>
    <x v="5"/>
    <x v="7"/>
    <x v="2"/>
    <x v="2"/>
    <n v="0"/>
    <x v="0"/>
    <n v="2479.0628890399998"/>
  </r>
  <r>
    <x v="0"/>
    <x v="2"/>
    <x v="3"/>
    <s v="Ductless Heat Pumps, Single-Family Home, Existing Displace - eFAF"/>
    <x v="9"/>
    <x v="5"/>
    <x v="7"/>
    <x v="2"/>
    <x v="3"/>
    <n v="0"/>
    <x v="0"/>
    <n v="2479.0628890399998"/>
  </r>
  <r>
    <x v="0"/>
    <x v="2"/>
    <x v="3"/>
    <s v="Ductless Heat Pumps, Single-Family Home, Existing Displace - eFAF"/>
    <x v="9"/>
    <x v="5"/>
    <x v="7"/>
    <x v="2"/>
    <x v="4"/>
    <n v="0"/>
    <x v="0"/>
    <n v="2479.0628890399998"/>
  </r>
  <r>
    <x v="0"/>
    <x v="2"/>
    <x v="3"/>
    <s v="Ductless Heat Pumps, Single-Family Home, Existing Displace - eFAF"/>
    <x v="9"/>
    <x v="5"/>
    <x v="7"/>
    <x v="1"/>
    <x v="2"/>
    <n v="0"/>
    <x v="0"/>
    <n v="2479.0628890399998"/>
  </r>
  <r>
    <x v="0"/>
    <x v="2"/>
    <x v="3"/>
    <s v="Ductless Heat Pumps, Single-Family Home, Existing Displace - eFAF"/>
    <x v="9"/>
    <x v="5"/>
    <x v="7"/>
    <x v="1"/>
    <x v="3"/>
    <n v="0"/>
    <x v="0"/>
    <n v="2479.0628890399998"/>
  </r>
  <r>
    <x v="0"/>
    <x v="2"/>
    <x v="3"/>
    <s v="Ductless Heat Pumps, Single-Family Home, Existing Displace - eFAF"/>
    <x v="9"/>
    <x v="5"/>
    <x v="7"/>
    <x v="1"/>
    <x v="4"/>
    <n v="1113.8720623700001"/>
    <x v="0"/>
    <n v="2479.0628890399998"/>
  </r>
  <r>
    <x v="0"/>
    <x v="1"/>
    <x v="3"/>
    <s v="Ductless Heat Pumps, Single-Family Home, Existing Displace - Zonal"/>
    <x v="10"/>
    <x v="6"/>
    <x v="7"/>
    <x v="0"/>
    <x v="2"/>
    <n v="4446.99"/>
    <x v="0"/>
    <n v="1549.82844161"/>
  </r>
  <r>
    <x v="0"/>
    <x v="1"/>
    <x v="3"/>
    <s v="Ductless Heat Pumps, Single-Family Home, Existing Displace - Zonal"/>
    <x v="10"/>
    <x v="6"/>
    <x v="7"/>
    <x v="0"/>
    <x v="3"/>
    <n v="0"/>
    <x v="0"/>
    <n v="1549.82844161"/>
  </r>
  <r>
    <x v="0"/>
    <x v="1"/>
    <x v="3"/>
    <s v="Ductless Heat Pumps, Single-Family Home, Existing Displace - Zonal"/>
    <x v="10"/>
    <x v="6"/>
    <x v="7"/>
    <x v="0"/>
    <x v="4"/>
    <n v="18868.665483969999"/>
    <x v="0"/>
    <n v="1549.82844161"/>
  </r>
  <r>
    <x v="0"/>
    <x v="1"/>
    <x v="3"/>
    <s v="Ductless Heat Pumps, Single-Family Home, Existing Displace - Zonal"/>
    <x v="10"/>
    <x v="6"/>
    <x v="7"/>
    <x v="2"/>
    <x v="2"/>
    <n v="0"/>
    <x v="0"/>
    <n v="1549.82844161"/>
  </r>
  <r>
    <x v="0"/>
    <x v="1"/>
    <x v="3"/>
    <s v="Ductless Heat Pumps, Single-Family Home, Existing Displace - Zonal"/>
    <x v="10"/>
    <x v="6"/>
    <x v="7"/>
    <x v="2"/>
    <x v="3"/>
    <n v="0"/>
    <x v="0"/>
    <n v="1549.82844161"/>
  </r>
  <r>
    <x v="0"/>
    <x v="1"/>
    <x v="3"/>
    <s v="Ductless Heat Pumps, Single-Family Home, Existing Displace - Zonal"/>
    <x v="10"/>
    <x v="6"/>
    <x v="7"/>
    <x v="2"/>
    <x v="4"/>
    <n v="0"/>
    <x v="0"/>
    <n v="1549.82844161"/>
  </r>
  <r>
    <x v="0"/>
    <x v="1"/>
    <x v="3"/>
    <s v="Ductless Heat Pumps, Single-Family Home, Existing Displace - Zonal"/>
    <x v="10"/>
    <x v="6"/>
    <x v="7"/>
    <x v="1"/>
    <x v="2"/>
    <n v="0"/>
    <x v="0"/>
    <n v="1549.82844161"/>
  </r>
  <r>
    <x v="0"/>
    <x v="1"/>
    <x v="3"/>
    <s v="Ductless Heat Pumps, Single-Family Home, Existing Displace - Zonal"/>
    <x v="10"/>
    <x v="6"/>
    <x v="7"/>
    <x v="1"/>
    <x v="3"/>
    <n v="0"/>
    <x v="0"/>
    <n v="1549.82844161"/>
  </r>
  <r>
    <x v="0"/>
    <x v="1"/>
    <x v="3"/>
    <s v="Ductless Heat Pumps, Single-Family Home, Existing Displace - Zonal"/>
    <x v="10"/>
    <x v="6"/>
    <x v="7"/>
    <x v="1"/>
    <x v="4"/>
    <n v="6940.66321298"/>
    <x v="0"/>
    <n v="1549.82844161"/>
  </r>
  <r>
    <x v="0"/>
    <x v="3"/>
    <x v="3"/>
    <s v="Ductless Heat Pumps, Single-Family Home, Existing Displace - Zonal"/>
    <x v="10"/>
    <x v="6"/>
    <x v="7"/>
    <x v="0"/>
    <x v="2"/>
    <n v="590.58000000000004"/>
    <x v="0"/>
    <n v="1549.82844161"/>
  </r>
  <r>
    <x v="0"/>
    <x v="3"/>
    <x v="3"/>
    <s v="Ductless Heat Pumps, Single-Family Home, Existing Displace - Zonal"/>
    <x v="10"/>
    <x v="6"/>
    <x v="7"/>
    <x v="0"/>
    <x v="3"/>
    <n v="0"/>
    <x v="0"/>
    <n v="1549.82844161"/>
  </r>
  <r>
    <x v="0"/>
    <x v="3"/>
    <x v="3"/>
    <s v="Ductless Heat Pumps, Single-Family Home, Existing Displace - Zonal"/>
    <x v="10"/>
    <x v="6"/>
    <x v="7"/>
    <x v="0"/>
    <x v="4"/>
    <n v="18868.665483969999"/>
    <x v="0"/>
    <n v="1549.82844161"/>
  </r>
  <r>
    <x v="0"/>
    <x v="3"/>
    <x v="3"/>
    <s v="Ductless Heat Pumps, Single-Family Home, Existing Displace - Zonal"/>
    <x v="10"/>
    <x v="6"/>
    <x v="7"/>
    <x v="2"/>
    <x v="2"/>
    <n v="0"/>
    <x v="0"/>
    <n v="1549.82844161"/>
  </r>
  <r>
    <x v="0"/>
    <x v="3"/>
    <x v="3"/>
    <s v="Ductless Heat Pumps, Single-Family Home, Existing Displace - Zonal"/>
    <x v="10"/>
    <x v="6"/>
    <x v="7"/>
    <x v="2"/>
    <x v="3"/>
    <n v="0"/>
    <x v="0"/>
    <n v="1549.82844161"/>
  </r>
  <r>
    <x v="0"/>
    <x v="3"/>
    <x v="3"/>
    <s v="Ductless Heat Pumps, Single-Family Home, Existing Displace - Zonal"/>
    <x v="10"/>
    <x v="6"/>
    <x v="7"/>
    <x v="2"/>
    <x v="4"/>
    <n v="0"/>
    <x v="0"/>
    <n v="1549.82844161"/>
  </r>
  <r>
    <x v="0"/>
    <x v="3"/>
    <x v="3"/>
    <s v="Ductless Heat Pumps, Single-Family Home, Existing Displace - Zonal"/>
    <x v="10"/>
    <x v="6"/>
    <x v="7"/>
    <x v="1"/>
    <x v="2"/>
    <n v="0"/>
    <x v="0"/>
    <n v="1549.82844161"/>
  </r>
  <r>
    <x v="0"/>
    <x v="3"/>
    <x v="3"/>
    <s v="Ductless Heat Pumps, Single-Family Home, Existing Displace - Zonal"/>
    <x v="10"/>
    <x v="6"/>
    <x v="7"/>
    <x v="1"/>
    <x v="3"/>
    <n v="0"/>
    <x v="0"/>
    <n v="1549.82844161"/>
  </r>
  <r>
    <x v="0"/>
    <x v="3"/>
    <x v="3"/>
    <s v="Ductless Heat Pumps, Single-Family Home, Existing Displace - Zonal"/>
    <x v="10"/>
    <x v="6"/>
    <x v="7"/>
    <x v="1"/>
    <x v="4"/>
    <n v="7711.8480144200003"/>
    <x v="0"/>
    <n v="1549.82844161"/>
  </r>
  <r>
    <x v="0"/>
    <x v="2"/>
    <x v="3"/>
    <s v="Ductless Heat Pumps, Single-Family Home, Existing Displace - Zonal"/>
    <x v="10"/>
    <x v="6"/>
    <x v="7"/>
    <x v="0"/>
    <x v="2"/>
    <n v="0"/>
    <x v="0"/>
    <n v="1549.82844161"/>
  </r>
  <r>
    <x v="0"/>
    <x v="2"/>
    <x v="3"/>
    <s v="Ductless Heat Pumps, Single-Family Home, Existing Displace - Zonal"/>
    <x v="10"/>
    <x v="6"/>
    <x v="7"/>
    <x v="0"/>
    <x v="3"/>
    <n v="0"/>
    <x v="0"/>
    <n v="1549.82844161"/>
  </r>
  <r>
    <x v="0"/>
    <x v="2"/>
    <x v="3"/>
    <s v="Ductless Heat Pumps, Single-Family Home, Existing Displace - Zonal"/>
    <x v="10"/>
    <x v="6"/>
    <x v="7"/>
    <x v="0"/>
    <x v="4"/>
    <n v="18375.02623639"/>
    <x v="0"/>
    <n v="1549.82844161"/>
  </r>
  <r>
    <x v="0"/>
    <x v="2"/>
    <x v="3"/>
    <s v="Ductless Heat Pumps, Single-Family Home, Existing Displace - Zonal"/>
    <x v="10"/>
    <x v="6"/>
    <x v="7"/>
    <x v="2"/>
    <x v="2"/>
    <n v="0"/>
    <x v="0"/>
    <n v="1549.82844161"/>
  </r>
  <r>
    <x v="0"/>
    <x v="2"/>
    <x v="3"/>
    <s v="Ductless Heat Pumps, Single-Family Home, Existing Displace - Zonal"/>
    <x v="10"/>
    <x v="6"/>
    <x v="7"/>
    <x v="2"/>
    <x v="3"/>
    <n v="0"/>
    <x v="0"/>
    <n v="1549.82844161"/>
  </r>
  <r>
    <x v="0"/>
    <x v="2"/>
    <x v="3"/>
    <s v="Ductless Heat Pumps, Single-Family Home, Existing Displace - Zonal"/>
    <x v="10"/>
    <x v="6"/>
    <x v="7"/>
    <x v="2"/>
    <x v="4"/>
    <n v="0"/>
    <x v="0"/>
    <n v="1549.82844161"/>
  </r>
  <r>
    <x v="0"/>
    <x v="2"/>
    <x v="3"/>
    <s v="Ductless Heat Pumps, Single-Family Home, Existing Displace - Zonal"/>
    <x v="10"/>
    <x v="6"/>
    <x v="7"/>
    <x v="1"/>
    <x v="2"/>
    <n v="0"/>
    <x v="0"/>
    <n v="1549.82844161"/>
  </r>
  <r>
    <x v="0"/>
    <x v="2"/>
    <x v="3"/>
    <s v="Ductless Heat Pumps, Single-Family Home, Existing Displace - Zonal"/>
    <x v="10"/>
    <x v="6"/>
    <x v="7"/>
    <x v="1"/>
    <x v="3"/>
    <n v="0"/>
    <x v="0"/>
    <n v="1549.82844161"/>
  </r>
  <r>
    <x v="0"/>
    <x v="2"/>
    <x v="3"/>
    <s v="Ductless Heat Pumps, Single-Family Home, Existing Displace - Zonal"/>
    <x v="10"/>
    <x v="6"/>
    <x v="7"/>
    <x v="1"/>
    <x v="4"/>
    <n v="8344.5464248900007"/>
    <x v="0"/>
    <n v="1549.82844161"/>
  </r>
  <r>
    <x v="0"/>
    <x v="1"/>
    <x v="4"/>
    <s v="HPWH, Existing Construction, Large Tank, Tier 1"/>
    <x v="11"/>
    <x v="7"/>
    <x v="7"/>
    <x v="2"/>
    <x v="0"/>
    <n v="7250"/>
    <x v="0"/>
    <n v="1049.1477771"/>
  </r>
  <r>
    <x v="0"/>
    <x v="1"/>
    <x v="4"/>
    <s v="HPWH, Existing Construction, Large Tank, Tier 1"/>
    <x v="11"/>
    <x v="7"/>
    <x v="7"/>
    <x v="0"/>
    <x v="0"/>
    <n v="7250"/>
    <x v="0"/>
    <n v="1049.1477771"/>
  </r>
  <r>
    <x v="0"/>
    <x v="1"/>
    <x v="4"/>
    <s v="HPWH, Existing Construction, Large Tank, Tier 1"/>
    <x v="11"/>
    <x v="7"/>
    <x v="7"/>
    <x v="1"/>
    <x v="0"/>
    <n v="2568"/>
    <x v="0"/>
    <n v="1049.1477771"/>
  </r>
  <r>
    <x v="0"/>
    <x v="3"/>
    <x v="4"/>
    <s v="HPWH, Existing Construction, Large Tank, Tier 1"/>
    <x v="11"/>
    <x v="7"/>
    <x v="7"/>
    <x v="2"/>
    <x v="0"/>
    <n v="5525"/>
    <x v="0"/>
    <n v="1049.1477771"/>
  </r>
  <r>
    <x v="0"/>
    <x v="3"/>
    <x v="4"/>
    <s v="HPWH, Existing Construction, Large Tank, Tier 1"/>
    <x v="11"/>
    <x v="7"/>
    <x v="7"/>
    <x v="0"/>
    <x v="0"/>
    <n v="5525"/>
    <x v="0"/>
    <n v="1049.1477771"/>
  </r>
  <r>
    <x v="0"/>
    <x v="3"/>
    <x v="4"/>
    <s v="HPWH, Existing Construction, Large Tank, Tier 1"/>
    <x v="11"/>
    <x v="7"/>
    <x v="7"/>
    <x v="1"/>
    <x v="0"/>
    <n v="1957"/>
    <x v="0"/>
    <n v="1049.1477771"/>
  </r>
  <r>
    <x v="0"/>
    <x v="2"/>
    <x v="4"/>
    <s v="HPWH, Existing Construction, Large Tank, Tier 1"/>
    <x v="11"/>
    <x v="7"/>
    <x v="7"/>
    <x v="2"/>
    <x v="0"/>
    <n v="4083"/>
    <x v="0"/>
    <n v="1049.1477771"/>
  </r>
  <r>
    <x v="0"/>
    <x v="2"/>
    <x v="4"/>
    <s v="HPWH, Existing Construction, Large Tank, Tier 1"/>
    <x v="11"/>
    <x v="7"/>
    <x v="7"/>
    <x v="0"/>
    <x v="0"/>
    <n v="4083"/>
    <x v="0"/>
    <n v="1049.1477771"/>
  </r>
  <r>
    <x v="0"/>
    <x v="2"/>
    <x v="4"/>
    <s v="HPWH, Existing Construction, Large Tank, Tier 1"/>
    <x v="11"/>
    <x v="7"/>
    <x v="7"/>
    <x v="1"/>
    <x v="0"/>
    <n v="1446"/>
    <x v="0"/>
    <n v="1049.1477771"/>
  </r>
  <r>
    <x v="0"/>
    <x v="1"/>
    <x v="4"/>
    <s v="HPWH, Existing Construction, Large Tank, Tier 2"/>
    <x v="12"/>
    <x v="7"/>
    <x v="8"/>
    <x v="2"/>
    <x v="0"/>
    <n v="253.75"/>
    <x v="0"/>
    <n v="288.90995240000001"/>
  </r>
  <r>
    <x v="0"/>
    <x v="1"/>
    <x v="4"/>
    <s v="HPWH, Existing Construction, Large Tank, Tier 2"/>
    <x v="12"/>
    <x v="7"/>
    <x v="8"/>
    <x v="0"/>
    <x v="0"/>
    <n v="7250"/>
    <x v="0"/>
    <n v="288.90995240000001"/>
  </r>
  <r>
    <x v="0"/>
    <x v="1"/>
    <x v="4"/>
    <s v="HPWH, Existing Construction, Large Tank, Tier 2"/>
    <x v="12"/>
    <x v="7"/>
    <x v="8"/>
    <x v="1"/>
    <x v="0"/>
    <n v="2749"/>
    <x v="0"/>
    <n v="288.90995240000001"/>
  </r>
  <r>
    <x v="0"/>
    <x v="3"/>
    <x v="4"/>
    <s v="HPWH, Existing Construction, Large Tank, Tier 2"/>
    <x v="12"/>
    <x v="7"/>
    <x v="8"/>
    <x v="2"/>
    <x v="0"/>
    <n v="193.16499999999999"/>
    <x v="0"/>
    <n v="288.90995240000001"/>
  </r>
  <r>
    <x v="0"/>
    <x v="3"/>
    <x v="4"/>
    <s v="HPWH, Existing Construction, Large Tank, Tier 2"/>
    <x v="12"/>
    <x v="7"/>
    <x v="8"/>
    <x v="0"/>
    <x v="0"/>
    <n v="5519"/>
    <x v="0"/>
    <n v="288.90995240000001"/>
  </r>
  <r>
    <x v="0"/>
    <x v="3"/>
    <x v="4"/>
    <s v="HPWH, Existing Construction, Large Tank, Tier 2"/>
    <x v="12"/>
    <x v="7"/>
    <x v="8"/>
    <x v="1"/>
    <x v="0"/>
    <n v="2093"/>
    <x v="0"/>
    <n v="288.90995240000001"/>
  </r>
  <r>
    <x v="0"/>
    <x v="2"/>
    <x v="4"/>
    <s v="HPWH, Existing Construction, Large Tank, Tier 2"/>
    <x v="12"/>
    <x v="7"/>
    <x v="8"/>
    <x v="2"/>
    <x v="0"/>
    <n v="142.76499999999999"/>
    <x v="0"/>
    <n v="288.90995240000001"/>
  </r>
  <r>
    <x v="0"/>
    <x v="2"/>
    <x v="4"/>
    <s v="HPWH, Existing Construction, Large Tank, Tier 2"/>
    <x v="12"/>
    <x v="7"/>
    <x v="8"/>
    <x v="0"/>
    <x v="0"/>
    <n v="4079"/>
    <x v="0"/>
    <n v="288.90995240000001"/>
  </r>
  <r>
    <x v="0"/>
    <x v="2"/>
    <x v="4"/>
    <s v="HPWH, Existing Construction, Large Tank, Tier 2"/>
    <x v="12"/>
    <x v="7"/>
    <x v="8"/>
    <x v="1"/>
    <x v="0"/>
    <n v="1547"/>
    <x v="0"/>
    <n v="288.90995240000001"/>
  </r>
  <r>
    <x v="0"/>
    <x v="0"/>
    <x v="4"/>
    <s v="HPWH, Existing Construction, Large Tank, Tier 3"/>
    <x v="13"/>
    <x v="7"/>
    <x v="9"/>
    <x v="2"/>
    <x v="0"/>
    <n v="383.44069587000001"/>
    <x v="0"/>
    <n v="169.11900077000001"/>
  </r>
  <r>
    <x v="0"/>
    <x v="0"/>
    <x v="4"/>
    <s v="HPWH, Existing Construction, Large Tank, Tier 3"/>
    <x v="13"/>
    <x v="7"/>
    <x v="9"/>
    <x v="0"/>
    <x v="0"/>
    <n v="10955.448453380001"/>
    <x v="0"/>
    <n v="169.11900077000001"/>
  </r>
  <r>
    <x v="0"/>
    <x v="0"/>
    <x v="4"/>
    <s v="HPWH, Existing Construction, Large Tank, Tier 3"/>
    <x v="13"/>
    <x v="7"/>
    <x v="9"/>
    <x v="1"/>
    <x v="0"/>
    <n v="4940.7199039500001"/>
    <x v="0"/>
    <n v="169.11900077000001"/>
  </r>
  <r>
    <x v="0"/>
    <x v="1"/>
    <x v="4"/>
    <s v="HPWH, Existing Construction, Large Tank, Tier 3"/>
    <x v="13"/>
    <x v="7"/>
    <x v="9"/>
    <x v="2"/>
    <x v="0"/>
    <n v="253.75"/>
    <x v="0"/>
    <n v="169.11900077000001"/>
  </r>
  <r>
    <x v="0"/>
    <x v="1"/>
    <x v="4"/>
    <s v="HPWH, Existing Construction, Large Tank, Tier 3"/>
    <x v="13"/>
    <x v="7"/>
    <x v="9"/>
    <x v="0"/>
    <x v="0"/>
    <n v="7250"/>
    <x v="0"/>
    <n v="169.11900077000001"/>
  </r>
  <r>
    <x v="0"/>
    <x v="1"/>
    <x v="4"/>
    <s v="HPWH, Existing Construction, Large Tank, Tier 3"/>
    <x v="13"/>
    <x v="7"/>
    <x v="9"/>
    <x v="1"/>
    <x v="0"/>
    <n v="2554"/>
    <x v="0"/>
    <n v="169.11900077000001"/>
  </r>
  <r>
    <x v="0"/>
    <x v="3"/>
    <x v="4"/>
    <s v="HPWH, Existing Construction, Large Tank, Tier 3"/>
    <x v="13"/>
    <x v="7"/>
    <x v="9"/>
    <x v="2"/>
    <x v="0"/>
    <n v="191.87"/>
    <x v="0"/>
    <n v="169.11900077000001"/>
  </r>
  <r>
    <x v="0"/>
    <x v="3"/>
    <x v="4"/>
    <s v="HPWH, Existing Construction, Large Tank, Tier 3"/>
    <x v="13"/>
    <x v="7"/>
    <x v="9"/>
    <x v="0"/>
    <x v="0"/>
    <n v="5482"/>
    <x v="0"/>
    <n v="169.11900077000001"/>
  </r>
  <r>
    <x v="0"/>
    <x v="3"/>
    <x v="4"/>
    <s v="HPWH, Existing Construction, Large Tank, Tier 3"/>
    <x v="13"/>
    <x v="7"/>
    <x v="9"/>
    <x v="1"/>
    <x v="0"/>
    <n v="1931"/>
    <x v="0"/>
    <n v="169.11900077000001"/>
  </r>
  <r>
    <x v="0"/>
    <x v="1"/>
    <x v="4"/>
    <s v="HPWH, Existing Construction, Large Tank, Tier 4"/>
    <x v="14"/>
    <x v="7"/>
    <x v="10"/>
    <x v="2"/>
    <x v="0"/>
    <n v="253.75"/>
    <x v="0"/>
    <n v="290.07965223000002"/>
  </r>
  <r>
    <x v="0"/>
    <x v="1"/>
    <x v="4"/>
    <s v="HPWH, Existing Construction, Large Tank, Tier 4"/>
    <x v="14"/>
    <x v="7"/>
    <x v="10"/>
    <x v="0"/>
    <x v="0"/>
    <n v="7250"/>
    <x v="0"/>
    <n v="290.07965223000002"/>
  </r>
  <r>
    <x v="0"/>
    <x v="1"/>
    <x v="4"/>
    <s v="HPWH, Existing Construction, Large Tank, Tier 4"/>
    <x v="14"/>
    <x v="7"/>
    <x v="10"/>
    <x v="1"/>
    <x v="0"/>
    <n v="2554"/>
    <x v="0"/>
    <n v="290.07965223000002"/>
  </r>
  <r>
    <x v="0"/>
    <x v="3"/>
    <x v="4"/>
    <s v="HPWH, Existing Construction, Large Tank, Tier 4"/>
    <x v="14"/>
    <x v="7"/>
    <x v="10"/>
    <x v="2"/>
    <x v="0"/>
    <n v="154.69999999999999"/>
    <x v="0"/>
    <n v="290.07965223000002"/>
  </r>
  <r>
    <x v="0"/>
    <x v="3"/>
    <x v="4"/>
    <s v="HPWH, Existing Construction, Large Tank, Tier 4"/>
    <x v="14"/>
    <x v="7"/>
    <x v="10"/>
    <x v="0"/>
    <x v="0"/>
    <n v="4420"/>
    <x v="0"/>
    <n v="290.07965223000002"/>
  </r>
  <r>
    <x v="0"/>
    <x v="3"/>
    <x v="4"/>
    <s v="HPWH, Existing Construction, Large Tank, Tier 4"/>
    <x v="14"/>
    <x v="7"/>
    <x v="10"/>
    <x v="1"/>
    <x v="0"/>
    <n v="1557"/>
    <x v="0"/>
    <n v="290.07965223000002"/>
  </r>
  <r>
    <x v="0"/>
    <x v="2"/>
    <x v="4"/>
    <s v="HPWH, Existing Construction, Large Tank, Tier 4"/>
    <x v="14"/>
    <x v="7"/>
    <x v="10"/>
    <x v="2"/>
    <x v="0"/>
    <n v="85.75"/>
    <x v="0"/>
    <n v="290.07965223000002"/>
  </r>
  <r>
    <x v="0"/>
    <x v="2"/>
    <x v="4"/>
    <s v="HPWH, Existing Construction, Large Tank, Tier 4"/>
    <x v="14"/>
    <x v="7"/>
    <x v="10"/>
    <x v="0"/>
    <x v="0"/>
    <n v="2450"/>
    <x v="0"/>
    <n v="290.07965223000002"/>
  </r>
  <r>
    <x v="0"/>
    <x v="2"/>
    <x v="4"/>
    <s v="HPWH, Existing Construction, Large Tank, Tier 4"/>
    <x v="14"/>
    <x v="7"/>
    <x v="10"/>
    <x v="1"/>
    <x v="0"/>
    <n v="863"/>
    <x v="0"/>
    <n v="290.07965223000002"/>
  </r>
  <r>
    <x v="0"/>
    <x v="0"/>
    <x v="4"/>
    <s v="HPWH, Existing Construction, Small Tank, Tier 1"/>
    <x v="15"/>
    <x v="8"/>
    <x v="7"/>
    <x v="2"/>
    <x v="0"/>
    <n v="1042.91069027"/>
    <x v="0"/>
    <n v="1049.1477771"/>
  </r>
  <r>
    <x v="0"/>
    <x v="0"/>
    <x v="4"/>
    <s v="HPWH, Existing Construction, Small Tank, Tier 1"/>
    <x v="15"/>
    <x v="8"/>
    <x v="7"/>
    <x v="0"/>
    <x v="0"/>
    <n v="29797.44829344"/>
    <x v="0"/>
    <n v="1049.1477771"/>
  </r>
  <r>
    <x v="0"/>
    <x v="0"/>
    <x v="4"/>
    <s v="HPWH, Existing Construction, Small Tank, Tier 1"/>
    <x v="15"/>
    <x v="8"/>
    <x v="7"/>
    <x v="1"/>
    <x v="0"/>
    <n v="14123.57836947"/>
    <x v="0"/>
    <n v="1049.1477771"/>
  </r>
  <r>
    <x v="0"/>
    <x v="1"/>
    <x v="4"/>
    <s v="HPWH, Existing Construction, Small Tank, Tier 1"/>
    <x v="15"/>
    <x v="8"/>
    <x v="7"/>
    <x v="2"/>
    <x v="0"/>
    <n v="592.02499999999998"/>
    <x v="0"/>
    <n v="1049.1477771"/>
  </r>
  <r>
    <x v="0"/>
    <x v="1"/>
    <x v="4"/>
    <s v="HPWH, Existing Construction, Small Tank, Tier 1"/>
    <x v="15"/>
    <x v="8"/>
    <x v="7"/>
    <x v="0"/>
    <x v="0"/>
    <n v="16915"/>
    <x v="0"/>
    <n v="1049.1477771"/>
  </r>
  <r>
    <x v="0"/>
    <x v="1"/>
    <x v="4"/>
    <s v="HPWH, Existing Construction, Small Tank, Tier 1"/>
    <x v="15"/>
    <x v="8"/>
    <x v="7"/>
    <x v="1"/>
    <x v="0"/>
    <n v="9115"/>
    <x v="0"/>
    <n v="1049.1477771"/>
  </r>
  <r>
    <x v="0"/>
    <x v="3"/>
    <x v="4"/>
    <s v="HPWH, Existing Construction, Small Tank, Tier 1"/>
    <x v="15"/>
    <x v="8"/>
    <x v="7"/>
    <x v="2"/>
    <x v="0"/>
    <n v="451.22"/>
    <x v="0"/>
    <n v="1049.1477771"/>
  </r>
  <r>
    <x v="0"/>
    <x v="3"/>
    <x v="4"/>
    <s v="HPWH, Existing Construction, Small Tank, Tier 1"/>
    <x v="15"/>
    <x v="8"/>
    <x v="7"/>
    <x v="0"/>
    <x v="0"/>
    <n v="12892"/>
    <x v="0"/>
    <n v="1049.1477771"/>
  </r>
  <r>
    <x v="0"/>
    <x v="3"/>
    <x v="4"/>
    <s v="HPWH, Existing Construction, Small Tank, Tier 1"/>
    <x v="15"/>
    <x v="8"/>
    <x v="7"/>
    <x v="1"/>
    <x v="0"/>
    <n v="6947"/>
    <x v="0"/>
    <n v="1049.1477771"/>
  </r>
  <r>
    <x v="0"/>
    <x v="1"/>
    <x v="4"/>
    <s v="HPWH, Existing Construction, Small Tank, Tier 2"/>
    <x v="16"/>
    <x v="8"/>
    <x v="8"/>
    <x v="2"/>
    <x v="0"/>
    <n v="592.02499999999998"/>
    <x v="0"/>
    <n v="288.90995240000001"/>
  </r>
  <r>
    <x v="0"/>
    <x v="1"/>
    <x v="4"/>
    <s v="HPWH, Existing Construction, Small Tank, Tier 2"/>
    <x v="16"/>
    <x v="8"/>
    <x v="8"/>
    <x v="0"/>
    <x v="0"/>
    <n v="16915"/>
    <x v="0"/>
    <n v="288.90995240000001"/>
  </r>
  <r>
    <x v="0"/>
    <x v="1"/>
    <x v="4"/>
    <s v="HPWH, Existing Construction, Small Tank, Tier 2"/>
    <x v="16"/>
    <x v="8"/>
    <x v="8"/>
    <x v="1"/>
    <x v="0"/>
    <n v="8811"/>
    <x v="0"/>
    <n v="288.90995240000001"/>
  </r>
  <r>
    <x v="0"/>
    <x v="3"/>
    <x v="4"/>
    <s v="HPWH, Existing Construction, Small Tank, Tier 2"/>
    <x v="16"/>
    <x v="8"/>
    <x v="8"/>
    <x v="2"/>
    <x v="0"/>
    <n v="443.13499999999999"/>
    <x v="0"/>
    <n v="288.90995240000001"/>
  </r>
  <r>
    <x v="0"/>
    <x v="3"/>
    <x v="4"/>
    <s v="HPWH, Existing Construction, Small Tank, Tier 2"/>
    <x v="16"/>
    <x v="8"/>
    <x v="8"/>
    <x v="0"/>
    <x v="0"/>
    <n v="12661"/>
    <x v="0"/>
    <n v="288.90995240000001"/>
  </r>
  <r>
    <x v="0"/>
    <x v="3"/>
    <x v="4"/>
    <s v="HPWH, Existing Construction, Small Tank, Tier 2"/>
    <x v="16"/>
    <x v="8"/>
    <x v="8"/>
    <x v="1"/>
    <x v="0"/>
    <n v="6595"/>
    <x v="0"/>
    <n v="288.90995240000001"/>
  </r>
  <r>
    <x v="0"/>
    <x v="2"/>
    <x v="4"/>
    <s v="HPWH, Existing Construction, Small Tank, Tier 2"/>
    <x v="16"/>
    <x v="8"/>
    <x v="8"/>
    <x v="2"/>
    <x v="0"/>
    <n v="340.30500000000001"/>
    <x v="0"/>
    <n v="288.90995240000001"/>
  </r>
  <r>
    <x v="0"/>
    <x v="2"/>
    <x v="4"/>
    <s v="HPWH, Existing Construction, Small Tank, Tier 2"/>
    <x v="16"/>
    <x v="8"/>
    <x v="8"/>
    <x v="0"/>
    <x v="0"/>
    <n v="9723"/>
    <x v="0"/>
    <n v="288.90995240000001"/>
  </r>
  <r>
    <x v="0"/>
    <x v="2"/>
    <x v="4"/>
    <s v="HPWH, Existing Construction, Small Tank, Tier 2"/>
    <x v="16"/>
    <x v="8"/>
    <x v="8"/>
    <x v="1"/>
    <x v="0"/>
    <n v="5065"/>
    <x v="0"/>
    <n v="288.90995240000001"/>
  </r>
  <r>
    <x v="0"/>
    <x v="1"/>
    <x v="4"/>
    <s v="HPWH, Existing Construction, Small Tank, Tier 3"/>
    <x v="17"/>
    <x v="8"/>
    <x v="9"/>
    <x v="2"/>
    <x v="0"/>
    <n v="592.02499999999998"/>
    <x v="0"/>
    <n v="169.11900077000001"/>
  </r>
  <r>
    <x v="0"/>
    <x v="1"/>
    <x v="4"/>
    <s v="HPWH, Existing Construction, Small Tank, Tier 3"/>
    <x v="17"/>
    <x v="8"/>
    <x v="9"/>
    <x v="0"/>
    <x v="0"/>
    <n v="16915"/>
    <x v="0"/>
    <n v="169.11900077000001"/>
  </r>
  <r>
    <x v="0"/>
    <x v="1"/>
    <x v="4"/>
    <s v="HPWH, Existing Construction, Small Tank, Tier 3"/>
    <x v="17"/>
    <x v="8"/>
    <x v="9"/>
    <x v="1"/>
    <x v="0"/>
    <n v="8817"/>
    <x v="0"/>
    <n v="169.11900077000001"/>
  </r>
  <r>
    <x v="0"/>
    <x v="3"/>
    <x v="4"/>
    <s v="HPWH, Existing Construction, Small Tank, Tier 3"/>
    <x v="17"/>
    <x v="8"/>
    <x v="9"/>
    <x v="2"/>
    <x v="0"/>
    <n v="440.125"/>
    <x v="0"/>
    <n v="169.11900077000001"/>
  </r>
  <r>
    <x v="0"/>
    <x v="3"/>
    <x v="4"/>
    <s v="HPWH, Existing Construction, Small Tank, Tier 3"/>
    <x v="17"/>
    <x v="8"/>
    <x v="9"/>
    <x v="0"/>
    <x v="0"/>
    <n v="12575"/>
    <x v="0"/>
    <n v="169.11900077000001"/>
  </r>
  <r>
    <x v="0"/>
    <x v="3"/>
    <x v="4"/>
    <s v="HPWH, Existing Construction, Small Tank, Tier 3"/>
    <x v="17"/>
    <x v="8"/>
    <x v="9"/>
    <x v="1"/>
    <x v="0"/>
    <n v="6555"/>
    <x v="0"/>
    <n v="169.11900077000001"/>
  </r>
  <r>
    <x v="0"/>
    <x v="2"/>
    <x v="4"/>
    <s v="HPWH, Existing Construction, Small Tank, Tier 3"/>
    <x v="17"/>
    <x v="8"/>
    <x v="9"/>
    <x v="2"/>
    <x v="0"/>
    <n v="337.995"/>
    <x v="0"/>
    <n v="169.11900077000001"/>
  </r>
  <r>
    <x v="0"/>
    <x v="2"/>
    <x v="4"/>
    <s v="HPWH, Existing Construction, Small Tank, Tier 3"/>
    <x v="17"/>
    <x v="8"/>
    <x v="9"/>
    <x v="0"/>
    <x v="0"/>
    <n v="9657"/>
    <x v="0"/>
    <n v="169.11900077000001"/>
  </r>
  <r>
    <x v="0"/>
    <x v="2"/>
    <x v="4"/>
    <s v="HPWH, Existing Construction, Small Tank, Tier 3"/>
    <x v="17"/>
    <x v="8"/>
    <x v="9"/>
    <x v="1"/>
    <x v="0"/>
    <n v="5034"/>
    <x v="0"/>
    <n v="169.11900077000001"/>
  </r>
  <r>
    <x v="0"/>
    <x v="1"/>
    <x v="4"/>
    <s v="HPWH, Existing Construction, Small Tank, Tier 4"/>
    <x v="18"/>
    <x v="8"/>
    <x v="10"/>
    <x v="2"/>
    <x v="0"/>
    <n v="592.02499999999998"/>
    <x v="0"/>
    <n v="290.07965223000002"/>
  </r>
  <r>
    <x v="0"/>
    <x v="1"/>
    <x v="4"/>
    <s v="HPWH, Existing Construction, Small Tank, Tier 4"/>
    <x v="18"/>
    <x v="8"/>
    <x v="10"/>
    <x v="0"/>
    <x v="0"/>
    <n v="16915"/>
    <x v="0"/>
    <n v="290.07965223000002"/>
  </r>
  <r>
    <x v="0"/>
    <x v="1"/>
    <x v="4"/>
    <s v="HPWH, Existing Construction, Small Tank, Tier 4"/>
    <x v="18"/>
    <x v="8"/>
    <x v="10"/>
    <x v="1"/>
    <x v="0"/>
    <n v="8817"/>
    <x v="0"/>
    <n v="290.07965223000002"/>
  </r>
  <r>
    <x v="0"/>
    <x v="3"/>
    <x v="4"/>
    <s v="HPWH, Existing Construction, Small Tank, Tier 4"/>
    <x v="18"/>
    <x v="8"/>
    <x v="10"/>
    <x v="2"/>
    <x v="0"/>
    <n v="360.99"/>
    <x v="0"/>
    <n v="290.07965223000002"/>
  </r>
  <r>
    <x v="0"/>
    <x v="3"/>
    <x v="4"/>
    <s v="HPWH, Existing Construction, Small Tank, Tier 4"/>
    <x v="18"/>
    <x v="8"/>
    <x v="10"/>
    <x v="0"/>
    <x v="0"/>
    <n v="10314"/>
    <x v="0"/>
    <n v="290.07965223000002"/>
  </r>
  <r>
    <x v="0"/>
    <x v="3"/>
    <x v="4"/>
    <s v="HPWH, Existing Construction, Small Tank, Tier 4"/>
    <x v="18"/>
    <x v="8"/>
    <x v="10"/>
    <x v="1"/>
    <x v="0"/>
    <n v="5376"/>
    <x v="0"/>
    <n v="290.07965223000002"/>
  </r>
  <r>
    <x v="0"/>
    <x v="2"/>
    <x v="4"/>
    <s v="HPWH, Existing Construction, Small Tank, Tier 4"/>
    <x v="18"/>
    <x v="8"/>
    <x v="10"/>
    <x v="2"/>
    <x v="0"/>
    <n v="207.9"/>
    <x v="0"/>
    <n v="290.07965223000002"/>
  </r>
  <r>
    <x v="0"/>
    <x v="2"/>
    <x v="4"/>
    <s v="HPWH, Existing Construction, Small Tank, Tier 4"/>
    <x v="18"/>
    <x v="8"/>
    <x v="10"/>
    <x v="0"/>
    <x v="0"/>
    <n v="5940"/>
    <x v="0"/>
    <n v="290.07965223000002"/>
  </r>
  <r>
    <x v="0"/>
    <x v="2"/>
    <x v="4"/>
    <s v="HPWH, Existing Construction, Small Tank, Tier 4"/>
    <x v="18"/>
    <x v="8"/>
    <x v="10"/>
    <x v="1"/>
    <x v="0"/>
    <n v="3096"/>
    <x v="0"/>
    <n v="290.07965223000002"/>
  </r>
  <r>
    <x v="0"/>
    <x v="1"/>
    <x v="4"/>
    <s v="HPWH, New Construction, Large Tank, Tier 1"/>
    <x v="19"/>
    <x v="9"/>
    <x v="7"/>
    <x v="2"/>
    <x v="0"/>
    <n v="2160"/>
    <x v="0"/>
    <n v="291.20049375000002"/>
  </r>
  <r>
    <x v="0"/>
    <x v="1"/>
    <x v="4"/>
    <s v="HPWH, New Construction, Large Tank, Tier 1"/>
    <x v="19"/>
    <x v="9"/>
    <x v="7"/>
    <x v="0"/>
    <x v="0"/>
    <n v="2160"/>
    <x v="0"/>
    <n v="291.20049375000002"/>
  </r>
  <r>
    <x v="0"/>
    <x v="1"/>
    <x v="4"/>
    <s v="HPWH, New Construction, Large Tank, Tier 1"/>
    <x v="19"/>
    <x v="9"/>
    <x v="7"/>
    <x v="1"/>
    <x v="0"/>
    <n v="791"/>
    <x v="0"/>
    <n v="291.20049375000002"/>
  </r>
  <r>
    <x v="0"/>
    <x v="3"/>
    <x v="4"/>
    <s v="HPWH, New Construction, Large Tank, Tier 1"/>
    <x v="19"/>
    <x v="9"/>
    <x v="7"/>
    <x v="2"/>
    <x v="0"/>
    <n v="2563"/>
    <x v="0"/>
    <n v="347.41678026"/>
  </r>
  <r>
    <x v="0"/>
    <x v="3"/>
    <x v="4"/>
    <s v="HPWH, New Construction, Large Tank, Tier 1"/>
    <x v="19"/>
    <x v="9"/>
    <x v="7"/>
    <x v="0"/>
    <x v="0"/>
    <n v="2563"/>
    <x v="0"/>
    <n v="347.41678026"/>
  </r>
  <r>
    <x v="0"/>
    <x v="3"/>
    <x v="4"/>
    <s v="HPWH, New Construction, Large Tank, Tier 1"/>
    <x v="19"/>
    <x v="9"/>
    <x v="7"/>
    <x v="1"/>
    <x v="0"/>
    <n v="791"/>
    <x v="0"/>
    <n v="347.41678026"/>
  </r>
  <r>
    <x v="0"/>
    <x v="2"/>
    <x v="4"/>
    <s v="HPWH, New Construction, Large Tank, Tier 1"/>
    <x v="19"/>
    <x v="9"/>
    <x v="7"/>
    <x v="2"/>
    <x v="0"/>
    <n v="2735"/>
    <x v="0"/>
    <n v="367.38964633000001"/>
  </r>
  <r>
    <x v="0"/>
    <x v="2"/>
    <x v="4"/>
    <s v="HPWH, New Construction, Large Tank, Tier 1"/>
    <x v="19"/>
    <x v="9"/>
    <x v="7"/>
    <x v="0"/>
    <x v="0"/>
    <n v="2735"/>
    <x v="0"/>
    <n v="367.38964633000001"/>
  </r>
  <r>
    <x v="0"/>
    <x v="2"/>
    <x v="4"/>
    <s v="HPWH, New Construction, Large Tank, Tier 1"/>
    <x v="19"/>
    <x v="9"/>
    <x v="7"/>
    <x v="1"/>
    <x v="0"/>
    <n v="844"/>
    <x v="0"/>
    <n v="367.38964633000001"/>
  </r>
  <r>
    <x v="0"/>
    <x v="1"/>
    <x v="4"/>
    <s v="HPWH, New Construction, Large Tank, Tier 2"/>
    <x v="20"/>
    <x v="9"/>
    <x v="8"/>
    <x v="2"/>
    <x v="0"/>
    <n v="216"/>
    <x v="0"/>
    <n v="80.189581129999993"/>
  </r>
  <r>
    <x v="0"/>
    <x v="1"/>
    <x v="4"/>
    <s v="HPWH, New Construction, Large Tank, Tier 2"/>
    <x v="20"/>
    <x v="9"/>
    <x v="8"/>
    <x v="0"/>
    <x v="0"/>
    <n v="2160"/>
    <x v="0"/>
    <n v="80.189581129999993"/>
  </r>
  <r>
    <x v="0"/>
    <x v="1"/>
    <x v="4"/>
    <s v="HPWH, New Construction, Large Tank, Tier 2"/>
    <x v="20"/>
    <x v="9"/>
    <x v="8"/>
    <x v="1"/>
    <x v="0"/>
    <n v="784"/>
    <x v="0"/>
    <n v="80.189581129999993"/>
  </r>
  <r>
    <x v="0"/>
    <x v="3"/>
    <x v="4"/>
    <s v="HPWH, New Construction, Large Tank, Tier 2"/>
    <x v="20"/>
    <x v="9"/>
    <x v="8"/>
    <x v="2"/>
    <x v="0"/>
    <n v="256"/>
    <x v="0"/>
    <n v="95.670188359999997"/>
  </r>
  <r>
    <x v="0"/>
    <x v="3"/>
    <x v="4"/>
    <s v="HPWH, New Construction, Large Tank, Tier 2"/>
    <x v="20"/>
    <x v="9"/>
    <x v="8"/>
    <x v="0"/>
    <x v="0"/>
    <n v="2560"/>
    <x v="0"/>
    <n v="95.670188359999997"/>
  </r>
  <r>
    <x v="0"/>
    <x v="3"/>
    <x v="4"/>
    <s v="HPWH, New Construction, Large Tank, Tier 2"/>
    <x v="20"/>
    <x v="9"/>
    <x v="8"/>
    <x v="1"/>
    <x v="0"/>
    <n v="784"/>
    <x v="0"/>
    <n v="95.670188359999997"/>
  </r>
  <r>
    <x v="0"/>
    <x v="2"/>
    <x v="4"/>
    <s v="HPWH, New Construction, Large Tank, Tier 2"/>
    <x v="20"/>
    <x v="9"/>
    <x v="8"/>
    <x v="2"/>
    <x v="0"/>
    <n v="273.2"/>
    <x v="0"/>
    <n v="101.17023316"/>
  </r>
  <r>
    <x v="0"/>
    <x v="2"/>
    <x v="4"/>
    <s v="HPWH, New Construction, Large Tank, Tier 2"/>
    <x v="20"/>
    <x v="9"/>
    <x v="8"/>
    <x v="0"/>
    <x v="0"/>
    <n v="2732"/>
    <x v="0"/>
    <n v="101.17023316"/>
  </r>
  <r>
    <x v="0"/>
    <x v="2"/>
    <x v="4"/>
    <s v="HPWH, New Construction, Large Tank, Tier 2"/>
    <x v="20"/>
    <x v="9"/>
    <x v="8"/>
    <x v="1"/>
    <x v="0"/>
    <n v="837"/>
    <x v="0"/>
    <n v="101.17023316"/>
  </r>
  <r>
    <x v="0"/>
    <x v="1"/>
    <x v="4"/>
    <s v="HPWH, New Construction, Large Tank, Tier 3"/>
    <x v="21"/>
    <x v="9"/>
    <x v="9"/>
    <x v="2"/>
    <x v="0"/>
    <n v="216"/>
    <x v="0"/>
    <n v="46.940514579999999"/>
  </r>
  <r>
    <x v="0"/>
    <x v="1"/>
    <x v="4"/>
    <s v="HPWH, New Construction, Large Tank, Tier 3"/>
    <x v="21"/>
    <x v="9"/>
    <x v="9"/>
    <x v="0"/>
    <x v="0"/>
    <n v="2160"/>
    <x v="0"/>
    <n v="46.940514579999999"/>
  </r>
  <r>
    <x v="0"/>
    <x v="1"/>
    <x v="4"/>
    <s v="HPWH, New Construction, Large Tank, Tier 3"/>
    <x v="21"/>
    <x v="9"/>
    <x v="9"/>
    <x v="1"/>
    <x v="0"/>
    <n v="783"/>
    <x v="0"/>
    <n v="46.940514579999999"/>
  </r>
  <r>
    <x v="0"/>
    <x v="3"/>
    <x v="4"/>
    <s v="HPWH, New Construction, Large Tank, Tier 3"/>
    <x v="21"/>
    <x v="9"/>
    <x v="9"/>
    <x v="2"/>
    <x v="0"/>
    <n v="254.3"/>
    <x v="0"/>
    <n v="56.002385949999997"/>
  </r>
  <r>
    <x v="0"/>
    <x v="3"/>
    <x v="4"/>
    <s v="HPWH, New Construction, Large Tank, Tier 3"/>
    <x v="21"/>
    <x v="9"/>
    <x v="9"/>
    <x v="0"/>
    <x v="0"/>
    <n v="2543"/>
    <x v="0"/>
    <n v="56.002385949999997"/>
  </r>
  <r>
    <x v="0"/>
    <x v="3"/>
    <x v="4"/>
    <s v="HPWH, New Construction, Large Tank, Tier 3"/>
    <x v="21"/>
    <x v="9"/>
    <x v="9"/>
    <x v="1"/>
    <x v="0"/>
    <n v="783"/>
    <x v="0"/>
    <n v="56.002385949999997"/>
  </r>
  <r>
    <x v="0"/>
    <x v="2"/>
    <x v="4"/>
    <s v="HPWH, New Construction, Large Tank, Tier 3"/>
    <x v="21"/>
    <x v="9"/>
    <x v="9"/>
    <x v="2"/>
    <x v="0"/>
    <n v="271.39999999999998"/>
    <x v="0"/>
    <n v="59.221943029999998"/>
  </r>
  <r>
    <x v="0"/>
    <x v="2"/>
    <x v="4"/>
    <s v="HPWH, New Construction, Large Tank, Tier 3"/>
    <x v="21"/>
    <x v="9"/>
    <x v="9"/>
    <x v="0"/>
    <x v="0"/>
    <n v="2714"/>
    <x v="0"/>
    <n v="59.221943029999998"/>
  </r>
  <r>
    <x v="0"/>
    <x v="2"/>
    <x v="4"/>
    <s v="HPWH, New Construction, Large Tank, Tier 3"/>
    <x v="21"/>
    <x v="9"/>
    <x v="9"/>
    <x v="1"/>
    <x v="0"/>
    <n v="836"/>
    <x v="0"/>
    <n v="59.221943029999998"/>
  </r>
  <r>
    <x v="0"/>
    <x v="1"/>
    <x v="4"/>
    <s v="HPWH, New Construction, Large Tank, Tier 4"/>
    <x v="22"/>
    <x v="9"/>
    <x v="10"/>
    <x v="2"/>
    <x v="0"/>
    <n v="216"/>
    <x v="0"/>
    <n v="80.514241940000005"/>
  </r>
  <r>
    <x v="0"/>
    <x v="1"/>
    <x v="4"/>
    <s v="HPWH, New Construction, Large Tank, Tier 4"/>
    <x v="22"/>
    <x v="9"/>
    <x v="10"/>
    <x v="0"/>
    <x v="0"/>
    <n v="2160"/>
    <x v="0"/>
    <n v="80.514241940000005"/>
  </r>
  <r>
    <x v="0"/>
    <x v="1"/>
    <x v="4"/>
    <s v="HPWH, New Construction, Large Tank, Tier 4"/>
    <x v="22"/>
    <x v="9"/>
    <x v="10"/>
    <x v="1"/>
    <x v="0"/>
    <n v="665"/>
    <x v="0"/>
    <n v="80.514241940000005"/>
  </r>
  <r>
    <x v="0"/>
    <x v="3"/>
    <x v="4"/>
    <s v="HPWH, New Construction, Large Tank, Tier 4"/>
    <x v="22"/>
    <x v="9"/>
    <x v="10"/>
    <x v="2"/>
    <x v="0"/>
    <n v="205"/>
    <x v="0"/>
    <n v="96.057524970000003"/>
  </r>
  <r>
    <x v="0"/>
    <x v="3"/>
    <x v="4"/>
    <s v="HPWH, New Construction, Large Tank, Tier 4"/>
    <x v="22"/>
    <x v="9"/>
    <x v="10"/>
    <x v="0"/>
    <x v="0"/>
    <n v="2050"/>
    <x v="0"/>
    <n v="96.057524970000003"/>
  </r>
  <r>
    <x v="0"/>
    <x v="3"/>
    <x v="4"/>
    <s v="HPWH, New Construction, Large Tank, Tier 4"/>
    <x v="22"/>
    <x v="9"/>
    <x v="10"/>
    <x v="1"/>
    <x v="0"/>
    <n v="631"/>
    <x v="0"/>
    <n v="96.057524970000003"/>
  </r>
  <r>
    <x v="0"/>
    <x v="2"/>
    <x v="4"/>
    <s v="HPWH, New Construction, Large Tank, Tier 4"/>
    <x v="22"/>
    <x v="9"/>
    <x v="10"/>
    <x v="2"/>
    <x v="0"/>
    <n v="164.1"/>
    <x v="0"/>
    <n v="101.57983762000001"/>
  </r>
  <r>
    <x v="0"/>
    <x v="2"/>
    <x v="4"/>
    <s v="HPWH, New Construction, Large Tank, Tier 4"/>
    <x v="22"/>
    <x v="9"/>
    <x v="10"/>
    <x v="0"/>
    <x v="0"/>
    <n v="1641"/>
    <x v="0"/>
    <n v="101.57983762000001"/>
  </r>
  <r>
    <x v="0"/>
    <x v="2"/>
    <x v="4"/>
    <s v="HPWH, New Construction, Large Tank, Tier 4"/>
    <x v="22"/>
    <x v="9"/>
    <x v="10"/>
    <x v="1"/>
    <x v="0"/>
    <n v="505"/>
    <x v="0"/>
    <n v="101.57983762000001"/>
  </r>
  <r>
    <x v="0"/>
    <x v="1"/>
    <x v="4"/>
    <s v="HPWH, New Construction, Small Tank, Tier 1"/>
    <x v="23"/>
    <x v="10"/>
    <x v="7"/>
    <x v="2"/>
    <x v="0"/>
    <n v="504.1"/>
    <x v="0"/>
    <n v="564.82716061999997"/>
  </r>
  <r>
    <x v="0"/>
    <x v="1"/>
    <x v="4"/>
    <s v="HPWH, New Construction, Small Tank, Tier 1"/>
    <x v="23"/>
    <x v="10"/>
    <x v="7"/>
    <x v="0"/>
    <x v="0"/>
    <n v="5041"/>
    <x v="0"/>
    <n v="564.82716061999997"/>
  </r>
  <r>
    <x v="0"/>
    <x v="1"/>
    <x v="4"/>
    <s v="HPWH, New Construction, Small Tank, Tier 1"/>
    <x v="23"/>
    <x v="10"/>
    <x v="7"/>
    <x v="1"/>
    <x v="0"/>
    <n v="1904"/>
    <x v="0"/>
    <n v="564.82716061999997"/>
  </r>
  <r>
    <x v="0"/>
    <x v="3"/>
    <x v="4"/>
    <s v="HPWH, New Construction, Small Tank, Tier 1"/>
    <x v="23"/>
    <x v="10"/>
    <x v="7"/>
    <x v="2"/>
    <x v="0"/>
    <n v="598.1"/>
    <x v="0"/>
    <n v="578.18144970000003"/>
  </r>
  <r>
    <x v="0"/>
    <x v="3"/>
    <x v="4"/>
    <s v="HPWH, New Construction, Small Tank, Tier 1"/>
    <x v="23"/>
    <x v="10"/>
    <x v="7"/>
    <x v="0"/>
    <x v="0"/>
    <n v="5981"/>
    <x v="0"/>
    <n v="578.18144970000003"/>
  </r>
  <r>
    <x v="0"/>
    <x v="3"/>
    <x v="4"/>
    <s v="HPWH, New Construction, Small Tank, Tier 1"/>
    <x v="23"/>
    <x v="10"/>
    <x v="7"/>
    <x v="1"/>
    <x v="0"/>
    <n v="1904"/>
    <x v="0"/>
    <n v="578.18144970000003"/>
  </r>
  <r>
    <x v="0"/>
    <x v="2"/>
    <x v="4"/>
    <s v="HPWH, New Construction, Small Tank, Tier 1"/>
    <x v="23"/>
    <x v="10"/>
    <x v="7"/>
    <x v="2"/>
    <x v="0"/>
    <n v="663.2"/>
    <x v="0"/>
    <n v="586.74410101000001"/>
  </r>
  <r>
    <x v="0"/>
    <x v="2"/>
    <x v="4"/>
    <s v="HPWH, New Construction, Small Tank, Tier 1"/>
    <x v="23"/>
    <x v="10"/>
    <x v="7"/>
    <x v="0"/>
    <x v="0"/>
    <n v="6632"/>
    <x v="0"/>
    <n v="586.74410101000001"/>
  </r>
  <r>
    <x v="0"/>
    <x v="2"/>
    <x v="4"/>
    <s v="HPWH, New Construction, Small Tank, Tier 1"/>
    <x v="23"/>
    <x v="10"/>
    <x v="7"/>
    <x v="1"/>
    <x v="0"/>
    <n v="2111"/>
    <x v="0"/>
    <n v="586.74410101000001"/>
  </r>
  <r>
    <x v="0"/>
    <x v="1"/>
    <x v="4"/>
    <s v="HPWH, New Construction, Small Tank, Tier 2"/>
    <x v="24"/>
    <x v="10"/>
    <x v="8"/>
    <x v="2"/>
    <x v="0"/>
    <n v="504.1"/>
    <x v="0"/>
    <n v="155.53975489000001"/>
  </r>
  <r>
    <x v="0"/>
    <x v="1"/>
    <x v="4"/>
    <s v="HPWH, New Construction, Small Tank, Tier 2"/>
    <x v="24"/>
    <x v="10"/>
    <x v="8"/>
    <x v="0"/>
    <x v="0"/>
    <n v="5041"/>
    <x v="0"/>
    <n v="155.53975489000001"/>
  </r>
  <r>
    <x v="0"/>
    <x v="1"/>
    <x v="4"/>
    <s v="HPWH, New Construction, Small Tank, Tier 2"/>
    <x v="24"/>
    <x v="10"/>
    <x v="8"/>
    <x v="1"/>
    <x v="0"/>
    <n v="1889"/>
    <x v="0"/>
    <n v="155.53975489000001"/>
  </r>
  <r>
    <x v="0"/>
    <x v="3"/>
    <x v="4"/>
    <s v="HPWH, New Construction, Small Tank, Tier 2"/>
    <x v="24"/>
    <x v="10"/>
    <x v="8"/>
    <x v="2"/>
    <x v="0"/>
    <n v="587.4"/>
    <x v="0"/>
    <n v="159.21720349"/>
  </r>
  <r>
    <x v="0"/>
    <x v="3"/>
    <x v="4"/>
    <s v="HPWH, New Construction, Small Tank, Tier 2"/>
    <x v="24"/>
    <x v="10"/>
    <x v="8"/>
    <x v="0"/>
    <x v="0"/>
    <n v="5874"/>
    <x v="0"/>
    <n v="159.21720349"/>
  </r>
  <r>
    <x v="0"/>
    <x v="3"/>
    <x v="4"/>
    <s v="HPWH, New Construction, Small Tank, Tier 2"/>
    <x v="24"/>
    <x v="10"/>
    <x v="8"/>
    <x v="1"/>
    <x v="0"/>
    <n v="1889"/>
    <x v="0"/>
    <n v="159.21720349"/>
  </r>
  <r>
    <x v="0"/>
    <x v="2"/>
    <x v="4"/>
    <s v="HPWH, New Construction, Small Tank, Tier 2"/>
    <x v="24"/>
    <x v="10"/>
    <x v="8"/>
    <x v="2"/>
    <x v="0"/>
    <n v="651.29999999999995"/>
    <x v="0"/>
    <n v="161.57515079999999"/>
  </r>
  <r>
    <x v="0"/>
    <x v="2"/>
    <x v="4"/>
    <s v="HPWH, New Construction, Small Tank, Tier 2"/>
    <x v="24"/>
    <x v="10"/>
    <x v="8"/>
    <x v="0"/>
    <x v="0"/>
    <n v="6513"/>
    <x v="0"/>
    <n v="161.57515079999999"/>
  </r>
  <r>
    <x v="0"/>
    <x v="2"/>
    <x v="4"/>
    <s v="HPWH, New Construction, Small Tank, Tier 2"/>
    <x v="24"/>
    <x v="10"/>
    <x v="8"/>
    <x v="1"/>
    <x v="0"/>
    <n v="2094"/>
    <x v="0"/>
    <n v="161.57515079999999"/>
  </r>
  <r>
    <x v="0"/>
    <x v="1"/>
    <x v="4"/>
    <s v="HPWH, New Construction, Small Tank, Tier 3"/>
    <x v="25"/>
    <x v="10"/>
    <x v="9"/>
    <x v="2"/>
    <x v="0"/>
    <n v="504.1"/>
    <x v="0"/>
    <n v="91.048188920000001"/>
  </r>
  <r>
    <x v="0"/>
    <x v="1"/>
    <x v="4"/>
    <s v="HPWH, New Construction, Small Tank, Tier 3"/>
    <x v="25"/>
    <x v="10"/>
    <x v="9"/>
    <x v="0"/>
    <x v="0"/>
    <n v="5041"/>
    <x v="0"/>
    <n v="91.048188920000001"/>
  </r>
  <r>
    <x v="0"/>
    <x v="1"/>
    <x v="4"/>
    <s v="HPWH, New Construction, Small Tank, Tier 3"/>
    <x v="25"/>
    <x v="10"/>
    <x v="9"/>
    <x v="1"/>
    <x v="0"/>
    <n v="1884"/>
    <x v="0"/>
    <n v="91.048188920000001"/>
  </r>
  <r>
    <x v="0"/>
    <x v="3"/>
    <x v="4"/>
    <s v="HPWH, New Construction, Small Tank, Tier 3"/>
    <x v="25"/>
    <x v="10"/>
    <x v="9"/>
    <x v="2"/>
    <x v="0"/>
    <n v="583.4"/>
    <x v="0"/>
    <n v="93.200854230000004"/>
  </r>
  <r>
    <x v="0"/>
    <x v="3"/>
    <x v="4"/>
    <s v="HPWH, New Construction, Small Tank, Tier 3"/>
    <x v="25"/>
    <x v="10"/>
    <x v="9"/>
    <x v="0"/>
    <x v="0"/>
    <n v="5834"/>
    <x v="0"/>
    <n v="93.200854230000004"/>
  </r>
  <r>
    <x v="0"/>
    <x v="3"/>
    <x v="4"/>
    <s v="HPWH, New Construction, Small Tank, Tier 3"/>
    <x v="25"/>
    <x v="10"/>
    <x v="9"/>
    <x v="1"/>
    <x v="0"/>
    <n v="1884"/>
    <x v="0"/>
    <n v="93.200854230000004"/>
  </r>
  <r>
    <x v="0"/>
    <x v="2"/>
    <x v="4"/>
    <s v="HPWH, New Construction, Small Tank, Tier 3"/>
    <x v="25"/>
    <x v="10"/>
    <x v="9"/>
    <x v="2"/>
    <x v="0"/>
    <n v="646.79999999999995"/>
    <x v="0"/>
    <n v="94.581124070000001"/>
  </r>
  <r>
    <x v="0"/>
    <x v="2"/>
    <x v="4"/>
    <s v="HPWH, New Construction, Small Tank, Tier 3"/>
    <x v="25"/>
    <x v="10"/>
    <x v="9"/>
    <x v="0"/>
    <x v="0"/>
    <n v="6468"/>
    <x v="0"/>
    <n v="94.581124070000001"/>
  </r>
  <r>
    <x v="0"/>
    <x v="2"/>
    <x v="4"/>
    <s v="HPWH, New Construction, Small Tank, Tier 3"/>
    <x v="25"/>
    <x v="10"/>
    <x v="9"/>
    <x v="1"/>
    <x v="0"/>
    <n v="2089"/>
    <x v="0"/>
    <n v="94.581124070000001"/>
  </r>
  <r>
    <x v="0"/>
    <x v="1"/>
    <x v="4"/>
    <s v="HPWH, New Construction, Small Tank, Tier 4"/>
    <x v="26"/>
    <x v="10"/>
    <x v="10"/>
    <x v="2"/>
    <x v="0"/>
    <n v="504.1"/>
    <x v="0"/>
    <n v="156.16948336999999"/>
  </r>
  <r>
    <x v="0"/>
    <x v="1"/>
    <x v="4"/>
    <s v="HPWH, New Construction, Small Tank, Tier 4"/>
    <x v="26"/>
    <x v="10"/>
    <x v="10"/>
    <x v="0"/>
    <x v="0"/>
    <n v="5041"/>
    <x v="0"/>
    <n v="156.16948336999999"/>
  </r>
  <r>
    <x v="0"/>
    <x v="1"/>
    <x v="4"/>
    <s v="HPWH, New Construction, Small Tank, Tier 4"/>
    <x v="26"/>
    <x v="10"/>
    <x v="10"/>
    <x v="1"/>
    <x v="0"/>
    <n v="1628"/>
    <x v="0"/>
    <n v="156.16948336999999"/>
  </r>
  <r>
    <x v="0"/>
    <x v="3"/>
    <x v="4"/>
    <s v="HPWH, New Construction, Small Tank, Tier 4"/>
    <x v="26"/>
    <x v="10"/>
    <x v="10"/>
    <x v="2"/>
    <x v="0"/>
    <n v="478.5"/>
    <x v="0"/>
    <n v="159.86182073000001"/>
  </r>
  <r>
    <x v="0"/>
    <x v="3"/>
    <x v="4"/>
    <s v="HPWH, New Construction, Small Tank, Tier 4"/>
    <x v="26"/>
    <x v="10"/>
    <x v="10"/>
    <x v="0"/>
    <x v="0"/>
    <n v="4785"/>
    <x v="0"/>
    <n v="159.86182073000001"/>
  </r>
  <r>
    <x v="0"/>
    <x v="3"/>
    <x v="4"/>
    <s v="HPWH, New Construction, Small Tank, Tier 4"/>
    <x v="26"/>
    <x v="10"/>
    <x v="10"/>
    <x v="1"/>
    <x v="0"/>
    <n v="1545"/>
    <x v="0"/>
    <n v="159.86182073000001"/>
  </r>
  <r>
    <x v="0"/>
    <x v="2"/>
    <x v="4"/>
    <s v="HPWH, New Construction, Small Tank, Tier 4"/>
    <x v="26"/>
    <x v="10"/>
    <x v="10"/>
    <x v="2"/>
    <x v="0"/>
    <n v="397.9"/>
    <x v="0"/>
    <n v="162.22931457999999"/>
  </r>
  <r>
    <x v="0"/>
    <x v="2"/>
    <x v="4"/>
    <s v="HPWH, New Construction, Small Tank, Tier 4"/>
    <x v="26"/>
    <x v="10"/>
    <x v="10"/>
    <x v="0"/>
    <x v="0"/>
    <n v="3979"/>
    <x v="0"/>
    <n v="162.22931457999999"/>
  </r>
  <r>
    <x v="0"/>
    <x v="2"/>
    <x v="4"/>
    <s v="HPWH, New Construction, Small Tank, Tier 4"/>
    <x v="26"/>
    <x v="10"/>
    <x v="10"/>
    <x v="1"/>
    <x v="0"/>
    <n v="1285"/>
    <x v="0"/>
    <n v="162.22931457999999"/>
  </r>
  <r>
    <x v="0"/>
    <x v="1"/>
    <x v="5"/>
    <s v="Idaho Code, Single-Family, IECC 2018"/>
    <x v="27"/>
    <x v="11"/>
    <x v="11"/>
    <x v="0"/>
    <x v="0"/>
    <n v="17982"/>
    <x v="0"/>
    <n v="746.36554107999996"/>
  </r>
  <r>
    <x v="0"/>
    <x v="3"/>
    <x v="5"/>
    <s v="Idaho Code, Single-Family, IECC 2018"/>
    <x v="27"/>
    <x v="11"/>
    <x v="11"/>
    <x v="0"/>
    <x v="0"/>
    <n v="17593"/>
    <x v="0"/>
    <n v="746.36554107999996"/>
  </r>
  <r>
    <x v="0"/>
    <x v="2"/>
    <x v="5"/>
    <s v="Idaho Code, Single-Family, IECC 2018"/>
    <x v="27"/>
    <x v="11"/>
    <x v="11"/>
    <x v="0"/>
    <x v="0"/>
    <n v="16624"/>
    <x v="0"/>
    <n v="746.36554107999996"/>
  </r>
  <r>
    <x v="0"/>
    <x v="1"/>
    <x v="5"/>
    <s v="Idaho Code, Single-Family, IECC 2021"/>
    <x v="28"/>
    <x v="11"/>
    <x v="12"/>
    <x v="0"/>
    <x v="0"/>
    <n v="8991"/>
    <x v="0"/>
    <n v="504"/>
  </r>
  <r>
    <x v="0"/>
    <x v="3"/>
    <x v="5"/>
    <s v="Idaho Code, Single-Family, IECC 2021"/>
    <x v="28"/>
    <x v="11"/>
    <x v="12"/>
    <x v="0"/>
    <x v="0"/>
    <n v="0"/>
    <x v="0"/>
    <n v="504"/>
  </r>
  <r>
    <x v="0"/>
    <x v="2"/>
    <x v="5"/>
    <s v="Idaho Code, Single-Family, IECC 2021"/>
    <x v="28"/>
    <x v="11"/>
    <x v="12"/>
    <x v="0"/>
    <x v="0"/>
    <n v="0"/>
    <x v="0"/>
    <n v="504"/>
  </r>
  <r>
    <x v="0"/>
    <x v="1"/>
    <x v="6"/>
    <s v="Idaho Code, New Commercial, IECC 2015"/>
    <x v="29"/>
    <x v="12"/>
    <x v="13"/>
    <x v="0"/>
    <x v="4"/>
    <n v="5027181.0715006003"/>
    <x v="0"/>
    <n v="0.80083786999999995"/>
  </r>
  <r>
    <x v="0"/>
    <x v="3"/>
    <x v="6"/>
    <s v="Idaho Code, New Commercial, IECC 2015"/>
    <x v="29"/>
    <x v="12"/>
    <x v="13"/>
    <x v="0"/>
    <x v="4"/>
    <n v="4390000.3615524098"/>
    <x v="0"/>
    <n v="0.80074279999999998"/>
  </r>
  <r>
    <x v="0"/>
    <x v="2"/>
    <x v="6"/>
    <s v="Idaho Code, New Commercial, IECC 2015"/>
    <x v="29"/>
    <x v="12"/>
    <x v="13"/>
    <x v="0"/>
    <x v="4"/>
    <n v="3796561.6104595899"/>
    <x v="0"/>
    <n v="0.79809925000000004"/>
  </r>
  <r>
    <x v="0"/>
    <x v="1"/>
    <x v="6"/>
    <s v="Idaho Code, New Commercial, IECC 2018"/>
    <x v="30"/>
    <x v="12"/>
    <x v="14"/>
    <x v="0"/>
    <x v="0"/>
    <n v="5027181.0715006003"/>
    <x v="0"/>
    <n v="0.34764253000000001"/>
  </r>
  <r>
    <x v="0"/>
    <x v="3"/>
    <x v="6"/>
    <s v="Idaho Code, New Commercial, IECC 2018"/>
    <x v="30"/>
    <x v="12"/>
    <x v="14"/>
    <x v="0"/>
    <x v="0"/>
    <n v="3795521.14592552"/>
    <x v="0"/>
    <n v="0.34758841000000001"/>
  </r>
  <r>
    <x v="0"/>
    <x v="2"/>
    <x v="6"/>
    <s v="Idaho Code, New Commercial, IECC 2018"/>
    <x v="30"/>
    <x v="12"/>
    <x v="14"/>
    <x v="0"/>
    <x v="0"/>
    <n v="1898280.80522979"/>
    <x v="0"/>
    <n v="0.34608329999999998"/>
  </r>
  <r>
    <x v="0"/>
    <x v="1"/>
    <x v="7"/>
    <s v="Idaho Code, New Multifamily, IECC 2018"/>
    <x v="31"/>
    <x v="13"/>
    <x v="11"/>
    <x v="0"/>
    <x v="0"/>
    <n v="3344.3693472599998"/>
    <x v="0"/>
    <n v="1059.31079563"/>
  </r>
  <r>
    <x v="0"/>
    <x v="3"/>
    <x v="7"/>
    <s v="Idaho Code, New Multifamily, IECC 2018"/>
    <x v="31"/>
    <x v="13"/>
    <x v="11"/>
    <x v="0"/>
    <x v="0"/>
    <n v="3311.2567794699999"/>
    <x v="0"/>
    <n v="1059.31079563"/>
  </r>
  <r>
    <x v="0"/>
    <x v="2"/>
    <x v="7"/>
    <s v="Idaho Code, New Multifamily, IECC 2018"/>
    <x v="31"/>
    <x v="13"/>
    <x v="11"/>
    <x v="0"/>
    <x v="0"/>
    <n v="3278.4720588800001"/>
    <x v="0"/>
    <n v="1059.31079563"/>
  </r>
  <r>
    <x v="0"/>
    <x v="1"/>
    <x v="6"/>
    <s v="Idaho Code, New Commercial, IECC 2021"/>
    <x v="32"/>
    <x v="12"/>
    <x v="15"/>
    <x v="0"/>
    <x v="0"/>
    <n v="748840.51377561002"/>
    <x v="0"/>
    <n v="0.35742083000000002"/>
  </r>
  <r>
    <x v="0"/>
    <x v="3"/>
    <x v="6"/>
    <s v="Idaho Code, New Commercial, IECC 2021"/>
    <x v="32"/>
    <x v="12"/>
    <x v="15"/>
    <x v="0"/>
    <x v="0"/>
    <n v="0"/>
    <x v="0"/>
    <n v="0.35567070000000001"/>
  </r>
  <r>
    <x v="0"/>
    <x v="2"/>
    <x v="6"/>
    <s v="Idaho Code, New Commercial, IECC 2021"/>
    <x v="32"/>
    <x v="12"/>
    <x v="15"/>
    <x v="0"/>
    <x v="0"/>
    <n v="0"/>
    <x v="0"/>
    <n v="0.35392056"/>
  </r>
  <r>
    <x v="0"/>
    <x v="1"/>
    <x v="7"/>
    <s v="Idaho Code, New Multifamily, IECC 2021"/>
    <x v="33"/>
    <x v="13"/>
    <x v="12"/>
    <x v="0"/>
    <x v="0"/>
    <n v="1672.1846736299999"/>
    <x v="0"/>
    <n v="443.7"/>
  </r>
  <r>
    <x v="0"/>
    <x v="3"/>
    <x v="7"/>
    <s v="Idaho Code, New Multifamily, IECC 2021"/>
    <x v="33"/>
    <x v="13"/>
    <x v="12"/>
    <x v="0"/>
    <x v="0"/>
    <n v="0"/>
    <x v="0"/>
    <n v="443.7"/>
  </r>
  <r>
    <x v="0"/>
    <x v="2"/>
    <x v="7"/>
    <s v="Idaho Code, New Multifamily, IECC 2021"/>
    <x v="33"/>
    <x v="13"/>
    <x v="12"/>
    <x v="0"/>
    <x v="0"/>
    <n v="0"/>
    <x v="0"/>
    <n v="443.7"/>
  </r>
  <r>
    <x v="0"/>
    <x v="3"/>
    <x v="5"/>
    <s v="Idaho Home Energy Rating System (HERS)/ENERGY STAR, New Multifamily"/>
    <x v="34"/>
    <x v="14"/>
    <x v="16"/>
    <x v="0"/>
    <x v="0"/>
    <n v="200"/>
    <x v="0"/>
    <n v="2000"/>
  </r>
  <r>
    <x v="0"/>
    <x v="3"/>
    <x v="5"/>
    <s v="Idaho Home Energy Rating System (HERS)/ENERGY STAR, New Multifamily"/>
    <x v="34"/>
    <x v="14"/>
    <x v="16"/>
    <x v="1"/>
    <x v="0"/>
    <n v="0"/>
    <x v="0"/>
    <n v="2000"/>
  </r>
  <r>
    <x v="0"/>
    <x v="2"/>
    <x v="5"/>
    <s v="Idaho Home Energy Rating System (HERS)/ENERGY STAR, New Multifamily"/>
    <x v="34"/>
    <x v="14"/>
    <x v="16"/>
    <x v="0"/>
    <x v="0"/>
    <n v="200"/>
    <x v="0"/>
    <n v="2000"/>
  </r>
  <r>
    <x v="0"/>
    <x v="2"/>
    <x v="5"/>
    <s v="Idaho Home Energy Rating System (HERS)/ENERGY STAR, New Multifamily"/>
    <x v="34"/>
    <x v="14"/>
    <x v="16"/>
    <x v="1"/>
    <x v="0"/>
    <n v="0"/>
    <x v="0"/>
    <n v="2000"/>
  </r>
  <r>
    <x v="0"/>
    <x v="1"/>
    <x v="5"/>
    <s v="Idaho Home Energy Rating System (HERS)/ENERGY STAR, New Single-Family"/>
    <x v="35"/>
    <x v="15"/>
    <x v="16"/>
    <x v="0"/>
    <x v="0"/>
    <n v="3694.6709187900001"/>
    <x v="0"/>
    <n v="1058.5783644600001"/>
  </r>
  <r>
    <x v="0"/>
    <x v="1"/>
    <x v="5"/>
    <s v="Idaho Home Energy Rating System (HERS)/ENERGY STAR, New Single-Family"/>
    <x v="35"/>
    <x v="15"/>
    <x v="16"/>
    <x v="1"/>
    <x v="0"/>
    <n v="0"/>
    <x v="0"/>
    <n v="1058.5783644600001"/>
  </r>
  <r>
    <x v="0"/>
    <x v="3"/>
    <x v="5"/>
    <s v="Idaho Home Energy Rating System (HERS)/ENERGY STAR, New Single-Family"/>
    <x v="35"/>
    <x v="15"/>
    <x v="16"/>
    <x v="0"/>
    <x v="0"/>
    <n v="3614.6544240600001"/>
    <x v="0"/>
    <n v="1087.4826316900001"/>
  </r>
  <r>
    <x v="0"/>
    <x v="3"/>
    <x v="5"/>
    <s v="Idaho Home Energy Rating System (HERS)/ENERGY STAR, New Single-Family"/>
    <x v="35"/>
    <x v="15"/>
    <x v="16"/>
    <x v="1"/>
    <x v="0"/>
    <n v="0"/>
    <x v="0"/>
    <n v="1087.4826316900001"/>
  </r>
  <r>
    <x v="0"/>
    <x v="2"/>
    <x v="5"/>
    <s v="Idaho Home Energy Rating System (HERS)/ENERGY STAR, New Single-Family"/>
    <x v="35"/>
    <x v="15"/>
    <x v="16"/>
    <x v="0"/>
    <x v="0"/>
    <n v="3415.5114922299999"/>
    <x v="0"/>
    <n v="1087.4826316900001"/>
  </r>
  <r>
    <x v="0"/>
    <x v="2"/>
    <x v="5"/>
    <s v="Idaho Home Energy Rating System (HERS)/ENERGY STAR, New Single-Family"/>
    <x v="35"/>
    <x v="15"/>
    <x v="16"/>
    <x v="1"/>
    <x v="0"/>
    <n v="0"/>
    <x v="0"/>
    <n v="1087.4826316900001"/>
  </r>
  <r>
    <x v="0"/>
    <x v="1"/>
    <x v="5"/>
    <s v="Idaho Performance Path, New Single-Family"/>
    <x v="36"/>
    <x v="16"/>
    <x v="16"/>
    <x v="0"/>
    <x v="0"/>
    <n v="400"/>
    <x v="0"/>
    <n v="1070.0808553899999"/>
  </r>
  <r>
    <x v="0"/>
    <x v="1"/>
    <x v="5"/>
    <s v="Idaho Performance Path, New Single-Family"/>
    <x v="36"/>
    <x v="16"/>
    <x v="16"/>
    <x v="1"/>
    <x v="0"/>
    <n v="400"/>
    <x v="0"/>
    <n v="1070.0808553899999"/>
  </r>
  <r>
    <x v="0"/>
    <x v="3"/>
    <x v="5"/>
    <s v="Idaho Performance Path, New Single-Family"/>
    <x v="36"/>
    <x v="16"/>
    <x v="16"/>
    <x v="0"/>
    <x v="0"/>
    <n v="400"/>
    <x v="0"/>
    <n v="1098.98668868"/>
  </r>
  <r>
    <x v="0"/>
    <x v="3"/>
    <x v="5"/>
    <s v="Idaho Performance Path, New Single-Family"/>
    <x v="36"/>
    <x v="16"/>
    <x v="16"/>
    <x v="1"/>
    <x v="0"/>
    <n v="400"/>
    <x v="0"/>
    <n v="1098.98668868"/>
  </r>
  <r>
    <x v="0"/>
    <x v="2"/>
    <x v="5"/>
    <s v="Idaho Performance Path, New Single-Family"/>
    <x v="36"/>
    <x v="16"/>
    <x v="16"/>
    <x v="0"/>
    <x v="0"/>
    <n v="150"/>
    <x v="0"/>
    <n v="1098.98668868"/>
  </r>
  <r>
    <x v="0"/>
    <x v="2"/>
    <x v="5"/>
    <s v="Idaho Performance Path, New Single-Family"/>
    <x v="36"/>
    <x v="16"/>
    <x v="16"/>
    <x v="1"/>
    <x v="0"/>
    <n v="150"/>
    <x v="0"/>
    <n v="1098.98668868"/>
  </r>
  <r>
    <x v="0"/>
    <x v="1"/>
    <x v="1"/>
    <s v="Non-Residential, Industrial Air Compressors (2016)"/>
    <x v="37"/>
    <x v="2"/>
    <x v="17"/>
    <x v="0"/>
    <x v="0"/>
    <n v="907.45161270000006"/>
    <x v="0"/>
    <n v="5048.06036356"/>
  </r>
  <r>
    <x v="0"/>
    <x v="3"/>
    <x v="1"/>
    <s v="Non-Residential, Industrial Air Compressors (2016)"/>
    <x v="37"/>
    <x v="2"/>
    <x v="17"/>
    <x v="0"/>
    <x v="0"/>
    <n v="887.28587054000002"/>
    <x v="0"/>
    <n v="5048.06036356"/>
  </r>
  <r>
    <x v="0"/>
    <x v="2"/>
    <x v="1"/>
    <s v="Non-Residential, Industrial Air Compressors (2016)"/>
    <x v="37"/>
    <x v="2"/>
    <x v="17"/>
    <x v="0"/>
    <x v="0"/>
    <n v="864.41909157999999"/>
    <x v="0"/>
    <n v="5048.06036356"/>
  </r>
  <r>
    <x v="0"/>
    <x v="1"/>
    <x v="8"/>
    <s v="Manufactured Home, HUD Code"/>
    <x v="38"/>
    <x v="17"/>
    <x v="18"/>
    <x v="0"/>
    <x v="0"/>
    <n v="3543.7679549999998"/>
    <x v="0"/>
    <n v="0"/>
  </r>
  <r>
    <x v="0"/>
    <x v="1"/>
    <x v="8"/>
    <s v="Manufactured Home, HUD Code"/>
    <x v="38"/>
    <x v="17"/>
    <x v="18"/>
    <x v="1"/>
    <x v="0"/>
    <n v="0"/>
    <x v="0"/>
    <n v="0"/>
  </r>
  <r>
    <x v="0"/>
    <x v="3"/>
    <x v="8"/>
    <s v="Manufactured Home, HUD Code"/>
    <x v="38"/>
    <x v="17"/>
    <x v="18"/>
    <x v="0"/>
    <x v="0"/>
    <n v="0"/>
    <x v="0"/>
    <n v="0"/>
  </r>
  <r>
    <x v="0"/>
    <x v="3"/>
    <x v="8"/>
    <s v="Manufactured Home, HUD Code"/>
    <x v="38"/>
    <x v="17"/>
    <x v="18"/>
    <x v="1"/>
    <x v="0"/>
    <n v="0"/>
    <x v="0"/>
    <n v="0"/>
  </r>
  <r>
    <x v="0"/>
    <x v="2"/>
    <x v="8"/>
    <s v="Manufactured Home, HUD Code"/>
    <x v="38"/>
    <x v="17"/>
    <x v="18"/>
    <x v="0"/>
    <x v="0"/>
    <n v="0"/>
    <x v="0"/>
    <n v="0"/>
  </r>
  <r>
    <x v="0"/>
    <x v="2"/>
    <x v="8"/>
    <s v="Manufactured Home, HUD Code"/>
    <x v="38"/>
    <x v="17"/>
    <x v="18"/>
    <x v="1"/>
    <x v="0"/>
    <n v="0"/>
    <x v="0"/>
    <n v="0"/>
  </r>
  <r>
    <x v="0"/>
    <x v="3"/>
    <x v="8"/>
    <s v="Manufactured Home, Inefficient"/>
    <x v="39"/>
    <x v="17"/>
    <x v="19"/>
    <x v="0"/>
    <x v="0"/>
    <n v="2533.1914062000001"/>
    <x v="0"/>
    <n v="-1200.06674404"/>
  </r>
  <r>
    <x v="0"/>
    <x v="3"/>
    <x v="8"/>
    <s v="Manufactured Home, Inefficient"/>
    <x v="39"/>
    <x v="17"/>
    <x v="19"/>
    <x v="1"/>
    <x v="0"/>
    <n v="0"/>
    <x v="0"/>
    <n v="-1200.06674404"/>
  </r>
  <r>
    <x v="0"/>
    <x v="2"/>
    <x v="8"/>
    <s v="Manufactured Home, Inefficient"/>
    <x v="39"/>
    <x v="17"/>
    <x v="19"/>
    <x v="0"/>
    <x v="0"/>
    <n v="2479.6044000000002"/>
    <x v="0"/>
    <n v="-1200.06674404"/>
  </r>
  <r>
    <x v="0"/>
    <x v="2"/>
    <x v="8"/>
    <s v="Manufactured Home, Inefficient"/>
    <x v="39"/>
    <x v="17"/>
    <x v="19"/>
    <x v="1"/>
    <x v="0"/>
    <n v="0"/>
    <x v="0"/>
    <n v="-1200.06674404"/>
  </r>
  <r>
    <x v="0"/>
    <x v="0"/>
    <x v="8"/>
    <s v="Manufactured Home, Inefficient"/>
    <x v="39"/>
    <x v="17"/>
    <x v="19"/>
    <x v="0"/>
    <x v="0"/>
    <n v="0"/>
    <x v="0"/>
    <n v="-1200.06674404"/>
  </r>
  <r>
    <x v="0"/>
    <x v="0"/>
    <x v="8"/>
    <s v="Manufactured Home, Inefficient"/>
    <x v="39"/>
    <x v="17"/>
    <x v="19"/>
    <x v="1"/>
    <x v="0"/>
    <n v="0"/>
    <x v="0"/>
    <n v="-1200.06674404"/>
  </r>
  <r>
    <x v="0"/>
    <x v="1"/>
    <x v="8"/>
    <s v="Manufactured Home, NEEM 1.1"/>
    <x v="40"/>
    <x v="17"/>
    <x v="20"/>
    <x v="0"/>
    <x v="0"/>
    <n v="3543.7679549999998"/>
    <x v="0"/>
    <n v="1328.9311196399999"/>
  </r>
  <r>
    <x v="0"/>
    <x v="1"/>
    <x v="8"/>
    <s v="Manufactured Home, NEEM 1.1"/>
    <x v="40"/>
    <x v="17"/>
    <x v="20"/>
    <x v="1"/>
    <x v="0"/>
    <n v="519.87202313"/>
    <x v="0"/>
    <n v="1328.9311196399999"/>
  </r>
  <r>
    <x v="0"/>
    <x v="3"/>
    <x v="8"/>
    <s v="Manufactured Home, NEEM 1.1"/>
    <x v="40"/>
    <x v="17"/>
    <x v="20"/>
    <x v="0"/>
    <x v="0"/>
    <n v="2288.2615937999999"/>
    <x v="0"/>
    <n v="1328.9311196399999"/>
  </r>
  <r>
    <x v="0"/>
    <x v="3"/>
    <x v="8"/>
    <s v="Manufactured Home, NEEM 1.1"/>
    <x v="40"/>
    <x v="17"/>
    <x v="20"/>
    <x v="1"/>
    <x v="0"/>
    <n v="713.62463445000003"/>
    <x v="0"/>
    <n v="1328.9311196399999"/>
  </r>
  <r>
    <x v="0"/>
    <x v="2"/>
    <x v="8"/>
    <s v="Manufactured Home, NEEM 1.1"/>
    <x v="40"/>
    <x v="17"/>
    <x v="20"/>
    <x v="0"/>
    <x v="0"/>
    <n v="2112.2556"/>
    <x v="0"/>
    <n v="1328.9311196399999"/>
  </r>
  <r>
    <x v="0"/>
    <x v="2"/>
    <x v="8"/>
    <s v="Manufactured Home, NEEM 1.1"/>
    <x v="40"/>
    <x v="17"/>
    <x v="20"/>
    <x v="1"/>
    <x v="0"/>
    <n v="644.51477999999997"/>
    <x v="0"/>
    <n v="1328.9311196399999"/>
  </r>
  <r>
    <x v="0"/>
    <x v="1"/>
    <x v="8"/>
    <s v="Manufactured Home, NEEM Plus"/>
    <x v="41"/>
    <x v="17"/>
    <x v="21"/>
    <x v="0"/>
    <x v="0"/>
    <n v="236.42175374999999"/>
    <x v="0"/>
    <n v="1893.4229323"/>
  </r>
  <r>
    <x v="0"/>
    <x v="1"/>
    <x v="8"/>
    <s v="Manufactured Home, NEEM Plus"/>
    <x v="41"/>
    <x v="17"/>
    <x v="21"/>
    <x v="1"/>
    <x v="0"/>
    <n v="165.49522762999999"/>
    <x v="0"/>
    <n v="1893.4229323"/>
  </r>
  <r>
    <x v="0"/>
    <x v="3"/>
    <x v="8"/>
    <s v="Manufactured Home, NEEM Plus"/>
    <x v="41"/>
    <x v="17"/>
    <x v="21"/>
    <x v="0"/>
    <x v="0"/>
    <n v="176.94904500000001"/>
    <x v="0"/>
    <n v="1893.4229323"/>
  </r>
  <r>
    <x v="0"/>
    <x v="3"/>
    <x v="8"/>
    <s v="Manufactured Home, NEEM Plus"/>
    <x v="41"/>
    <x v="17"/>
    <x v="21"/>
    <x v="1"/>
    <x v="0"/>
    <n v="141.559236"/>
    <x v="0"/>
    <n v="1893.4229323"/>
  </r>
  <r>
    <x v="0"/>
    <x v="2"/>
    <x v="8"/>
    <s v="Manufactured Home, NEEM Plus"/>
    <x v="41"/>
    <x v="17"/>
    <x v="21"/>
    <x v="0"/>
    <x v="0"/>
    <n v="145.56360000000001"/>
    <x v="0"/>
    <n v="1893.4229323"/>
  </r>
  <r>
    <x v="0"/>
    <x v="2"/>
    <x v="8"/>
    <s v="Manufactured Home, NEEM Plus"/>
    <x v="41"/>
    <x v="17"/>
    <x v="21"/>
    <x v="1"/>
    <x v="0"/>
    <n v="116.45088"/>
    <x v="0"/>
    <n v="1893.4229323"/>
  </r>
  <r>
    <x v="0"/>
    <x v="1"/>
    <x v="6"/>
    <s v="Montana Code, New Commercial, IECC 2018"/>
    <x v="42"/>
    <x v="18"/>
    <x v="22"/>
    <x v="0"/>
    <x v="0"/>
    <n v="1539078.8846195701"/>
    <x v="0"/>
    <n v="1.5756065400000001"/>
  </r>
  <r>
    <x v="0"/>
    <x v="3"/>
    <x v="6"/>
    <s v="Montana Code, New Commercial, IECC 2018"/>
    <x v="42"/>
    <x v="18"/>
    <x v="22"/>
    <x v="0"/>
    <x v="0"/>
    <n v="1175776.2432295"/>
    <x v="0"/>
    <n v="1.57730737"/>
  </r>
  <r>
    <x v="0"/>
    <x v="2"/>
    <x v="6"/>
    <s v="Montana Code, New Commercial, IECC 2018"/>
    <x v="42"/>
    <x v="18"/>
    <x v="22"/>
    <x v="0"/>
    <x v="0"/>
    <n v="558349.19078220997"/>
    <x v="0"/>
    <n v="1.5685777700000001"/>
  </r>
  <r>
    <x v="0"/>
    <x v="1"/>
    <x v="7"/>
    <s v="Montana Code, New Multifamily, IECC 2018"/>
    <x v="43"/>
    <x v="19"/>
    <x v="11"/>
    <x v="0"/>
    <x v="0"/>
    <n v="611.39638458000002"/>
    <x v="0"/>
    <n v="505"/>
  </r>
  <r>
    <x v="0"/>
    <x v="3"/>
    <x v="7"/>
    <s v="Montana Code, New Multifamily, IECC 2018"/>
    <x v="43"/>
    <x v="19"/>
    <x v="11"/>
    <x v="0"/>
    <x v="0"/>
    <n v="605.34295502999998"/>
    <x v="0"/>
    <n v="505"/>
  </r>
  <r>
    <x v="0"/>
    <x v="2"/>
    <x v="7"/>
    <s v="Montana Code, New Multifamily, IECC 2018"/>
    <x v="43"/>
    <x v="19"/>
    <x v="11"/>
    <x v="0"/>
    <x v="0"/>
    <n v="599.34946043000002"/>
    <x v="0"/>
    <n v="505"/>
  </r>
  <r>
    <x v="0"/>
    <x v="1"/>
    <x v="6"/>
    <s v="Montana Code, New Commercial, IECC 2021"/>
    <x v="44"/>
    <x v="18"/>
    <x v="23"/>
    <x v="0"/>
    <x v="0"/>
    <n v="252394.81708784"/>
    <x v="0"/>
    <n v="0.43505218000000001"/>
  </r>
  <r>
    <x v="0"/>
    <x v="3"/>
    <x v="6"/>
    <s v="Montana Code, New Commercial, IECC 2021"/>
    <x v="44"/>
    <x v="18"/>
    <x v="23"/>
    <x v="0"/>
    <x v="0"/>
    <n v="0"/>
    <x v="0"/>
    <n v="0.43292192000000002"/>
  </r>
  <r>
    <x v="0"/>
    <x v="2"/>
    <x v="6"/>
    <s v="Montana Code, New Commercial, IECC 2021"/>
    <x v="44"/>
    <x v="18"/>
    <x v="23"/>
    <x v="0"/>
    <x v="0"/>
    <n v="0"/>
    <x v="0"/>
    <n v="0.43079165000000003"/>
  </r>
  <r>
    <x v="0"/>
    <x v="1"/>
    <x v="7"/>
    <s v="Montana Code, New Multifamily, IECC 2021"/>
    <x v="45"/>
    <x v="19"/>
    <x v="12"/>
    <x v="0"/>
    <x v="0"/>
    <n v="407.59758971999997"/>
    <x v="0"/>
    <n v="15.83712487"/>
  </r>
  <r>
    <x v="0"/>
    <x v="3"/>
    <x v="7"/>
    <s v="Montana Code, New Multifamily, IECC 2021"/>
    <x v="45"/>
    <x v="19"/>
    <x v="12"/>
    <x v="0"/>
    <x v="0"/>
    <n v="0"/>
    <x v="0"/>
    <n v="15.83712487"/>
  </r>
  <r>
    <x v="0"/>
    <x v="2"/>
    <x v="7"/>
    <s v="Montana Code, New Multifamily, IECC 2021"/>
    <x v="45"/>
    <x v="19"/>
    <x v="12"/>
    <x v="0"/>
    <x v="0"/>
    <n v="0"/>
    <x v="0"/>
    <n v="15.83712487"/>
  </r>
  <r>
    <x v="0"/>
    <x v="1"/>
    <x v="5"/>
    <s v="Montana Home Energy Rating System (HERS)/ENERGY STAR, New Single-Family"/>
    <x v="46"/>
    <x v="20"/>
    <x v="16"/>
    <x v="0"/>
    <x v="0"/>
    <n v="50"/>
    <x v="0"/>
    <n v="848.91482299999996"/>
  </r>
  <r>
    <x v="0"/>
    <x v="1"/>
    <x v="5"/>
    <s v="Montana Home Energy Rating System (HERS)/ENERGY STAR, New Single-Family"/>
    <x v="46"/>
    <x v="20"/>
    <x v="16"/>
    <x v="1"/>
    <x v="0"/>
    <n v="0"/>
    <x v="0"/>
    <n v="848.91482299999996"/>
  </r>
  <r>
    <x v="0"/>
    <x v="3"/>
    <x v="5"/>
    <s v="Montana Home Energy Rating System (HERS)/ENERGY STAR, New Single-Family"/>
    <x v="46"/>
    <x v="20"/>
    <x v="16"/>
    <x v="0"/>
    <x v="0"/>
    <n v="50"/>
    <x v="0"/>
    <n v="846.85874944"/>
  </r>
  <r>
    <x v="0"/>
    <x v="3"/>
    <x v="5"/>
    <s v="Montana Home Energy Rating System (HERS)/ENERGY STAR, New Single-Family"/>
    <x v="46"/>
    <x v="20"/>
    <x v="16"/>
    <x v="1"/>
    <x v="0"/>
    <n v="0"/>
    <x v="0"/>
    <n v="846.85874944"/>
  </r>
  <r>
    <x v="0"/>
    <x v="2"/>
    <x v="5"/>
    <s v="Montana Home Energy Rating System (HERS)/ENERGY STAR, New Single-Family"/>
    <x v="46"/>
    <x v="20"/>
    <x v="16"/>
    <x v="0"/>
    <x v="0"/>
    <n v="5"/>
    <x v="0"/>
    <n v="846.85874944"/>
  </r>
  <r>
    <x v="0"/>
    <x v="2"/>
    <x v="5"/>
    <s v="Montana Home Energy Rating System (HERS)/ENERGY STAR, New Single-Family"/>
    <x v="46"/>
    <x v="20"/>
    <x v="16"/>
    <x v="1"/>
    <x v="0"/>
    <n v="0"/>
    <x v="0"/>
    <n v="846.85874944"/>
  </r>
  <r>
    <x v="0"/>
    <x v="1"/>
    <x v="5"/>
    <s v="Montana Performance Path, New Single-Family"/>
    <x v="47"/>
    <x v="21"/>
    <x v="16"/>
    <x v="0"/>
    <x v="0"/>
    <n v="10"/>
    <x v="0"/>
    <n v="848.91482299999996"/>
  </r>
  <r>
    <x v="0"/>
    <x v="1"/>
    <x v="5"/>
    <s v="Montana Performance Path, New Single-Family"/>
    <x v="47"/>
    <x v="21"/>
    <x v="16"/>
    <x v="1"/>
    <x v="0"/>
    <n v="10"/>
    <x v="0"/>
    <n v="848.91482299999996"/>
  </r>
  <r>
    <x v="0"/>
    <x v="3"/>
    <x v="5"/>
    <s v="Montana Performance Path, New Single-Family"/>
    <x v="47"/>
    <x v="21"/>
    <x v="16"/>
    <x v="0"/>
    <x v="0"/>
    <n v="5"/>
    <x v="0"/>
    <n v="846.85874944"/>
  </r>
  <r>
    <x v="0"/>
    <x v="3"/>
    <x v="5"/>
    <s v="Montana Performance Path, New Single-Family"/>
    <x v="47"/>
    <x v="21"/>
    <x v="16"/>
    <x v="1"/>
    <x v="0"/>
    <n v="5"/>
    <x v="0"/>
    <n v="846.85874944"/>
  </r>
  <r>
    <x v="0"/>
    <x v="2"/>
    <x v="5"/>
    <s v="Montana Performance Path, New Single-Family"/>
    <x v="47"/>
    <x v="21"/>
    <x v="16"/>
    <x v="0"/>
    <x v="0"/>
    <n v="0"/>
    <x v="0"/>
    <n v="846.85874944"/>
  </r>
  <r>
    <x v="0"/>
    <x v="2"/>
    <x v="5"/>
    <s v="Montana Performance Path, New Single-Family"/>
    <x v="47"/>
    <x v="21"/>
    <x v="16"/>
    <x v="1"/>
    <x v="0"/>
    <n v="0"/>
    <x v="0"/>
    <n v="846.85874944"/>
  </r>
  <r>
    <x v="0"/>
    <x v="1"/>
    <x v="5"/>
    <s v="Montana Code, Single-Family, IECC 2018"/>
    <x v="48"/>
    <x v="22"/>
    <x v="11"/>
    <x v="0"/>
    <x v="0"/>
    <n v="3095"/>
    <x v="0"/>
    <n v="850.39740426000003"/>
  </r>
  <r>
    <x v="0"/>
    <x v="3"/>
    <x v="5"/>
    <s v="Montana Code, Single-Family, IECC 2018"/>
    <x v="48"/>
    <x v="22"/>
    <x v="11"/>
    <x v="0"/>
    <x v="0"/>
    <n v="3078"/>
    <x v="0"/>
    <n v="850.39740426000003"/>
  </r>
  <r>
    <x v="0"/>
    <x v="2"/>
    <x v="5"/>
    <s v="Montana Code, Single-Family, IECC 2018"/>
    <x v="48"/>
    <x v="22"/>
    <x v="11"/>
    <x v="0"/>
    <x v="0"/>
    <n v="3363"/>
    <x v="0"/>
    <n v="850.39740426000003"/>
  </r>
  <r>
    <x v="0"/>
    <x v="1"/>
    <x v="5"/>
    <s v="Montana Code, Single-Family, IECC 2021"/>
    <x v="49"/>
    <x v="22"/>
    <x v="12"/>
    <x v="0"/>
    <x v="0"/>
    <n v="2063"/>
    <x v="0"/>
    <n v="5"/>
  </r>
  <r>
    <x v="0"/>
    <x v="3"/>
    <x v="5"/>
    <s v="Montana Code, Single-Family, IECC 2021"/>
    <x v="49"/>
    <x v="22"/>
    <x v="12"/>
    <x v="0"/>
    <x v="0"/>
    <n v="0"/>
    <x v="0"/>
    <n v="5"/>
  </r>
  <r>
    <x v="0"/>
    <x v="2"/>
    <x v="5"/>
    <s v="Montana Code, Single-Family, IECC 2021"/>
    <x v="49"/>
    <x v="22"/>
    <x v="12"/>
    <x v="0"/>
    <x v="0"/>
    <n v="0"/>
    <x v="0"/>
    <n v="5"/>
  </r>
  <r>
    <x v="0"/>
    <x v="3"/>
    <x v="2"/>
    <s v="Commercial Desktops, Non-Qualifying"/>
    <x v="50"/>
    <x v="3"/>
    <x v="24"/>
    <x v="0"/>
    <x v="0"/>
    <n v="42708.726159229998"/>
    <x v="0"/>
    <n v="-27.799353010000001"/>
  </r>
  <r>
    <x v="0"/>
    <x v="3"/>
    <x v="2"/>
    <s v="Commercial Desktops, Non-Qualifying"/>
    <x v="50"/>
    <x v="3"/>
    <x v="24"/>
    <x v="1"/>
    <x v="0"/>
    <n v="0"/>
    <x v="0"/>
    <n v="-27.799353010000001"/>
  </r>
  <r>
    <x v="0"/>
    <x v="3"/>
    <x v="2"/>
    <s v="Commercial Desktops, Non-Qualifying"/>
    <x v="50"/>
    <x v="3"/>
    <x v="24"/>
    <x v="2"/>
    <x v="0"/>
    <n v="0"/>
    <x v="0"/>
    <n v="-27.799353010000001"/>
  </r>
  <r>
    <x v="0"/>
    <x v="2"/>
    <x v="2"/>
    <s v="Commercial Desktops, Non-Qualifying"/>
    <x v="50"/>
    <x v="3"/>
    <x v="24"/>
    <x v="0"/>
    <x v="0"/>
    <n v="50876.213289879997"/>
    <x v="0"/>
    <n v="-27.799353010000001"/>
  </r>
  <r>
    <x v="0"/>
    <x v="2"/>
    <x v="2"/>
    <s v="Commercial Desktops, Non-Qualifying"/>
    <x v="50"/>
    <x v="3"/>
    <x v="24"/>
    <x v="1"/>
    <x v="0"/>
    <n v="0"/>
    <x v="0"/>
    <n v="-27.799353010000001"/>
  </r>
  <r>
    <x v="0"/>
    <x v="2"/>
    <x v="2"/>
    <s v="Commercial Desktops, Non-Qualifying"/>
    <x v="50"/>
    <x v="3"/>
    <x v="24"/>
    <x v="2"/>
    <x v="0"/>
    <n v="0"/>
    <x v="0"/>
    <n v="-27.799353010000001"/>
  </r>
  <r>
    <x v="0"/>
    <x v="0"/>
    <x v="2"/>
    <s v="Commercial Desktops, Non-Qualifying"/>
    <x v="50"/>
    <x v="3"/>
    <x v="24"/>
    <x v="0"/>
    <x v="0"/>
    <n v="26137.403132660002"/>
    <x v="0"/>
    <n v="-27.799353010000001"/>
  </r>
  <r>
    <x v="0"/>
    <x v="0"/>
    <x v="2"/>
    <s v="Commercial Desktops, Non-Qualifying"/>
    <x v="50"/>
    <x v="3"/>
    <x v="24"/>
    <x v="1"/>
    <x v="0"/>
    <n v="0"/>
    <x v="0"/>
    <n v="-27.799353010000001"/>
  </r>
  <r>
    <x v="0"/>
    <x v="0"/>
    <x v="2"/>
    <s v="Commercial Desktops, Non-Qualifying"/>
    <x v="50"/>
    <x v="3"/>
    <x v="24"/>
    <x v="2"/>
    <x v="0"/>
    <n v="0"/>
    <x v="0"/>
    <n v="-27.799353010000001"/>
  </r>
  <r>
    <x v="0"/>
    <x v="1"/>
    <x v="6"/>
    <s v="Oregon Code, New Commercial, OZERCC 2019"/>
    <x v="51"/>
    <x v="23"/>
    <x v="25"/>
    <x v="0"/>
    <x v="4"/>
    <n v="11542340.769697441"/>
    <x v="0"/>
    <n v="0.77563837999999996"/>
  </r>
  <r>
    <x v="0"/>
    <x v="3"/>
    <x v="6"/>
    <s v="Oregon Code, New Commercial, OZERCC 2019"/>
    <x v="51"/>
    <x v="23"/>
    <x v="25"/>
    <x v="0"/>
    <x v="4"/>
    <n v="11620399.326607009"/>
    <x v="0"/>
    <n v="0.77670844000000006"/>
  </r>
  <r>
    <x v="0"/>
    <x v="2"/>
    <x v="6"/>
    <s v="Oregon Code, New Commercial, OZERCC 2019"/>
    <x v="51"/>
    <x v="23"/>
    <x v="25"/>
    <x v="0"/>
    <x v="4"/>
    <n v="10817532.671890371"/>
    <x v="0"/>
    <n v="0.77643001"/>
  </r>
  <r>
    <x v="0"/>
    <x v="1"/>
    <x v="6"/>
    <s v="Oregon Code, New Commercial, OZERCC 2021"/>
    <x v="52"/>
    <x v="23"/>
    <x v="26"/>
    <x v="0"/>
    <x v="0"/>
    <n v="10784874.656686051"/>
    <x v="0"/>
    <n v="0.26462155999999998"/>
  </r>
  <r>
    <x v="0"/>
    <x v="3"/>
    <x v="6"/>
    <s v="Oregon Code, New Commercial, OZERCC 2021"/>
    <x v="52"/>
    <x v="23"/>
    <x v="26"/>
    <x v="0"/>
    <x v="0"/>
    <n v="6826984.60438162"/>
    <x v="0"/>
    <n v="0.26277029000000002"/>
  </r>
  <r>
    <x v="0"/>
    <x v="2"/>
    <x v="6"/>
    <s v="Oregon Code, New Commercial, OZERCC 2021"/>
    <x v="52"/>
    <x v="23"/>
    <x v="26"/>
    <x v="0"/>
    <x v="0"/>
    <n v="2604890.8106224299"/>
    <x v="0"/>
    <n v="0.26325198999999999"/>
  </r>
  <r>
    <x v="0"/>
    <x v="1"/>
    <x v="6"/>
    <s v="Oregon Code, New Commercial, OZERCC 2023"/>
    <x v="53"/>
    <x v="23"/>
    <x v="27"/>
    <x v="0"/>
    <x v="0"/>
    <n v="2597026.6731819198"/>
    <x v="0"/>
    <n v="0.43272265999999998"/>
  </r>
  <r>
    <x v="0"/>
    <x v="3"/>
    <x v="6"/>
    <s v="Oregon Code, New Commercial, OZERCC 2023"/>
    <x v="53"/>
    <x v="23"/>
    <x v="27"/>
    <x v="0"/>
    <x v="0"/>
    <n v="48418.330527530001"/>
    <x v="0"/>
    <n v="0.43101648999999997"/>
  </r>
  <r>
    <x v="0"/>
    <x v="2"/>
    <x v="6"/>
    <s v="Oregon Code, New Commercial, OZERCC 2023"/>
    <x v="53"/>
    <x v="23"/>
    <x v="27"/>
    <x v="0"/>
    <x v="0"/>
    <n v="0"/>
    <x v="0"/>
    <n v="0.42931032000000002"/>
  </r>
  <r>
    <x v="0"/>
    <x v="1"/>
    <x v="5"/>
    <s v="Oregon Earth Advantage, New Single-Family"/>
    <x v="54"/>
    <x v="24"/>
    <x v="16"/>
    <x v="0"/>
    <x v="0"/>
    <n v="8"/>
    <x v="0"/>
    <n v="1711.9891222000001"/>
  </r>
  <r>
    <x v="0"/>
    <x v="1"/>
    <x v="5"/>
    <s v="Oregon Earth Advantage, New Single-Family"/>
    <x v="54"/>
    <x v="24"/>
    <x v="16"/>
    <x v="1"/>
    <x v="0"/>
    <n v="0"/>
    <x v="0"/>
    <n v="1711.9891222000001"/>
  </r>
  <r>
    <x v="0"/>
    <x v="3"/>
    <x v="5"/>
    <s v="Oregon Earth Advantage, New Single-Family"/>
    <x v="54"/>
    <x v="24"/>
    <x v="16"/>
    <x v="0"/>
    <x v="0"/>
    <n v="15"/>
    <x v="0"/>
    <n v="1742.23141743"/>
  </r>
  <r>
    <x v="0"/>
    <x v="3"/>
    <x v="5"/>
    <s v="Oregon Earth Advantage, New Single-Family"/>
    <x v="54"/>
    <x v="24"/>
    <x v="16"/>
    <x v="1"/>
    <x v="0"/>
    <n v="0"/>
    <x v="0"/>
    <n v="1742.23141743"/>
  </r>
  <r>
    <x v="0"/>
    <x v="2"/>
    <x v="5"/>
    <s v="Oregon Earth Advantage, New Single-Family"/>
    <x v="54"/>
    <x v="24"/>
    <x v="16"/>
    <x v="0"/>
    <x v="0"/>
    <n v="5"/>
    <x v="0"/>
    <n v="1763.96806713"/>
  </r>
  <r>
    <x v="0"/>
    <x v="2"/>
    <x v="5"/>
    <s v="Oregon Earth Advantage, New Single-Family"/>
    <x v="54"/>
    <x v="24"/>
    <x v="16"/>
    <x v="1"/>
    <x v="0"/>
    <n v="0"/>
    <x v="0"/>
    <n v="1763.96806713"/>
  </r>
  <r>
    <x v="0"/>
    <x v="1"/>
    <x v="5"/>
    <s v="Oregon Energy Performance Score Home, New Single-Family"/>
    <x v="55"/>
    <x v="25"/>
    <x v="16"/>
    <x v="0"/>
    <x v="0"/>
    <n v="1684.35"/>
    <x v="0"/>
    <n v="1594.5823335499999"/>
  </r>
  <r>
    <x v="0"/>
    <x v="1"/>
    <x v="5"/>
    <s v="Oregon Energy Performance Score Home, New Single-Family"/>
    <x v="55"/>
    <x v="25"/>
    <x v="16"/>
    <x v="1"/>
    <x v="0"/>
    <n v="1684.35"/>
    <x v="0"/>
    <n v="1594.5823335499999"/>
  </r>
  <r>
    <x v="0"/>
    <x v="3"/>
    <x v="5"/>
    <s v="Oregon Energy Performance Score Home, New Single-Family"/>
    <x v="55"/>
    <x v="25"/>
    <x v="16"/>
    <x v="0"/>
    <x v="0"/>
    <n v="2807.25"/>
    <x v="0"/>
    <n v="1720.5918970299999"/>
  </r>
  <r>
    <x v="0"/>
    <x v="3"/>
    <x v="5"/>
    <s v="Oregon Energy Performance Score Home, New Single-Family"/>
    <x v="55"/>
    <x v="25"/>
    <x v="16"/>
    <x v="1"/>
    <x v="0"/>
    <n v="2807.25"/>
    <x v="0"/>
    <n v="1720.5918970299999"/>
  </r>
  <r>
    <x v="0"/>
    <x v="2"/>
    <x v="5"/>
    <s v="Oregon Energy Performance Score Home, New Single-Family"/>
    <x v="55"/>
    <x v="25"/>
    <x v="16"/>
    <x v="0"/>
    <x v="0"/>
    <n v="2807.25"/>
    <x v="0"/>
    <n v="1720.5918970299999"/>
  </r>
  <r>
    <x v="0"/>
    <x v="2"/>
    <x v="5"/>
    <s v="Oregon Energy Performance Score Home, New Single-Family"/>
    <x v="55"/>
    <x v="25"/>
    <x v="16"/>
    <x v="1"/>
    <x v="0"/>
    <n v="2807.25"/>
    <x v="0"/>
    <n v="1720.5918970299999"/>
  </r>
  <r>
    <x v="0"/>
    <x v="3"/>
    <x v="5"/>
    <s v="Oregon Home Energy Rating System (HERS)/ENERGY STAR, New Multifamily"/>
    <x v="56"/>
    <x v="26"/>
    <x v="16"/>
    <x v="0"/>
    <x v="0"/>
    <n v="5"/>
    <x v="0"/>
    <n v="2000"/>
  </r>
  <r>
    <x v="0"/>
    <x v="3"/>
    <x v="5"/>
    <s v="Oregon Home Energy Rating System (HERS)/ENERGY STAR, New Multifamily"/>
    <x v="56"/>
    <x v="26"/>
    <x v="16"/>
    <x v="1"/>
    <x v="0"/>
    <n v="0"/>
    <x v="0"/>
    <n v="2000"/>
  </r>
  <r>
    <x v="0"/>
    <x v="2"/>
    <x v="5"/>
    <s v="Oregon Home Energy Rating System (HERS)/ENERGY STAR, New Multifamily"/>
    <x v="56"/>
    <x v="26"/>
    <x v="16"/>
    <x v="0"/>
    <x v="0"/>
    <n v="4"/>
    <x v="0"/>
    <n v="2000"/>
  </r>
  <r>
    <x v="0"/>
    <x v="2"/>
    <x v="5"/>
    <s v="Oregon Home Energy Rating System (HERS)/ENERGY STAR, New Multifamily"/>
    <x v="56"/>
    <x v="26"/>
    <x v="16"/>
    <x v="1"/>
    <x v="0"/>
    <n v="0"/>
    <x v="0"/>
    <n v="2000"/>
  </r>
  <r>
    <x v="0"/>
    <x v="1"/>
    <x v="5"/>
    <s v="Oregon Home Energy Rating System (HERS)/ENERGY STAR New Single-Family"/>
    <x v="57"/>
    <x v="27"/>
    <x v="16"/>
    <x v="0"/>
    <x v="0"/>
    <n v="40"/>
    <x v="0"/>
    <n v="1711.9891222000001"/>
  </r>
  <r>
    <x v="0"/>
    <x v="1"/>
    <x v="5"/>
    <s v="Oregon Home Energy Rating System (HERS)/ENERGY STAR New Single-Family"/>
    <x v="57"/>
    <x v="27"/>
    <x v="16"/>
    <x v="1"/>
    <x v="0"/>
    <n v="0"/>
    <x v="0"/>
    <n v="1711.9891222000001"/>
  </r>
  <r>
    <x v="0"/>
    <x v="3"/>
    <x v="5"/>
    <s v="Oregon Home Energy Rating System (HERS)/ENERGY STAR New Single-Family"/>
    <x v="57"/>
    <x v="27"/>
    <x v="16"/>
    <x v="0"/>
    <x v="0"/>
    <n v="40"/>
    <x v="0"/>
    <n v="1742.23141743"/>
  </r>
  <r>
    <x v="0"/>
    <x v="3"/>
    <x v="5"/>
    <s v="Oregon Home Energy Rating System (HERS)/ENERGY STAR New Single-Family"/>
    <x v="57"/>
    <x v="27"/>
    <x v="16"/>
    <x v="1"/>
    <x v="0"/>
    <n v="0"/>
    <x v="0"/>
    <n v="1742.23141743"/>
  </r>
  <r>
    <x v="0"/>
    <x v="2"/>
    <x v="5"/>
    <s v="Oregon Home Energy Rating System (HERS)/ENERGY STAR New Single-Family"/>
    <x v="57"/>
    <x v="27"/>
    <x v="16"/>
    <x v="0"/>
    <x v="0"/>
    <n v="38"/>
    <x v="0"/>
    <n v="1763.96806713"/>
  </r>
  <r>
    <x v="0"/>
    <x v="2"/>
    <x v="5"/>
    <s v="Oregon Home Energy Rating System (HERS)/ENERGY STAR New Single-Family"/>
    <x v="57"/>
    <x v="27"/>
    <x v="16"/>
    <x v="1"/>
    <x v="0"/>
    <n v="0"/>
    <x v="0"/>
    <n v="1763.96806713"/>
  </r>
  <r>
    <x v="0"/>
    <x v="1"/>
    <x v="5"/>
    <s v="Oregon Performance Path, New Single-Family"/>
    <x v="58"/>
    <x v="28"/>
    <x v="16"/>
    <x v="0"/>
    <x v="0"/>
    <n v="10"/>
    <x v="0"/>
    <n v="1594.5823335499999"/>
  </r>
  <r>
    <x v="0"/>
    <x v="1"/>
    <x v="5"/>
    <s v="Oregon Performance Path, New Single-Family"/>
    <x v="58"/>
    <x v="28"/>
    <x v="16"/>
    <x v="1"/>
    <x v="0"/>
    <n v="10"/>
    <x v="0"/>
    <n v="1594.5823335499999"/>
  </r>
  <r>
    <x v="0"/>
    <x v="3"/>
    <x v="5"/>
    <s v="Oregon Performance Path, New Single-Family"/>
    <x v="58"/>
    <x v="28"/>
    <x v="16"/>
    <x v="0"/>
    <x v="0"/>
    <n v="10"/>
    <x v="0"/>
    <n v="1720.5918970299999"/>
  </r>
  <r>
    <x v="0"/>
    <x v="3"/>
    <x v="5"/>
    <s v="Oregon Performance Path, New Single-Family"/>
    <x v="58"/>
    <x v="28"/>
    <x v="16"/>
    <x v="1"/>
    <x v="0"/>
    <n v="10"/>
    <x v="0"/>
    <n v="1720.5918970299999"/>
  </r>
  <r>
    <x v="0"/>
    <x v="2"/>
    <x v="5"/>
    <s v="Oregon Performance Path, New Single-Family"/>
    <x v="58"/>
    <x v="28"/>
    <x v="16"/>
    <x v="0"/>
    <x v="0"/>
    <n v="10"/>
    <x v="0"/>
    <n v="1720.5918970299999"/>
  </r>
  <r>
    <x v="0"/>
    <x v="2"/>
    <x v="5"/>
    <s v="Oregon Performance Path, New Single-Family"/>
    <x v="58"/>
    <x v="28"/>
    <x v="16"/>
    <x v="1"/>
    <x v="0"/>
    <n v="10"/>
    <x v="0"/>
    <n v="1720.5918970299999"/>
  </r>
  <r>
    <x v="0"/>
    <x v="1"/>
    <x v="7"/>
    <s v="Oregon Code, New Multifamily, ORSC 2021"/>
    <x v="59"/>
    <x v="29"/>
    <x v="28"/>
    <x v="0"/>
    <x v="0"/>
    <n v="2974.1779443400001"/>
    <x v="0"/>
    <n v="0"/>
  </r>
  <r>
    <x v="0"/>
    <x v="3"/>
    <x v="7"/>
    <s v="Oregon Code, New Multifamily, ORSC 2021"/>
    <x v="59"/>
    <x v="29"/>
    <x v="28"/>
    <x v="0"/>
    <x v="0"/>
    <n v="2944.73063796"/>
    <x v="0"/>
    <n v="0"/>
  </r>
  <r>
    <x v="0"/>
    <x v="2"/>
    <x v="7"/>
    <s v="Oregon Code, New Multifamily, ORSC 2021"/>
    <x v="59"/>
    <x v="29"/>
    <x v="28"/>
    <x v="0"/>
    <x v="0"/>
    <n v="2186.6811668"/>
    <x v="0"/>
    <n v="0"/>
  </r>
  <r>
    <x v="0"/>
    <x v="2"/>
    <x v="7"/>
    <s v="Oregon Code, New Multifamily, ORSC 2023"/>
    <x v="60"/>
    <x v="29"/>
    <x v="29"/>
    <x v="0"/>
    <x v="0"/>
    <n v="0"/>
    <x v="0"/>
    <n v="195"/>
  </r>
  <r>
    <x v="0"/>
    <x v="0"/>
    <x v="7"/>
    <s v="Oregon Code, New Multifamily, ORSC 2023"/>
    <x v="60"/>
    <x v="29"/>
    <x v="29"/>
    <x v="0"/>
    <x v="0"/>
    <n v="3003.9197237799999"/>
    <x v="0"/>
    <n v="195"/>
  </r>
  <r>
    <x v="0"/>
    <x v="1"/>
    <x v="7"/>
    <s v="Oregon Code, New Multifamily, ORSC 2023"/>
    <x v="60"/>
    <x v="29"/>
    <x v="29"/>
    <x v="0"/>
    <x v="0"/>
    <n v="1487.08897217"/>
    <x v="0"/>
    <n v="195"/>
  </r>
  <r>
    <x v="0"/>
    <x v="1"/>
    <x v="5"/>
    <s v="Oregon Code, Single-Family, ORSC 2021"/>
    <x v="61"/>
    <x v="30"/>
    <x v="28"/>
    <x v="0"/>
    <x v="0"/>
    <n v="11763"/>
    <x v="0"/>
    <n v="671"/>
  </r>
  <r>
    <x v="0"/>
    <x v="3"/>
    <x v="5"/>
    <s v="Oregon Code, Single-Family, ORSC 2021"/>
    <x v="61"/>
    <x v="30"/>
    <x v="28"/>
    <x v="0"/>
    <x v="0"/>
    <n v="11547"/>
    <x v="0"/>
    <n v="671"/>
  </r>
  <r>
    <x v="0"/>
    <x v="2"/>
    <x v="5"/>
    <s v="Oregon Code, Single-Family, ORSC 2021"/>
    <x v="61"/>
    <x v="30"/>
    <x v="28"/>
    <x v="0"/>
    <x v="0"/>
    <n v="8374"/>
    <x v="0"/>
    <n v="671"/>
  </r>
  <r>
    <x v="0"/>
    <x v="1"/>
    <x v="5"/>
    <s v="Oregon Code, Single-Family, ORSC 2023"/>
    <x v="62"/>
    <x v="30"/>
    <x v="29"/>
    <x v="0"/>
    <x v="0"/>
    <n v="5882"/>
    <x v="0"/>
    <n v="943"/>
  </r>
  <r>
    <x v="0"/>
    <x v="3"/>
    <x v="5"/>
    <s v="Oregon Code, Single-Family, ORSC 2023"/>
    <x v="62"/>
    <x v="30"/>
    <x v="29"/>
    <x v="0"/>
    <x v="0"/>
    <n v="0"/>
    <x v="0"/>
    <n v="943"/>
  </r>
  <r>
    <x v="0"/>
    <x v="2"/>
    <x v="5"/>
    <s v="Oregon Code, Single-Family, ORSC 2023"/>
    <x v="62"/>
    <x v="30"/>
    <x v="29"/>
    <x v="0"/>
    <x v="0"/>
    <n v="0"/>
    <x v="0"/>
    <n v="943"/>
  </r>
  <r>
    <x v="0"/>
    <x v="1"/>
    <x v="9"/>
    <s v="Commercial Strategic Energy Management (SEM)"/>
    <x v="63"/>
    <x v="31"/>
    <x v="30"/>
    <x v="0"/>
    <x v="3"/>
    <n v="6.4243824199999997"/>
    <x v="0"/>
    <n v="8760000"/>
  </r>
  <r>
    <x v="0"/>
    <x v="1"/>
    <x v="9"/>
    <s v="Commercial Strategic Energy Management (SEM)"/>
    <x v="63"/>
    <x v="31"/>
    <x v="30"/>
    <x v="2"/>
    <x v="3"/>
    <n v="0.25697530000000002"/>
    <x v="0"/>
    <n v="8760000"/>
  </r>
  <r>
    <x v="0"/>
    <x v="1"/>
    <x v="9"/>
    <s v="Commercial Strategic Energy Management (SEM)"/>
    <x v="63"/>
    <x v="31"/>
    <x v="30"/>
    <x v="1"/>
    <x v="3"/>
    <n v="6.4243824199999997"/>
    <x v="0"/>
    <n v="8760000"/>
  </r>
  <r>
    <x v="0"/>
    <x v="3"/>
    <x v="9"/>
    <s v="Commercial Strategic Energy Management (SEM)"/>
    <x v="63"/>
    <x v="31"/>
    <x v="30"/>
    <x v="0"/>
    <x v="3"/>
    <n v="6.4243824199999997"/>
    <x v="0"/>
    <n v="8760000"/>
  </r>
  <r>
    <x v="0"/>
    <x v="3"/>
    <x v="9"/>
    <s v="Commercial Strategic Energy Management (SEM)"/>
    <x v="63"/>
    <x v="31"/>
    <x v="30"/>
    <x v="2"/>
    <x v="3"/>
    <n v="0.25697530000000002"/>
    <x v="0"/>
    <n v="8760000"/>
  </r>
  <r>
    <x v="0"/>
    <x v="3"/>
    <x v="9"/>
    <s v="Commercial Strategic Energy Management (SEM)"/>
    <x v="63"/>
    <x v="31"/>
    <x v="30"/>
    <x v="1"/>
    <x v="3"/>
    <n v="6.4243824199999997"/>
    <x v="0"/>
    <n v="8760000"/>
  </r>
  <r>
    <x v="0"/>
    <x v="2"/>
    <x v="9"/>
    <s v="Commercial Strategic Energy Management (SEM)"/>
    <x v="63"/>
    <x v="31"/>
    <x v="30"/>
    <x v="0"/>
    <x v="3"/>
    <n v="5.4607250599999997"/>
    <x v="0"/>
    <n v="8760000"/>
  </r>
  <r>
    <x v="0"/>
    <x v="2"/>
    <x v="9"/>
    <s v="Commercial Strategic Energy Management (SEM)"/>
    <x v="63"/>
    <x v="31"/>
    <x v="30"/>
    <x v="2"/>
    <x v="3"/>
    <n v="0.21842900000000001"/>
    <x v="0"/>
    <n v="8760000"/>
  </r>
  <r>
    <x v="0"/>
    <x v="2"/>
    <x v="9"/>
    <s v="Commercial Strategic Energy Management (SEM)"/>
    <x v="63"/>
    <x v="31"/>
    <x v="30"/>
    <x v="1"/>
    <x v="3"/>
    <n v="5.4607250599999997"/>
    <x v="0"/>
    <n v="8760000"/>
  </r>
  <r>
    <x v="0"/>
    <x v="1"/>
    <x v="9"/>
    <s v="Industrial Strategic Energy Management (SEM)"/>
    <x v="64"/>
    <x v="32"/>
    <x v="30"/>
    <x v="0"/>
    <x v="3"/>
    <n v="6.7593606199999998"/>
    <x v="0"/>
    <n v="8760000"/>
  </r>
  <r>
    <x v="0"/>
    <x v="1"/>
    <x v="9"/>
    <s v="Industrial Strategic Energy Management (SEM)"/>
    <x v="64"/>
    <x v="32"/>
    <x v="30"/>
    <x v="2"/>
    <x v="3"/>
    <n v="0.47315523999999998"/>
    <x v="0"/>
    <n v="8760000"/>
  </r>
  <r>
    <x v="0"/>
    <x v="1"/>
    <x v="9"/>
    <s v="Industrial Strategic Energy Management (SEM)"/>
    <x v="64"/>
    <x v="32"/>
    <x v="30"/>
    <x v="1"/>
    <x v="3"/>
    <n v="6.7593606199999998"/>
    <x v="0"/>
    <n v="8760000"/>
  </r>
  <r>
    <x v="0"/>
    <x v="3"/>
    <x v="9"/>
    <s v="Industrial Strategic Energy Management (SEM)"/>
    <x v="64"/>
    <x v="32"/>
    <x v="30"/>
    <x v="0"/>
    <x v="3"/>
    <n v="6.7593606199999998"/>
    <x v="0"/>
    <n v="8760000"/>
  </r>
  <r>
    <x v="0"/>
    <x v="3"/>
    <x v="9"/>
    <s v="Industrial Strategic Energy Management (SEM)"/>
    <x v="64"/>
    <x v="32"/>
    <x v="30"/>
    <x v="2"/>
    <x v="3"/>
    <n v="0.47315523999999998"/>
    <x v="0"/>
    <n v="8760000"/>
  </r>
  <r>
    <x v="0"/>
    <x v="3"/>
    <x v="9"/>
    <s v="Industrial Strategic Energy Management (SEM)"/>
    <x v="64"/>
    <x v="32"/>
    <x v="30"/>
    <x v="1"/>
    <x v="3"/>
    <n v="6.7593606199999998"/>
    <x v="0"/>
    <n v="8760000"/>
  </r>
  <r>
    <x v="0"/>
    <x v="2"/>
    <x v="9"/>
    <s v="Industrial Strategic Energy Management (SEM)"/>
    <x v="64"/>
    <x v="32"/>
    <x v="30"/>
    <x v="0"/>
    <x v="3"/>
    <n v="5.7454565200000003"/>
    <x v="0"/>
    <n v="8760000"/>
  </r>
  <r>
    <x v="0"/>
    <x v="2"/>
    <x v="9"/>
    <s v="Industrial Strategic Energy Management (SEM)"/>
    <x v="64"/>
    <x v="32"/>
    <x v="30"/>
    <x v="2"/>
    <x v="3"/>
    <n v="0.40218196000000001"/>
    <x v="0"/>
    <n v="8760000"/>
  </r>
  <r>
    <x v="0"/>
    <x v="2"/>
    <x v="9"/>
    <s v="Industrial Strategic Energy Management (SEM)"/>
    <x v="64"/>
    <x v="32"/>
    <x v="30"/>
    <x v="1"/>
    <x v="3"/>
    <n v="5.7454565200000003"/>
    <x v="0"/>
    <n v="8760000"/>
  </r>
  <r>
    <x v="0"/>
    <x v="1"/>
    <x v="10"/>
    <s v="Refrigeration Operator Certification Projects"/>
    <x v="65"/>
    <x v="33"/>
    <x v="30"/>
    <x v="0"/>
    <x v="4"/>
    <n v="0.11034691000000001"/>
    <x v="0"/>
    <n v="8760000"/>
  </r>
  <r>
    <x v="0"/>
    <x v="1"/>
    <x v="10"/>
    <s v="Refrigeration Operator Certification Projects"/>
    <x v="65"/>
    <x v="33"/>
    <x v="30"/>
    <x v="2"/>
    <x v="4"/>
    <n v="0"/>
    <x v="0"/>
    <n v="8760000"/>
  </r>
  <r>
    <x v="0"/>
    <x v="1"/>
    <x v="10"/>
    <s v="Refrigeration Operator Certification Projects"/>
    <x v="65"/>
    <x v="33"/>
    <x v="30"/>
    <x v="1"/>
    <x v="4"/>
    <n v="5.5173449999999999E-2"/>
    <x v="0"/>
    <n v="8760000"/>
  </r>
  <r>
    <x v="0"/>
    <x v="3"/>
    <x v="10"/>
    <s v="Refrigeration Operator Certification Projects"/>
    <x v="65"/>
    <x v="33"/>
    <x v="30"/>
    <x v="0"/>
    <x v="4"/>
    <n v="0.17064584999999999"/>
    <x v="0"/>
    <n v="8760000"/>
  </r>
  <r>
    <x v="0"/>
    <x v="3"/>
    <x v="10"/>
    <s v="Refrigeration Operator Certification Projects"/>
    <x v="65"/>
    <x v="33"/>
    <x v="30"/>
    <x v="2"/>
    <x v="4"/>
    <n v="0"/>
    <x v="0"/>
    <n v="8760000"/>
  </r>
  <r>
    <x v="0"/>
    <x v="3"/>
    <x v="10"/>
    <s v="Refrigeration Operator Certification Projects"/>
    <x v="65"/>
    <x v="33"/>
    <x v="30"/>
    <x v="1"/>
    <x v="4"/>
    <n v="8.5322919999999997E-2"/>
    <x v="0"/>
    <n v="8760000"/>
  </r>
  <r>
    <x v="0"/>
    <x v="2"/>
    <x v="10"/>
    <s v="Refrigeration Operator Certification Projects"/>
    <x v="65"/>
    <x v="33"/>
    <x v="30"/>
    <x v="0"/>
    <x v="4"/>
    <n v="0.18843737999999999"/>
    <x v="0"/>
    <n v="8760000"/>
  </r>
  <r>
    <x v="0"/>
    <x v="2"/>
    <x v="10"/>
    <s v="Refrigeration Operator Certification Projects"/>
    <x v="65"/>
    <x v="33"/>
    <x v="30"/>
    <x v="2"/>
    <x v="4"/>
    <n v="0"/>
    <x v="0"/>
    <n v="8760000"/>
  </r>
  <r>
    <x v="0"/>
    <x v="2"/>
    <x v="10"/>
    <s v="Refrigeration Operator Certification Projects"/>
    <x v="65"/>
    <x v="33"/>
    <x v="30"/>
    <x v="1"/>
    <x v="4"/>
    <n v="9.4218689999999994E-2"/>
    <x v="0"/>
    <n v="8760000"/>
  </r>
  <r>
    <x v="0"/>
    <x v="1"/>
    <x v="0"/>
    <s v="Room Air Cleaners, All Sizes, Non-Qualifying"/>
    <x v="66"/>
    <x v="34"/>
    <x v="24"/>
    <x v="0"/>
    <x v="0"/>
    <n v="145930.50644595001"/>
    <x v="0"/>
    <n v="-6.1911982099999996"/>
  </r>
  <r>
    <x v="0"/>
    <x v="3"/>
    <x v="0"/>
    <s v="Room Air Cleaners, All Sizes, Non-Qualifying"/>
    <x v="66"/>
    <x v="34"/>
    <x v="24"/>
    <x v="0"/>
    <x v="0"/>
    <n v="183044.51474553"/>
    <x v="0"/>
    <n v="-6.1911982099999996"/>
  </r>
  <r>
    <x v="0"/>
    <x v="2"/>
    <x v="0"/>
    <s v="Room Air Cleaners, All Sizes, Non-Qualifying"/>
    <x v="66"/>
    <x v="34"/>
    <x v="24"/>
    <x v="0"/>
    <x v="0"/>
    <n v="195428.08806186001"/>
    <x v="0"/>
    <n v="-6.1911982099999996"/>
  </r>
  <r>
    <x v="0"/>
    <x v="3"/>
    <x v="0"/>
    <s v="Freezers, Standard-size Chest, Non-Qualifying"/>
    <x v="67"/>
    <x v="35"/>
    <x v="24"/>
    <x v="0"/>
    <x v="0"/>
    <n v="18600.779895930002"/>
    <x v="0"/>
    <n v="-2.8473778300000001"/>
  </r>
  <r>
    <x v="0"/>
    <x v="2"/>
    <x v="0"/>
    <s v="Freezers, Standard-size Chest, Non-Qualifying"/>
    <x v="67"/>
    <x v="35"/>
    <x v="24"/>
    <x v="0"/>
    <x v="0"/>
    <n v="16035.337229000001"/>
    <x v="0"/>
    <n v="-2.8473778300000001"/>
  </r>
  <r>
    <x v="0"/>
    <x v="0"/>
    <x v="0"/>
    <s v="Freezers, Standard-size Chest, Non-Qualifying"/>
    <x v="67"/>
    <x v="35"/>
    <x v="24"/>
    <x v="0"/>
    <x v="0"/>
    <n v="14892.883857479999"/>
    <x v="0"/>
    <n v="-2.8473778300000001"/>
  </r>
  <r>
    <x v="0"/>
    <x v="1"/>
    <x v="0"/>
    <s v="Freezers, Compact Chest and Upright, Non-Qualifying"/>
    <x v="68"/>
    <x v="36"/>
    <x v="24"/>
    <x v="0"/>
    <x v="0"/>
    <n v="51452.932599660002"/>
    <x v="0"/>
    <n v="-1.72686059"/>
  </r>
  <r>
    <x v="0"/>
    <x v="3"/>
    <x v="0"/>
    <s v="Freezers, Compact Chest and Upright, Non-Qualifying"/>
    <x v="68"/>
    <x v="36"/>
    <x v="24"/>
    <x v="0"/>
    <x v="0"/>
    <n v="67521.38129351"/>
    <x v="0"/>
    <n v="-1.72686059"/>
  </r>
  <r>
    <x v="0"/>
    <x v="2"/>
    <x v="0"/>
    <s v="Freezers, Compact Chest and Upright, Non-Qualifying"/>
    <x v="68"/>
    <x v="36"/>
    <x v="24"/>
    <x v="0"/>
    <x v="0"/>
    <n v="58228.421123469998"/>
    <x v="0"/>
    <n v="-1.72686059"/>
  </r>
  <r>
    <x v="0"/>
    <x v="2"/>
    <x v="0"/>
    <s v="Room Air Conditioners, Med/Large, Non-Qualifying"/>
    <x v="69"/>
    <x v="37"/>
    <x v="24"/>
    <x v="0"/>
    <x v="0"/>
    <n v="2071.6560000200002"/>
    <x v="0"/>
    <n v="0"/>
  </r>
  <r>
    <x v="0"/>
    <x v="0"/>
    <x v="0"/>
    <s v="Room Air Conditioners, Med/Large, Non-Qualifying"/>
    <x v="69"/>
    <x v="37"/>
    <x v="24"/>
    <x v="0"/>
    <x v="0"/>
    <n v="1657.6464864699999"/>
    <x v="0"/>
    <n v="0"/>
  </r>
  <r>
    <x v="0"/>
    <x v="1"/>
    <x v="0"/>
    <s v="Room Air Conditioners, Med/Large, Non-Qualifying"/>
    <x v="69"/>
    <x v="37"/>
    <x v="24"/>
    <x v="0"/>
    <x v="0"/>
    <n v="1536.00669986"/>
    <x v="0"/>
    <n v="0"/>
  </r>
  <r>
    <x v="0"/>
    <x v="3"/>
    <x v="0"/>
    <s v="Refrigerators, Standard-size Bottom-mount Freezers, Non-Qualifying"/>
    <x v="70"/>
    <x v="38"/>
    <x v="24"/>
    <x v="0"/>
    <x v="0"/>
    <n v="5074.6567500000001"/>
    <x v="0"/>
    <n v="-48.371692029999998"/>
  </r>
  <r>
    <x v="0"/>
    <x v="3"/>
    <x v="0"/>
    <s v="Refrigerators, Standard-size Bottom-mount Freezers, Non-Qualifying"/>
    <x v="70"/>
    <x v="38"/>
    <x v="24"/>
    <x v="1"/>
    <x v="0"/>
    <n v="0"/>
    <x v="0"/>
    <n v="-48.371692029999998"/>
  </r>
  <r>
    <x v="0"/>
    <x v="2"/>
    <x v="0"/>
    <s v="Refrigerators, Standard-size Bottom-mount Freezers, Non-Qualifying"/>
    <x v="70"/>
    <x v="38"/>
    <x v="24"/>
    <x v="0"/>
    <x v="0"/>
    <n v="9561.0665559400004"/>
    <x v="0"/>
    <n v="-48.371692029999998"/>
  </r>
  <r>
    <x v="0"/>
    <x v="2"/>
    <x v="0"/>
    <s v="Refrigerators, Standard-size Bottom-mount Freezers, Non-Qualifying"/>
    <x v="70"/>
    <x v="38"/>
    <x v="24"/>
    <x v="1"/>
    <x v="0"/>
    <n v="0"/>
    <x v="0"/>
    <n v="-48.371692029999998"/>
  </r>
  <r>
    <x v="0"/>
    <x v="0"/>
    <x v="0"/>
    <s v="Refrigerators, Standard-size Bottom-mount Freezers, Non-Qualifying"/>
    <x v="70"/>
    <x v="38"/>
    <x v="24"/>
    <x v="0"/>
    <x v="0"/>
    <n v="1285.9117173300001"/>
    <x v="0"/>
    <n v="-48.371692029999998"/>
  </r>
  <r>
    <x v="0"/>
    <x v="0"/>
    <x v="0"/>
    <s v="Refrigerators, Standard-size Bottom-mount Freezers, Non-Qualifying"/>
    <x v="70"/>
    <x v="38"/>
    <x v="24"/>
    <x v="1"/>
    <x v="0"/>
    <n v="0"/>
    <x v="0"/>
    <n v="-48.371692029999998"/>
  </r>
  <r>
    <x v="0"/>
    <x v="3"/>
    <x v="0"/>
    <s v="Refrigerators, Standard-size Side-mount Freezers, Non-Qualifying"/>
    <x v="71"/>
    <x v="39"/>
    <x v="24"/>
    <x v="0"/>
    <x v="0"/>
    <n v="65308.625999999997"/>
    <x v="0"/>
    <n v="-2.5188902299999998"/>
  </r>
  <r>
    <x v="0"/>
    <x v="3"/>
    <x v="0"/>
    <s v="Refrigerators, Standard-size Side-mount Freezers, Non-Qualifying"/>
    <x v="71"/>
    <x v="39"/>
    <x v="24"/>
    <x v="1"/>
    <x v="0"/>
    <n v="0"/>
    <x v="0"/>
    <n v="-2.5188902299999998"/>
  </r>
  <r>
    <x v="0"/>
    <x v="2"/>
    <x v="0"/>
    <s v="Refrigerators, Standard-size Side-mount Freezers, Non-Qualifying"/>
    <x v="71"/>
    <x v="39"/>
    <x v="24"/>
    <x v="0"/>
    <x v="0"/>
    <n v="79241.23883848"/>
    <x v="0"/>
    <n v="-2.5188902299999998"/>
  </r>
  <r>
    <x v="0"/>
    <x v="2"/>
    <x v="0"/>
    <s v="Refrigerators, Standard-size Side-mount Freezers, Non-Qualifying"/>
    <x v="71"/>
    <x v="39"/>
    <x v="24"/>
    <x v="1"/>
    <x v="0"/>
    <n v="0"/>
    <x v="0"/>
    <n v="-2.5188902299999998"/>
  </r>
  <r>
    <x v="0"/>
    <x v="0"/>
    <x v="0"/>
    <s v="Refrigerators, Standard-size Side-mount Freezers, Non-Qualifying"/>
    <x v="71"/>
    <x v="39"/>
    <x v="24"/>
    <x v="0"/>
    <x v="0"/>
    <n v="50859.703586980002"/>
    <x v="0"/>
    <n v="-2.5188902299999998"/>
  </r>
  <r>
    <x v="0"/>
    <x v="0"/>
    <x v="0"/>
    <s v="Refrigerators, Standard-size Side-mount Freezers, Non-Qualifying"/>
    <x v="71"/>
    <x v="39"/>
    <x v="24"/>
    <x v="1"/>
    <x v="0"/>
    <n v="0"/>
    <x v="0"/>
    <n v="-2.5188902299999998"/>
  </r>
  <r>
    <x v="0"/>
    <x v="3"/>
    <x v="0"/>
    <s v="Freezers, Standard-size Upright, Non-Qualifying"/>
    <x v="72"/>
    <x v="40"/>
    <x v="24"/>
    <x v="0"/>
    <x v="0"/>
    <n v="28187.361382750001"/>
    <x v="0"/>
    <n v="-7.9393648099999998"/>
  </r>
  <r>
    <x v="0"/>
    <x v="2"/>
    <x v="0"/>
    <s v="Freezers, Standard-size Upright, Non-Qualifying"/>
    <x v="72"/>
    <x v="40"/>
    <x v="24"/>
    <x v="0"/>
    <x v="0"/>
    <n v="25908.346439590001"/>
    <x v="0"/>
    <n v="-7.9393648099999998"/>
  </r>
  <r>
    <x v="0"/>
    <x v="0"/>
    <x v="0"/>
    <s v="Freezers, Standard-size Upright, Non-Qualifying"/>
    <x v="72"/>
    <x v="40"/>
    <x v="24"/>
    <x v="0"/>
    <x v="0"/>
    <n v="24732.144735099999"/>
    <x v="0"/>
    <n v="-7.9393648099999998"/>
  </r>
  <r>
    <x v="0"/>
    <x v="1"/>
    <x v="0"/>
    <s v="Clothes Dryers, Standard, Electric, UCEF 3.00 to 4.19"/>
    <x v="73"/>
    <x v="41"/>
    <x v="31"/>
    <x v="0"/>
    <x v="0"/>
    <n v="11524.01976273"/>
    <x v="0"/>
    <n v="280.96180164999998"/>
  </r>
  <r>
    <x v="0"/>
    <x v="1"/>
    <x v="0"/>
    <s v="Clothes Dryers, Standard, Electric, UCEF 3.00 to 4.19"/>
    <x v="73"/>
    <x v="41"/>
    <x v="31"/>
    <x v="1"/>
    <x v="0"/>
    <n v="2881.0049406799999"/>
    <x v="0"/>
    <n v="280.96180164999998"/>
  </r>
  <r>
    <x v="0"/>
    <x v="1"/>
    <x v="0"/>
    <s v="Clothes Dryers, Standard, Electric, UCEF 3.00 to 4.19"/>
    <x v="73"/>
    <x v="41"/>
    <x v="31"/>
    <x v="2"/>
    <x v="0"/>
    <n v="0"/>
    <x v="0"/>
    <n v="280.96180164999998"/>
  </r>
  <r>
    <x v="0"/>
    <x v="3"/>
    <x v="0"/>
    <s v="Clothes Dryers, Standard, Electric, UCEF 3.00 to 4.19"/>
    <x v="73"/>
    <x v="41"/>
    <x v="31"/>
    <x v="0"/>
    <x v="0"/>
    <n v="5069.21189177"/>
    <x v="0"/>
    <n v="280.96180164999998"/>
  </r>
  <r>
    <x v="0"/>
    <x v="3"/>
    <x v="0"/>
    <s v="Clothes Dryers, Standard, Electric, UCEF 3.00 to 4.19"/>
    <x v="73"/>
    <x v="41"/>
    <x v="31"/>
    <x v="1"/>
    <x v="0"/>
    <n v="1267.30297294"/>
    <x v="0"/>
    <n v="280.96180164999998"/>
  </r>
  <r>
    <x v="0"/>
    <x v="3"/>
    <x v="0"/>
    <s v="Clothes Dryers, Standard, Electric, UCEF 3.00 to 4.19"/>
    <x v="73"/>
    <x v="41"/>
    <x v="31"/>
    <x v="2"/>
    <x v="0"/>
    <n v="0"/>
    <x v="0"/>
    <n v="280.96180164999998"/>
  </r>
  <r>
    <x v="0"/>
    <x v="2"/>
    <x v="0"/>
    <s v="Clothes Dryers, Standard, Electric, UCEF 3.00 to 4.19"/>
    <x v="73"/>
    <x v="41"/>
    <x v="31"/>
    <x v="0"/>
    <x v="0"/>
    <n v="2793.2035820900001"/>
    <x v="0"/>
    <n v="280.96180164999998"/>
  </r>
  <r>
    <x v="0"/>
    <x v="2"/>
    <x v="0"/>
    <s v="Clothes Dryers, Standard, Electric, UCEF 3.00 to 4.19"/>
    <x v="73"/>
    <x v="41"/>
    <x v="31"/>
    <x v="1"/>
    <x v="0"/>
    <n v="1775.63612203"/>
    <x v="0"/>
    <n v="280.96180164999998"/>
  </r>
  <r>
    <x v="0"/>
    <x v="2"/>
    <x v="0"/>
    <s v="Clothes Dryers, Standard, Electric, UCEF 3.00 to 4.19"/>
    <x v="73"/>
    <x v="41"/>
    <x v="31"/>
    <x v="2"/>
    <x v="0"/>
    <n v="0"/>
    <x v="0"/>
    <n v="280.96180164999998"/>
  </r>
  <r>
    <x v="0"/>
    <x v="1"/>
    <x v="0"/>
    <s v="Clothes Dryers, Standard, Electric, UCEF 4.20 to 5.29"/>
    <x v="74"/>
    <x v="41"/>
    <x v="32"/>
    <x v="0"/>
    <x v="0"/>
    <n v="0"/>
    <x v="0"/>
    <n v="355.55630531000003"/>
  </r>
  <r>
    <x v="0"/>
    <x v="1"/>
    <x v="0"/>
    <s v="Clothes Dryers, Standard, Electric, UCEF 4.20 to 5.29"/>
    <x v="74"/>
    <x v="41"/>
    <x v="32"/>
    <x v="1"/>
    <x v="0"/>
    <n v="0"/>
    <x v="0"/>
    <n v="355.55630531000003"/>
  </r>
  <r>
    <x v="0"/>
    <x v="1"/>
    <x v="0"/>
    <s v="Clothes Dryers, Standard, Electric, UCEF 4.20 to 5.29"/>
    <x v="74"/>
    <x v="41"/>
    <x v="32"/>
    <x v="2"/>
    <x v="0"/>
    <n v="0"/>
    <x v="0"/>
    <n v="355.55630531000003"/>
  </r>
  <r>
    <x v="0"/>
    <x v="3"/>
    <x v="0"/>
    <s v="Clothes Dryers, Standard, Electric, UCEF 4.20 to 5.29"/>
    <x v="74"/>
    <x v="41"/>
    <x v="32"/>
    <x v="0"/>
    <x v="0"/>
    <n v="0"/>
    <x v="0"/>
    <n v="355.55630531000003"/>
  </r>
  <r>
    <x v="0"/>
    <x v="3"/>
    <x v="0"/>
    <s v="Clothes Dryers, Standard, Electric, UCEF 4.20 to 5.29"/>
    <x v="74"/>
    <x v="41"/>
    <x v="32"/>
    <x v="1"/>
    <x v="0"/>
    <n v="0"/>
    <x v="0"/>
    <n v="355.55630531000003"/>
  </r>
  <r>
    <x v="0"/>
    <x v="3"/>
    <x v="0"/>
    <s v="Clothes Dryers, Standard, Electric, UCEF 4.20 to 5.29"/>
    <x v="74"/>
    <x v="41"/>
    <x v="32"/>
    <x v="2"/>
    <x v="0"/>
    <n v="0"/>
    <x v="0"/>
    <n v="355.55630531000003"/>
  </r>
  <r>
    <x v="0"/>
    <x v="2"/>
    <x v="0"/>
    <s v="Clothes Dryers, Standard, Electric, UCEF 4.20 to 5.29"/>
    <x v="74"/>
    <x v="41"/>
    <x v="32"/>
    <x v="0"/>
    <x v="0"/>
    <n v="0"/>
    <x v="0"/>
    <n v="355.55630531000003"/>
  </r>
  <r>
    <x v="0"/>
    <x v="2"/>
    <x v="0"/>
    <s v="Clothes Dryers, Standard, Electric, UCEF 4.20 to 5.29"/>
    <x v="74"/>
    <x v="41"/>
    <x v="32"/>
    <x v="1"/>
    <x v="0"/>
    <n v="0"/>
    <x v="0"/>
    <n v="355.55630531000003"/>
  </r>
  <r>
    <x v="0"/>
    <x v="2"/>
    <x v="0"/>
    <s v="Clothes Dryers, Standard, Electric, UCEF 4.20 to 5.29"/>
    <x v="74"/>
    <x v="41"/>
    <x v="32"/>
    <x v="2"/>
    <x v="0"/>
    <n v="0"/>
    <x v="0"/>
    <n v="355.55630531000003"/>
  </r>
  <r>
    <x v="0"/>
    <x v="1"/>
    <x v="0"/>
    <s v="Clothes Dryers, Standard, Electric, UCEF 5.30 to 6.09"/>
    <x v="75"/>
    <x v="41"/>
    <x v="33"/>
    <x v="0"/>
    <x v="0"/>
    <n v="0"/>
    <x v="0"/>
    <n v="436.91925670000001"/>
  </r>
  <r>
    <x v="0"/>
    <x v="1"/>
    <x v="0"/>
    <s v="Clothes Dryers, Standard, Electric, UCEF 5.30 to 6.09"/>
    <x v="75"/>
    <x v="41"/>
    <x v="33"/>
    <x v="1"/>
    <x v="0"/>
    <n v="0"/>
    <x v="0"/>
    <n v="436.91925670000001"/>
  </r>
  <r>
    <x v="0"/>
    <x v="1"/>
    <x v="0"/>
    <s v="Clothes Dryers, Standard, Electric, UCEF 5.30 to 6.09"/>
    <x v="75"/>
    <x v="41"/>
    <x v="33"/>
    <x v="2"/>
    <x v="0"/>
    <n v="0"/>
    <x v="0"/>
    <n v="436.91925670000001"/>
  </r>
  <r>
    <x v="0"/>
    <x v="3"/>
    <x v="0"/>
    <s v="Clothes Dryers, Standard, Electric, UCEF 5.30 to 6.09"/>
    <x v="75"/>
    <x v="41"/>
    <x v="33"/>
    <x v="0"/>
    <x v="0"/>
    <n v="0"/>
    <x v="0"/>
    <n v="436.91925670000001"/>
  </r>
  <r>
    <x v="0"/>
    <x v="3"/>
    <x v="0"/>
    <s v="Clothes Dryers, Standard, Electric, UCEF 5.30 to 6.09"/>
    <x v="75"/>
    <x v="41"/>
    <x v="33"/>
    <x v="1"/>
    <x v="0"/>
    <n v="0"/>
    <x v="0"/>
    <n v="436.91925670000001"/>
  </r>
  <r>
    <x v="0"/>
    <x v="3"/>
    <x v="0"/>
    <s v="Clothes Dryers, Standard, Electric, UCEF 5.30 to 6.09"/>
    <x v="75"/>
    <x v="41"/>
    <x v="33"/>
    <x v="2"/>
    <x v="0"/>
    <n v="0"/>
    <x v="0"/>
    <n v="436.91925670000001"/>
  </r>
  <r>
    <x v="0"/>
    <x v="2"/>
    <x v="0"/>
    <s v="Clothes Dryers, Standard, Electric, UCEF 5.30 to 6.09"/>
    <x v="75"/>
    <x v="41"/>
    <x v="33"/>
    <x v="0"/>
    <x v="0"/>
    <n v="0"/>
    <x v="0"/>
    <n v="436.91925670000001"/>
  </r>
  <r>
    <x v="0"/>
    <x v="2"/>
    <x v="0"/>
    <s v="Clothes Dryers, Standard, Electric, UCEF 5.30 to 6.09"/>
    <x v="75"/>
    <x v="41"/>
    <x v="33"/>
    <x v="1"/>
    <x v="0"/>
    <n v="0"/>
    <x v="0"/>
    <n v="436.91925670000001"/>
  </r>
  <r>
    <x v="0"/>
    <x v="2"/>
    <x v="0"/>
    <s v="Clothes Dryers, Standard, Electric, UCEF 5.30 to 6.09"/>
    <x v="75"/>
    <x v="41"/>
    <x v="33"/>
    <x v="2"/>
    <x v="0"/>
    <n v="0"/>
    <x v="0"/>
    <n v="436.91925670000001"/>
  </r>
  <r>
    <x v="0"/>
    <x v="1"/>
    <x v="0"/>
    <s v="Clothes Dryers, Standard, Electric, UCEF 6.10 to 7.19"/>
    <x v="76"/>
    <x v="41"/>
    <x v="34"/>
    <x v="0"/>
    <x v="0"/>
    <n v="0"/>
    <x v="0"/>
    <n v="478.15276754000001"/>
  </r>
  <r>
    <x v="0"/>
    <x v="1"/>
    <x v="0"/>
    <s v="Clothes Dryers, Standard, Electric, UCEF 6.10 to 7.19"/>
    <x v="76"/>
    <x v="41"/>
    <x v="34"/>
    <x v="1"/>
    <x v="0"/>
    <n v="0"/>
    <x v="0"/>
    <n v="478.15276754000001"/>
  </r>
  <r>
    <x v="0"/>
    <x v="1"/>
    <x v="0"/>
    <s v="Clothes Dryers, Standard, Electric, UCEF 6.10 to 7.19"/>
    <x v="76"/>
    <x v="41"/>
    <x v="34"/>
    <x v="2"/>
    <x v="0"/>
    <n v="0"/>
    <x v="0"/>
    <n v="478.15276754000001"/>
  </r>
  <r>
    <x v="0"/>
    <x v="3"/>
    <x v="0"/>
    <s v="Clothes Dryers, Standard, Electric, UCEF 6.10 to 7.19"/>
    <x v="76"/>
    <x v="41"/>
    <x v="34"/>
    <x v="0"/>
    <x v="0"/>
    <n v="0"/>
    <x v="0"/>
    <n v="478.15276754000001"/>
  </r>
  <r>
    <x v="0"/>
    <x v="3"/>
    <x v="0"/>
    <s v="Clothes Dryers, Standard, Electric, UCEF 6.10 to 7.19"/>
    <x v="76"/>
    <x v="41"/>
    <x v="34"/>
    <x v="1"/>
    <x v="0"/>
    <n v="0"/>
    <x v="0"/>
    <n v="478.15276754000001"/>
  </r>
  <r>
    <x v="0"/>
    <x v="3"/>
    <x v="0"/>
    <s v="Clothes Dryers, Standard, Electric, UCEF 6.10 to 7.19"/>
    <x v="76"/>
    <x v="41"/>
    <x v="34"/>
    <x v="2"/>
    <x v="0"/>
    <n v="0"/>
    <x v="0"/>
    <n v="478.15276754000001"/>
  </r>
  <r>
    <x v="0"/>
    <x v="2"/>
    <x v="0"/>
    <s v="Clothes Dryers, Standard, Electric, UCEF 6.10 to 7.19"/>
    <x v="76"/>
    <x v="41"/>
    <x v="34"/>
    <x v="0"/>
    <x v="0"/>
    <n v="0"/>
    <x v="0"/>
    <n v="478.15276754000001"/>
  </r>
  <r>
    <x v="0"/>
    <x v="2"/>
    <x v="0"/>
    <s v="Clothes Dryers, Standard, Electric, UCEF 6.10 to 7.19"/>
    <x v="76"/>
    <x v="41"/>
    <x v="34"/>
    <x v="1"/>
    <x v="0"/>
    <n v="0"/>
    <x v="0"/>
    <n v="478.15276754000001"/>
  </r>
  <r>
    <x v="0"/>
    <x v="2"/>
    <x v="0"/>
    <s v="Clothes Dryers, Standard, Electric, UCEF 6.10 to 7.19"/>
    <x v="76"/>
    <x v="41"/>
    <x v="34"/>
    <x v="2"/>
    <x v="0"/>
    <n v="0"/>
    <x v="0"/>
    <n v="478.15276754000001"/>
  </r>
  <r>
    <x v="0"/>
    <x v="1"/>
    <x v="0"/>
    <s v="Clothes Dryers, Standard, Electric, UCEF 7.20 to 8.00"/>
    <x v="77"/>
    <x v="41"/>
    <x v="35"/>
    <x v="0"/>
    <x v="0"/>
    <n v="2808.2083538000002"/>
    <x v="0"/>
    <n v="510.39602108999998"/>
  </r>
  <r>
    <x v="0"/>
    <x v="1"/>
    <x v="0"/>
    <s v="Clothes Dryers, Standard, Electric, UCEF 7.20 to 8.00"/>
    <x v="77"/>
    <x v="41"/>
    <x v="35"/>
    <x v="1"/>
    <x v="0"/>
    <n v="702.05208845000004"/>
    <x v="0"/>
    <n v="510.39602108999998"/>
  </r>
  <r>
    <x v="0"/>
    <x v="1"/>
    <x v="0"/>
    <s v="Clothes Dryers, Standard, Electric, UCEF 7.20 to 8.00"/>
    <x v="77"/>
    <x v="41"/>
    <x v="35"/>
    <x v="2"/>
    <x v="0"/>
    <n v="0"/>
    <x v="0"/>
    <n v="510.39602108999998"/>
  </r>
  <r>
    <x v="0"/>
    <x v="3"/>
    <x v="0"/>
    <s v="Clothes Dryers, Standard, Electric, UCEF 7.20 to 8.00"/>
    <x v="77"/>
    <x v="41"/>
    <x v="35"/>
    <x v="0"/>
    <x v="0"/>
    <n v="2104.95803101"/>
    <x v="0"/>
    <n v="510.39602108999998"/>
  </r>
  <r>
    <x v="0"/>
    <x v="3"/>
    <x v="0"/>
    <s v="Clothes Dryers, Standard, Electric, UCEF 7.20 to 8.00"/>
    <x v="77"/>
    <x v="41"/>
    <x v="35"/>
    <x v="1"/>
    <x v="0"/>
    <n v="526.23950775000003"/>
    <x v="0"/>
    <n v="510.39602108999998"/>
  </r>
  <r>
    <x v="0"/>
    <x v="3"/>
    <x v="0"/>
    <s v="Clothes Dryers, Standard, Electric, UCEF 7.20 to 8.00"/>
    <x v="77"/>
    <x v="41"/>
    <x v="35"/>
    <x v="2"/>
    <x v="0"/>
    <n v="0"/>
    <x v="0"/>
    <n v="510.39602108999998"/>
  </r>
  <r>
    <x v="0"/>
    <x v="2"/>
    <x v="0"/>
    <s v="Clothes Dryers, Standard, Electric, UCEF 7.20 to 8.00"/>
    <x v="77"/>
    <x v="41"/>
    <x v="35"/>
    <x v="0"/>
    <x v="0"/>
    <n v="1516.1373239500001"/>
    <x v="0"/>
    <n v="510.39602108999998"/>
  </r>
  <r>
    <x v="0"/>
    <x v="2"/>
    <x v="0"/>
    <s v="Clothes Dryers, Standard, Electric, UCEF 7.20 to 8.00"/>
    <x v="77"/>
    <x v="41"/>
    <x v="35"/>
    <x v="1"/>
    <x v="0"/>
    <n v="379.03433099"/>
    <x v="0"/>
    <n v="510.39602108999998"/>
  </r>
  <r>
    <x v="0"/>
    <x v="2"/>
    <x v="0"/>
    <s v="Clothes Dryers, Standard, Electric, UCEF 7.20 to 8.00"/>
    <x v="77"/>
    <x v="41"/>
    <x v="35"/>
    <x v="2"/>
    <x v="0"/>
    <n v="0"/>
    <x v="0"/>
    <n v="510.39602108999998"/>
  </r>
  <r>
    <x v="0"/>
    <x v="1"/>
    <x v="0"/>
    <s v="Room Air Cleaners, All Sizes, ENERGY STAR v2"/>
    <x v="78"/>
    <x v="34"/>
    <x v="36"/>
    <x v="0"/>
    <x v="0"/>
    <n v="83190.177926980003"/>
    <x v="0"/>
    <n v="41.802586349999999"/>
  </r>
  <r>
    <x v="0"/>
    <x v="3"/>
    <x v="0"/>
    <s v="Room Air Cleaners, All Sizes, ENERGY STAR v2"/>
    <x v="78"/>
    <x v="34"/>
    <x v="36"/>
    <x v="0"/>
    <x v="0"/>
    <n v="46076.169627399999"/>
    <x v="0"/>
    <n v="41.802586349999999"/>
  </r>
  <r>
    <x v="0"/>
    <x v="2"/>
    <x v="0"/>
    <s v="Room Air Cleaners, All Sizes, ENERGY STAR v2"/>
    <x v="78"/>
    <x v="34"/>
    <x v="36"/>
    <x v="0"/>
    <x v="0"/>
    <n v="33692.596311070003"/>
    <x v="0"/>
    <n v="41.802586349999999"/>
  </r>
  <r>
    <x v="0"/>
    <x v="3"/>
    <x v="0"/>
    <s v="Refrigerators, Standard-size Bottom-mount Freezers, ENERGY STAR Most Efficient (CEE Tier 2)"/>
    <x v="79"/>
    <x v="38"/>
    <x v="37"/>
    <x v="0"/>
    <x v="0"/>
    <n v="22063.724999999999"/>
    <x v="0"/>
    <n v="94.712395810000004"/>
  </r>
  <r>
    <x v="0"/>
    <x v="3"/>
    <x v="0"/>
    <s v="Refrigerators, Standard-size Bottom-mount Freezers, ENERGY STAR Most Efficient (CEE Tier 2)"/>
    <x v="79"/>
    <x v="38"/>
    <x v="37"/>
    <x v="1"/>
    <x v="0"/>
    <n v="0"/>
    <x v="0"/>
    <n v="94.712395810000004"/>
  </r>
  <r>
    <x v="0"/>
    <x v="2"/>
    <x v="0"/>
    <s v="Refrigerators, Standard-size Bottom-mount Freezers, ENERGY STAR Most Efficient (CEE Tier 2)"/>
    <x v="79"/>
    <x v="38"/>
    <x v="37"/>
    <x v="0"/>
    <x v="0"/>
    <n v="17714.57354849"/>
    <x v="0"/>
    <n v="94.712395810000004"/>
  </r>
  <r>
    <x v="0"/>
    <x v="2"/>
    <x v="0"/>
    <s v="Refrigerators, Standard-size Bottom-mount Freezers, ENERGY STAR Most Efficient (CEE Tier 2)"/>
    <x v="79"/>
    <x v="38"/>
    <x v="37"/>
    <x v="1"/>
    <x v="0"/>
    <n v="0"/>
    <x v="0"/>
    <n v="94.712395810000004"/>
  </r>
  <r>
    <x v="0"/>
    <x v="0"/>
    <x v="0"/>
    <s v="Refrigerators, Standard-size Bottom-mount Freezers, ENERGY STAR Most Efficient (CEE Tier 2)"/>
    <x v="79"/>
    <x v="38"/>
    <x v="37"/>
    <x v="0"/>
    <x v="1"/>
    <n v="48010.681102499999"/>
    <x v="0"/>
    <n v="94.712395810000004"/>
  </r>
  <r>
    <x v="0"/>
    <x v="0"/>
    <x v="0"/>
    <s v="Refrigerators, Standard-size Bottom-mount Freezers, ENERGY STAR Most Efficient (CEE Tier 2)"/>
    <x v="79"/>
    <x v="38"/>
    <x v="37"/>
    <x v="1"/>
    <x v="1"/>
    <n v="0"/>
    <x v="0"/>
    <n v="94.712395810000004"/>
  </r>
  <r>
    <x v="0"/>
    <x v="1"/>
    <x v="0"/>
    <s v="Refrigerators, Standard-size Side-mount Freezers, ENERGY STAR v5 Most Efficient (CEE Tier 2)"/>
    <x v="80"/>
    <x v="39"/>
    <x v="37"/>
    <x v="0"/>
    <x v="0"/>
    <n v="5781.3720000000003"/>
    <x v="0"/>
    <n v="106.05575447"/>
  </r>
  <r>
    <x v="0"/>
    <x v="1"/>
    <x v="0"/>
    <s v="Refrigerators, Standard-size Side-mount Freezers, ENERGY STAR v5 Most Efficient (CEE Tier 2)"/>
    <x v="80"/>
    <x v="39"/>
    <x v="37"/>
    <x v="1"/>
    <x v="0"/>
    <n v="0"/>
    <x v="0"/>
    <n v="106.05575447"/>
  </r>
  <r>
    <x v="0"/>
    <x v="3"/>
    <x v="0"/>
    <s v="Refrigerators, Standard-size Side-mount Freezers, ENERGY STAR v5 Most Efficient (CEE Tier 2)"/>
    <x v="80"/>
    <x v="39"/>
    <x v="37"/>
    <x v="0"/>
    <x v="0"/>
    <n v="1470.915"/>
    <x v="0"/>
    <n v="106.05575447"/>
  </r>
  <r>
    <x v="0"/>
    <x v="3"/>
    <x v="0"/>
    <s v="Refrigerators, Standard-size Side-mount Freezers, ENERGY STAR v5 Most Efficient (CEE Tier 2)"/>
    <x v="80"/>
    <x v="39"/>
    <x v="37"/>
    <x v="1"/>
    <x v="0"/>
    <n v="0"/>
    <x v="0"/>
    <n v="106.05575447"/>
  </r>
  <r>
    <x v="0"/>
    <x v="2"/>
    <x v="0"/>
    <s v="Refrigerators, Standard-size Side-mount Freezers, ENERGY STAR v5 Most Efficient (CEE Tier 2)"/>
    <x v="80"/>
    <x v="39"/>
    <x v="37"/>
    <x v="0"/>
    <x v="0"/>
    <n v="4.9999999999999998E-8"/>
    <x v="0"/>
    <n v="1.41537398"/>
  </r>
  <r>
    <x v="0"/>
    <x v="2"/>
    <x v="0"/>
    <s v="Refrigerators, Standard-size Side-mount Freezers, ENERGY STAR v5 Most Efficient (CEE Tier 2)"/>
    <x v="80"/>
    <x v="39"/>
    <x v="37"/>
    <x v="1"/>
    <x v="0"/>
    <n v="0"/>
    <x v="0"/>
    <n v="1.41537398"/>
  </r>
  <r>
    <x v="0"/>
    <x v="1"/>
    <x v="0"/>
    <s v="Freezers, Standard-size Upright, TBD"/>
    <x v="81"/>
    <x v="40"/>
    <x v="38"/>
    <x v="0"/>
    <x v="0"/>
    <n v="0"/>
    <x v="0"/>
    <n v="0"/>
  </r>
  <r>
    <x v="0"/>
    <x v="3"/>
    <x v="0"/>
    <s v="Freezers, Standard-size Upright, TBD"/>
    <x v="81"/>
    <x v="40"/>
    <x v="38"/>
    <x v="0"/>
    <x v="0"/>
    <n v="0"/>
    <x v="0"/>
    <n v="0"/>
  </r>
  <r>
    <x v="0"/>
    <x v="2"/>
    <x v="0"/>
    <s v="Freezers, Standard-size Upright, TBD"/>
    <x v="81"/>
    <x v="40"/>
    <x v="38"/>
    <x v="0"/>
    <x v="0"/>
    <n v="0"/>
    <x v="0"/>
    <n v="0"/>
  </r>
  <r>
    <x v="0"/>
    <x v="1"/>
    <x v="0"/>
    <s v="Clothes Dryers, Standard, Electric, ENERGY STAR v1"/>
    <x v="82"/>
    <x v="41"/>
    <x v="39"/>
    <x v="0"/>
    <x v="0"/>
    <n v="163509.74881724"/>
    <x v="0"/>
    <n v="52.031702559999999"/>
  </r>
  <r>
    <x v="0"/>
    <x v="1"/>
    <x v="0"/>
    <s v="Clothes Dryers, Standard, Electric, ENERGY STAR v1"/>
    <x v="82"/>
    <x v="41"/>
    <x v="39"/>
    <x v="1"/>
    <x v="0"/>
    <n v="23093.239510930001"/>
    <x v="0"/>
    <n v="52.031702559999999"/>
  </r>
  <r>
    <x v="0"/>
    <x v="1"/>
    <x v="0"/>
    <s v="Clothes Dryers, Standard, Electric, ENERGY STAR v1"/>
    <x v="82"/>
    <x v="41"/>
    <x v="39"/>
    <x v="2"/>
    <x v="0"/>
    <n v="0"/>
    <x v="0"/>
    <n v="52.031702559999999"/>
  </r>
  <r>
    <x v="0"/>
    <x v="3"/>
    <x v="0"/>
    <s v="Clothes Dryers, Standard, Electric, ENERGY STAR v1"/>
    <x v="82"/>
    <x v="41"/>
    <x v="39"/>
    <x v="0"/>
    <x v="0"/>
    <n v="168336.77283105999"/>
    <x v="0"/>
    <n v="52.031702559999999"/>
  </r>
  <r>
    <x v="0"/>
    <x v="3"/>
    <x v="0"/>
    <s v="Clothes Dryers, Standard, Electric, ENERGY STAR v1"/>
    <x v="82"/>
    <x v="41"/>
    <x v="39"/>
    <x v="1"/>
    <x v="0"/>
    <n v="24533.098932379999"/>
    <x v="0"/>
    <n v="52.031702559999999"/>
  </r>
  <r>
    <x v="0"/>
    <x v="3"/>
    <x v="0"/>
    <s v="Clothes Dryers, Standard, Electric, ENERGY STAR v1"/>
    <x v="82"/>
    <x v="41"/>
    <x v="39"/>
    <x v="2"/>
    <x v="0"/>
    <n v="0"/>
    <x v="0"/>
    <n v="52.031702559999999"/>
  </r>
  <r>
    <x v="0"/>
    <x v="2"/>
    <x v="0"/>
    <s v="Clothes Dryers, Standard, Electric, ENERGY STAR v1"/>
    <x v="82"/>
    <x v="41"/>
    <x v="39"/>
    <x v="0"/>
    <x v="0"/>
    <n v="164473.17791368"/>
    <x v="0"/>
    <n v="52.031702559999999"/>
  </r>
  <r>
    <x v="0"/>
    <x v="2"/>
    <x v="0"/>
    <s v="Clothes Dryers, Standard, Electric, ENERGY STAR v1"/>
    <x v="82"/>
    <x v="41"/>
    <x v="39"/>
    <x v="1"/>
    <x v="0"/>
    <n v="23162.707369939999"/>
    <x v="0"/>
    <n v="52.031702559999999"/>
  </r>
  <r>
    <x v="0"/>
    <x v="2"/>
    <x v="0"/>
    <s v="Clothes Dryers, Standard, Electric, ENERGY STAR v1"/>
    <x v="82"/>
    <x v="41"/>
    <x v="39"/>
    <x v="2"/>
    <x v="0"/>
    <n v="0"/>
    <x v="0"/>
    <n v="52.031702559999999"/>
  </r>
  <r>
    <x v="0"/>
    <x v="1"/>
    <x v="0"/>
    <s v="Room Air Conditioners, Med/Large, ENERGY STAR v4"/>
    <x v="83"/>
    <x v="37"/>
    <x v="40"/>
    <x v="0"/>
    <x v="0"/>
    <n v="15206.4663286"/>
    <x v="0"/>
    <n v="-1.90699087"/>
  </r>
  <r>
    <x v="0"/>
    <x v="3"/>
    <x v="0"/>
    <s v="Room Air Conditioners, Med/Large, ENERGY STAR v4"/>
    <x v="83"/>
    <x v="37"/>
    <x v="40"/>
    <x v="0"/>
    <x v="0"/>
    <n v="19202.296814130001"/>
    <x v="0"/>
    <n v="-1.90699087"/>
  </r>
  <r>
    <x v="0"/>
    <x v="2"/>
    <x v="0"/>
    <s v="Room Air Conditioners, Med/Large, ENERGY STAR v4"/>
    <x v="83"/>
    <x v="37"/>
    <x v="40"/>
    <x v="0"/>
    <x v="0"/>
    <n v="30730.60934399"/>
    <x v="0"/>
    <n v="-1.90699087"/>
  </r>
  <r>
    <x v="0"/>
    <x v="1"/>
    <x v="0"/>
    <s v="Refrigerators, Standard-size Top-mount Freezers/Other, ENERGY STAR v5 (CEE Tier 1)"/>
    <x v="84"/>
    <x v="42"/>
    <x v="41"/>
    <x v="0"/>
    <x v="0"/>
    <n v="4.0000000000000001E-8"/>
    <x v="0"/>
    <n v="5.7231145999999997"/>
  </r>
  <r>
    <x v="0"/>
    <x v="1"/>
    <x v="0"/>
    <s v="Refrigerators, Standard-size Top-mount Freezers/Other, ENERGY STAR v5 (CEE Tier 1)"/>
    <x v="84"/>
    <x v="42"/>
    <x v="41"/>
    <x v="1"/>
    <x v="0"/>
    <n v="0"/>
    <x v="0"/>
    <n v="5.7231145999999997"/>
  </r>
  <r>
    <x v="0"/>
    <x v="3"/>
    <x v="0"/>
    <s v="Refrigerators, Standard-size Top-mount Freezers/Other, ENERGY STAR v5 (CEE Tier 1)"/>
    <x v="84"/>
    <x v="42"/>
    <x v="41"/>
    <x v="0"/>
    <x v="0"/>
    <n v="4.0000000000000001E-8"/>
    <x v="0"/>
    <n v="5.7231145999999997"/>
  </r>
  <r>
    <x v="0"/>
    <x v="3"/>
    <x v="0"/>
    <s v="Refrigerators, Standard-size Top-mount Freezers/Other, ENERGY STAR v5 (CEE Tier 1)"/>
    <x v="84"/>
    <x v="42"/>
    <x v="41"/>
    <x v="1"/>
    <x v="0"/>
    <n v="0"/>
    <x v="0"/>
    <n v="5.7231145999999997"/>
  </r>
  <r>
    <x v="0"/>
    <x v="2"/>
    <x v="0"/>
    <s v="Refrigerators, Standard-size Top-mount Freezers/Other, ENERGY STAR v5 (CEE Tier 1)"/>
    <x v="84"/>
    <x v="42"/>
    <x v="41"/>
    <x v="0"/>
    <x v="0"/>
    <n v="4.0000000000000001E-8"/>
    <x v="0"/>
    <n v="5.7231145999999997"/>
  </r>
  <r>
    <x v="0"/>
    <x v="2"/>
    <x v="0"/>
    <s v="Refrigerators, Standard-size Top-mount Freezers/Other, ENERGY STAR v5 (CEE Tier 1)"/>
    <x v="84"/>
    <x v="42"/>
    <x v="41"/>
    <x v="1"/>
    <x v="0"/>
    <n v="0"/>
    <x v="0"/>
    <n v="5.7231145999999997"/>
  </r>
  <r>
    <x v="0"/>
    <x v="1"/>
    <x v="0"/>
    <s v="Freezers, Standard-size Chest, ENERGY STAR v5"/>
    <x v="85"/>
    <x v="35"/>
    <x v="41"/>
    <x v="0"/>
    <x v="0"/>
    <n v="1956.67515568"/>
    <x v="0"/>
    <n v="24.641119249999999"/>
  </r>
  <r>
    <x v="0"/>
    <x v="1"/>
    <x v="0"/>
    <s v="Freezers, Standard-size Chest, ENERGY STAR v5"/>
    <x v="85"/>
    <x v="35"/>
    <x v="41"/>
    <x v="1"/>
    <x v="0"/>
    <n v="0"/>
    <x v="0"/>
    <n v="24.641119249999999"/>
  </r>
  <r>
    <x v="0"/>
    <x v="3"/>
    <x v="0"/>
    <s v="Freezers, Standard-size Chest, ENERGY STAR v5"/>
    <x v="85"/>
    <x v="35"/>
    <x v="41"/>
    <x v="0"/>
    <x v="0"/>
    <n v="2329.75393055"/>
    <x v="0"/>
    <n v="24.641119249999999"/>
  </r>
  <r>
    <x v="0"/>
    <x v="3"/>
    <x v="0"/>
    <s v="Freezers, Standard-size Chest, ENERGY STAR v5"/>
    <x v="85"/>
    <x v="35"/>
    <x v="41"/>
    <x v="1"/>
    <x v="0"/>
    <n v="0"/>
    <x v="0"/>
    <n v="24.641119249999999"/>
  </r>
  <r>
    <x v="0"/>
    <x v="2"/>
    <x v="0"/>
    <s v="Freezers, Standard-size Chest, ENERGY STAR v5"/>
    <x v="85"/>
    <x v="35"/>
    <x v="41"/>
    <x v="0"/>
    <x v="0"/>
    <n v="1908.1900012399999"/>
    <x v="0"/>
    <n v="24.641119249999999"/>
  </r>
  <r>
    <x v="0"/>
    <x v="2"/>
    <x v="0"/>
    <s v="Freezers, Standard-size Chest, ENERGY STAR v5"/>
    <x v="85"/>
    <x v="35"/>
    <x v="41"/>
    <x v="1"/>
    <x v="0"/>
    <n v="0"/>
    <x v="0"/>
    <n v="24.641119249999999"/>
  </r>
  <r>
    <x v="0"/>
    <x v="1"/>
    <x v="0"/>
    <s v="Freezers, Standard-size Chest, ENERGY STAR v5 +5%"/>
    <x v="86"/>
    <x v="35"/>
    <x v="42"/>
    <x v="0"/>
    <x v="0"/>
    <n v="11.06283155"/>
    <x v="0"/>
    <n v="51.916314069999999"/>
  </r>
  <r>
    <x v="0"/>
    <x v="1"/>
    <x v="0"/>
    <s v="Freezers, Standard-size Chest, ENERGY STAR v5 +5%"/>
    <x v="86"/>
    <x v="35"/>
    <x v="42"/>
    <x v="1"/>
    <x v="0"/>
    <n v="0"/>
    <x v="0"/>
    <n v="51.916314069999999"/>
  </r>
  <r>
    <x v="0"/>
    <x v="3"/>
    <x v="0"/>
    <s v="Freezers, Standard-size Chest, ENERGY STAR v5 +5%"/>
    <x v="86"/>
    <x v="35"/>
    <x v="42"/>
    <x v="0"/>
    <x v="0"/>
    <n v="6.8992005199999999"/>
    <x v="0"/>
    <n v="51.916314079999999"/>
  </r>
  <r>
    <x v="0"/>
    <x v="3"/>
    <x v="0"/>
    <s v="Freezers, Standard-size Chest, ENERGY STAR v5 +5%"/>
    <x v="86"/>
    <x v="35"/>
    <x v="42"/>
    <x v="1"/>
    <x v="0"/>
    <n v="0"/>
    <x v="0"/>
    <n v="51.916314079999999"/>
  </r>
  <r>
    <x v="0"/>
    <x v="2"/>
    <x v="0"/>
    <s v="Freezers, Standard-size Chest, ENERGY STAR v5 +5%"/>
    <x v="86"/>
    <x v="35"/>
    <x v="42"/>
    <x v="0"/>
    <x v="0"/>
    <n v="2.8439357699999999"/>
    <x v="0"/>
    <n v="51.916314100000001"/>
  </r>
  <r>
    <x v="0"/>
    <x v="2"/>
    <x v="0"/>
    <s v="Freezers, Standard-size Chest, ENERGY STAR v5 +5%"/>
    <x v="86"/>
    <x v="35"/>
    <x v="42"/>
    <x v="1"/>
    <x v="0"/>
    <n v="0"/>
    <x v="0"/>
    <n v="51.916314100000001"/>
  </r>
  <r>
    <x v="0"/>
    <x v="1"/>
    <x v="0"/>
    <s v="Freezers, Compact Chest and Upright, ENERGY STAR v5"/>
    <x v="87"/>
    <x v="36"/>
    <x v="41"/>
    <x v="0"/>
    <x v="0"/>
    <n v="4421.0497948100001"/>
    <x v="0"/>
    <n v="21.616066579999998"/>
  </r>
  <r>
    <x v="0"/>
    <x v="1"/>
    <x v="0"/>
    <s v="Freezers, Compact Chest and Upright, ENERGY STAR v5"/>
    <x v="87"/>
    <x v="36"/>
    <x v="41"/>
    <x v="1"/>
    <x v="0"/>
    <n v="0"/>
    <x v="0"/>
    <n v="21.616066579999998"/>
  </r>
  <r>
    <x v="0"/>
    <x v="3"/>
    <x v="0"/>
    <s v="Freezers, Compact Chest and Upright, ENERGY STAR v5"/>
    <x v="87"/>
    <x v="36"/>
    <x v="41"/>
    <x v="0"/>
    <x v="0"/>
    <n v="4933.6012024399997"/>
    <x v="0"/>
    <n v="21.616066579999998"/>
  </r>
  <r>
    <x v="0"/>
    <x v="3"/>
    <x v="0"/>
    <s v="Freezers, Compact Chest and Upright, ENERGY STAR v5"/>
    <x v="87"/>
    <x v="36"/>
    <x v="41"/>
    <x v="1"/>
    <x v="0"/>
    <n v="0"/>
    <x v="0"/>
    <n v="21.616066579999998"/>
  </r>
  <r>
    <x v="0"/>
    <x v="2"/>
    <x v="0"/>
    <s v="Freezers, Compact Chest and Upright, ENERGY STAR v5"/>
    <x v="87"/>
    <x v="36"/>
    <x v="41"/>
    <x v="0"/>
    <x v="0"/>
    <n v="3886.4699854099999"/>
    <x v="0"/>
    <n v="21.616066579999998"/>
  </r>
  <r>
    <x v="0"/>
    <x v="2"/>
    <x v="0"/>
    <s v="Freezers, Compact Chest and Upright, ENERGY STAR v5"/>
    <x v="87"/>
    <x v="36"/>
    <x v="41"/>
    <x v="1"/>
    <x v="0"/>
    <n v="0"/>
    <x v="0"/>
    <n v="21.616066579999998"/>
  </r>
  <r>
    <x v="0"/>
    <x v="1"/>
    <x v="0"/>
    <s v="Freezers, Compact Chest and Upright, ENERGY STAR v5 +5%"/>
    <x v="88"/>
    <x v="36"/>
    <x v="42"/>
    <x v="0"/>
    <x v="0"/>
    <n v="68.900102680000003"/>
    <x v="0"/>
    <n v="44.790115290000003"/>
  </r>
  <r>
    <x v="0"/>
    <x v="1"/>
    <x v="0"/>
    <s v="Freezers, Compact Chest and Upright, ENERGY STAR v5 +5%"/>
    <x v="88"/>
    <x v="36"/>
    <x v="42"/>
    <x v="1"/>
    <x v="0"/>
    <n v="0"/>
    <x v="0"/>
    <n v="44.790115290000003"/>
  </r>
  <r>
    <x v="0"/>
    <x v="3"/>
    <x v="0"/>
    <s v="Freezers, Compact Chest and Upright, ENERGY STAR v5 +5%"/>
    <x v="88"/>
    <x v="36"/>
    <x v="42"/>
    <x v="0"/>
    <x v="0"/>
    <n v="63.572335539999997"/>
    <x v="0"/>
    <n v="44.790115290000003"/>
  </r>
  <r>
    <x v="0"/>
    <x v="3"/>
    <x v="0"/>
    <s v="Freezers, Compact Chest and Upright, ENERGY STAR v5 +5%"/>
    <x v="88"/>
    <x v="36"/>
    <x v="42"/>
    <x v="1"/>
    <x v="0"/>
    <n v="0"/>
    <x v="0"/>
    <n v="44.790115290000003"/>
  </r>
  <r>
    <x v="0"/>
    <x v="2"/>
    <x v="0"/>
    <s v="Freezers, Compact Chest and Upright, ENERGY STAR v5 +5%"/>
    <x v="88"/>
    <x v="36"/>
    <x v="42"/>
    <x v="0"/>
    <x v="0"/>
    <n v="43.871596879999998"/>
    <x v="0"/>
    <n v="44.790115290000003"/>
  </r>
  <r>
    <x v="0"/>
    <x v="2"/>
    <x v="0"/>
    <s v="Freezers, Compact Chest and Upright, ENERGY STAR v5 +5%"/>
    <x v="88"/>
    <x v="36"/>
    <x v="42"/>
    <x v="1"/>
    <x v="0"/>
    <n v="0"/>
    <x v="0"/>
    <n v="44.790115290000003"/>
  </r>
  <r>
    <x v="0"/>
    <x v="1"/>
    <x v="0"/>
    <s v="Refrigerators, Standard-size Top-mount Freezers/Other, ENERGY STAR Most Efficient (CEE Tier 2)"/>
    <x v="89"/>
    <x v="42"/>
    <x v="37"/>
    <x v="0"/>
    <x v="0"/>
    <n v="126570.68124186"/>
    <x v="0"/>
    <n v="20.72905729"/>
  </r>
  <r>
    <x v="0"/>
    <x v="1"/>
    <x v="0"/>
    <s v="Refrigerators, Standard-size Top-mount Freezers/Other, ENERGY STAR Most Efficient (CEE Tier 2)"/>
    <x v="89"/>
    <x v="42"/>
    <x v="37"/>
    <x v="1"/>
    <x v="0"/>
    <n v="0"/>
    <x v="0"/>
    <n v="20.72905729"/>
  </r>
  <r>
    <x v="0"/>
    <x v="3"/>
    <x v="0"/>
    <s v="Refrigerators, Standard-size Top-mount Freezers/Other, ENERGY STAR Most Efficient (CEE Tier 2)"/>
    <x v="89"/>
    <x v="42"/>
    <x v="37"/>
    <x v="0"/>
    <x v="0"/>
    <n v="105205.97779914"/>
    <x v="0"/>
    <n v="20.72905729"/>
  </r>
  <r>
    <x v="0"/>
    <x v="3"/>
    <x v="0"/>
    <s v="Refrigerators, Standard-size Top-mount Freezers/Other, ENERGY STAR Most Efficient (CEE Tier 2)"/>
    <x v="89"/>
    <x v="42"/>
    <x v="37"/>
    <x v="1"/>
    <x v="0"/>
    <n v="0"/>
    <x v="0"/>
    <n v="20.72905729"/>
  </r>
  <r>
    <x v="0"/>
    <x v="2"/>
    <x v="0"/>
    <s v="Refrigerators, Standard-size Top-mount Freezers/Other, ENERGY STAR Most Efficient (CEE Tier 2)"/>
    <x v="89"/>
    <x v="42"/>
    <x v="37"/>
    <x v="0"/>
    <x v="0"/>
    <n v="85034.356377570002"/>
    <x v="0"/>
    <n v="20.72905729"/>
  </r>
  <r>
    <x v="0"/>
    <x v="2"/>
    <x v="0"/>
    <s v="Refrigerators, Standard-size Top-mount Freezers/Other, ENERGY STAR Most Efficient (CEE Tier 2)"/>
    <x v="89"/>
    <x v="42"/>
    <x v="37"/>
    <x v="1"/>
    <x v="0"/>
    <n v="0"/>
    <x v="0"/>
    <n v="20.72905729"/>
  </r>
  <r>
    <x v="0"/>
    <x v="1"/>
    <x v="0"/>
    <s v="Room Air Conditioners, Med/Large, ENERGY STAR Most Efficient"/>
    <x v="90"/>
    <x v="37"/>
    <x v="37"/>
    <x v="0"/>
    <x v="0"/>
    <n v="13977.66096872"/>
    <x v="0"/>
    <n v="58.958138820000002"/>
  </r>
  <r>
    <x v="0"/>
    <x v="3"/>
    <x v="0"/>
    <s v="Room Air Conditioners, Med/Large, ENERGY STAR Most Efficient"/>
    <x v="90"/>
    <x v="37"/>
    <x v="37"/>
    <x v="0"/>
    <x v="0"/>
    <n v="9592.9581033800005"/>
    <x v="0"/>
    <n v="58.958138820000002"/>
  </r>
  <r>
    <x v="0"/>
    <x v="2"/>
    <x v="0"/>
    <s v="Room Air Conditioners, Med/Large, ENERGY STAR Most Efficient"/>
    <x v="90"/>
    <x v="37"/>
    <x v="37"/>
    <x v="0"/>
    <x v="0"/>
    <n v="8630.8546559900005"/>
    <x v="0"/>
    <n v="58.958138820000002"/>
  </r>
  <r>
    <x v="0"/>
    <x v="3"/>
    <x v="0"/>
    <s v="Refrigerators, Standard-size Bottom-mount Freezers, ENERGY STAR v5 (CEE Tier 1)"/>
    <x v="91"/>
    <x v="38"/>
    <x v="41"/>
    <x v="0"/>
    <x v="0"/>
    <n v="193498.86825"/>
    <x v="0"/>
    <n v="-7.9734500700000002"/>
  </r>
  <r>
    <x v="0"/>
    <x v="3"/>
    <x v="0"/>
    <s v="Refrigerators, Standard-size Bottom-mount Freezers, ENERGY STAR v5 (CEE Tier 1)"/>
    <x v="91"/>
    <x v="38"/>
    <x v="41"/>
    <x v="1"/>
    <x v="0"/>
    <n v="0"/>
    <x v="0"/>
    <n v="-7.9734500700000002"/>
  </r>
  <r>
    <x v="0"/>
    <x v="2"/>
    <x v="0"/>
    <s v="Refrigerators, Standard-size Bottom-mount Freezers, ENERGY STAR v5 (CEE Tier 1)"/>
    <x v="91"/>
    <x v="38"/>
    <x v="41"/>
    <x v="0"/>
    <x v="0"/>
    <n v="194156.52925165"/>
    <x v="0"/>
    <n v="-7.9734500700000002"/>
  </r>
  <r>
    <x v="0"/>
    <x v="2"/>
    <x v="0"/>
    <s v="Refrigerators, Standard-size Bottom-mount Freezers, ENERGY STAR v5 (CEE Tier 1)"/>
    <x v="91"/>
    <x v="38"/>
    <x v="41"/>
    <x v="1"/>
    <x v="0"/>
    <n v="0"/>
    <x v="0"/>
    <n v="-7.9734500700000002"/>
  </r>
  <r>
    <x v="0"/>
    <x v="0"/>
    <x v="0"/>
    <s v="Refrigerators, Standard-size Bottom-mount Freezers, ENERGY STAR v5 (CEE Tier 1)"/>
    <x v="91"/>
    <x v="38"/>
    <x v="41"/>
    <x v="0"/>
    <x v="0"/>
    <n v="174008.90068016999"/>
    <x v="0"/>
    <n v="-7.9734500700000002"/>
  </r>
  <r>
    <x v="0"/>
    <x v="0"/>
    <x v="0"/>
    <s v="Refrigerators, Standard-size Bottom-mount Freezers, ENERGY STAR v5 (CEE Tier 1)"/>
    <x v="91"/>
    <x v="38"/>
    <x v="41"/>
    <x v="1"/>
    <x v="0"/>
    <n v="0"/>
    <x v="0"/>
    <n v="-7.9734500700000002"/>
  </r>
  <r>
    <x v="0"/>
    <x v="2"/>
    <x v="0"/>
    <s v="Refrigerators, Standard-size Side-mount Freezers, ENERGY STAR v5 (CEE Tier 1)"/>
    <x v="92"/>
    <x v="39"/>
    <x v="41"/>
    <x v="0"/>
    <x v="0"/>
    <n v="6109.4500560200004"/>
    <x v="0"/>
    <n v="32.220843780000003"/>
  </r>
  <r>
    <x v="0"/>
    <x v="2"/>
    <x v="0"/>
    <s v="Refrigerators, Standard-size Side-mount Freezers, ENERGY STAR v5 (CEE Tier 1)"/>
    <x v="92"/>
    <x v="39"/>
    <x v="41"/>
    <x v="1"/>
    <x v="0"/>
    <n v="0"/>
    <x v="0"/>
    <n v="32.220843780000003"/>
  </r>
  <r>
    <x v="0"/>
    <x v="0"/>
    <x v="0"/>
    <s v="Refrigerators, Standard-size Side-mount Freezers, ENERGY STAR v5 (CEE Tier 1)"/>
    <x v="92"/>
    <x v="39"/>
    <x v="41"/>
    <x v="0"/>
    <x v="0"/>
    <n v="10553.974034749999"/>
    <x v="0"/>
    <n v="32.220843780000003"/>
  </r>
  <r>
    <x v="0"/>
    <x v="0"/>
    <x v="0"/>
    <s v="Refrigerators, Standard-size Side-mount Freezers, ENERGY STAR v5 (CEE Tier 1)"/>
    <x v="92"/>
    <x v="39"/>
    <x v="41"/>
    <x v="1"/>
    <x v="0"/>
    <n v="0"/>
    <x v="0"/>
    <n v="32.220843780000003"/>
  </r>
  <r>
    <x v="0"/>
    <x v="1"/>
    <x v="0"/>
    <s v="Refrigerators, Standard-size Side-mount Freezers, ENERGY STAR v5 (CEE Tier 1)"/>
    <x v="92"/>
    <x v="39"/>
    <x v="41"/>
    <x v="0"/>
    <x v="0"/>
    <n v="7511.4516877300002"/>
    <x v="0"/>
    <n v="32.220843780000003"/>
  </r>
  <r>
    <x v="0"/>
    <x v="1"/>
    <x v="0"/>
    <s v="Refrigerators, Standard-size Side-mount Freezers, ENERGY STAR v5 (CEE Tier 1)"/>
    <x v="92"/>
    <x v="39"/>
    <x v="41"/>
    <x v="1"/>
    <x v="0"/>
    <n v="0"/>
    <x v="0"/>
    <n v="32.220843780000003"/>
  </r>
  <r>
    <x v="0"/>
    <x v="1"/>
    <x v="0"/>
    <s v="Freezers, Standard-size Upright, ENERGY STAR v5"/>
    <x v="93"/>
    <x v="40"/>
    <x v="41"/>
    <x v="0"/>
    <x v="0"/>
    <n v="11217.720742199999"/>
    <x v="0"/>
    <n v="35.752220960000002"/>
  </r>
  <r>
    <x v="0"/>
    <x v="1"/>
    <x v="0"/>
    <s v="Freezers, Standard-size Upright, ENERGY STAR v5"/>
    <x v="93"/>
    <x v="40"/>
    <x v="41"/>
    <x v="1"/>
    <x v="0"/>
    <n v="0"/>
    <x v="0"/>
    <n v="35.752220960000002"/>
  </r>
  <r>
    <x v="0"/>
    <x v="3"/>
    <x v="0"/>
    <s v="Freezers, Standard-size Upright, ENERGY STAR v5"/>
    <x v="93"/>
    <x v="40"/>
    <x v="41"/>
    <x v="0"/>
    <x v="0"/>
    <n v="14624.780572940001"/>
    <x v="0"/>
    <n v="35.752220960000002"/>
  </r>
  <r>
    <x v="0"/>
    <x v="3"/>
    <x v="0"/>
    <s v="Freezers, Standard-size Upright, ENERGY STAR v5"/>
    <x v="93"/>
    <x v="40"/>
    <x v="41"/>
    <x v="1"/>
    <x v="0"/>
    <n v="0"/>
    <x v="0"/>
    <n v="35.752220960000002"/>
  </r>
  <r>
    <x v="0"/>
    <x v="2"/>
    <x v="0"/>
    <s v="Freezers, Standard-size Upright, ENERGY STAR v5"/>
    <x v="93"/>
    <x v="40"/>
    <x v="41"/>
    <x v="0"/>
    <x v="0"/>
    <n v="12360.58163721"/>
    <x v="0"/>
    <n v="35.752220960000002"/>
  </r>
  <r>
    <x v="0"/>
    <x v="2"/>
    <x v="0"/>
    <s v="Freezers, Standard-size Upright, ENERGY STAR v5"/>
    <x v="93"/>
    <x v="40"/>
    <x v="41"/>
    <x v="1"/>
    <x v="0"/>
    <n v="0"/>
    <x v="0"/>
    <n v="35.752220960000002"/>
  </r>
  <r>
    <x v="0"/>
    <x v="1"/>
    <x v="0"/>
    <s v="Freezers, Standard-size Upright, ENERGY STAR v5 +5%"/>
    <x v="94"/>
    <x v="40"/>
    <x v="42"/>
    <x v="0"/>
    <x v="0"/>
    <n v="5398.2712816499998"/>
    <x v="0"/>
    <n v="101.96812629999999"/>
  </r>
  <r>
    <x v="0"/>
    <x v="1"/>
    <x v="0"/>
    <s v="Freezers, Standard-size Upright, ENERGY STAR v5 +5%"/>
    <x v="94"/>
    <x v="40"/>
    <x v="42"/>
    <x v="1"/>
    <x v="0"/>
    <n v="0"/>
    <x v="0"/>
    <n v="101.96812629999999"/>
  </r>
  <r>
    <x v="0"/>
    <x v="3"/>
    <x v="0"/>
    <s v="Freezers, Standard-size Upright, ENERGY STAR v5 +5%"/>
    <x v="94"/>
    <x v="40"/>
    <x v="42"/>
    <x v="0"/>
    <x v="0"/>
    <n v="3731.8616750599999"/>
    <x v="0"/>
    <n v="101.96812629999999"/>
  </r>
  <r>
    <x v="0"/>
    <x v="3"/>
    <x v="0"/>
    <s v="Freezers, Standard-size Upright, ENERGY STAR v5 +5%"/>
    <x v="94"/>
    <x v="40"/>
    <x v="42"/>
    <x v="1"/>
    <x v="0"/>
    <n v="0"/>
    <x v="0"/>
    <n v="101.96812629999999"/>
  </r>
  <r>
    <x v="0"/>
    <x v="2"/>
    <x v="0"/>
    <s v="Freezers, Standard-size Upright, ENERGY STAR v5 +5%"/>
    <x v="94"/>
    <x v="40"/>
    <x v="42"/>
    <x v="0"/>
    <x v="0"/>
    <n v="1625.9321781399999"/>
    <x v="0"/>
    <n v="101.96812629999999"/>
  </r>
  <r>
    <x v="0"/>
    <x v="2"/>
    <x v="0"/>
    <s v="Freezers, Standard-size Upright, ENERGY STAR v5 +5%"/>
    <x v="94"/>
    <x v="40"/>
    <x v="42"/>
    <x v="1"/>
    <x v="0"/>
    <n v="0"/>
    <x v="0"/>
    <n v="101.96812629999999"/>
  </r>
  <r>
    <x v="0"/>
    <x v="3"/>
    <x v="0"/>
    <s v="Televisions, Ultra-High Definition, ENERGY STAR v9 (On Mode Power)"/>
    <x v="95"/>
    <x v="43"/>
    <x v="43"/>
    <x v="0"/>
    <x v="0"/>
    <n v="653871.33095086005"/>
    <x v="0"/>
    <n v="63.329866010000003"/>
  </r>
  <r>
    <x v="0"/>
    <x v="3"/>
    <x v="0"/>
    <s v="Televisions, Ultra-High Definition, ENERGY STAR v9 (On Mode Power)"/>
    <x v="95"/>
    <x v="43"/>
    <x v="43"/>
    <x v="2"/>
    <x v="0"/>
    <n v="490951.73861972999"/>
    <x v="0"/>
    <n v="63.329866010000003"/>
  </r>
  <r>
    <x v="0"/>
    <x v="2"/>
    <x v="0"/>
    <s v="Televisions, Ultra-High Definition, ENERGY STAR v9 (On Mode Power)"/>
    <x v="95"/>
    <x v="43"/>
    <x v="43"/>
    <x v="0"/>
    <x v="0"/>
    <n v="519796.02342956001"/>
    <x v="0"/>
    <n v="58.514212579999999"/>
  </r>
  <r>
    <x v="0"/>
    <x v="2"/>
    <x v="0"/>
    <s v="Televisions, Ultra-High Definition, ENERGY STAR v9 (On Mode Power)"/>
    <x v="95"/>
    <x v="43"/>
    <x v="43"/>
    <x v="2"/>
    <x v="0"/>
    <n v="518701.51353768999"/>
    <x v="0"/>
    <n v="58.514212579999999"/>
  </r>
  <r>
    <x v="0"/>
    <x v="0"/>
    <x v="0"/>
    <s v="Televisions, Ultra-High Definition, ENERGY STAR v9 (On Mode Power)"/>
    <x v="95"/>
    <x v="43"/>
    <x v="43"/>
    <x v="0"/>
    <x v="0"/>
    <n v="788603.49061218998"/>
    <x v="0"/>
    <n v="67.670604659999995"/>
  </r>
  <r>
    <x v="0"/>
    <x v="0"/>
    <x v="0"/>
    <s v="Televisions, Ultra-High Definition, ENERGY STAR v9 (On Mode Power)"/>
    <x v="95"/>
    <x v="43"/>
    <x v="43"/>
    <x v="2"/>
    <x v="0"/>
    <n v="471646.70398692001"/>
    <x v="0"/>
    <n v="67.670604659999995"/>
  </r>
  <r>
    <x v="0"/>
    <x v="3"/>
    <x v="0"/>
    <s v="Clothes Dryers, Standard, Electric, Non-Qualifying"/>
    <x v="96"/>
    <x v="41"/>
    <x v="24"/>
    <x v="0"/>
    <x v="0"/>
    <n v="182794.7601594"/>
    <x v="0"/>
    <n v="-41.42004567"/>
  </r>
  <r>
    <x v="0"/>
    <x v="3"/>
    <x v="0"/>
    <s v="Clothes Dryers, Standard, Electric, Non-Qualifying"/>
    <x v="96"/>
    <x v="41"/>
    <x v="24"/>
    <x v="1"/>
    <x v="0"/>
    <n v="0"/>
    <x v="0"/>
    <n v="-41.42004567"/>
  </r>
  <r>
    <x v="0"/>
    <x v="3"/>
    <x v="0"/>
    <s v="Clothes Dryers, Standard, Electric, Non-Qualifying"/>
    <x v="96"/>
    <x v="41"/>
    <x v="24"/>
    <x v="2"/>
    <x v="0"/>
    <n v="0"/>
    <x v="0"/>
    <n v="-41.42004567"/>
  </r>
  <r>
    <x v="0"/>
    <x v="2"/>
    <x v="0"/>
    <s v="Clothes Dryers, Standard, Electric, Non-Qualifying"/>
    <x v="96"/>
    <x v="41"/>
    <x v="24"/>
    <x v="0"/>
    <x v="0"/>
    <n v="189925.97731953999"/>
    <x v="0"/>
    <n v="-41.42004567"/>
  </r>
  <r>
    <x v="0"/>
    <x v="2"/>
    <x v="0"/>
    <s v="Clothes Dryers, Standard, Electric, Non-Qualifying"/>
    <x v="96"/>
    <x v="41"/>
    <x v="24"/>
    <x v="1"/>
    <x v="0"/>
    <n v="0"/>
    <x v="0"/>
    <n v="-41.42004567"/>
  </r>
  <r>
    <x v="0"/>
    <x v="2"/>
    <x v="0"/>
    <s v="Clothes Dryers, Standard, Electric, Non-Qualifying"/>
    <x v="96"/>
    <x v="41"/>
    <x v="24"/>
    <x v="2"/>
    <x v="0"/>
    <n v="0"/>
    <x v="0"/>
    <n v="-41.42004567"/>
  </r>
  <r>
    <x v="0"/>
    <x v="0"/>
    <x v="0"/>
    <s v="Clothes Dryers, Standard, Electric, Non-Qualifying"/>
    <x v="96"/>
    <x v="41"/>
    <x v="24"/>
    <x v="0"/>
    <x v="0"/>
    <n v="184463.50586474"/>
    <x v="0"/>
    <n v="-41.42004567"/>
  </r>
  <r>
    <x v="0"/>
    <x v="0"/>
    <x v="0"/>
    <s v="Clothes Dryers, Standard, Electric, Non-Qualifying"/>
    <x v="96"/>
    <x v="41"/>
    <x v="24"/>
    <x v="1"/>
    <x v="0"/>
    <n v="0"/>
    <x v="0"/>
    <n v="-41.42004567"/>
  </r>
  <r>
    <x v="0"/>
    <x v="0"/>
    <x v="0"/>
    <s v="Clothes Dryers, Standard, Electric, Non-Qualifying"/>
    <x v="96"/>
    <x v="41"/>
    <x v="24"/>
    <x v="2"/>
    <x v="0"/>
    <n v="0"/>
    <x v="0"/>
    <n v="-41.42004567"/>
  </r>
  <r>
    <x v="0"/>
    <x v="0"/>
    <x v="0"/>
    <s v="Clothes Washers, Front-Loading, Electric, Non-Qualifying (IMEF 1.84)"/>
    <x v="97"/>
    <x v="0"/>
    <x v="24"/>
    <x v="0"/>
    <x v="0"/>
    <n v="425.64804673999998"/>
    <x v="0"/>
    <n v="-35.722187720000001"/>
  </r>
  <r>
    <x v="0"/>
    <x v="0"/>
    <x v="0"/>
    <s v="Clothes Washers, Front-Loading, Electric, Non-Qualifying (IMEF 1.84)"/>
    <x v="97"/>
    <x v="0"/>
    <x v="24"/>
    <x v="1"/>
    <x v="0"/>
    <n v="0"/>
    <x v="0"/>
    <n v="-35.722187720000001"/>
  </r>
  <r>
    <x v="0"/>
    <x v="1"/>
    <x v="0"/>
    <s v="Clothes Washers, Front-Loading, Electric, Non-Qualifying (IMEF 1.84)"/>
    <x v="97"/>
    <x v="0"/>
    <x v="24"/>
    <x v="0"/>
    <x v="0"/>
    <n v="1222.09873363"/>
    <x v="0"/>
    <n v="-35.722187720000001"/>
  </r>
  <r>
    <x v="0"/>
    <x v="1"/>
    <x v="0"/>
    <s v="Clothes Washers, Front-Loading, Electric, Non-Qualifying (IMEF 1.84)"/>
    <x v="97"/>
    <x v="0"/>
    <x v="24"/>
    <x v="1"/>
    <x v="0"/>
    <n v="0"/>
    <x v="0"/>
    <n v="-35.722187720000001"/>
  </r>
  <r>
    <x v="0"/>
    <x v="3"/>
    <x v="0"/>
    <s v="Clothes Washers, Front-Loading, Electric, Non-Qualifying (IMEF 1.84)"/>
    <x v="97"/>
    <x v="0"/>
    <x v="24"/>
    <x v="0"/>
    <x v="0"/>
    <n v="3421.8764541599999"/>
    <x v="0"/>
    <n v="-35.722187720000001"/>
  </r>
  <r>
    <x v="0"/>
    <x v="3"/>
    <x v="0"/>
    <s v="Clothes Washers, Front-Loading, Electric, Non-Qualifying (IMEF 1.84)"/>
    <x v="97"/>
    <x v="0"/>
    <x v="24"/>
    <x v="1"/>
    <x v="0"/>
    <n v="0"/>
    <x v="0"/>
    <n v="-35.722187720000001"/>
  </r>
  <r>
    <x v="0"/>
    <x v="3"/>
    <x v="0"/>
    <s v="Clothes Washers, Standard-size Top-Loading, Electric, Non-Qualifying"/>
    <x v="98"/>
    <x v="1"/>
    <x v="24"/>
    <x v="0"/>
    <x v="0"/>
    <n v="173338.71566884001"/>
    <x v="0"/>
    <n v="-87.965187720000003"/>
  </r>
  <r>
    <x v="0"/>
    <x v="3"/>
    <x v="0"/>
    <s v="Clothes Washers, Standard-size Top-Loading, Electric, Non-Qualifying"/>
    <x v="98"/>
    <x v="1"/>
    <x v="24"/>
    <x v="1"/>
    <x v="0"/>
    <n v="0"/>
    <x v="0"/>
    <n v="-87.965187720000003"/>
  </r>
  <r>
    <x v="0"/>
    <x v="2"/>
    <x v="0"/>
    <s v="Clothes Washers, Standard-size Top-Loading, Electric, Non-Qualifying"/>
    <x v="98"/>
    <x v="1"/>
    <x v="24"/>
    <x v="0"/>
    <x v="0"/>
    <n v="181804.80848440999"/>
    <x v="0"/>
    <n v="-87.965187720000003"/>
  </r>
  <r>
    <x v="0"/>
    <x v="2"/>
    <x v="0"/>
    <s v="Clothes Washers, Standard-size Top-Loading, Electric, Non-Qualifying"/>
    <x v="98"/>
    <x v="1"/>
    <x v="24"/>
    <x v="1"/>
    <x v="0"/>
    <n v="0"/>
    <x v="0"/>
    <n v="-87.965187720000003"/>
  </r>
  <r>
    <x v="0"/>
    <x v="0"/>
    <x v="0"/>
    <s v="Clothes Washers, Standard-size Top-Loading, Electric, Non-Qualifying"/>
    <x v="98"/>
    <x v="1"/>
    <x v="24"/>
    <x v="0"/>
    <x v="0"/>
    <n v="122743.79021940001"/>
    <x v="0"/>
    <n v="-87.965187720000003"/>
  </r>
  <r>
    <x v="0"/>
    <x v="0"/>
    <x v="0"/>
    <s v="Clothes Washers, Standard-size Top-Loading, Electric, Non-Qualifying"/>
    <x v="98"/>
    <x v="1"/>
    <x v="24"/>
    <x v="1"/>
    <x v="0"/>
    <n v="0"/>
    <x v="0"/>
    <n v="-87.965187720000003"/>
  </r>
  <r>
    <x v="0"/>
    <x v="3"/>
    <x v="0"/>
    <s v="Refrigerators, Standard-size Top-mount Freezers/Other, Non-Qualifying"/>
    <x v="99"/>
    <x v="42"/>
    <x v="24"/>
    <x v="0"/>
    <x v="0"/>
    <n v="90916.022200840001"/>
    <x v="0"/>
    <n v="-12.82470554"/>
  </r>
  <r>
    <x v="0"/>
    <x v="3"/>
    <x v="0"/>
    <s v="Refrigerators, Standard-size Top-mount Freezers/Other, Non-Qualifying"/>
    <x v="99"/>
    <x v="42"/>
    <x v="24"/>
    <x v="1"/>
    <x v="0"/>
    <n v="0"/>
    <x v="0"/>
    <n v="-12.82470554"/>
  </r>
  <r>
    <x v="0"/>
    <x v="2"/>
    <x v="0"/>
    <s v="Refrigerators, Standard-size Top-mount Freezers/Other, Non-Qualifying"/>
    <x v="99"/>
    <x v="42"/>
    <x v="24"/>
    <x v="0"/>
    <x v="0"/>
    <n v="107161.78537182001"/>
    <x v="0"/>
    <n v="-12.82470554"/>
  </r>
  <r>
    <x v="0"/>
    <x v="2"/>
    <x v="0"/>
    <s v="Refrigerators, Standard-size Top-mount Freezers/Other, Non-Qualifying"/>
    <x v="99"/>
    <x v="42"/>
    <x v="24"/>
    <x v="1"/>
    <x v="0"/>
    <n v="0"/>
    <x v="0"/>
    <n v="-12.82470554"/>
  </r>
  <r>
    <x v="0"/>
    <x v="0"/>
    <x v="0"/>
    <s v="Refrigerators, Standard-size Top-mount Freezers/Other, Non-Qualifying"/>
    <x v="99"/>
    <x v="42"/>
    <x v="24"/>
    <x v="0"/>
    <x v="0"/>
    <n v="44236.43915857"/>
    <x v="0"/>
    <n v="-12.82470554"/>
  </r>
  <r>
    <x v="0"/>
    <x v="0"/>
    <x v="0"/>
    <s v="Refrigerators, Standard-size Top-mount Freezers/Other, Non-Qualifying"/>
    <x v="99"/>
    <x v="42"/>
    <x v="24"/>
    <x v="1"/>
    <x v="0"/>
    <n v="0"/>
    <x v="0"/>
    <n v="-12.82470554"/>
  </r>
  <r>
    <x v="0"/>
    <x v="1"/>
    <x v="11"/>
    <s v="Commercial T8 Linear Fluorescent, 25W"/>
    <x v="100"/>
    <x v="44"/>
    <x v="7"/>
    <x v="0"/>
    <x v="4"/>
    <n v="34029.489227149999"/>
    <x v="0"/>
    <n v="24.39671551"/>
  </r>
  <r>
    <x v="0"/>
    <x v="1"/>
    <x v="11"/>
    <s v="Commercial T8 Linear Fluorescent, 25W"/>
    <x v="100"/>
    <x v="44"/>
    <x v="7"/>
    <x v="2"/>
    <x v="4"/>
    <n v="0"/>
    <x v="0"/>
    <n v="24.39671551"/>
  </r>
  <r>
    <x v="0"/>
    <x v="1"/>
    <x v="11"/>
    <s v="Commercial T8 Linear Fluorescent, 25W"/>
    <x v="100"/>
    <x v="44"/>
    <x v="7"/>
    <x v="1"/>
    <x v="4"/>
    <n v="26"/>
    <x v="0"/>
    <n v="24.39671551"/>
  </r>
  <r>
    <x v="0"/>
    <x v="3"/>
    <x v="11"/>
    <s v="Commercial T8 Linear Fluorescent, 25W"/>
    <x v="100"/>
    <x v="44"/>
    <x v="7"/>
    <x v="0"/>
    <x v="4"/>
    <n v="35139.146484550001"/>
    <x v="0"/>
    <n v="24.39671551"/>
  </r>
  <r>
    <x v="0"/>
    <x v="3"/>
    <x v="11"/>
    <s v="Commercial T8 Linear Fluorescent, 25W"/>
    <x v="100"/>
    <x v="44"/>
    <x v="7"/>
    <x v="2"/>
    <x v="4"/>
    <n v="0"/>
    <x v="0"/>
    <n v="24.39671551"/>
  </r>
  <r>
    <x v="0"/>
    <x v="3"/>
    <x v="11"/>
    <s v="Commercial T8 Linear Fluorescent, 25W"/>
    <x v="100"/>
    <x v="44"/>
    <x v="7"/>
    <x v="1"/>
    <x v="4"/>
    <n v="26"/>
    <x v="0"/>
    <n v="24.39671551"/>
  </r>
  <r>
    <x v="0"/>
    <x v="2"/>
    <x v="11"/>
    <s v="Commercial T8 Linear Fluorescent, 25W"/>
    <x v="100"/>
    <x v="44"/>
    <x v="7"/>
    <x v="0"/>
    <x v="4"/>
    <n v="36184.47578501"/>
    <x v="0"/>
    <n v="24.39671551"/>
  </r>
  <r>
    <x v="0"/>
    <x v="2"/>
    <x v="11"/>
    <s v="Commercial T8 Linear Fluorescent, 25W"/>
    <x v="100"/>
    <x v="44"/>
    <x v="7"/>
    <x v="2"/>
    <x v="4"/>
    <n v="0"/>
    <x v="0"/>
    <n v="24.39671551"/>
  </r>
  <r>
    <x v="0"/>
    <x v="2"/>
    <x v="11"/>
    <s v="Commercial T8 Linear Fluorescent, 25W"/>
    <x v="100"/>
    <x v="44"/>
    <x v="7"/>
    <x v="1"/>
    <x v="4"/>
    <n v="26"/>
    <x v="0"/>
    <n v="24.39671551"/>
  </r>
  <r>
    <x v="0"/>
    <x v="1"/>
    <x v="11"/>
    <s v="Industrial T8 Linear Fluorescent, 25W"/>
    <x v="101"/>
    <x v="45"/>
    <x v="7"/>
    <x v="0"/>
    <x v="4"/>
    <n v="2918.7808120999998"/>
    <x v="0"/>
    <n v="24.39671551"/>
  </r>
  <r>
    <x v="0"/>
    <x v="1"/>
    <x v="11"/>
    <s v="Industrial T8 Linear Fluorescent, 25W"/>
    <x v="101"/>
    <x v="45"/>
    <x v="7"/>
    <x v="2"/>
    <x v="4"/>
    <n v="0"/>
    <x v="0"/>
    <n v="24.39671551"/>
  </r>
  <r>
    <x v="0"/>
    <x v="1"/>
    <x v="11"/>
    <s v="Industrial T8 Linear Fluorescent, 25W"/>
    <x v="101"/>
    <x v="45"/>
    <x v="7"/>
    <x v="1"/>
    <x v="4"/>
    <n v="0"/>
    <x v="0"/>
    <n v="24.39671551"/>
  </r>
  <r>
    <x v="0"/>
    <x v="3"/>
    <x v="11"/>
    <s v="Industrial T8 Linear Fluorescent, 25W"/>
    <x v="101"/>
    <x v="45"/>
    <x v="7"/>
    <x v="0"/>
    <x v="4"/>
    <n v="3013.9584472800002"/>
    <x v="0"/>
    <n v="24.39671551"/>
  </r>
  <r>
    <x v="0"/>
    <x v="3"/>
    <x v="11"/>
    <s v="Industrial T8 Linear Fluorescent, 25W"/>
    <x v="101"/>
    <x v="45"/>
    <x v="7"/>
    <x v="2"/>
    <x v="4"/>
    <n v="0"/>
    <x v="0"/>
    <n v="24.39671551"/>
  </r>
  <r>
    <x v="0"/>
    <x v="3"/>
    <x v="11"/>
    <s v="Industrial T8 Linear Fluorescent, 25W"/>
    <x v="101"/>
    <x v="45"/>
    <x v="7"/>
    <x v="1"/>
    <x v="4"/>
    <n v="0"/>
    <x v="0"/>
    <n v="24.39671551"/>
  </r>
  <r>
    <x v="0"/>
    <x v="2"/>
    <x v="11"/>
    <s v="Industrial T8 Linear Fluorescent, 25W"/>
    <x v="101"/>
    <x v="45"/>
    <x v="7"/>
    <x v="0"/>
    <x v="4"/>
    <n v="3103.6185383799998"/>
    <x v="0"/>
    <n v="24.39671551"/>
  </r>
  <r>
    <x v="0"/>
    <x v="2"/>
    <x v="11"/>
    <s v="Industrial T8 Linear Fluorescent, 25W"/>
    <x v="101"/>
    <x v="45"/>
    <x v="7"/>
    <x v="2"/>
    <x v="4"/>
    <n v="0"/>
    <x v="0"/>
    <n v="24.39671551"/>
  </r>
  <r>
    <x v="0"/>
    <x v="2"/>
    <x v="11"/>
    <s v="Industrial T8 Linear Fluorescent, 25W"/>
    <x v="101"/>
    <x v="45"/>
    <x v="7"/>
    <x v="1"/>
    <x v="4"/>
    <n v="0"/>
    <x v="0"/>
    <n v="24.39671551"/>
  </r>
  <r>
    <x v="0"/>
    <x v="1"/>
    <x v="11"/>
    <s v="Commercial T8 Linear Fluorescent, 28W"/>
    <x v="102"/>
    <x v="46"/>
    <x v="7"/>
    <x v="0"/>
    <x v="4"/>
    <n v="584188.48971293995"/>
    <x v="0"/>
    <n v="14.519726670000001"/>
  </r>
  <r>
    <x v="0"/>
    <x v="1"/>
    <x v="11"/>
    <s v="Commercial T8 Linear Fluorescent, 28W"/>
    <x v="102"/>
    <x v="46"/>
    <x v="7"/>
    <x v="2"/>
    <x v="4"/>
    <n v="0"/>
    <x v="0"/>
    <n v="14.519726670000001"/>
  </r>
  <r>
    <x v="0"/>
    <x v="1"/>
    <x v="11"/>
    <s v="Commercial T8 Linear Fluorescent, 28W"/>
    <x v="102"/>
    <x v="46"/>
    <x v="7"/>
    <x v="1"/>
    <x v="4"/>
    <n v="2565"/>
    <x v="0"/>
    <n v="14.519726670000001"/>
  </r>
  <r>
    <x v="0"/>
    <x v="3"/>
    <x v="11"/>
    <s v="Commercial T8 Linear Fluorescent, 28W"/>
    <x v="102"/>
    <x v="46"/>
    <x v="7"/>
    <x v="0"/>
    <x v="4"/>
    <n v="603238.11437750002"/>
    <x v="0"/>
    <n v="14.519726670000001"/>
  </r>
  <r>
    <x v="0"/>
    <x v="3"/>
    <x v="11"/>
    <s v="Commercial T8 Linear Fluorescent, 28W"/>
    <x v="102"/>
    <x v="46"/>
    <x v="7"/>
    <x v="2"/>
    <x v="4"/>
    <n v="0"/>
    <x v="0"/>
    <n v="14.519726670000001"/>
  </r>
  <r>
    <x v="0"/>
    <x v="3"/>
    <x v="11"/>
    <s v="Commercial T8 Linear Fluorescent, 28W"/>
    <x v="102"/>
    <x v="46"/>
    <x v="7"/>
    <x v="1"/>
    <x v="4"/>
    <n v="2565"/>
    <x v="0"/>
    <n v="14.519726670000001"/>
  </r>
  <r>
    <x v="0"/>
    <x v="2"/>
    <x v="11"/>
    <s v="Commercial T8 Linear Fluorescent, 28W"/>
    <x v="102"/>
    <x v="46"/>
    <x v="7"/>
    <x v="0"/>
    <x v="4"/>
    <n v="621183.41297454003"/>
    <x v="0"/>
    <n v="14.519726670000001"/>
  </r>
  <r>
    <x v="0"/>
    <x v="2"/>
    <x v="11"/>
    <s v="Commercial T8 Linear Fluorescent, 28W"/>
    <x v="102"/>
    <x v="46"/>
    <x v="7"/>
    <x v="2"/>
    <x v="4"/>
    <n v="0"/>
    <x v="0"/>
    <n v="14.519726670000001"/>
  </r>
  <r>
    <x v="0"/>
    <x v="2"/>
    <x v="11"/>
    <s v="Commercial T8 Linear Fluorescent, 28W"/>
    <x v="102"/>
    <x v="46"/>
    <x v="7"/>
    <x v="1"/>
    <x v="4"/>
    <n v="2565"/>
    <x v="0"/>
    <n v="14.519726670000001"/>
  </r>
  <r>
    <x v="0"/>
    <x v="1"/>
    <x v="11"/>
    <s v="Industrial T8 Linear Fluorescent, 28W"/>
    <x v="103"/>
    <x v="47"/>
    <x v="7"/>
    <x v="0"/>
    <x v="4"/>
    <n v="145274.12929948"/>
    <x v="0"/>
    <n v="14.519726670000001"/>
  </r>
  <r>
    <x v="0"/>
    <x v="1"/>
    <x v="11"/>
    <s v="Industrial T8 Linear Fluorescent, 28W"/>
    <x v="103"/>
    <x v="47"/>
    <x v="7"/>
    <x v="2"/>
    <x v="4"/>
    <n v="0"/>
    <x v="0"/>
    <n v="14.519726670000001"/>
  </r>
  <r>
    <x v="0"/>
    <x v="1"/>
    <x v="11"/>
    <s v="Industrial T8 Linear Fluorescent, 28W"/>
    <x v="103"/>
    <x v="47"/>
    <x v="7"/>
    <x v="1"/>
    <x v="4"/>
    <n v="2460"/>
    <x v="0"/>
    <n v="14.519726670000001"/>
  </r>
  <r>
    <x v="0"/>
    <x v="3"/>
    <x v="11"/>
    <s v="Industrial T8 Linear Fluorescent, 28W"/>
    <x v="103"/>
    <x v="47"/>
    <x v="7"/>
    <x v="0"/>
    <x v="4"/>
    <n v="150011.32916795"/>
    <x v="0"/>
    <n v="14.519726670000001"/>
  </r>
  <r>
    <x v="0"/>
    <x v="3"/>
    <x v="11"/>
    <s v="Industrial T8 Linear Fluorescent, 28W"/>
    <x v="103"/>
    <x v="47"/>
    <x v="7"/>
    <x v="2"/>
    <x v="4"/>
    <n v="0"/>
    <x v="0"/>
    <n v="14.519726670000001"/>
  </r>
  <r>
    <x v="0"/>
    <x v="3"/>
    <x v="11"/>
    <s v="Industrial T8 Linear Fluorescent, 28W"/>
    <x v="103"/>
    <x v="47"/>
    <x v="7"/>
    <x v="1"/>
    <x v="4"/>
    <n v="2460"/>
    <x v="0"/>
    <n v="14.519726670000001"/>
  </r>
  <r>
    <x v="0"/>
    <x v="2"/>
    <x v="11"/>
    <s v="Industrial T8 Linear Fluorescent, 28W"/>
    <x v="103"/>
    <x v="47"/>
    <x v="7"/>
    <x v="0"/>
    <x v="4"/>
    <n v="154473.90875418001"/>
    <x v="0"/>
    <n v="14.519726670000001"/>
  </r>
  <r>
    <x v="0"/>
    <x v="2"/>
    <x v="11"/>
    <s v="Industrial T8 Linear Fluorescent, 28W"/>
    <x v="103"/>
    <x v="47"/>
    <x v="7"/>
    <x v="2"/>
    <x v="4"/>
    <n v="0"/>
    <x v="0"/>
    <n v="14.519726670000001"/>
  </r>
  <r>
    <x v="0"/>
    <x v="2"/>
    <x v="11"/>
    <s v="Industrial T8 Linear Fluorescent, 28W"/>
    <x v="103"/>
    <x v="47"/>
    <x v="7"/>
    <x v="1"/>
    <x v="4"/>
    <n v="2460"/>
    <x v="0"/>
    <n v="14.519726670000001"/>
  </r>
  <r>
    <x v="0"/>
    <x v="1"/>
    <x v="5"/>
    <s v="Washington BuiltGreen Home, New Single-Family"/>
    <x v="104"/>
    <x v="48"/>
    <x v="16"/>
    <x v="0"/>
    <x v="0"/>
    <n v="292.2"/>
    <x v="0"/>
    <n v="1329.89976553"/>
  </r>
  <r>
    <x v="0"/>
    <x v="1"/>
    <x v="5"/>
    <s v="Washington BuiltGreen Home, New Single-Family"/>
    <x v="104"/>
    <x v="48"/>
    <x v="16"/>
    <x v="1"/>
    <x v="0"/>
    <n v="0"/>
    <x v="0"/>
    <n v="1329.89976553"/>
  </r>
  <r>
    <x v="0"/>
    <x v="3"/>
    <x v="5"/>
    <s v="Washington BuiltGreen Home, New Single-Family"/>
    <x v="104"/>
    <x v="48"/>
    <x v="16"/>
    <x v="0"/>
    <x v="0"/>
    <n v="584.4"/>
    <x v="0"/>
    <n v="1046.33714108"/>
  </r>
  <r>
    <x v="0"/>
    <x v="3"/>
    <x v="5"/>
    <s v="Washington BuiltGreen Home, New Single-Family"/>
    <x v="104"/>
    <x v="48"/>
    <x v="16"/>
    <x v="1"/>
    <x v="0"/>
    <n v="0"/>
    <x v="0"/>
    <n v="1046.33714108"/>
  </r>
  <r>
    <x v="0"/>
    <x v="2"/>
    <x v="5"/>
    <s v="Washington BuiltGreen Home, New Single-Family"/>
    <x v="104"/>
    <x v="48"/>
    <x v="16"/>
    <x v="0"/>
    <x v="0"/>
    <n v="584.4"/>
    <x v="0"/>
    <n v="1046.33714108"/>
  </r>
  <r>
    <x v="0"/>
    <x v="2"/>
    <x v="5"/>
    <s v="Washington BuiltGreen Home, New Single-Family"/>
    <x v="104"/>
    <x v="48"/>
    <x v="16"/>
    <x v="1"/>
    <x v="0"/>
    <n v="0"/>
    <x v="0"/>
    <n v="1046.33714108"/>
  </r>
  <r>
    <x v="0"/>
    <x v="1"/>
    <x v="6"/>
    <s v="Washington Code, New Commercial, WSEC 2015"/>
    <x v="105"/>
    <x v="49"/>
    <x v="44"/>
    <x v="0"/>
    <x v="4"/>
    <n v="23567312.670554262"/>
    <x v="0"/>
    <n v="0.57074044000000002"/>
  </r>
  <r>
    <x v="0"/>
    <x v="3"/>
    <x v="6"/>
    <s v="Washington Code, New Commercial, WSEC 2015"/>
    <x v="105"/>
    <x v="49"/>
    <x v="44"/>
    <x v="0"/>
    <x v="4"/>
    <n v="23515815.486942399"/>
    <x v="0"/>
    <n v="0.57092916000000005"/>
  </r>
  <r>
    <x v="0"/>
    <x v="2"/>
    <x v="6"/>
    <s v="Washington Code, New Commercial, WSEC 2015"/>
    <x v="105"/>
    <x v="49"/>
    <x v="44"/>
    <x v="0"/>
    <x v="4"/>
    <n v="23592265.912666921"/>
    <x v="0"/>
    <n v="0.56968410999999997"/>
  </r>
  <r>
    <x v="0"/>
    <x v="2"/>
    <x v="6"/>
    <s v="Washington Code, New Commercial, WSEC 2018"/>
    <x v="106"/>
    <x v="49"/>
    <x v="45"/>
    <x v="0"/>
    <x v="4"/>
    <n v="11206326.308516789"/>
    <x v="0"/>
    <n v="0.27665813"/>
  </r>
  <r>
    <x v="0"/>
    <x v="0"/>
    <x v="6"/>
    <s v="Washington Code, New Commercial, WSEC 2018"/>
    <x v="106"/>
    <x v="49"/>
    <x v="45"/>
    <x v="0"/>
    <x v="4"/>
    <n v="24807993.69436197"/>
    <x v="0"/>
    <n v="0.27997184000000003"/>
  </r>
  <r>
    <x v="0"/>
    <x v="1"/>
    <x v="6"/>
    <s v="Washington Code, New Commercial, WSEC 2018"/>
    <x v="106"/>
    <x v="49"/>
    <x v="45"/>
    <x v="0"/>
    <x v="4"/>
    <n v="23567312.670554262"/>
    <x v="0"/>
    <n v="0.27886727"/>
  </r>
  <r>
    <x v="0"/>
    <x v="1"/>
    <x v="6"/>
    <s v="Washington Code, New Commercial, WSEC 2021"/>
    <x v="107"/>
    <x v="49"/>
    <x v="46"/>
    <x v="0"/>
    <x v="0"/>
    <n v="7659376.6179301403"/>
    <x v="0"/>
    <n v="0.53542515999999996"/>
  </r>
  <r>
    <x v="0"/>
    <x v="3"/>
    <x v="6"/>
    <s v="Washington Code, New Commercial, WSEC 2021"/>
    <x v="107"/>
    <x v="49"/>
    <x v="46"/>
    <x v="0"/>
    <x v="0"/>
    <n v="734869.23396694998"/>
    <x v="0"/>
    <n v="0.53330438000000002"/>
  </r>
  <r>
    <x v="0"/>
    <x v="2"/>
    <x v="6"/>
    <s v="Washington Code, New Commercial, WSEC 2021"/>
    <x v="107"/>
    <x v="49"/>
    <x v="46"/>
    <x v="0"/>
    <x v="0"/>
    <n v="0"/>
    <x v="0"/>
    <n v="0.53118361000000003"/>
  </r>
  <r>
    <x v="0"/>
    <x v="1"/>
    <x v="7"/>
    <s v="Washington Code, New Multifamily, WSEC 2021"/>
    <x v="108"/>
    <x v="50"/>
    <x v="47"/>
    <x v="0"/>
    <x v="0"/>
    <n v="4789.5970612900001"/>
    <x v="0"/>
    <n v="542"/>
  </r>
  <r>
    <x v="0"/>
    <x v="3"/>
    <x v="7"/>
    <s v="Washington Code, New Multifamily, WSEC 2021"/>
    <x v="108"/>
    <x v="50"/>
    <x v="47"/>
    <x v="0"/>
    <x v="0"/>
    <n v="0"/>
    <x v="0"/>
    <n v="542"/>
  </r>
  <r>
    <x v="0"/>
    <x v="2"/>
    <x v="7"/>
    <s v="Washington Code, New Multifamily, WSEC 2021"/>
    <x v="108"/>
    <x v="50"/>
    <x v="47"/>
    <x v="0"/>
    <x v="0"/>
    <n v="0"/>
    <x v="0"/>
    <n v="542"/>
  </r>
  <r>
    <x v="0"/>
    <x v="1"/>
    <x v="6"/>
    <s v="Washington Code, New Commercial, WSEC 2024"/>
    <x v="109"/>
    <x v="49"/>
    <x v="48"/>
    <x v="0"/>
    <x v="1"/>
    <n v="0"/>
    <x v="0"/>
    <n v="0.49259113999999998"/>
  </r>
  <r>
    <x v="0"/>
    <x v="3"/>
    <x v="6"/>
    <s v="Washington Code, New Commercial, WSEC 2024"/>
    <x v="109"/>
    <x v="49"/>
    <x v="48"/>
    <x v="0"/>
    <x v="1"/>
    <n v="0"/>
    <x v="0"/>
    <n v="0.49064003"/>
  </r>
  <r>
    <x v="0"/>
    <x v="2"/>
    <x v="6"/>
    <s v="Washington Code, New Commercial, WSEC 2024"/>
    <x v="109"/>
    <x v="49"/>
    <x v="48"/>
    <x v="0"/>
    <x v="1"/>
    <n v="0"/>
    <x v="0"/>
    <n v="0.48868892000000003"/>
  </r>
  <r>
    <x v="0"/>
    <x v="3"/>
    <x v="5"/>
    <s v="Washington Home Energy Rating System (HERS)/ENERGY STAR, New Multifamily"/>
    <x v="110"/>
    <x v="51"/>
    <x v="16"/>
    <x v="0"/>
    <x v="0"/>
    <n v="0"/>
    <x v="0"/>
    <n v="300"/>
  </r>
  <r>
    <x v="0"/>
    <x v="3"/>
    <x v="5"/>
    <s v="Washington Home Energy Rating System (HERS)/ENERGY STAR, New Multifamily"/>
    <x v="110"/>
    <x v="51"/>
    <x v="16"/>
    <x v="1"/>
    <x v="0"/>
    <n v="0"/>
    <x v="0"/>
    <n v="300"/>
  </r>
  <r>
    <x v="0"/>
    <x v="2"/>
    <x v="5"/>
    <s v="Washington Home Energy Rating System (HERS)/ENERGY STAR, New Multifamily"/>
    <x v="110"/>
    <x v="51"/>
    <x v="16"/>
    <x v="0"/>
    <x v="0"/>
    <n v="0"/>
    <x v="0"/>
    <n v="300"/>
  </r>
  <r>
    <x v="0"/>
    <x v="2"/>
    <x v="5"/>
    <s v="Washington Home Energy Rating System (HERS)/ENERGY STAR, New Multifamily"/>
    <x v="110"/>
    <x v="51"/>
    <x v="16"/>
    <x v="1"/>
    <x v="0"/>
    <n v="0"/>
    <x v="0"/>
    <n v="300"/>
  </r>
  <r>
    <x v="0"/>
    <x v="1"/>
    <x v="5"/>
    <s v="Washington Home Energy Rating System (HERS)/ENERGY STAR, New Single-Family"/>
    <x v="111"/>
    <x v="52"/>
    <x v="16"/>
    <x v="0"/>
    <x v="0"/>
    <n v="265.86"/>
    <x v="0"/>
    <n v="1329.89976553"/>
  </r>
  <r>
    <x v="0"/>
    <x v="1"/>
    <x v="5"/>
    <s v="Washington Home Energy Rating System (HERS)/ENERGY STAR, New Single-Family"/>
    <x v="111"/>
    <x v="52"/>
    <x v="16"/>
    <x v="1"/>
    <x v="0"/>
    <n v="0"/>
    <x v="0"/>
    <n v="1329.89976553"/>
  </r>
  <r>
    <x v="0"/>
    <x v="3"/>
    <x v="5"/>
    <s v="Washington Home Energy Rating System (HERS)/ENERGY STAR, New Single-Family"/>
    <x v="111"/>
    <x v="52"/>
    <x v="16"/>
    <x v="0"/>
    <x v="0"/>
    <n v="379.8"/>
    <x v="0"/>
    <n v="1046.33714108"/>
  </r>
  <r>
    <x v="0"/>
    <x v="3"/>
    <x v="5"/>
    <s v="Washington Home Energy Rating System (HERS)/ENERGY STAR, New Single-Family"/>
    <x v="111"/>
    <x v="52"/>
    <x v="16"/>
    <x v="1"/>
    <x v="0"/>
    <n v="0"/>
    <x v="0"/>
    <n v="1046.33714108"/>
  </r>
  <r>
    <x v="0"/>
    <x v="2"/>
    <x v="5"/>
    <s v="Washington Home Energy Rating System (HERS)/ENERGY STAR, New Single-Family"/>
    <x v="111"/>
    <x v="52"/>
    <x v="16"/>
    <x v="0"/>
    <x v="0"/>
    <n v="379.8"/>
    <x v="0"/>
    <n v="1046.33714108"/>
  </r>
  <r>
    <x v="0"/>
    <x v="2"/>
    <x v="5"/>
    <s v="Washington Home Energy Rating System (HERS)/ENERGY STAR, New Single-Family"/>
    <x v="111"/>
    <x v="52"/>
    <x v="16"/>
    <x v="1"/>
    <x v="0"/>
    <n v="0"/>
    <x v="0"/>
    <n v="1046.33714108"/>
  </r>
  <r>
    <x v="0"/>
    <x v="1"/>
    <x v="5"/>
    <s v="Washington National Green Building Standard, New Single-Family"/>
    <x v="112"/>
    <x v="53"/>
    <x v="16"/>
    <x v="0"/>
    <x v="0"/>
    <n v="4.5"/>
    <x v="0"/>
    <n v="1329.89976553"/>
  </r>
  <r>
    <x v="0"/>
    <x v="1"/>
    <x v="5"/>
    <s v="Washington National Green Building Standard, New Single-Family"/>
    <x v="112"/>
    <x v="53"/>
    <x v="16"/>
    <x v="1"/>
    <x v="0"/>
    <n v="0"/>
    <x v="0"/>
    <n v="1329.89976553"/>
  </r>
  <r>
    <x v="0"/>
    <x v="3"/>
    <x v="5"/>
    <s v="Washington National Green Building Standard, New Single-Family"/>
    <x v="112"/>
    <x v="53"/>
    <x v="16"/>
    <x v="0"/>
    <x v="0"/>
    <n v="9"/>
    <x v="0"/>
    <n v="1046.33714108"/>
  </r>
  <r>
    <x v="0"/>
    <x v="3"/>
    <x v="5"/>
    <s v="Washington National Green Building Standard, New Single-Family"/>
    <x v="112"/>
    <x v="53"/>
    <x v="16"/>
    <x v="1"/>
    <x v="0"/>
    <n v="0"/>
    <x v="0"/>
    <n v="1046.33714108"/>
  </r>
  <r>
    <x v="0"/>
    <x v="2"/>
    <x v="5"/>
    <s v="Washington National Green Building Standard, New Single-Family"/>
    <x v="112"/>
    <x v="53"/>
    <x v="16"/>
    <x v="0"/>
    <x v="0"/>
    <n v="9"/>
    <x v="0"/>
    <n v="1046.33714108"/>
  </r>
  <r>
    <x v="0"/>
    <x v="2"/>
    <x v="5"/>
    <s v="Washington National Green Building Standard, New Single-Family"/>
    <x v="112"/>
    <x v="53"/>
    <x v="16"/>
    <x v="1"/>
    <x v="0"/>
    <n v="0"/>
    <x v="0"/>
    <n v="1046.33714108"/>
  </r>
  <r>
    <x v="0"/>
    <x v="1"/>
    <x v="5"/>
    <s v="Washington Performance Path, New Single-Family"/>
    <x v="113"/>
    <x v="54"/>
    <x v="16"/>
    <x v="0"/>
    <x v="0"/>
    <n v="70"/>
    <x v="0"/>
    <n v="2736.7661195800001"/>
  </r>
  <r>
    <x v="0"/>
    <x v="1"/>
    <x v="5"/>
    <s v="Washington Performance Path, New Single-Family"/>
    <x v="113"/>
    <x v="54"/>
    <x v="16"/>
    <x v="1"/>
    <x v="0"/>
    <n v="70"/>
    <x v="0"/>
    <n v="2736.7661195800001"/>
  </r>
  <r>
    <x v="0"/>
    <x v="3"/>
    <x v="5"/>
    <s v="Washington Performance Path, New Single-Family"/>
    <x v="113"/>
    <x v="54"/>
    <x v="16"/>
    <x v="0"/>
    <x v="0"/>
    <n v="100"/>
    <x v="0"/>
    <n v="2172.5869015200001"/>
  </r>
  <r>
    <x v="0"/>
    <x v="3"/>
    <x v="5"/>
    <s v="Washington Performance Path, New Single-Family"/>
    <x v="113"/>
    <x v="54"/>
    <x v="16"/>
    <x v="1"/>
    <x v="0"/>
    <n v="100"/>
    <x v="0"/>
    <n v="2172.5869015200001"/>
  </r>
  <r>
    <x v="0"/>
    <x v="2"/>
    <x v="5"/>
    <s v="Washington Performance Path, New Single-Family"/>
    <x v="113"/>
    <x v="54"/>
    <x v="16"/>
    <x v="0"/>
    <x v="0"/>
    <n v="100"/>
    <x v="0"/>
    <n v="2172.5869015200001"/>
  </r>
  <r>
    <x v="0"/>
    <x v="2"/>
    <x v="5"/>
    <s v="Washington Performance Path, New Single-Family"/>
    <x v="113"/>
    <x v="54"/>
    <x v="16"/>
    <x v="1"/>
    <x v="0"/>
    <n v="100"/>
    <x v="0"/>
    <n v="2172.5869015200001"/>
  </r>
  <r>
    <x v="0"/>
    <x v="1"/>
    <x v="5"/>
    <s v="Washington Code, Single-Family, WSEC 2021"/>
    <x v="114"/>
    <x v="55"/>
    <x v="47"/>
    <x v="0"/>
    <x v="0"/>
    <n v="28055"/>
    <x v="0"/>
    <n v="126"/>
  </r>
  <r>
    <x v="0"/>
    <x v="3"/>
    <x v="5"/>
    <s v="Washington Code, Single-Family, WSEC 2021"/>
    <x v="114"/>
    <x v="55"/>
    <x v="47"/>
    <x v="0"/>
    <x v="0"/>
    <n v="0"/>
    <x v="0"/>
    <n v="126"/>
  </r>
  <r>
    <x v="0"/>
    <x v="2"/>
    <x v="5"/>
    <s v="Washington Code, Single-Family, WSEC 2021"/>
    <x v="114"/>
    <x v="55"/>
    <x v="47"/>
    <x v="0"/>
    <x v="0"/>
    <n v="0"/>
    <x v="0"/>
    <n v="126"/>
  </r>
  <r>
    <x v="0"/>
    <x v="1"/>
    <x v="5"/>
    <s v="Idaho National Green Building Standard, New Single-Family"/>
    <x v="115"/>
    <x v="56"/>
    <x v="16"/>
    <x v="0"/>
    <x v="0"/>
    <n v="0"/>
    <x v="0"/>
    <n v="1058.5783644600001"/>
  </r>
  <r>
    <x v="0"/>
    <x v="1"/>
    <x v="5"/>
    <s v="Idaho National Green Building Standard, New Single-Family"/>
    <x v="115"/>
    <x v="56"/>
    <x v="16"/>
    <x v="1"/>
    <x v="0"/>
    <n v="0"/>
    <x v="0"/>
    <n v="1058.5783644600001"/>
  </r>
  <r>
    <x v="0"/>
    <x v="3"/>
    <x v="5"/>
    <s v="Idaho National Green Building Standard, New Single-Family"/>
    <x v="115"/>
    <x v="56"/>
    <x v="16"/>
    <x v="0"/>
    <x v="0"/>
    <n v="5"/>
    <x v="0"/>
    <n v="1087.4826316900001"/>
  </r>
  <r>
    <x v="0"/>
    <x v="3"/>
    <x v="5"/>
    <s v="Idaho National Green Building Standard, New Single-Family"/>
    <x v="115"/>
    <x v="56"/>
    <x v="16"/>
    <x v="1"/>
    <x v="0"/>
    <n v="0"/>
    <x v="0"/>
    <n v="1087.4826316900001"/>
  </r>
  <r>
    <x v="0"/>
    <x v="2"/>
    <x v="5"/>
    <s v="Idaho National Green Building Standard, New Single-Family"/>
    <x v="115"/>
    <x v="56"/>
    <x v="16"/>
    <x v="0"/>
    <x v="0"/>
    <n v="5"/>
    <x v="0"/>
    <n v="1087.4826316900001"/>
  </r>
  <r>
    <x v="0"/>
    <x v="2"/>
    <x v="5"/>
    <s v="Idaho National Green Building Standard, New Single-Family"/>
    <x v="115"/>
    <x v="56"/>
    <x v="16"/>
    <x v="1"/>
    <x v="0"/>
    <n v="0"/>
    <x v="0"/>
    <n v="1087.4826316900001"/>
  </r>
  <r>
    <x v="0"/>
    <x v="1"/>
    <x v="5"/>
    <s v="Montana National Green Building Standard, New Single-Family"/>
    <x v="116"/>
    <x v="57"/>
    <x v="16"/>
    <x v="0"/>
    <x v="0"/>
    <n v="0"/>
    <x v="0"/>
    <n v="848.91482299999996"/>
  </r>
  <r>
    <x v="0"/>
    <x v="1"/>
    <x v="5"/>
    <s v="Montana National Green Building Standard, New Single-Family"/>
    <x v="116"/>
    <x v="57"/>
    <x v="16"/>
    <x v="1"/>
    <x v="0"/>
    <n v="0"/>
    <x v="0"/>
    <n v="848.91482299999996"/>
  </r>
  <r>
    <x v="0"/>
    <x v="3"/>
    <x v="5"/>
    <s v="Montana National Green Building Standard, New Single-Family"/>
    <x v="116"/>
    <x v="57"/>
    <x v="16"/>
    <x v="0"/>
    <x v="0"/>
    <n v="0"/>
    <x v="0"/>
    <n v="846.85874944"/>
  </r>
  <r>
    <x v="0"/>
    <x v="3"/>
    <x v="5"/>
    <s v="Montana National Green Building Standard, New Single-Family"/>
    <x v="116"/>
    <x v="57"/>
    <x v="16"/>
    <x v="1"/>
    <x v="0"/>
    <n v="0"/>
    <x v="0"/>
    <n v="846.85874944"/>
  </r>
  <r>
    <x v="0"/>
    <x v="2"/>
    <x v="5"/>
    <s v="Montana National Green Building Standard, New Single-Family"/>
    <x v="116"/>
    <x v="57"/>
    <x v="16"/>
    <x v="0"/>
    <x v="0"/>
    <n v="0"/>
    <x v="0"/>
    <n v="846.85874944"/>
  </r>
  <r>
    <x v="0"/>
    <x v="2"/>
    <x v="5"/>
    <s v="Montana National Green Building Standard, New Single-Family"/>
    <x v="116"/>
    <x v="57"/>
    <x v="16"/>
    <x v="1"/>
    <x v="0"/>
    <n v="0"/>
    <x v="0"/>
    <n v="846.85874944"/>
  </r>
  <r>
    <x v="0"/>
    <x v="1"/>
    <x v="5"/>
    <s v="Oregon National Green Building Standard, New Single-Family"/>
    <x v="117"/>
    <x v="58"/>
    <x v="16"/>
    <x v="0"/>
    <x v="0"/>
    <n v="0"/>
    <x v="0"/>
    <n v="1711.9891222000001"/>
  </r>
  <r>
    <x v="0"/>
    <x v="1"/>
    <x v="5"/>
    <s v="Oregon National Green Building Standard, New Single-Family"/>
    <x v="117"/>
    <x v="58"/>
    <x v="16"/>
    <x v="1"/>
    <x v="0"/>
    <n v="0"/>
    <x v="0"/>
    <n v="1711.9891222000001"/>
  </r>
  <r>
    <x v="0"/>
    <x v="3"/>
    <x v="5"/>
    <s v="Oregon National Green Building Standard, New Single-Family"/>
    <x v="117"/>
    <x v="58"/>
    <x v="16"/>
    <x v="0"/>
    <x v="0"/>
    <n v="0"/>
    <x v="0"/>
    <n v="1742.23141743"/>
  </r>
  <r>
    <x v="0"/>
    <x v="3"/>
    <x v="5"/>
    <s v="Oregon National Green Building Standard, New Single-Family"/>
    <x v="117"/>
    <x v="58"/>
    <x v="16"/>
    <x v="1"/>
    <x v="0"/>
    <n v="0"/>
    <x v="0"/>
    <n v="1742.23141743"/>
  </r>
  <r>
    <x v="0"/>
    <x v="2"/>
    <x v="5"/>
    <s v="Oregon National Green Building Standard, New Single-Family"/>
    <x v="117"/>
    <x v="58"/>
    <x v="16"/>
    <x v="0"/>
    <x v="0"/>
    <n v="0"/>
    <x v="0"/>
    <n v="1763.96806713"/>
  </r>
  <r>
    <x v="0"/>
    <x v="2"/>
    <x v="5"/>
    <s v="Oregon National Green Building Standard, New Single-Family"/>
    <x v="117"/>
    <x v="58"/>
    <x v="16"/>
    <x v="1"/>
    <x v="0"/>
    <n v="0"/>
    <x v="0"/>
    <n v="1763.96806713"/>
  </r>
  <r>
    <x v="0"/>
    <x v="1"/>
    <x v="1"/>
    <s v="Non-Residential, Uninterruptible Power Supplies (2020)"/>
    <x v="118"/>
    <x v="59"/>
    <x v="49"/>
    <x v="0"/>
    <x v="0"/>
    <n v="135854.56573862999"/>
    <x v="0"/>
    <n v="32.461487609999999"/>
  </r>
  <r>
    <x v="0"/>
    <x v="3"/>
    <x v="1"/>
    <s v="Non-Residential, Uninterruptible Power Supplies (2020)"/>
    <x v="118"/>
    <x v="59"/>
    <x v="49"/>
    <x v="0"/>
    <x v="0"/>
    <n v="133967.6442297"/>
    <x v="0"/>
    <n v="32.461487609999999"/>
  </r>
  <r>
    <x v="0"/>
    <x v="2"/>
    <x v="1"/>
    <s v="Non-Residential, Uninterruptible Power Supplies (2020)"/>
    <x v="118"/>
    <x v="59"/>
    <x v="49"/>
    <x v="0"/>
    <x v="0"/>
    <n v="132080.72272076001"/>
    <x v="0"/>
    <n v="32.461487609999999"/>
  </r>
  <r>
    <x v="0"/>
    <x v="1"/>
    <x v="12"/>
    <s v="Residential, Uninterruptible Power Supplies (2020)"/>
    <x v="120"/>
    <x v="59"/>
    <x v="50"/>
    <x v="0"/>
    <x v="0"/>
    <n v="52158.810765189999"/>
    <x v="0"/>
    <n v="32.630683519999998"/>
  </r>
  <r>
    <x v="0"/>
    <x v="3"/>
    <x v="12"/>
    <s v="Residential, Uninterruptible Power Supplies (2020)"/>
    <x v="120"/>
    <x v="59"/>
    <x v="50"/>
    <x v="0"/>
    <x v="0"/>
    <n v="51436.486225859997"/>
    <x v="0"/>
    <n v="32.630683519999998"/>
  </r>
  <r>
    <x v="0"/>
    <x v="2"/>
    <x v="12"/>
    <s v="Residential, Uninterruptible Power Supplies (2020)"/>
    <x v="120"/>
    <x v="59"/>
    <x v="50"/>
    <x v="0"/>
    <x v="0"/>
    <n v="50714.161686530002"/>
    <x v="0"/>
    <n v="32.630683519999998"/>
  </r>
  <r>
    <x v="0"/>
    <x v="1"/>
    <x v="13"/>
    <s v="Commercial, Variable Speed Clean Water Pump - CS Replacement"/>
    <x v="122"/>
    <x v="61"/>
    <x v="8"/>
    <x v="0"/>
    <x v="0"/>
    <n v="130.62526892"/>
    <x v="0"/>
    <n v="553.12676630999999"/>
  </r>
  <r>
    <x v="0"/>
    <x v="1"/>
    <x v="13"/>
    <s v="Commercial, Variable Speed Clean Water Pump - CS Replacement"/>
    <x v="122"/>
    <x v="61"/>
    <x v="8"/>
    <x v="2"/>
    <x v="0"/>
    <n v="0"/>
    <x v="0"/>
    <n v="553.12676630999999"/>
  </r>
  <r>
    <x v="0"/>
    <x v="1"/>
    <x v="13"/>
    <s v="Commercial, Variable Speed Clean Water Pump - CS Replacement"/>
    <x v="122"/>
    <x v="61"/>
    <x v="8"/>
    <x v="1"/>
    <x v="0"/>
    <n v="0"/>
    <x v="0"/>
    <n v="553.12676630999999"/>
  </r>
  <r>
    <x v="0"/>
    <x v="3"/>
    <x v="13"/>
    <s v="Commercial, Variable Speed Clean Water Pump - CS Replacement"/>
    <x v="122"/>
    <x v="61"/>
    <x v="8"/>
    <x v="0"/>
    <x v="0"/>
    <n v="128.77327579000001"/>
    <x v="0"/>
    <n v="553.12676630999999"/>
  </r>
  <r>
    <x v="0"/>
    <x v="3"/>
    <x v="13"/>
    <s v="Commercial, Variable Speed Clean Water Pump - CS Replacement"/>
    <x v="122"/>
    <x v="61"/>
    <x v="8"/>
    <x v="2"/>
    <x v="0"/>
    <n v="0"/>
    <x v="0"/>
    <n v="553.12676630999999"/>
  </r>
  <r>
    <x v="0"/>
    <x v="3"/>
    <x v="13"/>
    <s v="Commercial, Variable Speed Clean Water Pump - CS Replacement"/>
    <x v="122"/>
    <x v="61"/>
    <x v="8"/>
    <x v="1"/>
    <x v="0"/>
    <n v="0"/>
    <x v="0"/>
    <n v="553.12676630999999"/>
  </r>
  <r>
    <x v="0"/>
    <x v="2"/>
    <x v="13"/>
    <s v="Commercial, Variable Speed Clean Water Pump - CS Replacement"/>
    <x v="122"/>
    <x v="61"/>
    <x v="8"/>
    <x v="0"/>
    <x v="0"/>
    <n v="127.00254179"/>
    <x v="0"/>
    <n v="553.12676630999999"/>
  </r>
  <r>
    <x v="0"/>
    <x v="2"/>
    <x v="13"/>
    <s v="Commercial, Variable Speed Clean Water Pump - CS Replacement"/>
    <x v="122"/>
    <x v="61"/>
    <x v="8"/>
    <x v="2"/>
    <x v="0"/>
    <n v="0"/>
    <x v="0"/>
    <n v="553.12676630999999"/>
  </r>
  <r>
    <x v="0"/>
    <x v="2"/>
    <x v="13"/>
    <s v="Commercial, Variable Speed Clean Water Pump - CS Replacement"/>
    <x v="122"/>
    <x v="61"/>
    <x v="8"/>
    <x v="1"/>
    <x v="0"/>
    <n v="0"/>
    <x v="0"/>
    <n v="553.12676630999999"/>
  </r>
  <r>
    <x v="0"/>
    <x v="1"/>
    <x v="13"/>
    <s v="Commercial, Variable Speed Clean Water Pump"/>
    <x v="123"/>
    <x v="61"/>
    <x v="7"/>
    <x v="0"/>
    <x v="0"/>
    <n v="250.16718169000001"/>
    <x v="0"/>
    <n v="1187.56299171"/>
  </r>
  <r>
    <x v="0"/>
    <x v="1"/>
    <x v="13"/>
    <s v="Commercial, Variable Speed Clean Water Pump"/>
    <x v="123"/>
    <x v="61"/>
    <x v="7"/>
    <x v="2"/>
    <x v="0"/>
    <n v="0"/>
    <x v="0"/>
    <n v="1187.56299171"/>
  </r>
  <r>
    <x v="0"/>
    <x v="1"/>
    <x v="13"/>
    <s v="Commercial, Variable Speed Clean Water Pump"/>
    <x v="123"/>
    <x v="61"/>
    <x v="7"/>
    <x v="1"/>
    <x v="0"/>
    <n v="0"/>
    <x v="0"/>
    <n v="1187.56299171"/>
  </r>
  <r>
    <x v="0"/>
    <x v="3"/>
    <x v="13"/>
    <s v="Commercial, Variable Speed Clean Water Pump"/>
    <x v="123"/>
    <x v="61"/>
    <x v="7"/>
    <x v="0"/>
    <x v="0"/>
    <n v="246.62033424000001"/>
    <x v="0"/>
    <n v="1187.56299171"/>
  </r>
  <r>
    <x v="0"/>
    <x v="3"/>
    <x v="13"/>
    <s v="Commercial, Variable Speed Clean Water Pump"/>
    <x v="123"/>
    <x v="61"/>
    <x v="7"/>
    <x v="2"/>
    <x v="0"/>
    <n v="0"/>
    <x v="0"/>
    <n v="1187.56299171"/>
  </r>
  <r>
    <x v="0"/>
    <x v="3"/>
    <x v="13"/>
    <s v="Commercial, Variable Speed Clean Water Pump"/>
    <x v="123"/>
    <x v="61"/>
    <x v="7"/>
    <x v="1"/>
    <x v="0"/>
    <n v="0"/>
    <x v="0"/>
    <n v="1187.56299171"/>
  </r>
  <r>
    <x v="0"/>
    <x v="2"/>
    <x v="13"/>
    <s v="Commercial, Variable Speed Clean Water Pump"/>
    <x v="123"/>
    <x v="61"/>
    <x v="7"/>
    <x v="0"/>
    <x v="0"/>
    <n v="243.22911033"/>
    <x v="0"/>
    <n v="1187.56299171"/>
  </r>
  <r>
    <x v="0"/>
    <x v="2"/>
    <x v="13"/>
    <s v="Commercial, Variable Speed Clean Water Pump"/>
    <x v="123"/>
    <x v="61"/>
    <x v="7"/>
    <x v="2"/>
    <x v="0"/>
    <n v="0"/>
    <x v="0"/>
    <n v="1187.56299171"/>
  </r>
  <r>
    <x v="0"/>
    <x v="2"/>
    <x v="13"/>
    <s v="Commercial, Variable Speed Clean Water Pump"/>
    <x v="123"/>
    <x v="61"/>
    <x v="7"/>
    <x v="1"/>
    <x v="0"/>
    <n v="0"/>
    <x v="0"/>
    <n v="1187.56299171"/>
  </r>
  <r>
    <x v="0"/>
    <x v="1"/>
    <x v="13"/>
    <s v="Commercial, Constant Speed Clean Water Pump"/>
    <x v="124"/>
    <x v="62"/>
    <x v="30"/>
    <x v="0"/>
    <x v="0"/>
    <n v="1317.0721559000001"/>
    <x v="0"/>
    <n v="1523.1456348700001"/>
  </r>
  <r>
    <x v="0"/>
    <x v="1"/>
    <x v="13"/>
    <s v="Commercial, Constant Speed Clean Water Pump"/>
    <x v="124"/>
    <x v="62"/>
    <x v="30"/>
    <x v="2"/>
    <x v="0"/>
    <n v="0"/>
    <x v="0"/>
    <n v="1523.1456348700001"/>
  </r>
  <r>
    <x v="0"/>
    <x v="1"/>
    <x v="13"/>
    <s v="Commercial, Constant Speed Clean Water Pump"/>
    <x v="124"/>
    <x v="62"/>
    <x v="30"/>
    <x v="1"/>
    <x v="0"/>
    <n v="0"/>
    <x v="0"/>
    <n v="1523.1456348700001"/>
  </r>
  <r>
    <x v="0"/>
    <x v="3"/>
    <x v="13"/>
    <s v="Commercial, Constant Speed Clean Water Pump"/>
    <x v="124"/>
    <x v="62"/>
    <x v="30"/>
    <x v="0"/>
    <x v="0"/>
    <n v="1298.3988272300001"/>
    <x v="0"/>
    <n v="1523.1456348700001"/>
  </r>
  <r>
    <x v="0"/>
    <x v="3"/>
    <x v="13"/>
    <s v="Commercial, Constant Speed Clean Water Pump"/>
    <x v="124"/>
    <x v="62"/>
    <x v="30"/>
    <x v="2"/>
    <x v="0"/>
    <n v="0"/>
    <x v="0"/>
    <n v="1523.1456348700001"/>
  </r>
  <r>
    <x v="0"/>
    <x v="3"/>
    <x v="13"/>
    <s v="Commercial, Constant Speed Clean Water Pump"/>
    <x v="124"/>
    <x v="62"/>
    <x v="30"/>
    <x v="1"/>
    <x v="0"/>
    <n v="0"/>
    <x v="0"/>
    <n v="1523.1456348700001"/>
  </r>
  <r>
    <x v="0"/>
    <x v="2"/>
    <x v="13"/>
    <s v="Commercial, Constant Speed Clean Water Pump"/>
    <x v="124"/>
    <x v="62"/>
    <x v="30"/>
    <x v="0"/>
    <x v="0"/>
    <n v="1280.5448203200001"/>
    <x v="0"/>
    <n v="1523.1456348700001"/>
  </r>
  <r>
    <x v="0"/>
    <x v="2"/>
    <x v="13"/>
    <s v="Commercial, Constant Speed Clean Water Pump"/>
    <x v="124"/>
    <x v="62"/>
    <x v="30"/>
    <x v="2"/>
    <x v="0"/>
    <n v="0"/>
    <x v="0"/>
    <n v="1523.1456348700001"/>
  </r>
  <r>
    <x v="0"/>
    <x v="2"/>
    <x v="13"/>
    <s v="Commercial, Constant Speed Clean Water Pump"/>
    <x v="124"/>
    <x v="62"/>
    <x v="30"/>
    <x v="1"/>
    <x v="0"/>
    <n v="0"/>
    <x v="0"/>
    <n v="1523.1456348700001"/>
  </r>
  <r>
    <x v="0"/>
    <x v="1"/>
    <x v="13"/>
    <s v="Commercial, DHW ECM Circulator with Controls"/>
    <x v="125"/>
    <x v="63"/>
    <x v="9"/>
    <x v="0"/>
    <x v="0"/>
    <n v="19.965"/>
    <x v="0"/>
    <n v="2499.4300000500002"/>
  </r>
  <r>
    <x v="0"/>
    <x v="1"/>
    <x v="13"/>
    <s v="Commercial, DHW ECM Circulator with Controls"/>
    <x v="125"/>
    <x v="63"/>
    <x v="9"/>
    <x v="2"/>
    <x v="0"/>
    <n v="0"/>
    <x v="0"/>
    <n v="2499.4300000500002"/>
  </r>
  <r>
    <x v="0"/>
    <x v="1"/>
    <x v="13"/>
    <s v="Commercial, DHW ECM Circulator with Controls"/>
    <x v="125"/>
    <x v="63"/>
    <x v="9"/>
    <x v="1"/>
    <x v="0"/>
    <n v="0"/>
    <x v="0"/>
    <n v="2499.4300000500002"/>
  </r>
  <r>
    <x v="0"/>
    <x v="3"/>
    <x v="13"/>
    <s v="Commercial, DHW ECM Circulator with Controls"/>
    <x v="125"/>
    <x v="63"/>
    <x v="9"/>
    <x v="0"/>
    <x v="0"/>
    <n v="18.149999999999999"/>
    <x v="0"/>
    <n v="2499.4300000500002"/>
  </r>
  <r>
    <x v="0"/>
    <x v="3"/>
    <x v="13"/>
    <s v="Commercial, DHW ECM Circulator with Controls"/>
    <x v="125"/>
    <x v="63"/>
    <x v="9"/>
    <x v="2"/>
    <x v="0"/>
    <n v="0"/>
    <x v="0"/>
    <n v="2499.4300000500002"/>
  </r>
  <r>
    <x v="0"/>
    <x v="3"/>
    <x v="13"/>
    <s v="Commercial, DHW ECM Circulator with Controls"/>
    <x v="125"/>
    <x v="63"/>
    <x v="9"/>
    <x v="1"/>
    <x v="0"/>
    <n v="0"/>
    <x v="0"/>
    <n v="2499.4300000500002"/>
  </r>
  <r>
    <x v="0"/>
    <x v="2"/>
    <x v="13"/>
    <s v="Commercial, DHW ECM Circulator with Controls"/>
    <x v="125"/>
    <x v="63"/>
    <x v="9"/>
    <x v="0"/>
    <x v="0"/>
    <n v="16.5"/>
    <x v="0"/>
    <n v="2499.4300000500002"/>
  </r>
  <r>
    <x v="0"/>
    <x v="2"/>
    <x v="13"/>
    <s v="Commercial, DHW ECM Circulator with Controls"/>
    <x v="125"/>
    <x v="63"/>
    <x v="9"/>
    <x v="2"/>
    <x v="0"/>
    <n v="0"/>
    <x v="0"/>
    <n v="2499.4300000500002"/>
  </r>
  <r>
    <x v="0"/>
    <x v="2"/>
    <x v="13"/>
    <s v="Commercial, DHW ECM Circulator with Controls"/>
    <x v="125"/>
    <x v="63"/>
    <x v="9"/>
    <x v="1"/>
    <x v="0"/>
    <n v="0"/>
    <x v="0"/>
    <n v="2499.4300000500002"/>
  </r>
  <r>
    <x v="0"/>
    <x v="1"/>
    <x v="13"/>
    <s v="Commercial, DHW Induction Circulator with Controls"/>
    <x v="126"/>
    <x v="63"/>
    <x v="8"/>
    <x v="0"/>
    <x v="0"/>
    <n v="0"/>
    <x v="0"/>
    <n v="645.70325013000001"/>
  </r>
  <r>
    <x v="0"/>
    <x v="1"/>
    <x v="13"/>
    <s v="Commercial, DHW Induction Circulator with Controls"/>
    <x v="126"/>
    <x v="63"/>
    <x v="8"/>
    <x v="2"/>
    <x v="0"/>
    <n v="0"/>
    <x v="0"/>
    <n v="645.70325013000001"/>
  </r>
  <r>
    <x v="0"/>
    <x v="1"/>
    <x v="13"/>
    <s v="Commercial, DHW Induction Circulator with Controls"/>
    <x v="126"/>
    <x v="63"/>
    <x v="8"/>
    <x v="1"/>
    <x v="0"/>
    <n v="0"/>
    <x v="0"/>
    <n v="645.70325013000001"/>
  </r>
  <r>
    <x v="0"/>
    <x v="3"/>
    <x v="13"/>
    <s v="Commercial, DHW Induction Circulator with Controls"/>
    <x v="126"/>
    <x v="63"/>
    <x v="8"/>
    <x v="0"/>
    <x v="0"/>
    <n v="0"/>
    <x v="0"/>
    <n v="645.70325013000001"/>
  </r>
  <r>
    <x v="0"/>
    <x v="3"/>
    <x v="13"/>
    <s v="Commercial, DHW Induction Circulator with Controls"/>
    <x v="126"/>
    <x v="63"/>
    <x v="8"/>
    <x v="2"/>
    <x v="0"/>
    <n v="0"/>
    <x v="0"/>
    <n v="645.70325013000001"/>
  </r>
  <r>
    <x v="0"/>
    <x v="3"/>
    <x v="13"/>
    <s v="Commercial, DHW Induction Circulator with Controls"/>
    <x v="126"/>
    <x v="63"/>
    <x v="8"/>
    <x v="1"/>
    <x v="0"/>
    <n v="0"/>
    <x v="0"/>
    <n v="645.70325013000001"/>
  </r>
  <r>
    <x v="0"/>
    <x v="2"/>
    <x v="13"/>
    <s v="Commercial, DHW Induction Circulator with Controls"/>
    <x v="126"/>
    <x v="63"/>
    <x v="8"/>
    <x v="0"/>
    <x v="0"/>
    <n v="0"/>
    <x v="0"/>
    <n v="645.70325013000001"/>
  </r>
  <r>
    <x v="0"/>
    <x v="2"/>
    <x v="13"/>
    <s v="Commercial, DHW Induction Circulator with Controls"/>
    <x v="126"/>
    <x v="63"/>
    <x v="8"/>
    <x v="2"/>
    <x v="0"/>
    <n v="0"/>
    <x v="0"/>
    <n v="645.70325013000001"/>
  </r>
  <r>
    <x v="0"/>
    <x v="2"/>
    <x v="13"/>
    <s v="Commercial, DHW Induction Circulator with Controls"/>
    <x v="126"/>
    <x v="63"/>
    <x v="8"/>
    <x v="1"/>
    <x v="0"/>
    <n v="0"/>
    <x v="0"/>
    <n v="645.70325013000001"/>
  </r>
  <r>
    <x v="0"/>
    <x v="1"/>
    <x v="13"/>
    <s v="Commercial, DHW ECM Circulator"/>
    <x v="127"/>
    <x v="63"/>
    <x v="7"/>
    <x v="0"/>
    <x v="0"/>
    <n v="24.956250000000001"/>
    <x v="0"/>
    <n v="34.146078369999998"/>
  </r>
  <r>
    <x v="0"/>
    <x v="1"/>
    <x v="13"/>
    <s v="Commercial, DHW ECM Circulator"/>
    <x v="127"/>
    <x v="63"/>
    <x v="7"/>
    <x v="2"/>
    <x v="0"/>
    <n v="0"/>
    <x v="0"/>
    <n v="34.146078369999998"/>
  </r>
  <r>
    <x v="0"/>
    <x v="1"/>
    <x v="13"/>
    <s v="Commercial, DHW ECM Circulator"/>
    <x v="127"/>
    <x v="63"/>
    <x v="7"/>
    <x v="1"/>
    <x v="0"/>
    <n v="0"/>
    <x v="0"/>
    <n v="34.146078369999998"/>
  </r>
  <r>
    <x v="0"/>
    <x v="3"/>
    <x v="13"/>
    <s v="Commercial, DHW ECM Circulator"/>
    <x v="127"/>
    <x v="63"/>
    <x v="7"/>
    <x v="0"/>
    <x v="0"/>
    <n v="22.6875"/>
    <x v="0"/>
    <n v="34.146078369999998"/>
  </r>
  <r>
    <x v="0"/>
    <x v="3"/>
    <x v="13"/>
    <s v="Commercial, DHW ECM Circulator"/>
    <x v="127"/>
    <x v="63"/>
    <x v="7"/>
    <x v="2"/>
    <x v="0"/>
    <n v="0"/>
    <x v="0"/>
    <n v="34.146078369999998"/>
  </r>
  <r>
    <x v="0"/>
    <x v="3"/>
    <x v="13"/>
    <s v="Commercial, DHW ECM Circulator"/>
    <x v="127"/>
    <x v="63"/>
    <x v="7"/>
    <x v="1"/>
    <x v="0"/>
    <n v="0"/>
    <x v="0"/>
    <n v="34.146078369999998"/>
  </r>
  <r>
    <x v="0"/>
    <x v="2"/>
    <x v="13"/>
    <s v="Commercial, DHW ECM Circulator"/>
    <x v="127"/>
    <x v="63"/>
    <x v="7"/>
    <x v="0"/>
    <x v="0"/>
    <n v="20.625"/>
    <x v="0"/>
    <n v="34.146078369999998"/>
  </r>
  <r>
    <x v="0"/>
    <x v="2"/>
    <x v="13"/>
    <s v="Commercial, DHW ECM Circulator"/>
    <x v="127"/>
    <x v="63"/>
    <x v="7"/>
    <x v="2"/>
    <x v="0"/>
    <n v="0"/>
    <x v="0"/>
    <n v="34.146078369999998"/>
  </r>
  <r>
    <x v="0"/>
    <x v="2"/>
    <x v="13"/>
    <s v="Commercial, DHW ECM Circulator"/>
    <x v="127"/>
    <x v="63"/>
    <x v="7"/>
    <x v="1"/>
    <x v="0"/>
    <n v="0"/>
    <x v="0"/>
    <n v="34.146078369999998"/>
  </r>
  <r>
    <x v="0"/>
    <x v="1"/>
    <x v="13"/>
    <s v="Residential, DHW ECM Circulator with Controls"/>
    <x v="128"/>
    <x v="64"/>
    <x v="9"/>
    <x v="0"/>
    <x v="0"/>
    <n v="1964.8887500000001"/>
    <x v="0"/>
    <n v="1613.5065321300001"/>
  </r>
  <r>
    <x v="0"/>
    <x v="1"/>
    <x v="13"/>
    <s v="Residential, DHW ECM Circulator with Controls"/>
    <x v="128"/>
    <x v="64"/>
    <x v="9"/>
    <x v="2"/>
    <x v="0"/>
    <n v="0"/>
    <x v="0"/>
    <n v="1613.5065321300001"/>
  </r>
  <r>
    <x v="0"/>
    <x v="1"/>
    <x v="13"/>
    <s v="Residential, DHW ECM Circulator with Controls"/>
    <x v="128"/>
    <x v="64"/>
    <x v="9"/>
    <x v="1"/>
    <x v="0"/>
    <n v="0"/>
    <x v="0"/>
    <n v="1613.5065321300001"/>
  </r>
  <r>
    <x v="0"/>
    <x v="3"/>
    <x v="13"/>
    <s v="Residential, DHW ECM Circulator with Controls"/>
    <x v="128"/>
    <x v="64"/>
    <x v="9"/>
    <x v="0"/>
    <x v="0"/>
    <n v="1786.2625"/>
    <x v="0"/>
    <n v="1613.5065321300001"/>
  </r>
  <r>
    <x v="0"/>
    <x v="3"/>
    <x v="13"/>
    <s v="Residential, DHW ECM Circulator with Controls"/>
    <x v="128"/>
    <x v="64"/>
    <x v="9"/>
    <x v="2"/>
    <x v="0"/>
    <n v="0"/>
    <x v="0"/>
    <n v="1613.5065321300001"/>
  </r>
  <r>
    <x v="0"/>
    <x v="3"/>
    <x v="13"/>
    <s v="Residential, DHW ECM Circulator with Controls"/>
    <x v="128"/>
    <x v="64"/>
    <x v="9"/>
    <x v="1"/>
    <x v="0"/>
    <n v="0"/>
    <x v="0"/>
    <n v="1613.5065321300001"/>
  </r>
  <r>
    <x v="0"/>
    <x v="2"/>
    <x v="13"/>
    <s v="Residential, DHW ECM Circulator with Controls"/>
    <x v="128"/>
    <x v="64"/>
    <x v="9"/>
    <x v="0"/>
    <x v="0"/>
    <n v="1623.875"/>
    <x v="0"/>
    <n v="1613.5065321300001"/>
  </r>
  <r>
    <x v="0"/>
    <x v="2"/>
    <x v="13"/>
    <s v="Residential, DHW ECM Circulator with Controls"/>
    <x v="128"/>
    <x v="64"/>
    <x v="9"/>
    <x v="2"/>
    <x v="0"/>
    <n v="0"/>
    <x v="0"/>
    <n v="1613.5065321300001"/>
  </r>
  <r>
    <x v="0"/>
    <x v="2"/>
    <x v="13"/>
    <s v="Residential, DHW ECM Circulator with Controls"/>
    <x v="128"/>
    <x v="64"/>
    <x v="9"/>
    <x v="1"/>
    <x v="0"/>
    <n v="0"/>
    <x v="0"/>
    <n v="1613.5065321300001"/>
  </r>
  <r>
    <x v="0"/>
    <x v="1"/>
    <x v="13"/>
    <s v="Residential, DHW Induction Circulator with Controls"/>
    <x v="129"/>
    <x v="64"/>
    <x v="8"/>
    <x v="0"/>
    <x v="0"/>
    <n v="680.47375"/>
    <x v="0"/>
    <n v="270.25194477999997"/>
  </r>
  <r>
    <x v="0"/>
    <x v="1"/>
    <x v="13"/>
    <s v="Residential, DHW Induction Circulator with Controls"/>
    <x v="129"/>
    <x v="64"/>
    <x v="8"/>
    <x v="2"/>
    <x v="0"/>
    <n v="0"/>
    <x v="0"/>
    <n v="270.25194477999997"/>
  </r>
  <r>
    <x v="0"/>
    <x v="1"/>
    <x v="13"/>
    <s v="Residential, DHW Induction Circulator with Controls"/>
    <x v="129"/>
    <x v="64"/>
    <x v="8"/>
    <x v="1"/>
    <x v="0"/>
    <n v="0"/>
    <x v="0"/>
    <n v="270.25194477999997"/>
  </r>
  <r>
    <x v="0"/>
    <x v="3"/>
    <x v="13"/>
    <s v="Residential, DHW Induction Circulator with Controls"/>
    <x v="129"/>
    <x v="64"/>
    <x v="8"/>
    <x v="0"/>
    <x v="0"/>
    <n v="618.61249999999995"/>
    <x v="0"/>
    <n v="270.25194477999997"/>
  </r>
  <r>
    <x v="0"/>
    <x v="3"/>
    <x v="13"/>
    <s v="Residential, DHW Induction Circulator with Controls"/>
    <x v="129"/>
    <x v="64"/>
    <x v="8"/>
    <x v="2"/>
    <x v="0"/>
    <n v="0"/>
    <x v="0"/>
    <n v="270.25194477999997"/>
  </r>
  <r>
    <x v="0"/>
    <x v="3"/>
    <x v="13"/>
    <s v="Residential, DHW Induction Circulator with Controls"/>
    <x v="129"/>
    <x v="64"/>
    <x v="8"/>
    <x v="1"/>
    <x v="0"/>
    <n v="0"/>
    <x v="0"/>
    <n v="270.25194477999997"/>
  </r>
  <r>
    <x v="0"/>
    <x v="2"/>
    <x v="13"/>
    <s v="Residential, DHW Induction Circulator with Controls"/>
    <x v="129"/>
    <x v="64"/>
    <x v="8"/>
    <x v="0"/>
    <x v="0"/>
    <n v="562.375"/>
    <x v="0"/>
    <n v="270.25194477999997"/>
  </r>
  <r>
    <x v="0"/>
    <x v="2"/>
    <x v="13"/>
    <s v="Residential, DHW Induction Circulator with Controls"/>
    <x v="129"/>
    <x v="64"/>
    <x v="8"/>
    <x v="2"/>
    <x v="0"/>
    <n v="0"/>
    <x v="0"/>
    <n v="270.25194477999997"/>
  </r>
  <r>
    <x v="0"/>
    <x v="2"/>
    <x v="13"/>
    <s v="Residential, DHW Induction Circulator with Controls"/>
    <x v="129"/>
    <x v="64"/>
    <x v="8"/>
    <x v="1"/>
    <x v="0"/>
    <n v="0"/>
    <x v="0"/>
    <n v="270.25194477999997"/>
  </r>
  <r>
    <x v="0"/>
    <x v="1"/>
    <x v="13"/>
    <s v="Residential, DHW ECM Circulator"/>
    <x v="130"/>
    <x v="64"/>
    <x v="7"/>
    <x v="0"/>
    <x v="0"/>
    <n v="1142.9962499999999"/>
    <x v="0"/>
    <n v="88.223883990000004"/>
  </r>
  <r>
    <x v="0"/>
    <x v="1"/>
    <x v="13"/>
    <s v="Residential, DHW ECM Circulator"/>
    <x v="130"/>
    <x v="64"/>
    <x v="7"/>
    <x v="2"/>
    <x v="0"/>
    <n v="0"/>
    <x v="0"/>
    <n v="88.223883990000004"/>
  </r>
  <r>
    <x v="0"/>
    <x v="1"/>
    <x v="13"/>
    <s v="Residential, DHW ECM Circulator"/>
    <x v="130"/>
    <x v="64"/>
    <x v="7"/>
    <x v="1"/>
    <x v="0"/>
    <n v="0"/>
    <x v="0"/>
    <n v="88.223883990000004"/>
  </r>
  <r>
    <x v="0"/>
    <x v="3"/>
    <x v="13"/>
    <s v="Residential, DHW ECM Circulator"/>
    <x v="130"/>
    <x v="64"/>
    <x v="7"/>
    <x v="0"/>
    <x v="0"/>
    <n v="1039.0875000000001"/>
    <x v="0"/>
    <n v="88.223883990000004"/>
  </r>
  <r>
    <x v="0"/>
    <x v="3"/>
    <x v="13"/>
    <s v="Residential, DHW ECM Circulator"/>
    <x v="130"/>
    <x v="64"/>
    <x v="7"/>
    <x v="2"/>
    <x v="0"/>
    <n v="0"/>
    <x v="0"/>
    <n v="88.223883990000004"/>
  </r>
  <r>
    <x v="0"/>
    <x v="3"/>
    <x v="13"/>
    <s v="Residential, DHW ECM Circulator"/>
    <x v="130"/>
    <x v="64"/>
    <x v="7"/>
    <x v="1"/>
    <x v="0"/>
    <n v="0"/>
    <x v="0"/>
    <n v="88.223883990000004"/>
  </r>
  <r>
    <x v="0"/>
    <x v="2"/>
    <x v="13"/>
    <s v="Residential, DHW ECM Circulator"/>
    <x v="130"/>
    <x v="64"/>
    <x v="7"/>
    <x v="0"/>
    <x v="0"/>
    <n v="944.625"/>
    <x v="0"/>
    <n v="88.223883990000004"/>
  </r>
  <r>
    <x v="0"/>
    <x v="2"/>
    <x v="13"/>
    <s v="Residential, DHW ECM Circulator"/>
    <x v="130"/>
    <x v="64"/>
    <x v="7"/>
    <x v="2"/>
    <x v="0"/>
    <n v="0"/>
    <x v="0"/>
    <n v="88.223883990000004"/>
  </r>
  <r>
    <x v="0"/>
    <x v="2"/>
    <x v="13"/>
    <s v="Residential, DHW ECM Circulator"/>
    <x v="130"/>
    <x v="64"/>
    <x v="7"/>
    <x v="1"/>
    <x v="0"/>
    <n v="0"/>
    <x v="0"/>
    <n v="88.223883990000004"/>
  </r>
  <r>
    <x v="0"/>
    <x v="1"/>
    <x v="13"/>
    <s v="Commercial, Hydronic Heating Circulator with ECM and Controls"/>
    <x v="131"/>
    <x v="65"/>
    <x v="8"/>
    <x v="0"/>
    <x v="0"/>
    <n v="217.95124999999999"/>
    <x v="0"/>
    <n v="783.99738831000002"/>
  </r>
  <r>
    <x v="0"/>
    <x v="1"/>
    <x v="13"/>
    <s v="Commercial, Hydronic Heating Circulator with ECM and Controls"/>
    <x v="131"/>
    <x v="65"/>
    <x v="8"/>
    <x v="2"/>
    <x v="0"/>
    <n v="0"/>
    <x v="0"/>
    <n v="783.99738831000002"/>
  </r>
  <r>
    <x v="0"/>
    <x v="1"/>
    <x v="13"/>
    <s v="Commercial, Hydronic Heating Circulator with ECM and Controls"/>
    <x v="131"/>
    <x v="65"/>
    <x v="8"/>
    <x v="1"/>
    <x v="0"/>
    <n v="0"/>
    <x v="0"/>
    <n v="783.99738831000002"/>
  </r>
  <r>
    <x v="0"/>
    <x v="3"/>
    <x v="13"/>
    <s v="Commercial, Hydronic Heating Circulator with ECM and Controls"/>
    <x v="131"/>
    <x v="65"/>
    <x v="8"/>
    <x v="0"/>
    <x v="0"/>
    <n v="198.13749999999999"/>
    <x v="0"/>
    <n v="783.99738831000002"/>
  </r>
  <r>
    <x v="0"/>
    <x v="3"/>
    <x v="13"/>
    <s v="Commercial, Hydronic Heating Circulator with ECM and Controls"/>
    <x v="131"/>
    <x v="65"/>
    <x v="8"/>
    <x v="2"/>
    <x v="0"/>
    <n v="0"/>
    <x v="0"/>
    <n v="783.99738831000002"/>
  </r>
  <r>
    <x v="0"/>
    <x v="3"/>
    <x v="13"/>
    <s v="Commercial, Hydronic Heating Circulator with ECM and Controls"/>
    <x v="131"/>
    <x v="65"/>
    <x v="8"/>
    <x v="1"/>
    <x v="0"/>
    <n v="0"/>
    <x v="0"/>
    <n v="783.99738831000002"/>
  </r>
  <r>
    <x v="0"/>
    <x v="2"/>
    <x v="13"/>
    <s v="Commercial, Hydronic Heating Circulator with ECM and Controls"/>
    <x v="131"/>
    <x v="65"/>
    <x v="8"/>
    <x v="0"/>
    <x v="0"/>
    <n v="180.125"/>
    <x v="0"/>
    <n v="783.99738831000002"/>
  </r>
  <r>
    <x v="0"/>
    <x v="2"/>
    <x v="13"/>
    <s v="Commercial, Hydronic Heating Circulator with ECM and Controls"/>
    <x v="131"/>
    <x v="65"/>
    <x v="8"/>
    <x v="2"/>
    <x v="0"/>
    <n v="0"/>
    <x v="0"/>
    <n v="783.99738831000002"/>
  </r>
  <r>
    <x v="0"/>
    <x v="2"/>
    <x v="13"/>
    <s v="Commercial, Hydronic Heating Circulator with ECM and Controls"/>
    <x v="131"/>
    <x v="65"/>
    <x v="8"/>
    <x v="1"/>
    <x v="0"/>
    <n v="0"/>
    <x v="0"/>
    <n v="783.99738831000002"/>
  </r>
  <r>
    <x v="0"/>
    <x v="1"/>
    <x v="13"/>
    <s v="Commercial, Hydronic Heating Circulator with ECM"/>
    <x v="132"/>
    <x v="65"/>
    <x v="7"/>
    <x v="0"/>
    <x v="0"/>
    <n v="14.52"/>
    <x v="0"/>
    <n v="766.63359917000002"/>
  </r>
  <r>
    <x v="0"/>
    <x v="1"/>
    <x v="13"/>
    <s v="Commercial, Hydronic Heating Circulator with ECM"/>
    <x v="132"/>
    <x v="65"/>
    <x v="7"/>
    <x v="2"/>
    <x v="0"/>
    <n v="0"/>
    <x v="0"/>
    <n v="766.63359917000002"/>
  </r>
  <r>
    <x v="0"/>
    <x v="1"/>
    <x v="13"/>
    <s v="Commercial, Hydronic Heating Circulator with ECM"/>
    <x v="132"/>
    <x v="65"/>
    <x v="7"/>
    <x v="1"/>
    <x v="0"/>
    <n v="0"/>
    <x v="0"/>
    <n v="766.63359917000002"/>
  </r>
  <r>
    <x v="0"/>
    <x v="3"/>
    <x v="13"/>
    <s v="Commercial, Hydronic Heating Circulator with ECM"/>
    <x v="132"/>
    <x v="65"/>
    <x v="7"/>
    <x v="0"/>
    <x v="0"/>
    <n v="14.52"/>
    <x v="0"/>
    <n v="766.63359917000002"/>
  </r>
  <r>
    <x v="0"/>
    <x v="3"/>
    <x v="13"/>
    <s v="Commercial, Hydronic Heating Circulator with ECM"/>
    <x v="132"/>
    <x v="65"/>
    <x v="7"/>
    <x v="2"/>
    <x v="0"/>
    <n v="0"/>
    <x v="0"/>
    <n v="766.63359917000002"/>
  </r>
  <r>
    <x v="0"/>
    <x v="3"/>
    <x v="13"/>
    <s v="Commercial, Hydronic Heating Circulator with ECM"/>
    <x v="132"/>
    <x v="65"/>
    <x v="7"/>
    <x v="1"/>
    <x v="0"/>
    <n v="0"/>
    <x v="0"/>
    <n v="766.63359917000002"/>
  </r>
  <r>
    <x v="0"/>
    <x v="2"/>
    <x v="13"/>
    <s v="Commercial, Hydronic Heating Circulator with ECM"/>
    <x v="132"/>
    <x v="65"/>
    <x v="7"/>
    <x v="0"/>
    <x v="0"/>
    <n v="13.2"/>
    <x v="0"/>
    <n v="766.63359917000002"/>
  </r>
  <r>
    <x v="0"/>
    <x v="2"/>
    <x v="13"/>
    <s v="Commercial, Hydronic Heating Circulator with ECM"/>
    <x v="132"/>
    <x v="65"/>
    <x v="7"/>
    <x v="2"/>
    <x v="0"/>
    <n v="0"/>
    <x v="0"/>
    <n v="766.63359917000002"/>
  </r>
  <r>
    <x v="0"/>
    <x v="2"/>
    <x v="13"/>
    <s v="Commercial, Hydronic Heating Circulator with ECM"/>
    <x v="132"/>
    <x v="65"/>
    <x v="7"/>
    <x v="1"/>
    <x v="0"/>
    <n v="0"/>
    <x v="0"/>
    <n v="766.63359917000002"/>
  </r>
  <r>
    <x v="0"/>
    <x v="1"/>
    <x v="13"/>
    <s v="Residential, Hydronic Heating Circulator with ECM and Controls"/>
    <x v="133"/>
    <x v="66"/>
    <x v="8"/>
    <x v="0"/>
    <x v="0"/>
    <n v="1936.605"/>
    <x v="0"/>
    <n v="343.30448959"/>
  </r>
  <r>
    <x v="0"/>
    <x v="1"/>
    <x v="13"/>
    <s v="Residential, Hydronic Heating Circulator with ECM and Controls"/>
    <x v="133"/>
    <x v="66"/>
    <x v="8"/>
    <x v="2"/>
    <x v="0"/>
    <n v="0"/>
    <x v="0"/>
    <n v="343.30448959"/>
  </r>
  <r>
    <x v="0"/>
    <x v="1"/>
    <x v="13"/>
    <s v="Residential, Hydronic Heating Circulator with ECM and Controls"/>
    <x v="133"/>
    <x v="66"/>
    <x v="8"/>
    <x v="1"/>
    <x v="0"/>
    <n v="0"/>
    <x v="0"/>
    <n v="343.30448959"/>
  </r>
  <r>
    <x v="0"/>
    <x v="3"/>
    <x v="13"/>
    <s v="Residential, Hydronic Heating Circulator with ECM and Controls"/>
    <x v="133"/>
    <x v="66"/>
    <x v="8"/>
    <x v="0"/>
    <x v="0"/>
    <n v="1760.55"/>
    <x v="0"/>
    <n v="343.30448959"/>
  </r>
  <r>
    <x v="0"/>
    <x v="3"/>
    <x v="13"/>
    <s v="Residential, Hydronic Heating Circulator with ECM and Controls"/>
    <x v="133"/>
    <x v="66"/>
    <x v="8"/>
    <x v="2"/>
    <x v="0"/>
    <n v="0"/>
    <x v="0"/>
    <n v="343.30448959"/>
  </r>
  <r>
    <x v="0"/>
    <x v="3"/>
    <x v="13"/>
    <s v="Residential, Hydronic Heating Circulator with ECM and Controls"/>
    <x v="133"/>
    <x v="66"/>
    <x v="8"/>
    <x v="1"/>
    <x v="0"/>
    <n v="0"/>
    <x v="0"/>
    <n v="343.30448959"/>
  </r>
  <r>
    <x v="0"/>
    <x v="2"/>
    <x v="13"/>
    <s v="Residential, Hydronic Heating Circulator with ECM and Controls"/>
    <x v="133"/>
    <x v="66"/>
    <x v="8"/>
    <x v="0"/>
    <x v="0"/>
    <n v="1600.5"/>
    <x v="0"/>
    <n v="343.30448959"/>
  </r>
  <r>
    <x v="0"/>
    <x v="2"/>
    <x v="13"/>
    <s v="Residential, Hydronic Heating Circulator with ECM and Controls"/>
    <x v="133"/>
    <x v="66"/>
    <x v="8"/>
    <x v="2"/>
    <x v="0"/>
    <n v="0"/>
    <x v="0"/>
    <n v="343.30448959"/>
  </r>
  <r>
    <x v="0"/>
    <x v="2"/>
    <x v="13"/>
    <s v="Residential, Hydronic Heating Circulator with ECM and Controls"/>
    <x v="133"/>
    <x v="66"/>
    <x v="8"/>
    <x v="1"/>
    <x v="0"/>
    <n v="0"/>
    <x v="0"/>
    <n v="343.30448959"/>
  </r>
  <r>
    <x v="0"/>
    <x v="1"/>
    <x v="13"/>
    <s v="Residential, Hydronic Heating Circulator with ECM"/>
    <x v="134"/>
    <x v="66"/>
    <x v="7"/>
    <x v="0"/>
    <x v="0"/>
    <n v="856.83124999999995"/>
    <x v="0"/>
    <n v="87.042615659999996"/>
  </r>
  <r>
    <x v="0"/>
    <x v="1"/>
    <x v="13"/>
    <s v="Residential, Hydronic Heating Circulator with ECM"/>
    <x v="134"/>
    <x v="66"/>
    <x v="7"/>
    <x v="2"/>
    <x v="0"/>
    <n v="0"/>
    <x v="0"/>
    <n v="87.042615659999996"/>
  </r>
  <r>
    <x v="0"/>
    <x v="1"/>
    <x v="13"/>
    <s v="Residential, Hydronic Heating Circulator with ECM"/>
    <x v="134"/>
    <x v="66"/>
    <x v="7"/>
    <x v="1"/>
    <x v="0"/>
    <n v="0"/>
    <x v="0"/>
    <n v="87.042615659999996"/>
  </r>
  <r>
    <x v="0"/>
    <x v="3"/>
    <x v="13"/>
    <s v="Residential, Hydronic Heating Circulator with ECM"/>
    <x v="134"/>
    <x v="66"/>
    <x v="7"/>
    <x v="0"/>
    <x v="0"/>
    <n v="778.9375"/>
    <x v="0"/>
    <n v="87.042615659999996"/>
  </r>
  <r>
    <x v="0"/>
    <x v="3"/>
    <x v="13"/>
    <s v="Residential, Hydronic Heating Circulator with ECM"/>
    <x v="134"/>
    <x v="66"/>
    <x v="7"/>
    <x v="2"/>
    <x v="0"/>
    <n v="0"/>
    <x v="0"/>
    <n v="87.042615659999996"/>
  </r>
  <r>
    <x v="0"/>
    <x v="3"/>
    <x v="13"/>
    <s v="Residential, Hydronic Heating Circulator with ECM"/>
    <x v="134"/>
    <x v="66"/>
    <x v="7"/>
    <x v="1"/>
    <x v="0"/>
    <n v="0"/>
    <x v="0"/>
    <n v="87.042615659999996"/>
  </r>
  <r>
    <x v="0"/>
    <x v="2"/>
    <x v="13"/>
    <s v="Residential, Hydronic Heating Circulator with ECM"/>
    <x v="134"/>
    <x v="66"/>
    <x v="7"/>
    <x v="0"/>
    <x v="0"/>
    <n v="708.125"/>
    <x v="0"/>
    <n v="87.042615659999996"/>
  </r>
  <r>
    <x v="0"/>
    <x v="2"/>
    <x v="13"/>
    <s v="Residential, Hydronic Heating Circulator with ECM"/>
    <x v="134"/>
    <x v="66"/>
    <x v="7"/>
    <x v="2"/>
    <x v="0"/>
    <n v="0"/>
    <x v="0"/>
    <n v="87.042615659999996"/>
  </r>
  <r>
    <x v="0"/>
    <x v="2"/>
    <x v="13"/>
    <s v="Residential, Hydronic Heating Circulator with ECM"/>
    <x v="134"/>
    <x v="66"/>
    <x v="7"/>
    <x v="1"/>
    <x v="0"/>
    <n v="0"/>
    <x v="0"/>
    <n v="87.042615659999996"/>
  </r>
  <r>
    <x v="0"/>
    <x v="1"/>
    <x v="0"/>
    <s v="Televisions, Ultra-High Definition, ENERGY STAR v9 (Standby Mode Power)"/>
    <x v="135"/>
    <x v="67"/>
    <x v="43"/>
    <x v="0"/>
    <x v="0"/>
    <n v="776048.27227203001"/>
    <x v="0"/>
    <n v="82.400400000000005"/>
  </r>
  <r>
    <x v="0"/>
    <x v="1"/>
    <x v="0"/>
    <s v="Televisions, Ultra-High Definition, ENERGY STAR v9 (Standby Mode Power)"/>
    <x v="135"/>
    <x v="67"/>
    <x v="43"/>
    <x v="2"/>
    <x v="0"/>
    <n v="472607.01527471998"/>
    <x v="0"/>
    <n v="82.400400000000005"/>
  </r>
  <r>
    <x v="0"/>
    <x v="3"/>
    <x v="0"/>
    <s v="Televisions, Ultra-High Definition, ENERGY STAR v9 (Standby Mode Power)"/>
    <x v="135"/>
    <x v="67"/>
    <x v="43"/>
    <x v="0"/>
    <x v="0"/>
    <n v="653871.33095086005"/>
    <x v="0"/>
    <n v="82.400400000000005"/>
  </r>
  <r>
    <x v="0"/>
    <x v="3"/>
    <x v="0"/>
    <s v="Televisions, Ultra-High Definition, ENERGY STAR v9 (Standby Mode Power)"/>
    <x v="135"/>
    <x v="67"/>
    <x v="43"/>
    <x v="2"/>
    <x v="0"/>
    <n v="490951.73861972999"/>
    <x v="0"/>
    <n v="82.400400000000005"/>
  </r>
  <r>
    <x v="0"/>
    <x v="2"/>
    <x v="0"/>
    <s v="Televisions, Ultra-High Definition, ENERGY STAR v9 (Standby Mode Power)"/>
    <x v="135"/>
    <x v="67"/>
    <x v="43"/>
    <x v="0"/>
    <x v="0"/>
    <n v="519796.02342956001"/>
    <x v="0"/>
    <n v="82.400400000000005"/>
  </r>
  <r>
    <x v="0"/>
    <x v="2"/>
    <x v="0"/>
    <s v="Televisions, Ultra-High Definition, ENERGY STAR v9 (Standby Mode Power)"/>
    <x v="135"/>
    <x v="67"/>
    <x v="43"/>
    <x v="2"/>
    <x v="0"/>
    <n v="518701.51353768999"/>
    <x v="0"/>
    <n v="82.40040000000000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
  <r>
    <x v="0"/>
    <x v="0"/>
    <x v="0"/>
    <x v="0"/>
    <x v="0"/>
    <n v="708.125"/>
  </r>
  <r>
    <x v="0"/>
    <x v="0"/>
    <x v="1"/>
    <x v="1"/>
    <x v="0"/>
    <n v="1600.5"/>
  </r>
  <r>
    <x v="0"/>
    <x v="0"/>
    <x v="2"/>
    <x v="2"/>
    <x v="0"/>
    <n v="13.2"/>
  </r>
  <r>
    <x v="0"/>
    <x v="0"/>
    <x v="3"/>
    <x v="3"/>
    <x v="0"/>
    <n v="180.125"/>
  </r>
  <r>
    <x v="0"/>
    <x v="0"/>
    <x v="4"/>
    <x v="4"/>
    <x v="0"/>
    <n v="944.625"/>
  </r>
  <r>
    <x v="0"/>
    <x v="0"/>
    <x v="5"/>
    <x v="5"/>
    <x v="0"/>
    <n v="562.375"/>
  </r>
  <r>
    <x v="0"/>
    <x v="0"/>
    <x v="6"/>
    <x v="6"/>
    <x v="0"/>
    <n v="1623.875"/>
  </r>
  <r>
    <x v="0"/>
    <x v="0"/>
    <x v="7"/>
    <x v="7"/>
    <x v="0"/>
    <n v="20.625"/>
  </r>
  <r>
    <x v="0"/>
    <x v="0"/>
    <x v="8"/>
    <x v="8"/>
    <x v="0"/>
    <n v="16.5"/>
  </r>
  <r>
    <x v="0"/>
    <x v="0"/>
    <x v="9"/>
    <x v="9"/>
    <x v="0"/>
    <n v="1280.5448203200001"/>
  </r>
  <r>
    <x v="0"/>
    <x v="0"/>
    <x v="10"/>
    <x v="10"/>
    <x v="0"/>
    <n v="243.22911033"/>
  </r>
  <r>
    <x v="0"/>
    <x v="0"/>
    <x v="11"/>
    <x v="11"/>
    <x v="0"/>
    <n v="127.00254179"/>
  </r>
  <r>
    <x v="0"/>
    <x v="0"/>
    <x v="12"/>
    <x v="12"/>
    <x v="1"/>
    <n v="0.18843737999999999"/>
  </r>
  <r>
    <x v="0"/>
    <x v="0"/>
    <x v="13"/>
    <x v="13"/>
    <x v="0"/>
    <n v="330471.39008693001"/>
  </r>
  <r>
    <x v="0"/>
    <x v="0"/>
    <x v="14"/>
    <x v="14"/>
    <x v="0"/>
    <n v="50876.213289879997"/>
  </r>
  <r>
    <x v="0"/>
    <x v="0"/>
    <x v="15"/>
    <x v="15"/>
    <x v="1"/>
    <n v="621183.41297454003"/>
  </r>
  <r>
    <x v="0"/>
    <x v="0"/>
    <x v="16"/>
    <x v="16"/>
    <x v="1"/>
    <n v="36184.47578501"/>
  </r>
  <r>
    <x v="0"/>
    <x v="0"/>
    <x v="17"/>
    <x v="17"/>
    <x v="1"/>
    <n v="154473.90875418001"/>
  </r>
  <r>
    <x v="0"/>
    <x v="0"/>
    <x v="18"/>
    <x v="18"/>
    <x v="1"/>
    <n v="3103.6185383799998"/>
  </r>
  <r>
    <x v="0"/>
    <x v="0"/>
    <x v="19"/>
    <x v="19"/>
    <x v="0"/>
    <n v="2112.2556"/>
  </r>
  <r>
    <x v="0"/>
    <x v="0"/>
    <x v="20"/>
    <x v="20"/>
    <x v="0"/>
    <n v="145.56360000000001"/>
  </r>
  <r>
    <x v="0"/>
    <x v="0"/>
    <x v="21"/>
    <x v="21"/>
    <x v="0"/>
    <n v="2479.6044000000002"/>
  </r>
  <r>
    <x v="0"/>
    <x v="0"/>
    <x v="22"/>
    <x v="22"/>
    <x v="2"/>
    <n v="5.7454565200000003"/>
  </r>
  <r>
    <x v="0"/>
    <x v="0"/>
    <x v="23"/>
    <x v="23"/>
    <x v="2"/>
    <n v="5.4607250599999997"/>
  </r>
  <r>
    <x v="0"/>
    <x v="0"/>
    <x v="24"/>
    <x v="24"/>
    <x v="0"/>
    <n v="50714.161686530002"/>
  </r>
  <r>
    <x v="0"/>
    <x v="0"/>
    <x v="25"/>
    <x v="25"/>
    <x v="0"/>
    <n v="20.296208369999999"/>
  </r>
  <r>
    <x v="0"/>
    <x v="0"/>
    <x v="26"/>
    <x v="26"/>
    <x v="0"/>
    <n v="864.41909157999999"/>
  </r>
  <r>
    <x v="0"/>
    <x v="0"/>
    <x v="27"/>
    <x v="27"/>
    <x v="0"/>
    <n v="132080.72272076001"/>
  </r>
  <r>
    <x v="0"/>
    <x v="0"/>
    <x v="28"/>
    <x v="28"/>
    <x v="1"/>
    <n v="18375.02623639"/>
  </r>
  <r>
    <x v="0"/>
    <x v="0"/>
    <x v="29"/>
    <x v="29"/>
    <x v="1"/>
    <n v="2452.7910000000002"/>
  </r>
  <r>
    <x v="0"/>
    <x v="0"/>
    <x v="30"/>
    <x v="30"/>
    <x v="1"/>
    <n v="2650.9906354999998"/>
  </r>
  <r>
    <x v="0"/>
    <x v="0"/>
    <x v="31"/>
    <x v="31"/>
    <x v="0"/>
    <n v="9900"/>
  </r>
  <r>
    <x v="0"/>
    <x v="0"/>
    <x v="32"/>
    <x v="32"/>
    <x v="0"/>
    <n v="9723"/>
  </r>
  <r>
    <x v="0"/>
    <x v="0"/>
    <x v="33"/>
    <x v="33"/>
    <x v="0"/>
    <n v="9657"/>
  </r>
  <r>
    <x v="0"/>
    <x v="0"/>
    <x v="34"/>
    <x v="34"/>
    <x v="0"/>
    <n v="5940"/>
  </r>
  <r>
    <x v="0"/>
    <x v="0"/>
    <x v="35"/>
    <x v="35"/>
    <x v="0"/>
    <n v="58.43746161"/>
  </r>
  <r>
    <x v="0"/>
    <x v="0"/>
    <x v="36"/>
    <x v="36"/>
    <x v="0"/>
    <n v="4083"/>
  </r>
  <r>
    <x v="0"/>
    <x v="0"/>
    <x v="37"/>
    <x v="37"/>
    <x v="0"/>
    <n v="4079"/>
  </r>
  <r>
    <x v="0"/>
    <x v="0"/>
    <x v="38"/>
    <x v="38"/>
    <x v="0"/>
    <n v="4051"/>
  </r>
  <r>
    <x v="0"/>
    <x v="0"/>
    <x v="39"/>
    <x v="39"/>
    <x v="0"/>
    <n v="2450"/>
  </r>
  <r>
    <x v="0"/>
    <x v="0"/>
    <x v="40"/>
    <x v="40"/>
    <x v="0"/>
    <n v="16.332000000000001"/>
  </r>
  <r>
    <x v="0"/>
    <x v="0"/>
    <x v="41"/>
    <x v="41"/>
    <x v="0"/>
    <n v="6632"/>
  </r>
  <r>
    <x v="0"/>
    <x v="0"/>
    <x v="42"/>
    <x v="42"/>
    <x v="0"/>
    <n v="6513"/>
  </r>
  <r>
    <x v="0"/>
    <x v="0"/>
    <x v="43"/>
    <x v="43"/>
    <x v="0"/>
    <n v="6468"/>
  </r>
  <r>
    <x v="0"/>
    <x v="0"/>
    <x v="44"/>
    <x v="44"/>
    <x v="0"/>
    <n v="3979"/>
  </r>
  <r>
    <x v="0"/>
    <x v="0"/>
    <x v="45"/>
    <x v="45"/>
    <x v="0"/>
    <n v="26.527999999999999"/>
  </r>
  <r>
    <x v="0"/>
    <x v="0"/>
    <x v="46"/>
    <x v="46"/>
    <x v="0"/>
    <n v="2735"/>
  </r>
  <r>
    <x v="0"/>
    <x v="0"/>
    <x v="47"/>
    <x v="47"/>
    <x v="0"/>
    <n v="2732"/>
  </r>
  <r>
    <x v="0"/>
    <x v="0"/>
    <x v="48"/>
    <x v="48"/>
    <x v="0"/>
    <n v="2714"/>
  </r>
  <r>
    <x v="0"/>
    <x v="0"/>
    <x v="49"/>
    <x v="49"/>
    <x v="0"/>
    <n v="1641"/>
  </r>
  <r>
    <x v="0"/>
    <x v="0"/>
    <x v="50"/>
    <x v="50"/>
    <x v="0"/>
    <n v="10.94"/>
  </r>
  <r>
    <x v="0"/>
    <x v="0"/>
    <x v="51"/>
    <x v="51"/>
    <x v="0"/>
    <n v="5"/>
  </r>
  <r>
    <x v="0"/>
    <x v="0"/>
    <x v="52"/>
    <x v="52"/>
    <x v="0"/>
    <n v="9"/>
  </r>
  <r>
    <x v="0"/>
    <x v="0"/>
    <x v="53"/>
    <x v="53"/>
    <x v="0"/>
    <n v="584.4"/>
  </r>
  <r>
    <x v="0"/>
    <x v="0"/>
    <x v="54"/>
    <x v="54"/>
    <x v="0"/>
    <n v="3415.5114922299999"/>
  </r>
  <r>
    <x v="0"/>
    <x v="0"/>
    <x v="55"/>
    <x v="55"/>
    <x v="0"/>
    <n v="5"/>
  </r>
  <r>
    <x v="0"/>
    <x v="0"/>
    <x v="56"/>
    <x v="56"/>
    <x v="0"/>
    <n v="38"/>
  </r>
  <r>
    <x v="0"/>
    <x v="0"/>
    <x v="57"/>
    <x v="57"/>
    <x v="0"/>
    <n v="379.8"/>
  </r>
  <r>
    <x v="0"/>
    <x v="0"/>
    <x v="58"/>
    <x v="58"/>
    <x v="0"/>
    <n v="200"/>
  </r>
  <r>
    <x v="0"/>
    <x v="0"/>
    <x v="59"/>
    <x v="59"/>
    <x v="0"/>
    <n v="4"/>
  </r>
  <r>
    <x v="0"/>
    <x v="0"/>
    <x v="60"/>
    <x v="60"/>
    <x v="0"/>
    <n v="16624"/>
  </r>
  <r>
    <x v="0"/>
    <x v="0"/>
    <x v="61"/>
    <x v="61"/>
    <x v="0"/>
    <n v="150"/>
  </r>
  <r>
    <x v="0"/>
    <x v="0"/>
    <x v="62"/>
    <x v="62"/>
    <x v="0"/>
    <n v="10"/>
  </r>
  <r>
    <x v="0"/>
    <x v="0"/>
    <x v="63"/>
    <x v="63"/>
    <x v="0"/>
    <n v="100"/>
  </r>
  <r>
    <x v="0"/>
    <x v="0"/>
    <x v="64"/>
    <x v="64"/>
    <x v="0"/>
    <n v="5"/>
  </r>
  <r>
    <x v="0"/>
    <x v="0"/>
    <x v="65"/>
    <x v="65"/>
    <x v="0"/>
    <n v="3363"/>
  </r>
  <r>
    <x v="0"/>
    <x v="0"/>
    <x v="66"/>
    <x v="66"/>
    <x v="0"/>
    <n v="8374"/>
  </r>
  <r>
    <x v="0"/>
    <x v="0"/>
    <x v="67"/>
    <x v="67"/>
    <x v="0"/>
    <n v="2807.25"/>
  </r>
  <r>
    <x v="0"/>
    <x v="0"/>
    <x v="68"/>
    <x v="68"/>
    <x v="0"/>
    <n v="462"/>
  </r>
  <r>
    <x v="0"/>
    <x v="0"/>
    <x v="69"/>
    <x v="69"/>
    <x v="0"/>
    <n v="2186.6811668"/>
  </r>
  <r>
    <x v="0"/>
    <x v="0"/>
    <x v="70"/>
    <x v="70"/>
    <x v="0"/>
    <n v="3278.4720588800001"/>
  </r>
  <r>
    <x v="0"/>
    <x v="0"/>
    <x v="71"/>
    <x v="71"/>
    <x v="0"/>
    <n v="599.34946043000002"/>
  </r>
  <r>
    <x v="0"/>
    <x v="0"/>
    <x v="72"/>
    <x v="72"/>
    <x v="0"/>
    <n v="519796.02342956001"/>
  </r>
  <r>
    <x v="0"/>
    <x v="0"/>
    <x v="73"/>
    <x v="73"/>
    <x v="0"/>
    <n v="519796.02342956001"/>
  </r>
  <r>
    <x v="0"/>
    <x v="0"/>
    <x v="74"/>
    <x v="74"/>
    <x v="0"/>
    <n v="12360.58163721"/>
  </r>
  <r>
    <x v="0"/>
    <x v="0"/>
    <x v="75"/>
    <x v="75"/>
    <x v="0"/>
    <n v="1625.9321781399999"/>
  </r>
  <r>
    <x v="0"/>
    <x v="0"/>
    <x v="76"/>
    <x v="76"/>
    <x v="0"/>
    <n v="25908.346439590001"/>
  </r>
  <r>
    <x v="0"/>
    <x v="0"/>
    <x v="77"/>
    <x v="77"/>
    <x v="0"/>
    <n v="1908.1900012399999"/>
  </r>
  <r>
    <x v="0"/>
    <x v="0"/>
    <x v="78"/>
    <x v="78"/>
    <x v="0"/>
    <n v="2.8439357699999999"/>
  </r>
  <r>
    <x v="0"/>
    <x v="0"/>
    <x v="79"/>
    <x v="79"/>
    <x v="0"/>
    <n v="16035.337229000001"/>
  </r>
  <r>
    <x v="0"/>
    <x v="0"/>
    <x v="80"/>
    <x v="80"/>
    <x v="0"/>
    <n v="3886.4699854099999"/>
  </r>
  <r>
    <x v="0"/>
    <x v="0"/>
    <x v="81"/>
    <x v="81"/>
    <x v="0"/>
    <n v="43.871596879999998"/>
  </r>
  <r>
    <x v="0"/>
    <x v="0"/>
    <x v="82"/>
    <x v="82"/>
    <x v="0"/>
    <n v="58228.421123469998"/>
  </r>
  <r>
    <x v="0"/>
    <x v="0"/>
    <x v="83"/>
    <x v="83"/>
    <x v="0"/>
    <n v="33692.596311070003"/>
  </r>
  <r>
    <x v="0"/>
    <x v="0"/>
    <x v="84"/>
    <x v="84"/>
    <x v="0"/>
    <n v="195428.08806186001"/>
  </r>
  <r>
    <x v="0"/>
    <x v="0"/>
    <x v="85"/>
    <x v="85"/>
    <x v="0"/>
    <n v="30730.60934399"/>
  </r>
  <r>
    <x v="0"/>
    <x v="0"/>
    <x v="86"/>
    <x v="86"/>
    <x v="0"/>
    <n v="2071.6560000200002"/>
  </r>
  <r>
    <x v="0"/>
    <x v="0"/>
    <x v="87"/>
    <x v="87"/>
    <x v="0"/>
    <n v="8630.8546559900005"/>
  </r>
  <r>
    <x v="0"/>
    <x v="0"/>
    <x v="88"/>
    <x v="88"/>
    <x v="0"/>
    <n v="164473.17791368"/>
  </r>
  <r>
    <x v="0"/>
    <x v="0"/>
    <x v="89"/>
    <x v="89"/>
    <x v="0"/>
    <n v="2793.2035820900001"/>
  </r>
  <r>
    <x v="0"/>
    <x v="0"/>
    <x v="90"/>
    <x v="90"/>
    <x v="0"/>
    <n v="1516.1373239500001"/>
  </r>
  <r>
    <x v="0"/>
    <x v="0"/>
    <x v="91"/>
    <x v="91"/>
    <x v="0"/>
    <n v="189925.97731953999"/>
  </r>
  <r>
    <x v="0"/>
    <x v="0"/>
    <x v="92"/>
    <x v="92"/>
    <x v="0"/>
    <n v="107161.78537182001"/>
  </r>
  <r>
    <x v="0"/>
    <x v="0"/>
    <x v="93"/>
    <x v="93"/>
    <x v="0"/>
    <n v="79241.23883848"/>
  </r>
  <r>
    <x v="0"/>
    <x v="0"/>
    <x v="94"/>
    <x v="94"/>
    <x v="0"/>
    <n v="9561.0665559400004"/>
  </r>
  <r>
    <x v="0"/>
    <x v="0"/>
    <x v="95"/>
    <x v="95"/>
    <x v="0"/>
    <n v="4.0000000000000001E-8"/>
  </r>
  <r>
    <x v="0"/>
    <x v="0"/>
    <x v="96"/>
    <x v="96"/>
    <x v="0"/>
    <n v="6109.4500560200004"/>
  </r>
  <r>
    <x v="0"/>
    <x v="0"/>
    <x v="97"/>
    <x v="97"/>
    <x v="0"/>
    <n v="194156.52925165"/>
  </r>
  <r>
    <x v="0"/>
    <x v="0"/>
    <x v="98"/>
    <x v="98"/>
    <x v="0"/>
    <n v="85034.356377570002"/>
  </r>
  <r>
    <x v="0"/>
    <x v="0"/>
    <x v="99"/>
    <x v="99"/>
    <x v="0"/>
    <n v="4.9999999999999998E-8"/>
  </r>
  <r>
    <x v="0"/>
    <x v="0"/>
    <x v="100"/>
    <x v="100"/>
    <x v="0"/>
    <n v="17714.57354849"/>
  </r>
  <r>
    <x v="0"/>
    <x v="0"/>
    <x v="101"/>
    <x v="101"/>
    <x v="0"/>
    <n v="8628.7433806400004"/>
  </r>
  <r>
    <x v="0"/>
    <x v="0"/>
    <x v="102"/>
    <x v="102"/>
    <x v="0"/>
    <n v="181804.80848440999"/>
  </r>
  <r>
    <x v="0"/>
    <x v="0"/>
    <x v="103"/>
    <x v="103"/>
    <x v="0"/>
    <n v="11273.822707859999"/>
  </r>
  <r>
    <x v="0"/>
    <x v="0"/>
    <x v="104"/>
    <x v="104"/>
    <x v="0"/>
    <n v="82097.419863000003"/>
  </r>
  <r>
    <x v="0"/>
    <x v="0"/>
    <x v="105"/>
    <x v="105"/>
    <x v="0"/>
    <n v="155202.60862645999"/>
  </r>
  <r>
    <x v="0"/>
    <x v="0"/>
    <x v="106"/>
    <x v="106"/>
    <x v="0"/>
    <n v="40132.596937629998"/>
  </r>
  <r>
    <x v="0"/>
    <x v="0"/>
    <x v="107"/>
    <x v="107"/>
    <x v="1"/>
    <n v="3796561.6104595899"/>
  </r>
  <r>
    <x v="0"/>
    <x v="0"/>
    <x v="108"/>
    <x v="108"/>
    <x v="0"/>
    <n v="1898280.80522979"/>
  </r>
  <r>
    <x v="0"/>
    <x v="0"/>
    <x v="109"/>
    <x v="109"/>
    <x v="0"/>
    <n v="558349.19078220997"/>
  </r>
  <r>
    <x v="0"/>
    <x v="0"/>
    <x v="110"/>
    <x v="110"/>
    <x v="1"/>
    <n v="10817532.671890371"/>
  </r>
  <r>
    <x v="0"/>
    <x v="0"/>
    <x v="111"/>
    <x v="111"/>
    <x v="0"/>
    <n v="2604890.8106224299"/>
  </r>
  <r>
    <x v="0"/>
    <x v="0"/>
    <x v="112"/>
    <x v="112"/>
    <x v="1"/>
    <n v="23592265.912666921"/>
  </r>
  <r>
    <x v="0"/>
    <x v="0"/>
    <x v="113"/>
    <x v="113"/>
    <x v="1"/>
    <n v="11206326.308516789"/>
  </r>
  <r>
    <x v="0"/>
    <x v="1"/>
    <x v="0"/>
    <x v="0"/>
    <x v="0"/>
    <n v="778.9375"/>
  </r>
  <r>
    <x v="0"/>
    <x v="1"/>
    <x v="1"/>
    <x v="1"/>
    <x v="0"/>
    <n v="1760.55"/>
  </r>
  <r>
    <x v="0"/>
    <x v="1"/>
    <x v="2"/>
    <x v="2"/>
    <x v="0"/>
    <n v="14.52"/>
  </r>
  <r>
    <x v="0"/>
    <x v="1"/>
    <x v="3"/>
    <x v="3"/>
    <x v="0"/>
    <n v="198.13749999999999"/>
  </r>
  <r>
    <x v="0"/>
    <x v="1"/>
    <x v="4"/>
    <x v="4"/>
    <x v="0"/>
    <n v="1039.0875000000001"/>
  </r>
  <r>
    <x v="0"/>
    <x v="1"/>
    <x v="5"/>
    <x v="5"/>
    <x v="0"/>
    <n v="618.61249999999995"/>
  </r>
  <r>
    <x v="0"/>
    <x v="1"/>
    <x v="6"/>
    <x v="6"/>
    <x v="0"/>
    <n v="1786.2625"/>
  </r>
  <r>
    <x v="0"/>
    <x v="1"/>
    <x v="7"/>
    <x v="7"/>
    <x v="0"/>
    <n v="22.6875"/>
  </r>
  <r>
    <x v="0"/>
    <x v="1"/>
    <x v="8"/>
    <x v="8"/>
    <x v="0"/>
    <n v="18.149999999999999"/>
  </r>
  <r>
    <x v="0"/>
    <x v="1"/>
    <x v="9"/>
    <x v="9"/>
    <x v="0"/>
    <n v="1298.3988272300001"/>
  </r>
  <r>
    <x v="0"/>
    <x v="1"/>
    <x v="10"/>
    <x v="10"/>
    <x v="0"/>
    <n v="246.62033424000001"/>
  </r>
  <r>
    <x v="0"/>
    <x v="1"/>
    <x v="11"/>
    <x v="11"/>
    <x v="0"/>
    <n v="128.77327579000001"/>
  </r>
  <r>
    <x v="0"/>
    <x v="1"/>
    <x v="12"/>
    <x v="12"/>
    <x v="1"/>
    <n v="0.17064584999999999"/>
  </r>
  <r>
    <x v="0"/>
    <x v="1"/>
    <x v="13"/>
    <x v="13"/>
    <x v="0"/>
    <n v="329767.38827284001"/>
  </r>
  <r>
    <x v="0"/>
    <x v="1"/>
    <x v="14"/>
    <x v="14"/>
    <x v="0"/>
    <n v="42708.726159229998"/>
  </r>
  <r>
    <x v="0"/>
    <x v="1"/>
    <x v="15"/>
    <x v="15"/>
    <x v="1"/>
    <n v="603238.11437750002"/>
  </r>
  <r>
    <x v="0"/>
    <x v="1"/>
    <x v="16"/>
    <x v="16"/>
    <x v="1"/>
    <n v="35139.146484550001"/>
  </r>
  <r>
    <x v="0"/>
    <x v="1"/>
    <x v="17"/>
    <x v="17"/>
    <x v="1"/>
    <n v="150011.32916795"/>
  </r>
  <r>
    <x v="0"/>
    <x v="1"/>
    <x v="18"/>
    <x v="18"/>
    <x v="1"/>
    <n v="3013.9584472800002"/>
  </r>
  <r>
    <x v="0"/>
    <x v="1"/>
    <x v="19"/>
    <x v="19"/>
    <x v="0"/>
    <n v="2288.2615937999999"/>
  </r>
  <r>
    <x v="0"/>
    <x v="1"/>
    <x v="20"/>
    <x v="20"/>
    <x v="0"/>
    <n v="176.94904500000001"/>
  </r>
  <r>
    <x v="0"/>
    <x v="1"/>
    <x v="21"/>
    <x v="21"/>
    <x v="0"/>
    <n v="2533.1914062000001"/>
  </r>
  <r>
    <x v="0"/>
    <x v="1"/>
    <x v="22"/>
    <x v="22"/>
    <x v="2"/>
    <n v="6.7593606199999998"/>
  </r>
  <r>
    <x v="0"/>
    <x v="1"/>
    <x v="23"/>
    <x v="23"/>
    <x v="2"/>
    <n v="6.4243824199999997"/>
  </r>
  <r>
    <x v="0"/>
    <x v="1"/>
    <x v="24"/>
    <x v="24"/>
    <x v="0"/>
    <n v="51436.486225859997"/>
  </r>
  <r>
    <x v="0"/>
    <x v="1"/>
    <x v="25"/>
    <x v="25"/>
    <x v="0"/>
    <n v="20.57109801"/>
  </r>
  <r>
    <x v="0"/>
    <x v="1"/>
    <x v="26"/>
    <x v="26"/>
    <x v="0"/>
    <n v="887.28587054000002"/>
  </r>
  <r>
    <x v="0"/>
    <x v="1"/>
    <x v="27"/>
    <x v="27"/>
    <x v="0"/>
    <n v="133967.6442297"/>
  </r>
  <r>
    <x v="0"/>
    <x v="1"/>
    <x v="28"/>
    <x v="28"/>
    <x v="3"/>
    <n v="590.58000000000004"/>
  </r>
  <r>
    <x v="0"/>
    <x v="1"/>
    <x v="28"/>
    <x v="28"/>
    <x v="1"/>
    <n v="18868.665483969999"/>
  </r>
  <r>
    <x v="0"/>
    <x v="1"/>
    <x v="29"/>
    <x v="29"/>
    <x v="3"/>
    <n v="2"/>
  </r>
  <r>
    <x v="0"/>
    <x v="1"/>
    <x v="29"/>
    <x v="29"/>
    <x v="1"/>
    <n v="2686.6905338500001"/>
  </r>
  <r>
    <x v="0"/>
    <x v="1"/>
    <x v="30"/>
    <x v="30"/>
    <x v="3"/>
    <n v="1"/>
  </r>
  <r>
    <x v="0"/>
    <x v="1"/>
    <x v="30"/>
    <x v="30"/>
    <x v="1"/>
    <n v="2383.4827317899999"/>
  </r>
  <r>
    <x v="0"/>
    <x v="1"/>
    <x v="31"/>
    <x v="31"/>
    <x v="0"/>
    <n v="12892"/>
  </r>
  <r>
    <x v="0"/>
    <x v="1"/>
    <x v="32"/>
    <x v="32"/>
    <x v="0"/>
    <n v="12661"/>
  </r>
  <r>
    <x v="0"/>
    <x v="1"/>
    <x v="33"/>
    <x v="33"/>
    <x v="0"/>
    <n v="12575"/>
  </r>
  <r>
    <x v="0"/>
    <x v="1"/>
    <x v="34"/>
    <x v="34"/>
    <x v="0"/>
    <n v="10314"/>
  </r>
  <r>
    <x v="0"/>
    <x v="1"/>
    <x v="35"/>
    <x v="35"/>
    <x v="0"/>
    <n v="115.98009729"/>
  </r>
  <r>
    <x v="0"/>
    <x v="1"/>
    <x v="36"/>
    <x v="36"/>
    <x v="0"/>
    <n v="5525"/>
  </r>
  <r>
    <x v="0"/>
    <x v="1"/>
    <x v="37"/>
    <x v="37"/>
    <x v="0"/>
    <n v="5519"/>
  </r>
  <r>
    <x v="0"/>
    <x v="1"/>
    <x v="38"/>
    <x v="38"/>
    <x v="0"/>
    <n v="5482"/>
  </r>
  <r>
    <x v="0"/>
    <x v="1"/>
    <x v="39"/>
    <x v="39"/>
    <x v="0"/>
    <n v="4420"/>
  </r>
  <r>
    <x v="0"/>
    <x v="1"/>
    <x v="40"/>
    <x v="40"/>
    <x v="0"/>
    <n v="33.15"/>
  </r>
  <r>
    <x v="0"/>
    <x v="1"/>
    <x v="41"/>
    <x v="41"/>
    <x v="0"/>
    <n v="5981"/>
  </r>
  <r>
    <x v="0"/>
    <x v="1"/>
    <x v="42"/>
    <x v="42"/>
    <x v="0"/>
    <n v="5874"/>
  </r>
  <r>
    <x v="0"/>
    <x v="1"/>
    <x v="43"/>
    <x v="43"/>
    <x v="0"/>
    <n v="5834"/>
  </r>
  <r>
    <x v="0"/>
    <x v="1"/>
    <x v="44"/>
    <x v="44"/>
    <x v="0"/>
    <n v="4785"/>
  </r>
  <r>
    <x v="0"/>
    <x v="1"/>
    <x v="45"/>
    <x v="45"/>
    <x v="0"/>
    <n v="35.886000000000003"/>
  </r>
  <r>
    <x v="0"/>
    <x v="1"/>
    <x v="46"/>
    <x v="46"/>
    <x v="0"/>
    <n v="2563"/>
  </r>
  <r>
    <x v="0"/>
    <x v="1"/>
    <x v="47"/>
    <x v="47"/>
    <x v="0"/>
    <n v="2560"/>
  </r>
  <r>
    <x v="0"/>
    <x v="1"/>
    <x v="48"/>
    <x v="48"/>
    <x v="0"/>
    <n v="2543"/>
  </r>
  <r>
    <x v="0"/>
    <x v="1"/>
    <x v="49"/>
    <x v="49"/>
    <x v="0"/>
    <n v="2050"/>
  </r>
  <r>
    <x v="0"/>
    <x v="1"/>
    <x v="50"/>
    <x v="50"/>
    <x v="0"/>
    <n v="15.378"/>
  </r>
  <r>
    <x v="0"/>
    <x v="1"/>
    <x v="51"/>
    <x v="51"/>
    <x v="0"/>
    <n v="5"/>
  </r>
  <r>
    <x v="0"/>
    <x v="1"/>
    <x v="52"/>
    <x v="52"/>
    <x v="0"/>
    <n v="9"/>
  </r>
  <r>
    <x v="0"/>
    <x v="1"/>
    <x v="53"/>
    <x v="53"/>
    <x v="0"/>
    <n v="584.4"/>
  </r>
  <r>
    <x v="0"/>
    <x v="1"/>
    <x v="54"/>
    <x v="54"/>
    <x v="0"/>
    <n v="3614.6544240600001"/>
  </r>
  <r>
    <x v="0"/>
    <x v="1"/>
    <x v="55"/>
    <x v="55"/>
    <x v="0"/>
    <n v="50"/>
  </r>
  <r>
    <x v="0"/>
    <x v="1"/>
    <x v="56"/>
    <x v="56"/>
    <x v="0"/>
    <n v="40"/>
  </r>
  <r>
    <x v="0"/>
    <x v="1"/>
    <x v="57"/>
    <x v="57"/>
    <x v="0"/>
    <n v="379.8"/>
  </r>
  <r>
    <x v="0"/>
    <x v="1"/>
    <x v="58"/>
    <x v="58"/>
    <x v="0"/>
    <n v="200"/>
  </r>
  <r>
    <x v="0"/>
    <x v="1"/>
    <x v="59"/>
    <x v="59"/>
    <x v="0"/>
    <n v="5"/>
  </r>
  <r>
    <x v="0"/>
    <x v="1"/>
    <x v="60"/>
    <x v="60"/>
    <x v="0"/>
    <n v="17593"/>
  </r>
  <r>
    <x v="0"/>
    <x v="1"/>
    <x v="61"/>
    <x v="61"/>
    <x v="0"/>
    <n v="400"/>
  </r>
  <r>
    <x v="0"/>
    <x v="1"/>
    <x v="114"/>
    <x v="114"/>
    <x v="0"/>
    <n v="5"/>
  </r>
  <r>
    <x v="0"/>
    <x v="1"/>
    <x v="62"/>
    <x v="62"/>
    <x v="0"/>
    <n v="10"/>
  </r>
  <r>
    <x v="0"/>
    <x v="1"/>
    <x v="63"/>
    <x v="63"/>
    <x v="0"/>
    <n v="100"/>
  </r>
  <r>
    <x v="0"/>
    <x v="1"/>
    <x v="64"/>
    <x v="64"/>
    <x v="0"/>
    <n v="15"/>
  </r>
  <r>
    <x v="0"/>
    <x v="1"/>
    <x v="65"/>
    <x v="65"/>
    <x v="0"/>
    <n v="3078"/>
  </r>
  <r>
    <x v="0"/>
    <x v="1"/>
    <x v="66"/>
    <x v="66"/>
    <x v="0"/>
    <n v="11547"/>
  </r>
  <r>
    <x v="0"/>
    <x v="1"/>
    <x v="67"/>
    <x v="67"/>
    <x v="0"/>
    <n v="2807.25"/>
  </r>
  <r>
    <x v="0"/>
    <x v="1"/>
    <x v="68"/>
    <x v="68"/>
    <x v="0"/>
    <n v="462"/>
  </r>
  <r>
    <x v="0"/>
    <x v="1"/>
    <x v="69"/>
    <x v="69"/>
    <x v="0"/>
    <n v="2944.73063796"/>
  </r>
  <r>
    <x v="0"/>
    <x v="1"/>
    <x v="70"/>
    <x v="70"/>
    <x v="0"/>
    <n v="3311.2567794699999"/>
  </r>
  <r>
    <x v="0"/>
    <x v="1"/>
    <x v="71"/>
    <x v="71"/>
    <x v="0"/>
    <n v="605.34295502999998"/>
  </r>
  <r>
    <x v="0"/>
    <x v="1"/>
    <x v="72"/>
    <x v="72"/>
    <x v="0"/>
    <n v="653871.33095086005"/>
  </r>
  <r>
    <x v="0"/>
    <x v="1"/>
    <x v="73"/>
    <x v="73"/>
    <x v="0"/>
    <n v="653871.33095086005"/>
  </r>
  <r>
    <x v="0"/>
    <x v="1"/>
    <x v="74"/>
    <x v="74"/>
    <x v="0"/>
    <n v="14624.780572940001"/>
  </r>
  <r>
    <x v="0"/>
    <x v="1"/>
    <x v="75"/>
    <x v="75"/>
    <x v="0"/>
    <n v="3731.8616750599999"/>
  </r>
  <r>
    <x v="0"/>
    <x v="1"/>
    <x v="76"/>
    <x v="76"/>
    <x v="0"/>
    <n v="28187.361382750001"/>
  </r>
  <r>
    <x v="0"/>
    <x v="1"/>
    <x v="77"/>
    <x v="77"/>
    <x v="0"/>
    <n v="2329.75393055"/>
  </r>
  <r>
    <x v="0"/>
    <x v="1"/>
    <x v="78"/>
    <x v="78"/>
    <x v="0"/>
    <n v="6.8992005199999999"/>
  </r>
  <r>
    <x v="0"/>
    <x v="1"/>
    <x v="79"/>
    <x v="79"/>
    <x v="0"/>
    <n v="18600.779895930002"/>
  </r>
  <r>
    <x v="0"/>
    <x v="1"/>
    <x v="80"/>
    <x v="80"/>
    <x v="0"/>
    <n v="4933.6012024399997"/>
  </r>
  <r>
    <x v="0"/>
    <x v="1"/>
    <x v="81"/>
    <x v="81"/>
    <x v="0"/>
    <n v="63.572335539999997"/>
  </r>
  <r>
    <x v="0"/>
    <x v="1"/>
    <x v="82"/>
    <x v="82"/>
    <x v="0"/>
    <n v="67521.38129351"/>
  </r>
  <r>
    <x v="0"/>
    <x v="1"/>
    <x v="83"/>
    <x v="83"/>
    <x v="0"/>
    <n v="46076.169627399999"/>
  </r>
  <r>
    <x v="0"/>
    <x v="1"/>
    <x v="84"/>
    <x v="84"/>
    <x v="0"/>
    <n v="183044.51474553"/>
  </r>
  <r>
    <x v="0"/>
    <x v="1"/>
    <x v="85"/>
    <x v="85"/>
    <x v="0"/>
    <n v="19202.296814130001"/>
  </r>
  <r>
    <x v="0"/>
    <x v="1"/>
    <x v="86"/>
    <x v="86"/>
    <x v="0"/>
    <n v="1515.5397324999999"/>
  </r>
  <r>
    <x v="0"/>
    <x v="1"/>
    <x v="87"/>
    <x v="87"/>
    <x v="0"/>
    <n v="9592.9581033800005"/>
  </r>
  <r>
    <x v="0"/>
    <x v="1"/>
    <x v="88"/>
    <x v="88"/>
    <x v="0"/>
    <n v="168336.77283105999"/>
  </r>
  <r>
    <x v="0"/>
    <x v="1"/>
    <x v="89"/>
    <x v="89"/>
    <x v="0"/>
    <n v="5069.21189177"/>
  </r>
  <r>
    <x v="0"/>
    <x v="1"/>
    <x v="90"/>
    <x v="90"/>
    <x v="0"/>
    <n v="2104.95803101"/>
  </r>
  <r>
    <x v="0"/>
    <x v="1"/>
    <x v="91"/>
    <x v="91"/>
    <x v="0"/>
    <n v="182794.7601594"/>
  </r>
  <r>
    <x v="0"/>
    <x v="1"/>
    <x v="92"/>
    <x v="92"/>
    <x v="0"/>
    <n v="90916.022200840001"/>
  </r>
  <r>
    <x v="0"/>
    <x v="1"/>
    <x v="93"/>
    <x v="93"/>
    <x v="0"/>
    <n v="65308.625999999997"/>
  </r>
  <r>
    <x v="0"/>
    <x v="1"/>
    <x v="94"/>
    <x v="94"/>
    <x v="0"/>
    <n v="5074.6567500000001"/>
  </r>
  <r>
    <x v="0"/>
    <x v="1"/>
    <x v="95"/>
    <x v="95"/>
    <x v="0"/>
    <n v="4.0000000000000001E-8"/>
  </r>
  <r>
    <x v="0"/>
    <x v="1"/>
    <x v="96"/>
    <x v="96"/>
    <x v="0"/>
    <n v="6766.2089999999998"/>
  </r>
  <r>
    <x v="0"/>
    <x v="1"/>
    <x v="97"/>
    <x v="97"/>
    <x v="0"/>
    <n v="193498.86825"/>
  </r>
  <r>
    <x v="0"/>
    <x v="1"/>
    <x v="98"/>
    <x v="98"/>
    <x v="0"/>
    <n v="105205.97779914"/>
  </r>
  <r>
    <x v="0"/>
    <x v="1"/>
    <x v="99"/>
    <x v="99"/>
    <x v="0"/>
    <n v="1470.915"/>
  </r>
  <r>
    <x v="0"/>
    <x v="1"/>
    <x v="100"/>
    <x v="100"/>
    <x v="0"/>
    <n v="22063.724999999999"/>
  </r>
  <r>
    <x v="0"/>
    <x v="1"/>
    <x v="101"/>
    <x v="101"/>
    <x v="0"/>
    <n v="3421.8764541599999"/>
  </r>
  <r>
    <x v="0"/>
    <x v="1"/>
    <x v="102"/>
    <x v="102"/>
    <x v="0"/>
    <n v="173338.71566884001"/>
  </r>
  <r>
    <x v="0"/>
    <x v="1"/>
    <x v="103"/>
    <x v="103"/>
    <x v="0"/>
    <n v="4470.8281114199999"/>
  </r>
  <r>
    <x v="0"/>
    <x v="1"/>
    <x v="104"/>
    <x v="104"/>
    <x v="0"/>
    <n v="74547.499321469993"/>
  </r>
  <r>
    <x v="0"/>
    <x v="1"/>
    <x v="105"/>
    <x v="105"/>
    <x v="0"/>
    <n v="165709.71004079"/>
  </r>
  <r>
    <x v="0"/>
    <x v="1"/>
    <x v="106"/>
    <x v="106"/>
    <x v="0"/>
    <n v="53539.37040331"/>
  </r>
  <r>
    <x v="0"/>
    <x v="1"/>
    <x v="107"/>
    <x v="107"/>
    <x v="1"/>
    <n v="4390000.3615524098"/>
  </r>
  <r>
    <x v="0"/>
    <x v="1"/>
    <x v="108"/>
    <x v="108"/>
    <x v="0"/>
    <n v="3795521.14592552"/>
  </r>
  <r>
    <x v="0"/>
    <x v="1"/>
    <x v="109"/>
    <x v="109"/>
    <x v="0"/>
    <n v="1175776.2432295"/>
  </r>
  <r>
    <x v="0"/>
    <x v="1"/>
    <x v="110"/>
    <x v="110"/>
    <x v="1"/>
    <n v="11620399.326607009"/>
  </r>
  <r>
    <x v="0"/>
    <x v="1"/>
    <x v="111"/>
    <x v="111"/>
    <x v="0"/>
    <n v="6826984.60438162"/>
  </r>
  <r>
    <x v="0"/>
    <x v="1"/>
    <x v="115"/>
    <x v="115"/>
    <x v="0"/>
    <n v="48418.330527530001"/>
  </r>
  <r>
    <x v="0"/>
    <x v="1"/>
    <x v="112"/>
    <x v="112"/>
    <x v="1"/>
    <n v="23515815.486942399"/>
  </r>
  <r>
    <x v="0"/>
    <x v="1"/>
    <x v="113"/>
    <x v="113"/>
    <x v="1"/>
    <n v="19743486.75257872"/>
  </r>
  <r>
    <x v="0"/>
    <x v="1"/>
    <x v="116"/>
    <x v="116"/>
    <x v="0"/>
    <n v="734869.23396694998"/>
  </r>
  <r>
    <x v="0"/>
    <x v="2"/>
    <x v="0"/>
    <x v="0"/>
    <x v="0"/>
    <n v="856.83124999999995"/>
  </r>
  <r>
    <x v="0"/>
    <x v="2"/>
    <x v="1"/>
    <x v="1"/>
    <x v="0"/>
    <n v="1936.605"/>
  </r>
  <r>
    <x v="0"/>
    <x v="2"/>
    <x v="2"/>
    <x v="2"/>
    <x v="0"/>
    <n v="14.52"/>
  </r>
  <r>
    <x v="0"/>
    <x v="2"/>
    <x v="3"/>
    <x v="3"/>
    <x v="0"/>
    <n v="217.95124999999999"/>
  </r>
  <r>
    <x v="0"/>
    <x v="2"/>
    <x v="4"/>
    <x v="4"/>
    <x v="0"/>
    <n v="1142.9962499999999"/>
  </r>
  <r>
    <x v="0"/>
    <x v="2"/>
    <x v="5"/>
    <x v="5"/>
    <x v="0"/>
    <n v="680.47375"/>
  </r>
  <r>
    <x v="0"/>
    <x v="2"/>
    <x v="6"/>
    <x v="6"/>
    <x v="0"/>
    <n v="1964.8887500000001"/>
  </r>
  <r>
    <x v="0"/>
    <x v="2"/>
    <x v="7"/>
    <x v="7"/>
    <x v="0"/>
    <n v="24.956250000000001"/>
  </r>
  <r>
    <x v="0"/>
    <x v="2"/>
    <x v="8"/>
    <x v="8"/>
    <x v="0"/>
    <n v="19.965"/>
  </r>
  <r>
    <x v="0"/>
    <x v="2"/>
    <x v="9"/>
    <x v="9"/>
    <x v="0"/>
    <n v="1317.0721559000001"/>
  </r>
  <r>
    <x v="0"/>
    <x v="2"/>
    <x v="10"/>
    <x v="10"/>
    <x v="0"/>
    <n v="250.16718169000001"/>
  </r>
  <r>
    <x v="0"/>
    <x v="2"/>
    <x v="11"/>
    <x v="11"/>
    <x v="0"/>
    <n v="130.62526892"/>
  </r>
  <r>
    <x v="0"/>
    <x v="2"/>
    <x v="12"/>
    <x v="12"/>
    <x v="1"/>
    <n v="0.11034691000000001"/>
  </r>
  <r>
    <x v="0"/>
    <x v="2"/>
    <x v="13"/>
    <x v="13"/>
    <x v="0"/>
    <n v="318557.69422663999"/>
  </r>
  <r>
    <x v="0"/>
    <x v="2"/>
    <x v="14"/>
    <x v="14"/>
    <x v="0"/>
    <n v="33794.699766359998"/>
  </r>
  <r>
    <x v="0"/>
    <x v="2"/>
    <x v="15"/>
    <x v="15"/>
    <x v="1"/>
    <n v="584188.48971293995"/>
  </r>
  <r>
    <x v="0"/>
    <x v="2"/>
    <x v="16"/>
    <x v="16"/>
    <x v="1"/>
    <n v="34029.489227149999"/>
  </r>
  <r>
    <x v="0"/>
    <x v="2"/>
    <x v="17"/>
    <x v="17"/>
    <x v="1"/>
    <n v="145274.12929948"/>
  </r>
  <r>
    <x v="0"/>
    <x v="2"/>
    <x v="18"/>
    <x v="18"/>
    <x v="1"/>
    <n v="2918.7808120999998"/>
  </r>
  <r>
    <x v="0"/>
    <x v="2"/>
    <x v="117"/>
    <x v="117"/>
    <x v="0"/>
    <n v="3543.7679549999998"/>
  </r>
  <r>
    <x v="0"/>
    <x v="2"/>
    <x v="19"/>
    <x v="19"/>
    <x v="0"/>
    <n v="3543.7679549999998"/>
  </r>
  <r>
    <x v="0"/>
    <x v="2"/>
    <x v="20"/>
    <x v="20"/>
    <x v="0"/>
    <n v="236.42175374999999"/>
  </r>
  <r>
    <x v="0"/>
    <x v="2"/>
    <x v="21"/>
    <x v="21"/>
    <x v="0"/>
    <n v="1518.757695"/>
  </r>
  <r>
    <x v="0"/>
    <x v="2"/>
    <x v="22"/>
    <x v="22"/>
    <x v="2"/>
    <n v="6.7593606199999998"/>
  </r>
  <r>
    <x v="0"/>
    <x v="2"/>
    <x v="23"/>
    <x v="23"/>
    <x v="2"/>
    <n v="6.4243824199999997"/>
  </r>
  <r>
    <x v="0"/>
    <x v="2"/>
    <x v="24"/>
    <x v="24"/>
    <x v="0"/>
    <n v="52158.810765189999"/>
  </r>
  <r>
    <x v="0"/>
    <x v="2"/>
    <x v="25"/>
    <x v="25"/>
    <x v="0"/>
    <n v="20.848956699999999"/>
  </r>
  <r>
    <x v="0"/>
    <x v="2"/>
    <x v="26"/>
    <x v="26"/>
    <x v="0"/>
    <n v="907.45161270000006"/>
  </r>
  <r>
    <x v="0"/>
    <x v="2"/>
    <x v="27"/>
    <x v="27"/>
    <x v="0"/>
    <n v="135854.56573862999"/>
  </r>
  <r>
    <x v="0"/>
    <x v="2"/>
    <x v="28"/>
    <x v="28"/>
    <x v="3"/>
    <n v="4446.99"/>
  </r>
  <r>
    <x v="0"/>
    <x v="2"/>
    <x v="28"/>
    <x v="28"/>
    <x v="1"/>
    <n v="18868.665483969999"/>
  </r>
  <r>
    <x v="0"/>
    <x v="2"/>
    <x v="29"/>
    <x v="29"/>
    <x v="3"/>
    <n v="141"/>
  </r>
  <r>
    <x v="0"/>
    <x v="2"/>
    <x v="29"/>
    <x v="29"/>
    <x v="1"/>
    <n v="2207.9729322899998"/>
  </r>
  <r>
    <x v="0"/>
    <x v="2"/>
    <x v="30"/>
    <x v="30"/>
    <x v="3"/>
    <n v="22"/>
  </r>
  <r>
    <x v="0"/>
    <x v="2"/>
    <x v="30"/>
    <x v="30"/>
    <x v="1"/>
    <n v="2460.0049021899999"/>
  </r>
  <r>
    <x v="0"/>
    <x v="2"/>
    <x v="31"/>
    <x v="31"/>
    <x v="0"/>
    <n v="16915"/>
  </r>
  <r>
    <x v="0"/>
    <x v="2"/>
    <x v="32"/>
    <x v="32"/>
    <x v="0"/>
    <n v="16915"/>
  </r>
  <r>
    <x v="0"/>
    <x v="2"/>
    <x v="33"/>
    <x v="33"/>
    <x v="0"/>
    <n v="16915"/>
  </r>
  <r>
    <x v="0"/>
    <x v="2"/>
    <x v="34"/>
    <x v="34"/>
    <x v="0"/>
    <n v="16915"/>
  </r>
  <r>
    <x v="0"/>
    <x v="2"/>
    <x v="35"/>
    <x v="35"/>
    <x v="0"/>
    <n v="196.36263915000001"/>
  </r>
  <r>
    <x v="0"/>
    <x v="2"/>
    <x v="36"/>
    <x v="36"/>
    <x v="0"/>
    <n v="7250"/>
  </r>
  <r>
    <x v="0"/>
    <x v="2"/>
    <x v="37"/>
    <x v="37"/>
    <x v="0"/>
    <n v="7250"/>
  </r>
  <r>
    <x v="0"/>
    <x v="2"/>
    <x v="38"/>
    <x v="38"/>
    <x v="0"/>
    <n v="7250"/>
  </r>
  <r>
    <x v="0"/>
    <x v="2"/>
    <x v="39"/>
    <x v="39"/>
    <x v="0"/>
    <n v="7250"/>
  </r>
  <r>
    <x v="0"/>
    <x v="2"/>
    <x v="40"/>
    <x v="40"/>
    <x v="0"/>
    <n v="58"/>
  </r>
  <r>
    <x v="0"/>
    <x v="2"/>
    <x v="41"/>
    <x v="41"/>
    <x v="0"/>
    <n v="5041"/>
  </r>
  <r>
    <x v="0"/>
    <x v="2"/>
    <x v="42"/>
    <x v="42"/>
    <x v="0"/>
    <n v="5041"/>
  </r>
  <r>
    <x v="0"/>
    <x v="2"/>
    <x v="43"/>
    <x v="43"/>
    <x v="0"/>
    <n v="5041"/>
  </r>
  <r>
    <x v="0"/>
    <x v="2"/>
    <x v="44"/>
    <x v="44"/>
    <x v="0"/>
    <n v="5041"/>
  </r>
  <r>
    <x v="0"/>
    <x v="2"/>
    <x v="45"/>
    <x v="45"/>
    <x v="0"/>
    <n v="47.633672590000003"/>
  </r>
  <r>
    <x v="0"/>
    <x v="2"/>
    <x v="46"/>
    <x v="46"/>
    <x v="0"/>
    <n v="2160"/>
  </r>
  <r>
    <x v="0"/>
    <x v="2"/>
    <x v="47"/>
    <x v="47"/>
    <x v="0"/>
    <n v="2160"/>
  </r>
  <r>
    <x v="0"/>
    <x v="2"/>
    <x v="48"/>
    <x v="48"/>
    <x v="0"/>
    <n v="2160"/>
  </r>
  <r>
    <x v="0"/>
    <x v="2"/>
    <x v="49"/>
    <x v="49"/>
    <x v="0"/>
    <n v="2160"/>
  </r>
  <r>
    <x v="0"/>
    <x v="2"/>
    <x v="50"/>
    <x v="50"/>
    <x v="0"/>
    <n v="17.28"/>
  </r>
  <r>
    <x v="0"/>
    <x v="2"/>
    <x v="52"/>
    <x v="52"/>
    <x v="0"/>
    <n v="4.5"/>
  </r>
  <r>
    <x v="0"/>
    <x v="2"/>
    <x v="53"/>
    <x v="53"/>
    <x v="0"/>
    <n v="292.2"/>
  </r>
  <r>
    <x v="0"/>
    <x v="2"/>
    <x v="54"/>
    <x v="54"/>
    <x v="0"/>
    <n v="3694.6709187900001"/>
  </r>
  <r>
    <x v="0"/>
    <x v="2"/>
    <x v="55"/>
    <x v="55"/>
    <x v="0"/>
    <n v="50"/>
  </r>
  <r>
    <x v="0"/>
    <x v="2"/>
    <x v="56"/>
    <x v="56"/>
    <x v="0"/>
    <n v="40"/>
  </r>
  <r>
    <x v="0"/>
    <x v="2"/>
    <x v="57"/>
    <x v="57"/>
    <x v="0"/>
    <n v="265.86"/>
  </r>
  <r>
    <x v="0"/>
    <x v="2"/>
    <x v="58"/>
    <x v="58"/>
    <x v="0"/>
    <n v="150"/>
  </r>
  <r>
    <x v="0"/>
    <x v="2"/>
    <x v="59"/>
    <x v="59"/>
    <x v="0"/>
    <n v="5"/>
  </r>
  <r>
    <x v="0"/>
    <x v="2"/>
    <x v="60"/>
    <x v="60"/>
    <x v="0"/>
    <n v="17982"/>
  </r>
  <r>
    <x v="0"/>
    <x v="2"/>
    <x v="118"/>
    <x v="118"/>
    <x v="0"/>
    <n v="8991"/>
  </r>
  <r>
    <x v="0"/>
    <x v="2"/>
    <x v="61"/>
    <x v="61"/>
    <x v="0"/>
    <n v="400"/>
  </r>
  <r>
    <x v="0"/>
    <x v="2"/>
    <x v="114"/>
    <x v="114"/>
    <x v="0"/>
    <n v="10"/>
  </r>
  <r>
    <x v="0"/>
    <x v="2"/>
    <x v="62"/>
    <x v="62"/>
    <x v="0"/>
    <n v="10"/>
  </r>
  <r>
    <x v="0"/>
    <x v="2"/>
    <x v="63"/>
    <x v="63"/>
    <x v="0"/>
    <n v="70"/>
  </r>
  <r>
    <x v="0"/>
    <x v="2"/>
    <x v="64"/>
    <x v="64"/>
    <x v="0"/>
    <n v="8"/>
  </r>
  <r>
    <x v="0"/>
    <x v="2"/>
    <x v="65"/>
    <x v="65"/>
    <x v="0"/>
    <n v="3095"/>
  </r>
  <r>
    <x v="0"/>
    <x v="2"/>
    <x v="119"/>
    <x v="119"/>
    <x v="0"/>
    <n v="2063"/>
  </r>
  <r>
    <x v="0"/>
    <x v="2"/>
    <x v="66"/>
    <x v="66"/>
    <x v="0"/>
    <n v="11763"/>
  </r>
  <r>
    <x v="0"/>
    <x v="2"/>
    <x v="120"/>
    <x v="120"/>
    <x v="0"/>
    <n v="5882"/>
  </r>
  <r>
    <x v="0"/>
    <x v="2"/>
    <x v="121"/>
    <x v="121"/>
    <x v="0"/>
    <n v="28055"/>
  </r>
  <r>
    <x v="0"/>
    <x v="2"/>
    <x v="67"/>
    <x v="67"/>
    <x v="0"/>
    <n v="1684.35"/>
  </r>
  <r>
    <x v="0"/>
    <x v="2"/>
    <x v="68"/>
    <x v="68"/>
    <x v="0"/>
    <n v="231"/>
  </r>
  <r>
    <x v="0"/>
    <x v="2"/>
    <x v="122"/>
    <x v="122"/>
    <x v="0"/>
    <n v="1672.1846736299999"/>
  </r>
  <r>
    <x v="0"/>
    <x v="2"/>
    <x v="123"/>
    <x v="123"/>
    <x v="0"/>
    <n v="407.59758971999997"/>
  </r>
  <r>
    <x v="0"/>
    <x v="2"/>
    <x v="69"/>
    <x v="69"/>
    <x v="0"/>
    <n v="2974.1779443400001"/>
  </r>
  <r>
    <x v="0"/>
    <x v="2"/>
    <x v="124"/>
    <x v="124"/>
    <x v="0"/>
    <n v="1487.08897217"/>
  </r>
  <r>
    <x v="0"/>
    <x v="2"/>
    <x v="125"/>
    <x v="125"/>
    <x v="0"/>
    <n v="4789.5970612900001"/>
  </r>
  <r>
    <x v="0"/>
    <x v="2"/>
    <x v="70"/>
    <x v="70"/>
    <x v="0"/>
    <n v="3344.3693472599998"/>
  </r>
  <r>
    <x v="0"/>
    <x v="2"/>
    <x v="71"/>
    <x v="71"/>
    <x v="0"/>
    <n v="611.39638458000002"/>
  </r>
  <r>
    <x v="0"/>
    <x v="2"/>
    <x v="72"/>
    <x v="72"/>
    <x v="0"/>
    <n v="776048.27227203001"/>
  </r>
  <r>
    <x v="0"/>
    <x v="2"/>
    <x v="73"/>
    <x v="73"/>
    <x v="0"/>
    <n v="776048.27227203001"/>
  </r>
  <r>
    <x v="0"/>
    <x v="2"/>
    <x v="74"/>
    <x v="74"/>
    <x v="0"/>
    <n v="11217.720742199999"/>
  </r>
  <r>
    <x v="0"/>
    <x v="2"/>
    <x v="75"/>
    <x v="75"/>
    <x v="0"/>
    <n v="5398.2712816499998"/>
  </r>
  <r>
    <x v="0"/>
    <x v="2"/>
    <x v="76"/>
    <x v="76"/>
    <x v="0"/>
    <n v="19289.382205599999"/>
  </r>
  <r>
    <x v="0"/>
    <x v="2"/>
    <x v="77"/>
    <x v="77"/>
    <x v="0"/>
    <n v="1956.67515568"/>
  </r>
  <r>
    <x v="0"/>
    <x v="2"/>
    <x v="78"/>
    <x v="78"/>
    <x v="0"/>
    <n v="11.06283155"/>
  </r>
  <r>
    <x v="0"/>
    <x v="2"/>
    <x v="79"/>
    <x v="79"/>
    <x v="0"/>
    <n v="14183.99606218"/>
  </r>
  <r>
    <x v="0"/>
    <x v="2"/>
    <x v="80"/>
    <x v="80"/>
    <x v="0"/>
    <n v="4421.0497948100001"/>
  </r>
  <r>
    <x v="0"/>
    <x v="2"/>
    <x v="81"/>
    <x v="81"/>
    <x v="0"/>
    <n v="68.900102680000003"/>
  </r>
  <r>
    <x v="0"/>
    <x v="2"/>
    <x v="82"/>
    <x v="82"/>
    <x v="0"/>
    <n v="51452.932599660002"/>
  </r>
  <r>
    <x v="0"/>
    <x v="2"/>
    <x v="83"/>
    <x v="83"/>
    <x v="0"/>
    <n v="83190.177926980003"/>
  </r>
  <r>
    <x v="0"/>
    <x v="2"/>
    <x v="84"/>
    <x v="84"/>
    <x v="0"/>
    <n v="145930.50644595001"/>
  </r>
  <r>
    <x v="0"/>
    <x v="2"/>
    <x v="85"/>
    <x v="85"/>
    <x v="0"/>
    <n v="15206.4663286"/>
  </r>
  <r>
    <x v="0"/>
    <x v="2"/>
    <x v="86"/>
    <x v="86"/>
    <x v="0"/>
    <n v="1536.00669986"/>
  </r>
  <r>
    <x v="0"/>
    <x v="2"/>
    <x v="87"/>
    <x v="87"/>
    <x v="0"/>
    <n v="13977.66096872"/>
  </r>
  <r>
    <x v="0"/>
    <x v="2"/>
    <x v="88"/>
    <x v="88"/>
    <x v="0"/>
    <n v="163509.74881724"/>
  </r>
  <r>
    <x v="0"/>
    <x v="2"/>
    <x v="89"/>
    <x v="89"/>
    <x v="0"/>
    <n v="11524.01976273"/>
  </r>
  <r>
    <x v="0"/>
    <x v="2"/>
    <x v="90"/>
    <x v="90"/>
    <x v="0"/>
    <n v="2808.2083538000002"/>
  </r>
  <r>
    <x v="0"/>
    <x v="2"/>
    <x v="91"/>
    <x v="91"/>
    <x v="0"/>
    <n v="183688.47730570001"/>
  </r>
  <r>
    <x v="0"/>
    <x v="2"/>
    <x v="92"/>
    <x v="92"/>
    <x v="0"/>
    <n v="66141.718758119998"/>
  </r>
  <r>
    <x v="0"/>
    <x v="2"/>
    <x v="93"/>
    <x v="93"/>
    <x v="0"/>
    <n v="58974.326312270001"/>
  </r>
  <r>
    <x v="0"/>
    <x v="2"/>
    <x v="94"/>
    <x v="94"/>
    <x v="0"/>
    <n v="2528.5205864700001"/>
  </r>
  <r>
    <x v="0"/>
    <x v="2"/>
    <x v="95"/>
    <x v="95"/>
    <x v="0"/>
    <n v="4.0000000000000001E-8"/>
  </r>
  <r>
    <x v="0"/>
    <x v="2"/>
    <x v="96"/>
    <x v="96"/>
    <x v="0"/>
    <n v="7511.4516877300002"/>
  </r>
  <r>
    <x v="0"/>
    <x v="2"/>
    <x v="97"/>
    <x v="97"/>
    <x v="0"/>
    <n v="186580.64936059"/>
  </r>
  <r>
    <x v="0"/>
    <x v="2"/>
    <x v="98"/>
    <x v="98"/>
    <x v="0"/>
    <n v="126570.68124186"/>
  </r>
  <r>
    <x v="0"/>
    <x v="2"/>
    <x v="99"/>
    <x v="99"/>
    <x v="0"/>
    <n v="5781.3720000000003"/>
  </r>
  <r>
    <x v="0"/>
    <x v="2"/>
    <x v="100"/>
    <x v="100"/>
    <x v="0"/>
    <n v="27692.280052940001"/>
  </r>
  <r>
    <x v="0"/>
    <x v="2"/>
    <x v="101"/>
    <x v="101"/>
    <x v="0"/>
    <n v="1222.09873363"/>
  </r>
  <r>
    <x v="0"/>
    <x v="2"/>
    <x v="102"/>
    <x v="102"/>
    <x v="0"/>
    <n v="152641.67983563"/>
  </r>
  <r>
    <x v="0"/>
    <x v="2"/>
    <x v="103"/>
    <x v="103"/>
    <x v="0"/>
    <n v="1596.72432551"/>
  </r>
  <r>
    <x v="0"/>
    <x v="2"/>
    <x v="104"/>
    <x v="104"/>
    <x v="0"/>
    <n v="73781.209777530006"/>
  </r>
  <r>
    <x v="0"/>
    <x v="2"/>
    <x v="105"/>
    <x v="105"/>
    <x v="0"/>
    <n v="170783.59154724001"/>
  </r>
  <r>
    <x v="0"/>
    <x v="2"/>
    <x v="106"/>
    <x v="106"/>
    <x v="0"/>
    <n v="75002.695780459995"/>
  </r>
  <r>
    <x v="0"/>
    <x v="2"/>
    <x v="107"/>
    <x v="107"/>
    <x v="1"/>
    <n v="5027181.0715006003"/>
  </r>
  <r>
    <x v="0"/>
    <x v="2"/>
    <x v="108"/>
    <x v="108"/>
    <x v="0"/>
    <n v="5027181.0715006003"/>
  </r>
  <r>
    <x v="0"/>
    <x v="2"/>
    <x v="126"/>
    <x v="126"/>
    <x v="0"/>
    <n v="748840.51377561002"/>
  </r>
  <r>
    <x v="0"/>
    <x v="2"/>
    <x v="109"/>
    <x v="109"/>
    <x v="0"/>
    <n v="1539078.8846195701"/>
  </r>
  <r>
    <x v="0"/>
    <x v="2"/>
    <x v="127"/>
    <x v="127"/>
    <x v="0"/>
    <n v="252394.81708784"/>
  </r>
  <r>
    <x v="0"/>
    <x v="2"/>
    <x v="110"/>
    <x v="110"/>
    <x v="1"/>
    <n v="11542340.769697441"/>
  </r>
  <r>
    <x v="0"/>
    <x v="2"/>
    <x v="111"/>
    <x v="111"/>
    <x v="0"/>
    <n v="10784874.656686051"/>
  </r>
  <r>
    <x v="0"/>
    <x v="2"/>
    <x v="115"/>
    <x v="115"/>
    <x v="0"/>
    <n v="2597026.6731819198"/>
  </r>
  <r>
    <x v="0"/>
    <x v="2"/>
    <x v="112"/>
    <x v="112"/>
    <x v="1"/>
    <n v="23567312.670554262"/>
  </r>
  <r>
    <x v="0"/>
    <x v="2"/>
    <x v="113"/>
    <x v="113"/>
    <x v="1"/>
    <n v="23567312.670554262"/>
  </r>
  <r>
    <x v="0"/>
    <x v="2"/>
    <x v="116"/>
    <x v="116"/>
    <x v="0"/>
    <n v="7659376.6179301403"/>
  </r>
  <r>
    <x v="0"/>
    <x v="3"/>
    <x v="0"/>
    <x v="0"/>
    <x v="0"/>
    <n v="856.83124999999995"/>
  </r>
  <r>
    <x v="0"/>
    <x v="3"/>
    <x v="1"/>
    <x v="1"/>
    <x v="0"/>
    <n v="1936.605"/>
  </r>
  <r>
    <x v="0"/>
    <x v="3"/>
    <x v="2"/>
    <x v="2"/>
    <x v="0"/>
    <n v="14.52"/>
  </r>
  <r>
    <x v="0"/>
    <x v="3"/>
    <x v="3"/>
    <x v="3"/>
    <x v="0"/>
    <n v="217.95124999999999"/>
  </r>
  <r>
    <x v="0"/>
    <x v="3"/>
    <x v="4"/>
    <x v="4"/>
    <x v="0"/>
    <n v="1142.9962499999999"/>
  </r>
  <r>
    <x v="0"/>
    <x v="3"/>
    <x v="5"/>
    <x v="5"/>
    <x v="0"/>
    <n v="680.47375"/>
  </r>
  <r>
    <x v="0"/>
    <x v="3"/>
    <x v="6"/>
    <x v="6"/>
    <x v="0"/>
    <n v="1964.8887500000001"/>
  </r>
  <r>
    <x v="0"/>
    <x v="3"/>
    <x v="7"/>
    <x v="7"/>
    <x v="0"/>
    <n v="24.956250000000001"/>
  </r>
  <r>
    <x v="0"/>
    <x v="3"/>
    <x v="8"/>
    <x v="8"/>
    <x v="0"/>
    <n v="19.965"/>
  </r>
  <r>
    <x v="0"/>
    <x v="3"/>
    <x v="9"/>
    <x v="9"/>
    <x v="0"/>
    <n v="1335.54435586"/>
  </r>
  <r>
    <x v="0"/>
    <x v="3"/>
    <x v="10"/>
    <x v="10"/>
    <x v="0"/>
    <n v="253.67582636"/>
  </r>
  <r>
    <x v="0"/>
    <x v="3"/>
    <x v="11"/>
    <x v="11"/>
    <x v="0"/>
    <n v="132.4573144"/>
  </r>
  <r>
    <x v="0"/>
    <x v="3"/>
    <x v="12"/>
    <x v="12"/>
    <x v="1"/>
    <n v="0.12138160000000001"/>
  </r>
  <r>
    <x v="0"/>
    <x v="3"/>
    <x v="13"/>
    <x v="13"/>
    <x v="0"/>
    <n v="312598.2623997"/>
  </r>
  <r>
    <x v="0"/>
    <x v="3"/>
    <x v="14"/>
    <x v="14"/>
    <x v="0"/>
    <n v="26137.403132660002"/>
  </r>
  <r>
    <x v="0"/>
    <x v="3"/>
    <x v="15"/>
    <x v="15"/>
    <x v="1"/>
    <n v="565740.43214306002"/>
  </r>
  <r>
    <x v="0"/>
    <x v="3"/>
    <x v="16"/>
    <x v="16"/>
    <x v="1"/>
    <n v="32954.873777870002"/>
  </r>
  <r>
    <x v="0"/>
    <x v="3"/>
    <x v="17"/>
    <x v="17"/>
    <x v="1"/>
    <n v="140686.52521634"/>
  </r>
  <r>
    <x v="0"/>
    <x v="3"/>
    <x v="18"/>
    <x v="18"/>
    <x v="1"/>
    <n v="2826.60878645"/>
  </r>
  <r>
    <x v="0"/>
    <x v="3"/>
    <x v="117"/>
    <x v="117"/>
    <x v="0"/>
    <n v="5315.6519324999999"/>
  </r>
  <r>
    <x v="0"/>
    <x v="3"/>
    <x v="19"/>
    <x v="19"/>
    <x v="0"/>
    <n v="5315.6519324999999"/>
  </r>
  <r>
    <x v="0"/>
    <x v="3"/>
    <x v="20"/>
    <x v="20"/>
    <x v="0"/>
    <n v="301.39936075999998"/>
  </r>
  <r>
    <x v="0"/>
    <x v="3"/>
    <x v="128"/>
    <x v="128"/>
    <x v="0"/>
    <n v="40420.957438730002"/>
  </r>
  <r>
    <x v="0"/>
    <x v="3"/>
    <x v="24"/>
    <x v="24"/>
    <x v="0"/>
    <n v="52881.135304520001"/>
  </r>
  <r>
    <x v="0"/>
    <x v="3"/>
    <x v="25"/>
    <x v="25"/>
    <x v="0"/>
    <n v="44.017612929999999"/>
  </r>
  <r>
    <x v="0"/>
    <x v="3"/>
    <x v="26"/>
    <x v="26"/>
    <x v="0"/>
    <n v="1616.53148349"/>
  </r>
  <r>
    <x v="0"/>
    <x v="3"/>
    <x v="129"/>
    <x v="129"/>
    <x v="0"/>
    <n v="7928.6004129800003"/>
  </r>
  <r>
    <x v="0"/>
    <x v="3"/>
    <x v="27"/>
    <x v="27"/>
    <x v="0"/>
    <n v="137741.48724756"/>
  </r>
  <r>
    <x v="0"/>
    <x v="3"/>
    <x v="28"/>
    <x v="28"/>
    <x v="2"/>
    <n v="6377"/>
  </r>
  <r>
    <x v="0"/>
    <x v="3"/>
    <x v="28"/>
    <x v="28"/>
    <x v="1"/>
    <n v="18375.02623639"/>
  </r>
  <r>
    <x v="0"/>
    <x v="3"/>
    <x v="29"/>
    <x v="29"/>
    <x v="2"/>
    <n v="95"/>
  </r>
  <r>
    <x v="0"/>
    <x v="3"/>
    <x v="29"/>
    <x v="29"/>
    <x v="1"/>
    <n v="2186.4815930499999"/>
  </r>
  <r>
    <x v="0"/>
    <x v="3"/>
    <x v="30"/>
    <x v="30"/>
    <x v="2"/>
    <n v="26"/>
  </r>
  <r>
    <x v="0"/>
    <x v="3"/>
    <x v="30"/>
    <x v="30"/>
    <x v="1"/>
    <n v="2460.0049021899999"/>
  </r>
  <r>
    <x v="0"/>
    <x v="3"/>
    <x v="31"/>
    <x v="31"/>
    <x v="0"/>
    <n v="29797.44829344"/>
  </r>
  <r>
    <x v="0"/>
    <x v="3"/>
    <x v="32"/>
    <x v="32"/>
    <x v="0"/>
    <n v="29499.4738105"/>
  </r>
  <r>
    <x v="0"/>
    <x v="3"/>
    <x v="33"/>
    <x v="33"/>
    <x v="0"/>
    <n v="29499.4738105"/>
  </r>
  <r>
    <x v="0"/>
    <x v="3"/>
    <x v="34"/>
    <x v="34"/>
    <x v="0"/>
    <n v="297.97448293000002"/>
  </r>
  <r>
    <x v="0"/>
    <x v="3"/>
    <x v="35"/>
    <x v="35"/>
    <x v="0"/>
    <n v="297.97448293000002"/>
  </r>
  <r>
    <x v="0"/>
    <x v="3"/>
    <x v="36"/>
    <x v="36"/>
    <x v="0"/>
    <n v="10955.448453380001"/>
  </r>
  <r>
    <x v="0"/>
    <x v="3"/>
    <x v="37"/>
    <x v="37"/>
    <x v="0"/>
    <n v="10955.448453380001"/>
  </r>
  <r>
    <x v="0"/>
    <x v="3"/>
    <x v="38"/>
    <x v="38"/>
    <x v="0"/>
    <n v="10955.448453380001"/>
  </r>
  <r>
    <x v="0"/>
    <x v="3"/>
    <x v="39"/>
    <x v="39"/>
    <x v="0"/>
    <n v="109.55448453"/>
  </r>
  <r>
    <x v="0"/>
    <x v="3"/>
    <x v="40"/>
    <x v="40"/>
    <x v="0"/>
    <n v="109.55448453"/>
  </r>
  <r>
    <x v="0"/>
    <x v="3"/>
    <x v="41"/>
    <x v="41"/>
    <x v="0"/>
    <n v="5992.5725431000001"/>
  </r>
  <r>
    <x v="0"/>
    <x v="3"/>
    <x v="42"/>
    <x v="42"/>
    <x v="0"/>
    <n v="5932.64681767"/>
  </r>
  <r>
    <x v="0"/>
    <x v="3"/>
    <x v="43"/>
    <x v="43"/>
    <x v="0"/>
    <n v="5932.64681767"/>
  </r>
  <r>
    <x v="0"/>
    <x v="3"/>
    <x v="44"/>
    <x v="44"/>
    <x v="0"/>
    <n v="59.92572543"/>
  </r>
  <r>
    <x v="0"/>
    <x v="3"/>
    <x v="45"/>
    <x v="45"/>
    <x v="0"/>
    <n v="59.92572543"/>
  </r>
  <r>
    <x v="0"/>
    <x v="3"/>
    <x v="46"/>
    <x v="46"/>
    <x v="0"/>
    <n v="5016.3105743400001"/>
  </r>
  <r>
    <x v="0"/>
    <x v="3"/>
    <x v="47"/>
    <x v="47"/>
    <x v="0"/>
    <n v="5016.3105743400001"/>
  </r>
  <r>
    <x v="0"/>
    <x v="3"/>
    <x v="48"/>
    <x v="48"/>
    <x v="0"/>
    <n v="5016.3105743400001"/>
  </r>
  <r>
    <x v="0"/>
    <x v="3"/>
    <x v="49"/>
    <x v="49"/>
    <x v="0"/>
    <n v="50.163105739999999"/>
  </r>
  <r>
    <x v="0"/>
    <x v="3"/>
    <x v="50"/>
    <x v="50"/>
    <x v="0"/>
    <n v="50.163105739999999"/>
  </r>
  <r>
    <x v="0"/>
    <x v="3"/>
    <x v="52"/>
    <x v="52"/>
    <x v="0"/>
    <n v="4.5"/>
  </r>
  <r>
    <x v="0"/>
    <x v="3"/>
    <x v="53"/>
    <x v="53"/>
    <x v="0"/>
    <n v="292.2"/>
  </r>
  <r>
    <x v="0"/>
    <x v="3"/>
    <x v="54"/>
    <x v="54"/>
    <x v="0"/>
    <n v="3727.9677712600001"/>
  </r>
  <r>
    <x v="0"/>
    <x v="3"/>
    <x v="55"/>
    <x v="55"/>
    <x v="0"/>
    <n v="25"/>
  </r>
  <r>
    <x v="0"/>
    <x v="3"/>
    <x v="57"/>
    <x v="57"/>
    <x v="0"/>
    <n v="265.86"/>
  </r>
  <r>
    <x v="0"/>
    <x v="3"/>
    <x v="60"/>
    <x v="60"/>
    <x v="0"/>
    <n v="18145"/>
  </r>
  <r>
    <x v="0"/>
    <x v="3"/>
    <x v="118"/>
    <x v="118"/>
    <x v="0"/>
    <n v="18145"/>
  </r>
  <r>
    <x v="0"/>
    <x v="3"/>
    <x v="61"/>
    <x v="61"/>
    <x v="0"/>
    <n v="300"/>
  </r>
  <r>
    <x v="0"/>
    <x v="3"/>
    <x v="114"/>
    <x v="114"/>
    <x v="0"/>
    <n v="10"/>
  </r>
  <r>
    <x v="0"/>
    <x v="3"/>
    <x v="62"/>
    <x v="62"/>
    <x v="0"/>
    <n v="10"/>
  </r>
  <r>
    <x v="0"/>
    <x v="3"/>
    <x v="63"/>
    <x v="63"/>
    <x v="0"/>
    <n v="70"/>
  </r>
  <r>
    <x v="0"/>
    <x v="3"/>
    <x v="64"/>
    <x v="64"/>
    <x v="0"/>
    <n v="8"/>
  </r>
  <r>
    <x v="0"/>
    <x v="3"/>
    <x v="65"/>
    <x v="65"/>
    <x v="0"/>
    <n v="3071"/>
  </r>
  <r>
    <x v="0"/>
    <x v="3"/>
    <x v="119"/>
    <x v="119"/>
    <x v="0"/>
    <n v="3071"/>
  </r>
  <r>
    <x v="0"/>
    <x v="3"/>
    <x v="66"/>
    <x v="66"/>
    <x v="0"/>
    <n v="12308"/>
  </r>
  <r>
    <x v="0"/>
    <x v="3"/>
    <x v="120"/>
    <x v="120"/>
    <x v="0"/>
    <n v="12308"/>
  </r>
  <r>
    <x v="0"/>
    <x v="3"/>
    <x v="121"/>
    <x v="121"/>
    <x v="0"/>
    <n v="29250"/>
  </r>
  <r>
    <x v="0"/>
    <x v="3"/>
    <x v="67"/>
    <x v="67"/>
    <x v="0"/>
    <n v="1684.35"/>
  </r>
  <r>
    <x v="0"/>
    <x v="3"/>
    <x v="68"/>
    <x v="68"/>
    <x v="0"/>
    <n v="231"/>
  </r>
  <r>
    <x v="0"/>
    <x v="3"/>
    <x v="122"/>
    <x v="122"/>
    <x v="0"/>
    <n v="3377.8130407399999"/>
  </r>
  <r>
    <x v="0"/>
    <x v="3"/>
    <x v="123"/>
    <x v="123"/>
    <x v="0"/>
    <n v="617.51034843000002"/>
  </r>
  <r>
    <x v="0"/>
    <x v="3"/>
    <x v="69"/>
    <x v="69"/>
    <x v="0"/>
    <n v="3003.9197237799999"/>
  </r>
  <r>
    <x v="0"/>
    <x v="3"/>
    <x v="124"/>
    <x v="124"/>
    <x v="0"/>
    <n v="3003.9197237799999"/>
  </r>
  <r>
    <x v="0"/>
    <x v="3"/>
    <x v="125"/>
    <x v="125"/>
    <x v="0"/>
    <n v="4837.4930318999996"/>
  </r>
  <r>
    <x v="0"/>
    <x v="3"/>
    <x v="70"/>
    <x v="70"/>
    <x v="0"/>
    <n v="3377.8130407399999"/>
  </r>
  <r>
    <x v="0"/>
    <x v="3"/>
    <x v="71"/>
    <x v="71"/>
    <x v="0"/>
    <n v="617.51034843000002"/>
  </r>
  <r>
    <x v="0"/>
    <x v="3"/>
    <x v="72"/>
    <x v="72"/>
    <x v="0"/>
    <n v="788603.49061218998"/>
  </r>
  <r>
    <x v="0"/>
    <x v="3"/>
    <x v="73"/>
    <x v="73"/>
    <x v="0"/>
    <n v="788603.49061218998"/>
  </r>
  <r>
    <x v="0"/>
    <x v="3"/>
    <x v="74"/>
    <x v="74"/>
    <x v="0"/>
    <n v="15975.13348602"/>
  </r>
  <r>
    <x v="0"/>
    <x v="3"/>
    <x v="75"/>
    <x v="75"/>
    <x v="0"/>
    <n v="14292.72177887"/>
  </r>
  <r>
    <x v="0"/>
    <x v="3"/>
    <x v="76"/>
    <x v="76"/>
    <x v="0"/>
    <n v="24732.144735099999"/>
  </r>
  <r>
    <x v="0"/>
    <x v="3"/>
    <x v="77"/>
    <x v="77"/>
    <x v="0"/>
    <n v="2429.2923328000002"/>
  </r>
  <r>
    <x v="0"/>
    <x v="3"/>
    <x v="78"/>
    <x v="78"/>
    <x v="0"/>
    <n v="24.677809719999999"/>
  </r>
  <r>
    <x v="0"/>
    <x v="3"/>
    <x v="79"/>
    <x v="79"/>
    <x v="0"/>
    <n v="14892.883857479999"/>
  </r>
  <r>
    <x v="0"/>
    <x v="3"/>
    <x v="80"/>
    <x v="80"/>
    <x v="0"/>
    <n v="5599.1036528200002"/>
  </r>
  <r>
    <x v="0"/>
    <x v="3"/>
    <x v="81"/>
    <x v="81"/>
    <x v="0"/>
    <n v="110.11726195999999"/>
  </r>
  <r>
    <x v="0"/>
    <x v="3"/>
    <x v="82"/>
    <x v="82"/>
    <x v="0"/>
    <n v="50233.656064410003"/>
  </r>
  <r>
    <x v="0"/>
    <x v="3"/>
    <x v="83"/>
    <x v="83"/>
    <x v="0"/>
    <n v="141118.97207412001"/>
  </r>
  <r>
    <x v="0"/>
    <x v="3"/>
    <x v="84"/>
    <x v="84"/>
    <x v="0"/>
    <n v="88001.712298810002"/>
  </r>
  <r>
    <x v="0"/>
    <x v="3"/>
    <x v="85"/>
    <x v="85"/>
    <x v="0"/>
    <n v="11818.57275067"/>
  </r>
  <r>
    <x v="0"/>
    <x v="3"/>
    <x v="86"/>
    <x v="86"/>
    <x v="0"/>
    <n v="1657.6464864699999"/>
  </r>
  <r>
    <x v="0"/>
    <x v="3"/>
    <x v="87"/>
    <x v="87"/>
    <x v="4"/>
    <n v="19676.710492300001"/>
  </r>
  <r>
    <x v="0"/>
    <x v="3"/>
    <x v="88"/>
    <x v="88"/>
    <x v="0"/>
    <n v="151398.28612373001"/>
  </r>
  <r>
    <x v="0"/>
    <x v="3"/>
    <x v="89"/>
    <x v="89"/>
    <x v="0"/>
    <n v="25307.131796760001"/>
  </r>
  <r>
    <x v="0"/>
    <x v="3"/>
    <x v="90"/>
    <x v="90"/>
    <x v="0"/>
    <n v="3615.3045423899998"/>
  </r>
  <r>
    <x v="0"/>
    <x v="3"/>
    <x v="91"/>
    <x v="91"/>
    <x v="0"/>
    <n v="184463.50586474"/>
  </r>
  <r>
    <x v="0"/>
    <x v="3"/>
    <x v="92"/>
    <x v="92"/>
    <x v="0"/>
    <n v="44236.43915857"/>
  </r>
  <r>
    <x v="0"/>
    <x v="3"/>
    <x v="93"/>
    <x v="93"/>
    <x v="0"/>
    <n v="50859.703586980002"/>
  </r>
  <r>
    <x v="0"/>
    <x v="3"/>
    <x v="94"/>
    <x v="94"/>
    <x v="0"/>
    <n v="1285.9117173300001"/>
  </r>
  <r>
    <x v="0"/>
    <x v="3"/>
    <x v="95"/>
    <x v="95"/>
    <x v="0"/>
    <n v="4.0000000000000001E-8"/>
  </r>
  <r>
    <x v="0"/>
    <x v="3"/>
    <x v="96"/>
    <x v="96"/>
    <x v="0"/>
    <n v="10553.974034749999"/>
  </r>
  <r>
    <x v="0"/>
    <x v="3"/>
    <x v="97"/>
    <x v="97"/>
    <x v="0"/>
    <n v="174008.90068016999"/>
  </r>
  <r>
    <x v="0"/>
    <x v="3"/>
    <x v="98"/>
    <x v="98"/>
    <x v="4"/>
    <n v="154257.3328414"/>
  </r>
  <r>
    <x v="0"/>
    <x v="3"/>
    <x v="99"/>
    <x v="99"/>
    <x v="4"/>
    <n v="10853.47237827"/>
  </r>
  <r>
    <x v="0"/>
    <x v="3"/>
    <x v="100"/>
    <x v="100"/>
    <x v="4"/>
    <n v="48010.681102499999"/>
  </r>
  <r>
    <x v="0"/>
    <x v="3"/>
    <x v="101"/>
    <x v="101"/>
    <x v="0"/>
    <n v="425.64804673999998"/>
  </r>
  <r>
    <x v="0"/>
    <x v="3"/>
    <x v="102"/>
    <x v="102"/>
    <x v="0"/>
    <n v="122743.79021940001"/>
  </r>
  <r>
    <x v="0"/>
    <x v="3"/>
    <x v="103"/>
    <x v="103"/>
    <x v="0"/>
    <n v="556.12739923000004"/>
  </r>
  <r>
    <x v="0"/>
    <x v="3"/>
    <x v="104"/>
    <x v="104"/>
    <x v="0"/>
    <n v="80175.913867590003"/>
  </r>
  <r>
    <x v="0"/>
    <x v="3"/>
    <x v="105"/>
    <x v="105"/>
    <x v="0"/>
    <n v="176092.68745254001"/>
  </r>
  <r>
    <x v="0"/>
    <x v="3"/>
    <x v="106"/>
    <x v="106"/>
    <x v="4"/>
    <n v="104534.39301451"/>
  </r>
  <r>
    <x v="0"/>
    <x v="3"/>
    <x v="107"/>
    <x v="107"/>
    <x v="1"/>
    <n v="5524545.3902984802"/>
  </r>
  <r>
    <x v="0"/>
    <x v="3"/>
    <x v="108"/>
    <x v="108"/>
    <x v="0"/>
    <n v="5524545.3902984802"/>
  </r>
  <r>
    <x v="0"/>
    <x v="3"/>
    <x v="126"/>
    <x v="126"/>
    <x v="0"/>
    <n v="2762272.6951492401"/>
  </r>
  <r>
    <x v="0"/>
    <x v="3"/>
    <x v="109"/>
    <x v="109"/>
    <x v="0"/>
    <n v="1752789.5425660801"/>
  </r>
  <r>
    <x v="0"/>
    <x v="3"/>
    <x v="127"/>
    <x v="127"/>
    <x v="0"/>
    <n v="876394.77128304006"/>
  </r>
  <r>
    <x v="0"/>
    <x v="3"/>
    <x v="110"/>
    <x v="110"/>
    <x v="1"/>
    <n v="12053542.65454459"/>
  </r>
  <r>
    <x v="0"/>
    <x v="3"/>
    <x v="111"/>
    <x v="111"/>
    <x v="0"/>
    <n v="12053542.65454459"/>
  </r>
  <r>
    <x v="0"/>
    <x v="3"/>
    <x v="115"/>
    <x v="115"/>
    <x v="0"/>
    <n v="7081456.3095449498"/>
  </r>
  <r>
    <x v="0"/>
    <x v="3"/>
    <x v="112"/>
    <x v="112"/>
    <x v="1"/>
    <n v="24807993.69436197"/>
  </r>
  <r>
    <x v="0"/>
    <x v="3"/>
    <x v="113"/>
    <x v="113"/>
    <x v="1"/>
    <n v="24807993.69436197"/>
  </r>
  <r>
    <x v="0"/>
    <x v="3"/>
    <x v="116"/>
    <x v="116"/>
    <x v="0"/>
    <n v="17055495.6648738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987"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9"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extLst>
        <ext xmlns:x14="http://schemas.microsoft.com/office/spreadsheetml/2009/9/main" uri="{2946ED86-A175-432a-8AC1-64E0C546D7DE}">
          <x14:pivotField fillDownLabels="1"/>
        </ext>
      </extLst>
    </pivotField>
  </pivotFields>
  <rowFields count="4">
    <field x="3"/>
    <field x="4"/>
    <field x="5"/>
    <field x="7"/>
  </rowFields>
  <rowItems count="25">
    <i>
      <x/>
      <x/>
      <x/>
      <x/>
    </i>
    <i>
      <x v="1"/>
      <x v="1"/>
      <x/>
      <x v="1"/>
    </i>
    <i>
      <x v="2"/>
      <x v="2"/>
      <x/>
      <x v="2"/>
    </i>
    <i>
      <x v="3"/>
      <x v="3"/>
      <x v="1"/>
      <x v="3"/>
    </i>
    <i>
      <x v="4"/>
      <x v="4"/>
      <x/>
      <x v="4"/>
    </i>
    <i>
      <x v="5"/>
      <x v="5"/>
      <x/>
      <x v="5"/>
    </i>
    <i>
      <x v="6"/>
      <x v="6"/>
      <x/>
      <x v="6"/>
    </i>
    <i>
      <x v="7"/>
      <x v="7"/>
      <x/>
      <x v="7"/>
    </i>
    <i>
      <x v="8"/>
      <x v="8"/>
      <x v="1"/>
      <x v="8"/>
    </i>
    <i>
      <x v="9"/>
      <x v="9"/>
      <x v="1"/>
      <x v="9"/>
    </i>
    <i>
      <x v="10"/>
      <x v="10"/>
      <x v="2"/>
      <x v="10"/>
    </i>
    <i>
      <x v="11"/>
      <x v="11"/>
      <x v="2"/>
      <x v="11"/>
    </i>
    <i>
      <x v="12"/>
      <x v="12"/>
      <x v="2"/>
      <x v="12"/>
    </i>
    <i>
      <x v="13"/>
      <x v="13"/>
      <x v="3"/>
      <x v="13"/>
    </i>
    <i>
      <x v="14"/>
      <x v="14"/>
      <x v="2"/>
      <x v="14"/>
    </i>
    <i>
      <x v="15"/>
      <x v="14"/>
      <x v="2"/>
      <x v="15"/>
    </i>
    <i>
      <x v="16"/>
      <x v="15"/>
      <x/>
      <x v="16"/>
    </i>
    <i>
      <x v="17"/>
      <x v="16"/>
      <x v="2"/>
      <x v="17"/>
    </i>
    <i>
      <x v="18"/>
      <x v="16"/>
      <x v="2"/>
      <x v="18"/>
    </i>
    <i>
      <x v="19"/>
      <x v="17"/>
      <x/>
      <x v="19"/>
    </i>
    <i>
      <x v="20"/>
      <x v="18"/>
      <x/>
      <x v="20"/>
    </i>
    <i>
      <x v="21"/>
      <x v="19"/>
      <x/>
      <x v="21"/>
    </i>
    <i>
      <x v="22"/>
      <x v="20"/>
      <x/>
      <x v="22"/>
    </i>
    <i>
      <x v="23"/>
      <x v="21"/>
      <x v="2"/>
      <x v="23"/>
    </i>
    <i>
      <x v="24"/>
      <x v="22"/>
      <x v="3"/>
      <x v="24"/>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2A1A57-ABD8-4C1F-93F2-49E01FAEDBF8}"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F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5"/>
    <field x="6"/>
    <field x="1"/>
    <field x="4"/>
  </rowFields>
  <rowItems count="535">
    <i>
      <x/>
      <x v="5"/>
      <x v="3"/>
      <x/>
      <x v="1"/>
    </i>
    <i r="3">
      <x v="1"/>
      <x v="1"/>
    </i>
    <i r="3">
      <x v="2"/>
      <x v="1"/>
    </i>
    <i r="3">
      <x v="3"/>
      <x v="1"/>
    </i>
    <i r="1">
      <x v="6"/>
      <x v="3"/>
      <x/>
      <x v="2"/>
    </i>
    <i r="3">
      <x v="1"/>
      <x v="2"/>
    </i>
    <i r="3">
      <x v="2"/>
      <x v="2"/>
    </i>
    <i r="3">
      <x v="3"/>
      <x v="2"/>
    </i>
    <i r="1">
      <x v="7"/>
      <x v="3"/>
      <x/>
      <x/>
    </i>
    <i r="3">
      <x v="1"/>
      <x/>
    </i>
    <i r="3">
      <x v="2"/>
      <x/>
    </i>
    <i r="3">
      <x v="3"/>
      <x/>
    </i>
    <i>
      <x v="1"/>
      <x/>
      <x/>
      <x/>
      <x v="4"/>
    </i>
    <i r="3">
      <x v="1"/>
      <x v="4"/>
    </i>
    <i r="3">
      <x v="2"/>
      <x v="4"/>
    </i>
    <i r="3">
      <x v="3"/>
      <x v="4"/>
    </i>
    <i r="2">
      <x v="1"/>
      <x/>
      <x v="3"/>
    </i>
    <i r="3">
      <x v="1"/>
      <x v="3"/>
    </i>
    <i r="3">
      <x v="2"/>
      <x v="3"/>
    </i>
    <i r="3">
      <x v="3"/>
      <x v="3"/>
    </i>
    <i r="1">
      <x v="14"/>
      <x v="1"/>
      <x/>
      <x v="34"/>
    </i>
    <i r="3">
      <x v="1"/>
      <x v="34"/>
    </i>
    <i r="3">
      <x v="2"/>
      <x v="34"/>
    </i>
    <i r="3">
      <x v="3"/>
      <x v="34"/>
    </i>
    <i r="2">
      <x v="7"/>
      <x/>
      <x v="35"/>
    </i>
    <i r="3">
      <x v="1"/>
      <x v="35"/>
    </i>
    <i r="3">
      <x v="2"/>
      <x v="35"/>
    </i>
    <i r="3">
      <x v="3"/>
      <x v="35"/>
    </i>
    <i r="2">
      <x v="9"/>
      <x/>
      <x v="37"/>
    </i>
    <i r="3">
      <x v="1"/>
      <x v="37"/>
    </i>
    <i r="3">
      <x v="2"/>
      <x v="37"/>
    </i>
    <i r="3">
      <x v="3"/>
      <x v="37"/>
    </i>
    <i r="2">
      <x v="10"/>
      <x/>
      <x v="36"/>
    </i>
    <i r="3">
      <x v="1"/>
      <x v="36"/>
    </i>
    <i r="3">
      <x v="2"/>
      <x v="36"/>
    </i>
    <i r="3">
      <x v="3"/>
      <x v="36"/>
    </i>
    <i r="1">
      <x v="15"/>
      <x v="1"/>
      <x/>
      <x v="38"/>
    </i>
    <i r="3">
      <x v="1"/>
      <x v="38"/>
    </i>
    <i r="3">
      <x v="2"/>
      <x v="38"/>
    </i>
    <i r="3">
      <x v="3"/>
      <x v="38"/>
    </i>
    <i r="2">
      <x v="10"/>
      <x/>
      <x v="39"/>
    </i>
    <i r="3">
      <x v="1"/>
      <x v="39"/>
    </i>
    <i r="3">
      <x v="2"/>
      <x v="39"/>
    </i>
    <i r="3">
      <x v="3"/>
      <x v="39"/>
    </i>
    <i r="2">
      <x v="11"/>
      <x/>
      <x v="40"/>
    </i>
    <i r="3">
      <x v="1"/>
      <x v="40"/>
    </i>
    <i r="3">
      <x v="2"/>
      <x v="40"/>
    </i>
    <i r="3">
      <x v="3"/>
      <x v="40"/>
    </i>
    <i r="2">
      <x v="12"/>
      <x/>
      <x v="41"/>
    </i>
    <i r="3">
      <x v="1"/>
      <x v="41"/>
    </i>
    <i r="3">
      <x v="2"/>
      <x v="41"/>
    </i>
    <i r="3">
      <x v="3"/>
      <x v="41"/>
    </i>
    <i r="1">
      <x v="50"/>
      <x v="1"/>
      <x/>
      <x v="86"/>
    </i>
    <i r="3">
      <x v="1"/>
      <x v="86"/>
    </i>
    <i r="3">
      <x v="2"/>
      <x v="86"/>
    </i>
    <i r="3">
      <x v="3"/>
      <x v="86"/>
    </i>
    <i r="2">
      <x v="25"/>
      <x/>
      <x v="87"/>
    </i>
    <i r="3">
      <x v="1"/>
      <x v="87"/>
    </i>
    <i r="3">
      <x v="2"/>
      <x v="87"/>
    </i>
    <i r="3">
      <x v="3"/>
      <x v="87"/>
    </i>
    <i r="2">
      <x v="27"/>
      <x/>
      <x v="88"/>
    </i>
    <i r="3">
      <x v="1"/>
      <x v="88"/>
    </i>
    <i r="3">
      <x v="2"/>
      <x v="88"/>
    </i>
    <i r="3">
      <x v="3"/>
      <x v="88"/>
    </i>
    <i r="1">
      <x v="51"/>
      <x v="1"/>
      <x/>
      <x v="89"/>
    </i>
    <i r="3">
      <x v="1"/>
      <x v="89"/>
    </i>
    <i r="3">
      <x v="2"/>
      <x v="89"/>
    </i>
    <i r="3">
      <x v="3"/>
      <x v="89"/>
    </i>
    <i r="2">
      <x v="25"/>
      <x/>
      <x v="90"/>
    </i>
    <i r="3">
      <x v="1"/>
      <x v="90"/>
    </i>
    <i r="3">
      <x v="2"/>
      <x v="90"/>
    </i>
    <i r="3">
      <x v="3"/>
      <x v="90"/>
    </i>
    <i r="2">
      <x v="27"/>
      <x/>
      <x v="91"/>
    </i>
    <i r="3">
      <x v="1"/>
      <x v="91"/>
    </i>
    <i r="3">
      <x v="2"/>
      <x v="91"/>
    </i>
    <i r="3">
      <x v="3"/>
      <x v="91"/>
    </i>
    <i r="1">
      <x v="52"/>
      <x v="1"/>
      <x/>
      <x v="92"/>
    </i>
    <i r="3">
      <x v="1"/>
      <x v="92"/>
    </i>
    <i r="3">
      <x v="2"/>
      <x v="92"/>
    </i>
    <i r="3">
      <x v="3"/>
      <x v="92"/>
    </i>
    <i r="2">
      <x v="27"/>
      <x/>
      <x v="94"/>
    </i>
    <i r="3">
      <x v="1"/>
      <x v="94"/>
    </i>
    <i r="3">
      <x v="2"/>
      <x v="94"/>
    </i>
    <i r="3">
      <x v="3"/>
      <x v="94"/>
    </i>
    <i r="2">
      <x v="28"/>
      <x/>
      <x v="93"/>
    </i>
    <i r="3">
      <x v="1"/>
      <x v="93"/>
    </i>
    <i r="3">
      <x v="2"/>
      <x v="93"/>
    </i>
    <i r="3">
      <x v="3"/>
      <x v="93"/>
    </i>
    <i r="1">
      <x v="53"/>
      <x v="1"/>
      <x/>
      <x v="95"/>
    </i>
    <i r="3">
      <x v="1"/>
      <x v="95"/>
    </i>
    <i r="3">
      <x v="2"/>
      <x v="95"/>
    </i>
    <i r="3">
      <x v="3"/>
      <x v="95"/>
    </i>
    <i r="2">
      <x v="25"/>
      <x/>
      <x v="96"/>
    </i>
    <i r="3">
      <x v="1"/>
      <x v="96"/>
    </i>
    <i r="3">
      <x v="2"/>
      <x v="96"/>
    </i>
    <i r="3">
      <x v="3"/>
      <x v="96"/>
    </i>
    <i r="2">
      <x v="27"/>
      <x/>
      <x v="97"/>
    </i>
    <i r="3">
      <x v="1"/>
      <x v="97"/>
    </i>
    <i r="3">
      <x v="2"/>
      <x v="97"/>
    </i>
    <i r="3">
      <x v="3"/>
      <x v="97"/>
    </i>
    <i r="1">
      <x v="54"/>
      <x v="1"/>
      <x/>
      <x v="98"/>
    </i>
    <i r="3">
      <x v="1"/>
      <x v="98"/>
    </i>
    <i r="3">
      <x v="2"/>
      <x v="98"/>
    </i>
    <i r="3">
      <x v="3"/>
      <x v="98"/>
    </i>
    <i r="2">
      <x v="25"/>
      <x/>
      <x v="99"/>
    </i>
    <i r="3">
      <x v="1"/>
      <x v="99"/>
    </i>
    <i r="3">
      <x v="2"/>
      <x v="99"/>
    </i>
    <i r="3">
      <x v="3"/>
      <x v="99"/>
    </i>
    <i r="2">
      <x v="29"/>
      <x/>
      <x v="100"/>
    </i>
    <i r="3">
      <x v="1"/>
      <x v="100"/>
    </i>
    <i r="3">
      <x v="2"/>
      <x v="100"/>
    </i>
    <i r="3">
      <x v="3"/>
      <x v="100"/>
    </i>
    <i r="1">
      <x v="55"/>
      <x v="1"/>
      <x/>
      <x v="101"/>
    </i>
    <i r="3">
      <x v="1"/>
      <x v="101"/>
    </i>
    <i r="3">
      <x v="2"/>
      <x v="101"/>
    </i>
    <i r="3">
      <x v="3"/>
      <x v="101"/>
    </i>
    <i r="2">
      <x v="25"/>
      <x/>
      <x v="102"/>
    </i>
    <i r="3">
      <x v="1"/>
      <x v="102"/>
    </i>
    <i r="3">
      <x v="2"/>
      <x v="102"/>
    </i>
    <i r="3">
      <x v="3"/>
      <x v="102"/>
    </i>
    <i r="2">
      <x v="29"/>
      <x/>
      <x v="103"/>
    </i>
    <i r="3">
      <x v="1"/>
      <x v="103"/>
    </i>
    <i r="3">
      <x v="2"/>
      <x v="103"/>
    </i>
    <i r="3">
      <x v="3"/>
      <x v="103"/>
    </i>
    <i r="2">
      <x v="30"/>
      <x/>
      <x v="104"/>
    </i>
    <i r="3">
      <x v="1"/>
      <x v="104"/>
    </i>
    <i r="3">
      <x v="2"/>
      <x v="104"/>
    </i>
    <i r="3">
      <x v="3"/>
      <x v="104"/>
    </i>
    <i r="1">
      <x v="56"/>
      <x v="1"/>
      <x/>
      <x v="105"/>
    </i>
    <i r="3">
      <x v="1"/>
      <x v="105"/>
    </i>
    <i r="3">
      <x v="2"/>
      <x v="105"/>
    </i>
    <i r="3">
      <x v="3"/>
      <x v="105"/>
    </i>
    <i r="2">
      <x v="25"/>
      <x/>
      <x v="106"/>
    </i>
    <i r="3">
      <x v="1"/>
      <x v="106"/>
    </i>
    <i r="3">
      <x v="2"/>
      <x v="106"/>
    </i>
    <i r="3">
      <x v="3"/>
      <x v="106"/>
    </i>
    <i r="2">
      <x v="29"/>
      <x/>
      <x v="107"/>
    </i>
    <i r="3">
      <x v="1"/>
      <x v="107"/>
    </i>
    <i r="3">
      <x v="2"/>
      <x v="107"/>
    </i>
    <i r="3">
      <x v="3"/>
      <x v="107"/>
    </i>
    <i r="1">
      <x v="57"/>
      <x v="1"/>
      <x/>
      <x v="108"/>
    </i>
    <i r="3">
      <x v="1"/>
      <x v="108"/>
    </i>
    <i r="3">
      <x v="2"/>
      <x v="108"/>
    </i>
    <i r="3">
      <x v="3"/>
      <x v="108"/>
    </i>
    <i r="2">
      <x v="31"/>
      <x/>
      <x v="109"/>
    </i>
    <i r="3">
      <x v="1"/>
      <x v="109"/>
    </i>
    <i r="3">
      <x v="2"/>
      <x v="109"/>
    </i>
    <i r="3">
      <x v="3"/>
      <x v="109"/>
    </i>
    <i r="2">
      <x v="32"/>
      <x/>
      <x v="110"/>
    </i>
    <i r="3">
      <x v="1"/>
      <x v="110"/>
    </i>
    <i r="3">
      <x v="2"/>
      <x v="110"/>
    </i>
    <i r="3">
      <x v="3"/>
      <x v="110"/>
    </i>
    <i r="2">
      <x v="33"/>
      <x/>
      <x v="111"/>
    </i>
    <i r="3">
      <x v="1"/>
      <x v="111"/>
    </i>
    <i r="3">
      <x v="2"/>
      <x v="111"/>
    </i>
    <i r="3">
      <x v="3"/>
      <x v="111"/>
    </i>
    <i r="2">
      <x v="34"/>
      <x/>
      <x v="112"/>
    </i>
    <i r="3">
      <x v="1"/>
      <x v="112"/>
    </i>
    <i r="3">
      <x v="2"/>
      <x v="112"/>
    </i>
    <i r="3">
      <x v="3"/>
      <x v="112"/>
    </i>
    <i r="2">
      <x v="35"/>
      <x/>
      <x v="113"/>
    </i>
    <i r="3">
      <x v="1"/>
      <x v="113"/>
    </i>
    <i r="3">
      <x v="2"/>
      <x v="113"/>
    </i>
    <i r="3">
      <x v="3"/>
      <x v="113"/>
    </i>
    <i r="2">
      <x v="36"/>
      <x/>
      <x v="114"/>
    </i>
    <i r="3">
      <x v="1"/>
      <x v="114"/>
    </i>
    <i r="3">
      <x v="2"/>
      <x v="114"/>
    </i>
    <i r="3">
      <x v="3"/>
      <x v="114"/>
    </i>
    <i r="1">
      <x v="62"/>
      <x v="39"/>
      <x/>
      <x v="120"/>
    </i>
    <i r="3">
      <x v="1"/>
      <x v="120"/>
    </i>
    <i r="3">
      <x v="2"/>
      <x v="120"/>
    </i>
    <i r="3">
      <x v="3"/>
      <x v="120"/>
    </i>
    <i r="1">
      <x v="67"/>
      <x v="39"/>
      <x/>
      <x v="135"/>
    </i>
    <i r="3">
      <x v="1"/>
      <x v="135"/>
    </i>
    <i r="3">
      <x v="2"/>
      <x v="135"/>
    </i>
    <i r="3">
      <x v="3"/>
      <x v="135"/>
    </i>
    <i>
      <x v="2"/>
      <x v="1"/>
      <x v="2"/>
      <x/>
      <x v="15"/>
    </i>
    <i r="3">
      <x v="1"/>
      <x v="15"/>
    </i>
    <i r="3">
      <x v="2"/>
      <x v="15"/>
    </i>
    <i r="3">
      <x v="3"/>
      <x v="15"/>
    </i>
    <i r="1">
      <x v="2"/>
      <x v="3"/>
      <x/>
      <x v="12"/>
    </i>
    <i r="3">
      <x v="1"/>
      <x v="12"/>
    </i>
    <i r="3">
      <x v="2"/>
      <x v="12"/>
    </i>
    <i r="3">
      <x v="3"/>
      <x v="12"/>
    </i>
    <i r="2">
      <x v="4"/>
      <x/>
      <x v="13"/>
    </i>
    <i r="3">
      <x v="1"/>
      <x v="13"/>
    </i>
    <i r="3">
      <x v="2"/>
      <x v="13"/>
    </i>
    <i r="3">
      <x v="3"/>
      <x v="13"/>
    </i>
    <i r="2">
      <x v="5"/>
      <x/>
      <x v="14"/>
    </i>
    <i r="3">
      <x v="1"/>
      <x v="14"/>
    </i>
    <i r="3">
      <x v="2"/>
      <x v="14"/>
    </i>
    <i r="3">
      <x v="3"/>
      <x v="14"/>
    </i>
    <i r="1">
      <x v="3"/>
      <x v="3"/>
      <x/>
      <x v="7"/>
    </i>
    <i r="3">
      <x v="1"/>
      <x v="7"/>
    </i>
    <i r="3">
      <x v="2"/>
      <x v="7"/>
    </i>
    <i r="3">
      <x v="3"/>
      <x v="7"/>
    </i>
    <i r="2">
      <x v="4"/>
      <x/>
      <x v="8"/>
    </i>
    <i r="3">
      <x v="1"/>
      <x v="8"/>
    </i>
    <i r="3">
      <x v="2"/>
      <x v="8"/>
    </i>
    <i r="3">
      <x v="3"/>
      <x v="8"/>
    </i>
    <i r="1">
      <x v="4"/>
      <x v="3"/>
      <x/>
      <x v="16"/>
    </i>
    <i r="3">
      <x v="1"/>
      <x v="16"/>
    </i>
    <i r="3">
      <x v="2"/>
      <x v="16"/>
    </i>
    <i r="3">
      <x v="3"/>
      <x v="16"/>
    </i>
    <i r="2">
      <x v="4"/>
      <x/>
      <x v="17"/>
    </i>
    <i r="3">
      <x v="1"/>
      <x v="17"/>
    </i>
    <i r="3">
      <x v="2"/>
      <x v="17"/>
    </i>
    <i r="3">
      <x v="3"/>
      <x v="17"/>
    </i>
    <i r="1">
      <x v="8"/>
      <x v="3"/>
      <x/>
      <x v="9"/>
    </i>
    <i r="3">
      <x v="1"/>
      <x v="9"/>
    </i>
    <i r="3">
      <x v="2"/>
      <x v="9"/>
    </i>
    <i r="3">
      <x v="3"/>
      <x v="9"/>
    </i>
    <i r="2">
      <x v="4"/>
      <x/>
      <x v="10"/>
    </i>
    <i r="3">
      <x v="1"/>
      <x v="10"/>
    </i>
    <i r="3">
      <x v="2"/>
      <x v="10"/>
    </i>
    <i r="3">
      <x v="3"/>
      <x v="10"/>
    </i>
    <i r="2">
      <x v="5"/>
      <x/>
      <x v="11"/>
    </i>
    <i r="3">
      <x v="1"/>
      <x v="11"/>
    </i>
    <i r="3">
      <x v="2"/>
      <x v="11"/>
    </i>
    <i r="3">
      <x v="3"/>
      <x v="11"/>
    </i>
    <i r="1">
      <x v="9"/>
      <x v="3"/>
      <x/>
      <x v="5"/>
    </i>
    <i r="3">
      <x v="1"/>
      <x v="5"/>
    </i>
    <i r="3">
      <x v="2"/>
      <x v="5"/>
    </i>
    <i r="3">
      <x v="3"/>
      <x v="5"/>
    </i>
    <i r="2">
      <x v="4"/>
      <x/>
      <x v="6"/>
    </i>
    <i r="3">
      <x v="1"/>
      <x v="6"/>
    </i>
    <i r="3">
      <x v="2"/>
      <x v="6"/>
    </i>
    <i r="3">
      <x v="3"/>
      <x v="6"/>
    </i>
    <i>
      <x v="3"/>
      <x v="10"/>
      <x v="3"/>
      <x/>
      <x v="18"/>
    </i>
    <i r="3">
      <x v="1"/>
      <x v="18"/>
    </i>
    <i r="3">
      <x v="2"/>
      <x v="18"/>
    </i>
    <i r="3">
      <x v="3"/>
      <x v="18"/>
    </i>
    <i r="2">
      <x v="4"/>
      <x/>
      <x v="19"/>
    </i>
    <i r="3">
      <x v="1"/>
      <x v="19"/>
    </i>
    <i r="3">
      <x v="2"/>
      <x v="19"/>
    </i>
    <i r="3">
      <x v="3"/>
      <x v="19"/>
    </i>
    <i r="2">
      <x v="5"/>
      <x/>
      <x v="20"/>
    </i>
    <i r="3">
      <x v="1"/>
      <x v="20"/>
    </i>
    <i r="3">
      <x v="2"/>
      <x v="20"/>
    </i>
    <i r="3">
      <x v="3"/>
      <x v="20"/>
    </i>
    <i r="2">
      <x v="6"/>
      <x/>
      <x v="21"/>
    </i>
    <i r="3">
      <x v="1"/>
      <x v="21"/>
    </i>
    <i r="3">
      <x v="2"/>
      <x v="21"/>
    </i>
    <i r="3">
      <x v="3"/>
      <x v="21"/>
    </i>
    <i r="1">
      <x v="11"/>
      <x v="3"/>
      <x/>
      <x v="22"/>
    </i>
    <i r="3">
      <x v="1"/>
      <x v="22"/>
    </i>
    <i r="3">
      <x v="2"/>
      <x v="22"/>
    </i>
    <i r="3">
      <x v="3"/>
      <x v="22"/>
    </i>
    <i r="2">
      <x v="4"/>
      <x/>
      <x v="23"/>
    </i>
    <i r="3">
      <x v="1"/>
      <x v="23"/>
    </i>
    <i r="3">
      <x v="2"/>
      <x v="23"/>
    </i>
    <i r="3">
      <x v="3"/>
      <x v="23"/>
    </i>
    <i r="2">
      <x v="5"/>
      <x/>
      <x v="24"/>
    </i>
    <i r="3">
      <x v="1"/>
      <x v="24"/>
    </i>
    <i r="3">
      <x v="2"/>
      <x v="24"/>
    </i>
    <i r="3">
      <x v="3"/>
      <x v="24"/>
    </i>
    <i r="2">
      <x v="6"/>
      <x/>
      <x v="25"/>
    </i>
    <i r="3">
      <x v="1"/>
      <x v="25"/>
    </i>
    <i r="3">
      <x v="2"/>
      <x v="25"/>
    </i>
    <i r="3">
      <x v="3"/>
      <x v="25"/>
    </i>
    <i r="1">
      <x v="12"/>
      <x v="3"/>
      <x/>
      <x v="26"/>
    </i>
    <i r="3">
      <x v="1"/>
      <x v="26"/>
    </i>
    <i r="3">
      <x v="2"/>
      <x v="26"/>
    </i>
    <i r="3">
      <x v="3"/>
      <x v="26"/>
    </i>
    <i r="2">
      <x v="4"/>
      <x/>
      <x v="27"/>
    </i>
    <i r="3">
      <x v="1"/>
      <x v="27"/>
    </i>
    <i r="3">
      <x v="2"/>
      <x v="27"/>
    </i>
    <i r="3">
      <x v="3"/>
      <x v="27"/>
    </i>
    <i r="2">
      <x v="5"/>
      <x/>
      <x v="28"/>
    </i>
    <i r="3">
      <x v="1"/>
      <x v="28"/>
    </i>
    <i r="3">
      <x v="2"/>
      <x v="28"/>
    </i>
    <i r="3">
      <x v="3"/>
      <x v="28"/>
    </i>
    <i r="2">
      <x v="6"/>
      <x/>
      <x v="29"/>
    </i>
    <i r="3">
      <x v="1"/>
      <x v="29"/>
    </i>
    <i r="3">
      <x v="2"/>
      <x v="29"/>
    </i>
    <i r="3">
      <x v="3"/>
      <x v="29"/>
    </i>
    <i r="1">
      <x v="13"/>
      <x v="3"/>
      <x/>
      <x v="30"/>
    </i>
    <i r="3">
      <x v="1"/>
      <x v="30"/>
    </i>
    <i r="3">
      <x v="2"/>
      <x v="30"/>
    </i>
    <i r="3">
      <x v="3"/>
      <x v="30"/>
    </i>
    <i r="2">
      <x v="4"/>
      <x/>
      <x v="31"/>
    </i>
    <i r="3">
      <x v="1"/>
      <x v="31"/>
    </i>
    <i r="3">
      <x v="2"/>
      <x v="31"/>
    </i>
    <i r="3">
      <x v="3"/>
      <x v="31"/>
    </i>
    <i r="2">
      <x v="5"/>
      <x/>
      <x v="32"/>
    </i>
    <i r="3">
      <x v="1"/>
      <x v="32"/>
    </i>
    <i r="3">
      <x v="2"/>
      <x v="32"/>
    </i>
    <i r="3">
      <x v="3"/>
      <x v="32"/>
    </i>
    <i r="2">
      <x v="6"/>
      <x/>
      <x v="33"/>
    </i>
    <i r="3">
      <x v="1"/>
      <x v="33"/>
    </i>
    <i r="3">
      <x v="2"/>
      <x v="33"/>
    </i>
    <i r="3">
      <x v="3"/>
      <x v="33"/>
    </i>
    <i>
      <x v="4"/>
      <x v="16"/>
      <x v="13"/>
      <x/>
      <x v="42"/>
    </i>
    <i r="3">
      <x v="1"/>
      <x v="42"/>
    </i>
    <i r="3">
      <x v="2"/>
      <x v="42"/>
    </i>
    <i r="3">
      <x v="3"/>
      <x v="42"/>
    </i>
    <i r="2">
      <x v="23"/>
      <x/>
      <x v="83"/>
    </i>
    <i r="3">
      <x v="1"/>
      <x v="83"/>
    </i>
    <i r="3">
      <x v="2"/>
      <x v="83"/>
    </i>
    <i r="3">
      <x v="3"/>
      <x v="83"/>
    </i>
    <i r="1">
      <x v="17"/>
      <x v="13"/>
      <x/>
      <x v="43"/>
    </i>
    <i r="3">
      <x v="1"/>
      <x v="43"/>
    </i>
    <i r="3">
      <x v="2"/>
      <x v="43"/>
    </i>
    <i r="3">
      <x v="3"/>
      <x v="43"/>
    </i>
    <i r="2">
      <x v="23"/>
      <x/>
      <x v="84"/>
    </i>
    <i r="3">
      <x v="1"/>
      <x v="84"/>
    </i>
    <i r="3">
      <x v="2"/>
      <x v="84"/>
    </i>
    <i r="3">
      <x v="3"/>
      <x v="84"/>
    </i>
    <i r="1">
      <x v="18"/>
      <x v="14"/>
      <x/>
      <x v="44"/>
    </i>
    <i r="3">
      <x v="1"/>
      <x v="44"/>
    </i>
    <i r="3">
      <x v="2"/>
      <x v="44"/>
    </i>
    <i r="3">
      <x v="3"/>
      <x v="44"/>
    </i>
    <i r="2">
      <x v="15"/>
      <x/>
      <x v="45"/>
    </i>
    <i r="3">
      <x v="1"/>
      <x v="45"/>
    </i>
    <i r="3">
      <x v="2"/>
      <x v="45"/>
    </i>
    <i r="3">
      <x v="3"/>
      <x v="45"/>
    </i>
    <i r="1">
      <x v="19"/>
      <x v="16"/>
      <x/>
      <x v="46"/>
    </i>
    <i r="3">
      <x v="1"/>
      <x v="46"/>
    </i>
    <i r="3">
      <x v="2"/>
      <x v="46"/>
    </i>
    <i r="3">
      <x v="3"/>
      <x v="46"/>
    </i>
    <i r="1">
      <x v="20"/>
      <x v="17"/>
      <x/>
      <x v="47"/>
    </i>
    <i r="3">
      <x v="1"/>
      <x v="47"/>
    </i>
    <i r="3">
      <x v="2"/>
      <x v="47"/>
    </i>
    <i r="3">
      <x v="3"/>
      <x v="47"/>
    </i>
    <i r="1">
      <x v="21"/>
      <x v="17"/>
      <x/>
      <x v="48"/>
    </i>
    <i r="3">
      <x v="1"/>
      <x v="48"/>
    </i>
    <i r="3">
      <x v="2"/>
      <x v="48"/>
    </i>
    <i r="3">
      <x v="3"/>
      <x v="48"/>
    </i>
    <i r="1">
      <x v="22"/>
      <x v="17"/>
      <x/>
      <x v="49"/>
    </i>
    <i r="3">
      <x v="1"/>
      <x v="49"/>
    </i>
    <i r="3">
      <x v="2"/>
      <x v="49"/>
    </i>
    <i r="3">
      <x v="3"/>
      <x v="49"/>
    </i>
    <i r="1">
      <x v="23"/>
      <x v="17"/>
      <x/>
      <x v="50"/>
    </i>
    <i r="3">
      <x v="1"/>
      <x v="50"/>
    </i>
    <i r="3">
      <x v="2"/>
      <x v="50"/>
    </i>
    <i r="3">
      <x v="3"/>
      <x v="50"/>
    </i>
    <i r="1">
      <x v="24"/>
      <x v="17"/>
      <x/>
      <x v="51"/>
    </i>
    <i r="3">
      <x v="1"/>
      <x v="51"/>
    </i>
    <i r="3">
      <x v="2"/>
      <x v="51"/>
    </i>
    <i r="3">
      <x v="3"/>
      <x v="51"/>
    </i>
    <i r="1">
      <x v="25"/>
      <x v="17"/>
      <x/>
      <x v="52"/>
    </i>
    <i r="3">
      <x v="1"/>
      <x v="52"/>
    </i>
    <i r="3">
      <x v="2"/>
      <x v="52"/>
    </i>
    <i r="3">
      <x v="3"/>
      <x v="52"/>
    </i>
    <i r="1">
      <x v="26"/>
      <x v="17"/>
      <x/>
      <x v="53"/>
    </i>
    <i r="3">
      <x v="1"/>
      <x v="53"/>
    </i>
    <i r="3">
      <x v="2"/>
      <x v="53"/>
    </i>
    <i r="3">
      <x v="3"/>
      <x v="53"/>
    </i>
    <i r="1">
      <x v="27"/>
      <x v="17"/>
      <x/>
      <x v="54"/>
    </i>
    <i r="3">
      <x v="1"/>
      <x v="54"/>
    </i>
    <i r="3">
      <x v="2"/>
      <x v="54"/>
    </i>
    <i r="3">
      <x v="3"/>
      <x v="54"/>
    </i>
    <i r="1">
      <x v="28"/>
      <x v="17"/>
      <x/>
      <x v="55"/>
    </i>
    <i r="3">
      <x v="1"/>
      <x v="55"/>
    </i>
    <i r="3">
      <x v="2"/>
      <x v="55"/>
    </i>
    <i r="3">
      <x v="3"/>
      <x v="55"/>
    </i>
    <i r="1">
      <x v="29"/>
      <x v="17"/>
      <x/>
      <x v="56"/>
    </i>
    <i r="3">
      <x v="1"/>
      <x v="56"/>
    </i>
    <i r="3">
      <x v="2"/>
      <x v="56"/>
    </i>
    <i r="3">
      <x v="3"/>
      <x v="56"/>
    </i>
    <i r="1">
      <x v="30"/>
      <x v="17"/>
      <x/>
      <x v="57"/>
    </i>
    <i r="3">
      <x v="1"/>
      <x v="57"/>
    </i>
    <i r="3">
      <x v="2"/>
      <x v="57"/>
    </i>
    <i r="3">
      <x v="3"/>
      <x v="57"/>
    </i>
    <i r="1">
      <x v="31"/>
      <x v="17"/>
      <x/>
      <x v="58"/>
    </i>
    <i r="3">
      <x v="1"/>
      <x v="58"/>
    </i>
    <i r="3">
      <x v="2"/>
      <x v="58"/>
    </i>
    <i r="3">
      <x v="3"/>
      <x v="58"/>
    </i>
    <i r="1">
      <x v="32"/>
      <x v="17"/>
      <x/>
      <x v="59"/>
    </i>
    <i r="3">
      <x v="1"/>
      <x v="59"/>
    </i>
    <i r="3">
      <x v="2"/>
      <x v="59"/>
    </i>
    <i r="3">
      <x v="3"/>
      <x v="59"/>
    </i>
    <i r="1">
      <x v="33"/>
      <x v="17"/>
      <x/>
      <x v="60"/>
    </i>
    <i r="3">
      <x v="1"/>
      <x v="60"/>
    </i>
    <i r="3">
      <x v="2"/>
      <x v="60"/>
    </i>
    <i r="3">
      <x v="3"/>
      <x v="60"/>
    </i>
    <i r="1">
      <x v="34"/>
      <x v="17"/>
      <x/>
      <x v="61"/>
    </i>
    <i r="3">
      <x v="1"/>
      <x v="61"/>
    </i>
    <i r="3">
      <x v="2"/>
      <x v="61"/>
    </i>
    <i r="3">
      <x v="3"/>
      <x v="61"/>
    </i>
    <i r="1">
      <x v="35"/>
      <x v="17"/>
      <x/>
      <x v="62"/>
    </i>
    <i r="3">
      <x v="1"/>
      <x v="62"/>
    </i>
    <i r="3">
      <x v="2"/>
      <x v="62"/>
    </i>
    <i r="1">
      <x v="36"/>
      <x v="17"/>
      <x/>
      <x v="63"/>
    </i>
    <i r="3">
      <x v="1"/>
      <x v="63"/>
    </i>
    <i r="3">
      <x v="2"/>
      <x v="63"/>
    </i>
    <i r="1">
      <x v="37"/>
      <x v="17"/>
      <x/>
      <x v="64"/>
    </i>
    <i r="3">
      <x v="1"/>
      <x v="64"/>
    </i>
    <i r="3">
      <x v="2"/>
      <x v="64"/>
    </i>
    <i>
      <x v="5"/>
      <x v="38"/>
      <x v="18"/>
      <x/>
      <x v="65"/>
    </i>
    <i r="3">
      <x v="1"/>
      <x v="65"/>
    </i>
    <i r="3">
      <x v="2"/>
      <x v="65"/>
    </i>
    <i r="3">
      <x v="3"/>
      <x v="65"/>
    </i>
    <i r="2">
      <x v="19"/>
      <x/>
      <x v="66"/>
    </i>
    <i r="3">
      <x v="1"/>
      <x v="66"/>
    </i>
    <i r="3">
      <x v="2"/>
      <x v="66"/>
    </i>
    <i r="3">
      <x v="3"/>
      <x v="66"/>
    </i>
    <i r="2">
      <x v="20"/>
      <x/>
      <x v="67"/>
    </i>
    <i r="3">
      <x v="1"/>
      <x v="67"/>
    </i>
    <i r="3">
      <x v="2"/>
      <x v="67"/>
    </i>
    <i r="3">
      <x v="3"/>
      <x v="67"/>
    </i>
    <i r="2">
      <x v="21"/>
      <x/>
      <x v="68"/>
    </i>
    <i r="3">
      <x v="1"/>
      <x v="68"/>
    </i>
    <i r="3">
      <x v="2"/>
      <x v="68"/>
    </i>
    <i r="3">
      <x v="3"/>
      <x v="68"/>
    </i>
    <i>
      <x v="6"/>
      <x v="39"/>
      <x v="1"/>
      <x/>
      <x v="70"/>
    </i>
    <i r="3">
      <x v="1"/>
      <x v="70"/>
    </i>
    <i r="3">
      <x v="2"/>
      <x v="70"/>
    </i>
    <i r="3">
      <x v="3"/>
      <x v="70"/>
    </i>
    <i r="2">
      <x v="22"/>
      <x/>
      <x v="69"/>
    </i>
    <i r="3">
      <x v="1"/>
      <x v="69"/>
    </i>
    <i r="3">
      <x v="2"/>
      <x v="69"/>
    </i>
    <i r="3">
      <x v="3"/>
      <x v="69"/>
    </i>
    <i>
      <x v="7"/>
      <x v="40"/>
      <x v="2"/>
      <x/>
      <x v="71"/>
    </i>
    <i r="3">
      <x v="1"/>
      <x v="71"/>
    </i>
    <i r="3">
      <x v="2"/>
      <x v="71"/>
    </i>
    <i r="3">
      <x v="3"/>
      <x v="71"/>
    </i>
    <i>
      <x v="8"/>
      <x v="41"/>
      <x v="13"/>
      <x/>
      <x v="72"/>
    </i>
    <i r="3">
      <x v="1"/>
      <x v="72"/>
    </i>
    <i r="3">
      <x v="2"/>
      <x v="72"/>
    </i>
    <i r="3">
      <x v="3"/>
      <x v="72"/>
    </i>
    <i r="2">
      <x v="23"/>
      <x/>
      <x v="77"/>
    </i>
    <i r="3">
      <x v="1"/>
      <x v="77"/>
    </i>
    <i r="3">
      <x v="2"/>
      <x v="77"/>
    </i>
    <i r="3">
      <x v="3"/>
      <x v="77"/>
    </i>
    <i r="1">
      <x v="42"/>
      <x v="13"/>
      <x/>
      <x v="73"/>
    </i>
    <i r="3">
      <x v="1"/>
      <x v="73"/>
    </i>
    <i r="3">
      <x v="2"/>
      <x v="73"/>
    </i>
    <i r="3">
      <x v="3"/>
      <x v="73"/>
    </i>
    <i r="2">
      <x v="23"/>
      <x/>
      <x v="78"/>
    </i>
    <i r="3">
      <x v="1"/>
      <x v="78"/>
    </i>
    <i r="3">
      <x v="2"/>
      <x v="78"/>
    </i>
    <i r="3">
      <x v="3"/>
      <x v="78"/>
    </i>
    <i r="1">
      <x v="43"/>
      <x v="14"/>
      <x/>
      <x v="74"/>
    </i>
    <i r="3">
      <x v="1"/>
      <x v="74"/>
    </i>
    <i r="3">
      <x v="2"/>
      <x v="74"/>
    </i>
    <i r="3">
      <x v="3"/>
      <x v="74"/>
    </i>
    <i r="2">
      <x v="15"/>
      <x/>
      <x v="75"/>
    </i>
    <i r="3">
      <x v="1"/>
      <x v="75"/>
    </i>
    <i r="3">
      <x v="2"/>
      <x v="75"/>
    </i>
    <i r="3">
      <x v="3"/>
      <x v="75"/>
    </i>
    <i r="1">
      <x v="44"/>
      <x v="16"/>
      <x/>
      <x v="76"/>
    </i>
    <i r="3">
      <x v="1"/>
      <x v="76"/>
    </i>
    <i r="3">
      <x v="2"/>
      <x v="76"/>
    </i>
    <i r="3">
      <x v="3"/>
      <x v="76"/>
    </i>
    <i>
      <x v="9"/>
      <x v="45"/>
      <x v="3"/>
      <x/>
      <x v="79"/>
    </i>
    <i r="3">
      <x v="1"/>
      <x v="79"/>
    </i>
    <i r="3">
      <x v="2"/>
      <x v="79"/>
    </i>
    <i r="3">
      <x v="3"/>
      <x v="79"/>
    </i>
    <i r="1">
      <x v="46"/>
      <x v="3"/>
      <x/>
      <x v="80"/>
    </i>
    <i r="3">
      <x v="1"/>
      <x v="80"/>
    </i>
    <i r="3">
      <x v="2"/>
      <x v="80"/>
    </i>
    <i r="3">
      <x v="3"/>
      <x v="80"/>
    </i>
    <i r="1">
      <x v="47"/>
      <x v="3"/>
      <x/>
      <x v="81"/>
    </i>
    <i r="3">
      <x v="1"/>
      <x v="81"/>
    </i>
    <i r="3">
      <x v="2"/>
      <x v="81"/>
    </i>
    <i r="3">
      <x v="3"/>
      <x v="81"/>
    </i>
    <i r="1">
      <x v="48"/>
      <x v="3"/>
      <x/>
      <x v="82"/>
    </i>
    <i r="3">
      <x v="1"/>
      <x v="82"/>
    </i>
    <i r="3">
      <x v="2"/>
      <x v="82"/>
    </i>
    <i r="3">
      <x v="3"/>
      <x v="82"/>
    </i>
    <i>
      <x v="10"/>
      <x v="49"/>
      <x v="24"/>
      <x/>
      <x v="85"/>
    </i>
    <i r="3">
      <x v="1"/>
      <x v="85"/>
    </i>
    <i r="3">
      <x v="2"/>
      <x v="85"/>
    </i>
    <i r="3">
      <x v="3"/>
      <x v="85"/>
    </i>
    <i r="1">
      <x v="59"/>
      <x v="24"/>
      <x v="3"/>
      <x v="117"/>
    </i>
    <i>
      <x v="11"/>
      <x v="49"/>
      <x v="52"/>
      <x/>
      <x v="133"/>
    </i>
    <i r="3">
      <x v="1"/>
      <x v="133"/>
    </i>
    <i r="3">
      <x v="2"/>
      <x v="133"/>
    </i>
    <i r="3">
      <x v="3"/>
      <x v="133"/>
    </i>
    <i r="1">
      <x v="58"/>
      <x v="37"/>
      <x/>
      <x v="115"/>
    </i>
    <i r="3">
      <x v="1"/>
      <x v="115"/>
    </i>
    <i r="3">
      <x v="2"/>
      <x v="115"/>
    </i>
    <i r="3">
      <x v="3"/>
      <x v="115"/>
    </i>
    <i r="2">
      <x v="38"/>
      <x/>
      <x v="116"/>
    </i>
    <i r="3">
      <x v="1"/>
      <x v="116"/>
    </i>
    <i r="3">
      <x v="2"/>
      <x v="116"/>
    </i>
    <i r="3">
      <x v="3"/>
      <x v="116"/>
    </i>
    <i r="1">
      <x v="59"/>
      <x v="52"/>
      <x v="3"/>
      <x v="134"/>
    </i>
    <i>
      <x v="12"/>
      <x v="60"/>
      <x v="2"/>
      <x/>
      <x v="118"/>
    </i>
    <i r="3">
      <x v="1"/>
      <x v="118"/>
    </i>
    <i r="3">
      <x v="2"/>
      <x v="118"/>
    </i>
    <i r="3">
      <x v="3"/>
      <x v="118"/>
    </i>
    <i r="1">
      <x v="61"/>
      <x v="2"/>
      <x/>
      <x v="119"/>
    </i>
    <i r="3">
      <x v="1"/>
      <x v="119"/>
    </i>
    <i r="3">
      <x v="2"/>
      <x v="119"/>
    </i>
    <i r="3">
      <x v="3"/>
      <x v="119"/>
    </i>
    <i>
      <x v="13"/>
      <x v="63"/>
      <x v="40"/>
      <x/>
      <x v="121"/>
    </i>
    <i r="3">
      <x v="1"/>
      <x v="121"/>
    </i>
    <i r="3">
      <x v="2"/>
      <x v="121"/>
    </i>
    <i r="3">
      <x v="3"/>
      <x v="121"/>
    </i>
    <i r="2">
      <x v="41"/>
      <x/>
      <x v="122"/>
    </i>
    <i r="3">
      <x v="1"/>
      <x v="122"/>
    </i>
    <i r="3">
      <x v="2"/>
      <x v="122"/>
    </i>
    <i r="3">
      <x v="3"/>
      <x v="122"/>
    </i>
    <i r="2">
      <x v="42"/>
      <x/>
      <x v="123"/>
    </i>
    <i r="3">
      <x v="1"/>
      <x v="123"/>
    </i>
    <i r="3">
      <x v="2"/>
      <x v="123"/>
    </i>
    <i r="3">
      <x v="3"/>
      <x v="123"/>
    </i>
    <i r="1">
      <x v="64"/>
      <x v="43"/>
      <x/>
      <x v="124"/>
    </i>
    <i r="3">
      <x v="1"/>
      <x v="124"/>
    </i>
    <i r="3">
      <x v="2"/>
      <x v="124"/>
    </i>
    <i r="3">
      <x v="3"/>
      <x v="124"/>
    </i>
    <i r="2">
      <x v="44"/>
      <x/>
      <x v="125"/>
    </i>
    <i r="3">
      <x v="1"/>
      <x v="125"/>
    </i>
    <i r="3">
      <x v="2"/>
      <x v="125"/>
    </i>
    <i r="3">
      <x v="3"/>
      <x v="125"/>
    </i>
    <i r="1">
      <x v="65"/>
      <x v="45"/>
      <x/>
      <x v="126"/>
    </i>
    <i r="3">
      <x v="1"/>
      <x v="126"/>
    </i>
    <i r="3">
      <x v="2"/>
      <x v="126"/>
    </i>
    <i r="3">
      <x v="3"/>
      <x v="126"/>
    </i>
    <i r="2">
      <x v="46"/>
      <x/>
      <x v="127"/>
    </i>
    <i r="3">
      <x v="1"/>
      <x v="127"/>
    </i>
    <i r="3">
      <x v="2"/>
      <x v="127"/>
    </i>
    <i r="3">
      <x v="3"/>
      <x v="127"/>
    </i>
    <i r="2">
      <x v="47"/>
      <x/>
      <x v="128"/>
    </i>
    <i r="3">
      <x v="1"/>
      <x v="128"/>
    </i>
    <i r="3">
      <x v="2"/>
      <x v="128"/>
    </i>
    <i r="3">
      <x v="3"/>
      <x v="128"/>
    </i>
    <i r="1">
      <x v="66"/>
      <x v="48"/>
      <x/>
      <x v="129"/>
    </i>
    <i r="3">
      <x v="1"/>
      <x v="129"/>
    </i>
    <i r="3">
      <x v="2"/>
      <x v="129"/>
    </i>
    <i r="3">
      <x v="3"/>
      <x v="129"/>
    </i>
    <i r="2">
      <x v="49"/>
      <x/>
      <x v="130"/>
    </i>
    <i r="3">
      <x v="1"/>
      <x v="130"/>
    </i>
    <i r="3">
      <x v="2"/>
      <x v="130"/>
    </i>
    <i r="3">
      <x v="3"/>
      <x v="130"/>
    </i>
    <i r="2">
      <x v="50"/>
      <x/>
      <x v="131"/>
    </i>
    <i r="3">
      <x v="1"/>
      <x v="131"/>
    </i>
    <i r="3">
      <x v="2"/>
      <x v="131"/>
    </i>
    <i r="3">
      <x v="3"/>
      <x v="131"/>
    </i>
    <i r="2">
      <x v="51"/>
      <x/>
      <x v="132"/>
    </i>
    <i r="3">
      <x v="1"/>
      <x v="132"/>
    </i>
    <i r="3">
      <x v="2"/>
      <x v="132"/>
    </i>
    <i r="3">
      <x v="3"/>
      <x v="132"/>
    </i>
  </rowItems>
  <colFields count="1">
    <field x="10"/>
  </colFields>
  <colItems count="1">
    <i>
      <x/>
    </i>
  </colItems>
  <pageFields count="1">
    <pageField fld="0" item="0" hier="-1"/>
  </pageFields>
  <dataFields count="1">
    <dataField name="Max of Savings Rate" fld="11" subtotal="max" baseField="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2ACB77-86D5-4BC7-A272-06FE00533D91}"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axis="axisCol"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
    <field x="2"/>
    <field x="5"/>
    <field x="6"/>
    <field x="4"/>
  </rowFields>
  <rowItems count="535">
    <i>
      <x/>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1"/>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2"/>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3"/>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2">
      <x v="59"/>
      <x v="24"/>
      <x v="117"/>
    </i>
    <i r="1">
      <x v="11"/>
      <x v="49"/>
      <x v="52"/>
      <x v="133"/>
    </i>
    <i r="2">
      <x v="58"/>
      <x v="37"/>
      <x v="115"/>
    </i>
    <i r="3">
      <x v="38"/>
      <x v="116"/>
    </i>
    <i r="2">
      <x v="59"/>
      <x v="52"/>
      <x v="134"/>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rowItems>
  <colFields count="1">
    <field x="7"/>
  </colFields>
  <colItems count="3">
    <i>
      <x/>
    </i>
    <i>
      <x v="1"/>
    </i>
    <i>
      <x v="2"/>
    </i>
  </colItems>
  <pageFields count="1">
    <pageField fld="0" item="0" hier="-1"/>
  </pageFields>
  <dataFields count="1">
    <dataField name="Sum of Unit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927CBB-FFDB-469D-AB50-83515AB55CA6}" name="PivotTable1" cacheId="98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485" firstHeaderRow="1" firstDataRow="2" firstDataCol="3" rowPageCount="1" colPageCount="1"/>
  <pivotFields count="6">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161">
        <item x="88"/>
        <item x="91"/>
        <item x="89"/>
        <item m="1" x="157"/>
        <item m="1" x="159"/>
        <item m="1" x="141"/>
        <item x="90"/>
        <item m="1" x="144"/>
        <item m="1" x="142"/>
        <item m="1" x="139"/>
        <item x="101"/>
        <item m="1" x="137"/>
        <item m="1" x="134"/>
        <item m="1" x="153"/>
        <item x="102"/>
        <item x="13"/>
        <item x="14"/>
        <item x="16"/>
        <item x="15"/>
        <item x="9"/>
        <item x="7"/>
        <item x="8"/>
        <item m="1" x="158"/>
        <item x="2"/>
        <item x="3"/>
        <item x="10"/>
        <item x="11"/>
        <item x="30"/>
        <item x="29"/>
        <item x="28"/>
        <item x="80"/>
        <item x="81"/>
        <item x="82"/>
        <item x="77"/>
        <item x="78"/>
        <item x="79"/>
        <item x="74"/>
        <item x="75"/>
        <item x="76"/>
        <item m="1" x="146"/>
        <item x="36"/>
        <item x="37"/>
        <item x="38"/>
        <item x="39"/>
        <item x="40"/>
        <item x="31"/>
        <item x="32"/>
        <item x="33"/>
        <item x="34"/>
        <item x="35"/>
        <item x="46"/>
        <item x="47"/>
        <item x="48"/>
        <item x="49"/>
        <item x="50"/>
        <item x="41"/>
        <item x="42"/>
        <item x="43"/>
        <item x="44"/>
        <item x="45"/>
        <item x="70"/>
        <item x="122"/>
        <item x="60"/>
        <item x="118"/>
        <item m="1" x="155"/>
        <item x="58"/>
        <item x="54"/>
        <item x="51"/>
        <item m="1" x="131"/>
        <item m="1" x="132"/>
        <item x="61"/>
        <item x="18"/>
        <item x="17"/>
        <item x="117"/>
        <item x="21"/>
        <item x="19"/>
        <item x="20"/>
        <item x="71"/>
        <item m="1" x="149"/>
        <item x="65"/>
        <item x="119"/>
        <item m="1" x="147"/>
        <item x="55"/>
        <item m="1" x="156"/>
        <item m="1" x="160"/>
        <item m="1" x="136"/>
        <item x="114"/>
        <item x="25"/>
        <item x="26"/>
        <item x="69"/>
        <item m="1" x="150"/>
        <item x="66"/>
        <item x="120"/>
        <item x="64"/>
        <item x="67"/>
        <item x="56"/>
        <item x="59"/>
        <item m="1" x="143"/>
        <item m="1" x="148"/>
        <item m="1" x="140"/>
        <item x="62"/>
        <item x="12"/>
        <item x="97"/>
        <item m="1" x="151"/>
        <item x="94"/>
        <item x="96"/>
        <item x="99"/>
        <item x="93"/>
        <item x="95"/>
        <item m="1" x="135"/>
        <item x="92"/>
        <item x="4"/>
        <item x="6"/>
        <item x="5"/>
        <item x="0"/>
        <item x="1"/>
        <item x="128"/>
        <item x="24"/>
        <item x="83"/>
        <item x="84"/>
        <item x="85"/>
        <item x="87"/>
        <item x="86"/>
        <item x="68"/>
        <item x="53"/>
        <item m="1" x="130"/>
        <item x="121"/>
        <item m="1" x="154"/>
        <item m="1" x="145"/>
        <item x="57"/>
        <item m="1" x="152"/>
        <item x="52"/>
        <item m="1" x="138"/>
        <item m="1" x="133"/>
        <item x="63"/>
        <item x="22"/>
        <item x="23"/>
        <item x="72"/>
        <item x="107"/>
        <item x="108"/>
        <item x="109"/>
        <item x="110"/>
        <item x="111"/>
        <item x="112"/>
        <item x="113"/>
        <item x="98"/>
        <item x="100"/>
        <item x="103"/>
        <item x="104"/>
        <item x="105"/>
        <item x="106"/>
        <item x="27"/>
        <item x="115"/>
        <item x="116"/>
        <item x="123"/>
        <item x="124"/>
        <item x="125"/>
        <item x="126"/>
        <item x="127"/>
        <item x="129"/>
        <item x="73"/>
      </items>
      <extLst>
        <ext xmlns:x14="http://schemas.microsoft.com/office/spreadsheetml/2009/9/main" uri="{2946ED86-A175-432a-8AC1-64E0C546D7DE}">
          <x14:pivotField fillDownLabels="1"/>
        </ext>
      </extLst>
    </pivotField>
    <pivotField axis="axisRow" compact="0" outline="0" showAll="0" defaultSubtotal="0">
      <items count="152">
        <item x="14"/>
        <item x="13"/>
        <item x="25"/>
        <item x="26"/>
        <item x="15"/>
        <item x="16"/>
        <item x="17"/>
        <item x="18"/>
        <item x="12"/>
        <item x="70"/>
        <item x="122"/>
        <item x="71"/>
        <item x="123"/>
        <item x="69"/>
        <item x="124"/>
        <item x="125"/>
        <item x="28"/>
        <item x="29"/>
        <item x="30"/>
        <item x="31"/>
        <item x="32"/>
        <item x="33"/>
        <item x="34"/>
        <item x="35"/>
        <item x="36"/>
        <item x="37"/>
        <item x="38"/>
        <item x="39"/>
        <item x="40"/>
        <item x="41"/>
        <item x="42"/>
        <item x="43"/>
        <item x="44"/>
        <item x="45"/>
        <item x="46"/>
        <item x="47"/>
        <item x="48"/>
        <item x="49"/>
        <item x="50"/>
        <item m="1" x="130"/>
        <item m="1" x="147"/>
        <item m="1" x="142"/>
        <item x="51"/>
        <item m="1" x="146"/>
        <item m="1" x="132"/>
        <item x="52"/>
        <item x="53"/>
        <item x="54"/>
        <item x="55"/>
        <item x="56"/>
        <item x="57"/>
        <item x="58"/>
        <item m="1" x="133"/>
        <item x="59"/>
        <item m="1" x="150"/>
        <item m="1" x="141"/>
        <item m="1" x="136"/>
        <item x="67"/>
        <item x="60"/>
        <item x="118"/>
        <item x="68"/>
        <item x="61"/>
        <item x="114"/>
        <item x="62"/>
        <item x="63"/>
        <item m="1" x="151"/>
        <item x="64"/>
        <item x="65"/>
        <item x="119"/>
        <item x="66"/>
        <item x="120"/>
        <item x="121"/>
        <item m="1" x="140"/>
        <item m="1" x="138"/>
        <item m="1" x="137"/>
        <item m="1" x="135"/>
        <item m="1" x="134"/>
        <item x="128"/>
        <item x="24"/>
        <item x="82"/>
        <item x="80"/>
        <item x="81"/>
        <item x="102"/>
        <item x="104"/>
        <item x="106"/>
        <item m="1" x="144"/>
        <item x="94"/>
        <item x="97"/>
        <item x="100"/>
        <item x="93"/>
        <item x="96"/>
        <item x="99"/>
        <item x="91"/>
        <item x="88"/>
        <item x="89"/>
        <item m="1" x="131"/>
        <item m="1" x="139"/>
        <item m="1" x="149"/>
        <item x="90"/>
        <item x="84"/>
        <item x="83"/>
        <item x="86"/>
        <item x="85"/>
        <item x="87"/>
        <item x="76"/>
        <item x="74"/>
        <item x="75"/>
        <item m="1" x="145"/>
        <item x="92"/>
        <item x="95"/>
        <item x="98"/>
        <item x="101"/>
        <item x="103"/>
        <item x="105"/>
        <item m="1" x="143"/>
        <item x="79"/>
        <item x="77"/>
        <item x="78"/>
        <item x="21"/>
        <item x="117"/>
        <item x="19"/>
        <item x="20"/>
        <item x="0"/>
        <item x="1"/>
        <item x="2"/>
        <item x="3"/>
        <item x="4"/>
        <item x="5"/>
        <item x="6"/>
        <item x="7"/>
        <item m="1" x="148"/>
        <item x="8"/>
        <item x="9"/>
        <item x="10"/>
        <item x="11"/>
        <item x="22"/>
        <item x="23"/>
        <item x="72"/>
        <item x="107"/>
        <item x="108"/>
        <item x="109"/>
        <item x="110"/>
        <item x="111"/>
        <item x="112"/>
        <item x="113"/>
        <item x="27"/>
        <item x="115"/>
        <item x="116"/>
        <item x="126"/>
        <item x="127"/>
        <item x="129"/>
        <item x="73"/>
      </items>
      <extLst>
        <ext xmlns:x14="http://schemas.microsoft.com/office/spreadsheetml/2009/9/main" uri="{2946ED86-A175-432a-8AC1-64E0C546D7DE}">
          <x14:pivotField fillDownLabels="1"/>
        </ext>
      </extLst>
    </pivotField>
    <pivotField axis="axisCol" compact="0" outline="0" subtotalTop="0" showAll="0" defaultSubtotal="0">
      <items count="5">
        <item x="3"/>
        <item x="2"/>
        <item x="1"/>
        <item x="0"/>
        <item x="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3"/>
    <field x="1"/>
  </rowFields>
  <rowItems count="481">
    <i>
      <x/>
      <x v="93"/>
      <x/>
    </i>
    <i r="2">
      <x v="1"/>
    </i>
    <i r="2">
      <x v="2"/>
    </i>
    <i r="2">
      <x v="3"/>
    </i>
    <i>
      <x v="1"/>
      <x v="92"/>
      <x/>
    </i>
    <i r="2">
      <x v="1"/>
    </i>
    <i r="2">
      <x v="2"/>
    </i>
    <i r="2">
      <x v="3"/>
    </i>
    <i>
      <x v="2"/>
      <x v="94"/>
      <x/>
    </i>
    <i r="2">
      <x v="1"/>
    </i>
    <i r="2">
      <x v="2"/>
    </i>
    <i r="2">
      <x v="3"/>
    </i>
    <i>
      <x v="6"/>
      <x v="98"/>
      <x/>
    </i>
    <i r="2">
      <x v="1"/>
    </i>
    <i r="2">
      <x v="2"/>
    </i>
    <i r="2">
      <x v="3"/>
    </i>
    <i>
      <x v="10"/>
      <x v="111"/>
      <x/>
    </i>
    <i r="2">
      <x v="1"/>
    </i>
    <i r="2">
      <x v="2"/>
    </i>
    <i r="2">
      <x v="3"/>
    </i>
    <i>
      <x v="14"/>
      <x v="82"/>
      <x/>
    </i>
    <i r="2">
      <x v="1"/>
    </i>
    <i r="2">
      <x v="2"/>
    </i>
    <i r="2">
      <x v="3"/>
    </i>
    <i>
      <x v="15"/>
      <x v="1"/>
      <x/>
    </i>
    <i r="2">
      <x v="1"/>
    </i>
    <i r="2">
      <x v="2"/>
    </i>
    <i r="2">
      <x v="3"/>
    </i>
    <i>
      <x v="16"/>
      <x/>
      <x/>
    </i>
    <i r="2">
      <x v="1"/>
    </i>
    <i r="2">
      <x v="2"/>
    </i>
    <i r="2">
      <x v="3"/>
    </i>
    <i>
      <x v="17"/>
      <x v="5"/>
      <x/>
    </i>
    <i r="2">
      <x v="1"/>
    </i>
    <i r="2">
      <x v="2"/>
    </i>
    <i r="2">
      <x v="3"/>
    </i>
    <i>
      <x v="18"/>
      <x v="4"/>
      <x/>
    </i>
    <i r="2">
      <x v="1"/>
    </i>
    <i r="2">
      <x v="2"/>
    </i>
    <i r="2">
      <x v="3"/>
    </i>
    <i>
      <x v="19"/>
      <x v="132"/>
      <x/>
    </i>
    <i r="2">
      <x v="1"/>
    </i>
    <i r="2">
      <x v="2"/>
    </i>
    <i r="2">
      <x v="3"/>
    </i>
    <i>
      <x v="20"/>
      <x v="129"/>
      <x/>
    </i>
    <i r="2">
      <x v="1"/>
    </i>
    <i r="2">
      <x v="2"/>
    </i>
    <i r="2">
      <x v="3"/>
    </i>
    <i>
      <x v="21"/>
      <x v="131"/>
      <x/>
    </i>
    <i r="2">
      <x v="1"/>
    </i>
    <i r="2">
      <x v="2"/>
    </i>
    <i r="2">
      <x v="3"/>
    </i>
    <i>
      <x v="23"/>
      <x v="124"/>
      <x/>
    </i>
    <i r="2">
      <x v="1"/>
    </i>
    <i r="2">
      <x v="2"/>
    </i>
    <i r="2">
      <x v="3"/>
    </i>
    <i>
      <x v="24"/>
      <x v="125"/>
      <x/>
    </i>
    <i r="2">
      <x v="1"/>
    </i>
    <i r="2">
      <x v="2"/>
    </i>
    <i r="2">
      <x v="3"/>
    </i>
    <i>
      <x v="25"/>
      <x v="133"/>
      <x/>
    </i>
    <i r="2">
      <x v="1"/>
    </i>
    <i r="2">
      <x v="2"/>
    </i>
    <i r="2">
      <x v="3"/>
    </i>
    <i>
      <x v="26"/>
      <x v="134"/>
      <x/>
    </i>
    <i r="2">
      <x v="1"/>
    </i>
    <i r="2">
      <x v="2"/>
    </i>
    <i r="2">
      <x v="3"/>
    </i>
    <i>
      <x v="27"/>
      <x v="18"/>
      <x/>
    </i>
    <i r="2">
      <x v="1"/>
    </i>
    <i r="2">
      <x v="2"/>
    </i>
    <i r="2">
      <x v="3"/>
    </i>
    <i>
      <x v="28"/>
      <x v="17"/>
      <x/>
    </i>
    <i r="2">
      <x v="1"/>
    </i>
    <i r="2">
      <x v="2"/>
    </i>
    <i r="2">
      <x v="3"/>
    </i>
    <i>
      <x v="29"/>
      <x v="16"/>
      <x/>
    </i>
    <i r="2">
      <x v="1"/>
    </i>
    <i r="2">
      <x v="2"/>
    </i>
    <i r="2">
      <x v="3"/>
    </i>
    <i>
      <x v="30"/>
      <x v="80"/>
      <x/>
    </i>
    <i r="2">
      <x v="1"/>
    </i>
    <i r="2">
      <x v="2"/>
    </i>
    <i r="2">
      <x v="3"/>
    </i>
    <i>
      <x v="31"/>
      <x v="81"/>
      <x/>
    </i>
    <i r="2">
      <x v="1"/>
    </i>
    <i r="2">
      <x v="2"/>
    </i>
    <i r="2">
      <x v="3"/>
    </i>
    <i>
      <x v="32"/>
      <x v="79"/>
      <x/>
    </i>
    <i r="2">
      <x v="1"/>
    </i>
    <i r="2">
      <x v="2"/>
    </i>
    <i r="2">
      <x v="3"/>
    </i>
    <i>
      <x v="33"/>
      <x v="116"/>
      <x/>
    </i>
    <i r="2">
      <x v="1"/>
    </i>
    <i r="2">
      <x v="2"/>
    </i>
    <i r="2">
      <x v="3"/>
    </i>
    <i>
      <x v="34"/>
      <x v="117"/>
      <x/>
    </i>
    <i r="2">
      <x v="1"/>
    </i>
    <i r="2">
      <x v="2"/>
    </i>
    <i r="2">
      <x v="3"/>
    </i>
    <i>
      <x v="35"/>
      <x v="115"/>
      <x/>
    </i>
    <i r="2">
      <x v="1"/>
    </i>
    <i r="2">
      <x v="2"/>
    </i>
    <i r="2">
      <x v="3"/>
    </i>
    <i>
      <x v="36"/>
      <x v="105"/>
      <x/>
    </i>
    <i r="2">
      <x v="1"/>
    </i>
    <i r="2">
      <x v="2"/>
    </i>
    <i r="2">
      <x v="3"/>
    </i>
    <i>
      <x v="37"/>
      <x v="106"/>
      <x/>
    </i>
    <i r="2">
      <x v="1"/>
    </i>
    <i r="2">
      <x v="2"/>
    </i>
    <i r="2">
      <x v="3"/>
    </i>
    <i>
      <x v="38"/>
      <x v="104"/>
      <x/>
    </i>
    <i r="2">
      <x v="1"/>
    </i>
    <i r="2">
      <x v="2"/>
    </i>
    <i r="2">
      <x v="3"/>
    </i>
    <i>
      <x v="40"/>
      <x v="24"/>
      <x/>
    </i>
    <i r="2">
      <x v="1"/>
    </i>
    <i r="2">
      <x v="2"/>
    </i>
    <i r="2">
      <x v="3"/>
    </i>
    <i>
      <x v="41"/>
      <x v="25"/>
      <x/>
    </i>
    <i r="2">
      <x v="1"/>
    </i>
    <i r="2">
      <x v="2"/>
    </i>
    <i r="2">
      <x v="3"/>
    </i>
    <i>
      <x v="42"/>
      <x v="26"/>
      <x/>
    </i>
    <i r="2">
      <x v="1"/>
    </i>
    <i r="2">
      <x v="2"/>
    </i>
    <i r="2">
      <x v="3"/>
    </i>
    <i>
      <x v="43"/>
      <x v="27"/>
      <x/>
    </i>
    <i r="2">
      <x v="1"/>
    </i>
    <i r="2">
      <x v="2"/>
    </i>
    <i r="2">
      <x v="3"/>
    </i>
    <i>
      <x v="44"/>
      <x v="28"/>
      <x/>
    </i>
    <i r="2">
      <x v="1"/>
    </i>
    <i r="2">
      <x v="2"/>
    </i>
    <i r="2">
      <x v="3"/>
    </i>
    <i>
      <x v="45"/>
      <x v="19"/>
      <x/>
    </i>
    <i r="2">
      <x v="1"/>
    </i>
    <i r="2">
      <x v="2"/>
    </i>
    <i r="2">
      <x v="3"/>
    </i>
    <i>
      <x v="46"/>
      <x v="20"/>
      <x/>
    </i>
    <i r="2">
      <x v="1"/>
    </i>
    <i r="2">
      <x v="2"/>
    </i>
    <i r="2">
      <x v="3"/>
    </i>
    <i>
      <x v="47"/>
      <x v="21"/>
      <x/>
    </i>
    <i r="2">
      <x v="1"/>
    </i>
    <i r="2">
      <x v="2"/>
    </i>
    <i r="2">
      <x v="3"/>
    </i>
    <i>
      <x v="48"/>
      <x v="22"/>
      <x/>
    </i>
    <i r="2">
      <x v="1"/>
    </i>
    <i r="2">
      <x v="2"/>
    </i>
    <i r="2">
      <x v="3"/>
    </i>
    <i>
      <x v="49"/>
      <x v="23"/>
      <x/>
    </i>
    <i r="2">
      <x v="1"/>
    </i>
    <i r="2">
      <x v="2"/>
    </i>
    <i r="2">
      <x v="3"/>
    </i>
    <i>
      <x v="50"/>
      <x v="34"/>
      <x/>
    </i>
    <i r="2">
      <x v="1"/>
    </i>
    <i r="2">
      <x v="2"/>
    </i>
    <i r="2">
      <x v="3"/>
    </i>
    <i>
      <x v="51"/>
      <x v="35"/>
      <x/>
    </i>
    <i r="2">
      <x v="1"/>
    </i>
    <i r="2">
      <x v="2"/>
    </i>
    <i r="2">
      <x v="3"/>
    </i>
    <i>
      <x v="52"/>
      <x v="36"/>
      <x/>
    </i>
    <i r="2">
      <x v="1"/>
    </i>
    <i r="2">
      <x v="2"/>
    </i>
    <i r="2">
      <x v="3"/>
    </i>
    <i>
      <x v="53"/>
      <x v="37"/>
      <x/>
    </i>
    <i r="2">
      <x v="1"/>
    </i>
    <i r="2">
      <x v="2"/>
    </i>
    <i r="2">
      <x v="3"/>
    </i>
    <i>
      <x v="54"/>
      <x v="38"/>
      <x/>
    </i>
    <i r="2">
      <x v="1"/>
    </i>
    <i r="2">
      <x v="2"/>
    </i>
    <i r="2">
      <x v="3"/>
    </i>
    <i>
      <x v="55"/>
      <x v="29"/>
      <x/>
    </i>
    <i r="2">
      <x v="1"/>
    </i>
    <i r="2">
      <x v="2"/>
    </i>
    <i r="2">
      <x v="3"/>
    </i>
    <i>
      <x v="56"/>
      <x v="30"/>
      <x/>
    </i>
    <i r="2">
      <x v="1"/>
    </i>
    <i r="2">
      <x v="2"/>
    </i>
    <i r="2">
      <x v="3"/>
    </i>
    <i>
      <x v="57"/>
      <x v="31"/>
      <x/>
    </i>
    <i r="2">
      <x v="1"/>
    </i>
    <i r="2">
      <x v="2"/>
    </i>
    <i r="2">
      <x v="3"/>
    </i>
    <i>
      <x v="58"/>
      <x v="32"/>
      <x/>
    </i>
    <i r="2">
      <x v="1"/>
    </i>
    <i r="2">
      <x v="2"/>
    </i>
    <i r="2">
      <x v="3"/>
    </i>
    <i>
      <x v="59"/>
      <x v="33"/>
      <x/>
    </i>
    <i r="2">
      <x v="1"/>
    </i>
    <i r="2">
      <x v="2"/>
    </i>
    <i r="2">
      <x v="3"/>
    </i>
    <i>
      <x v="60"/>
      <x v="9"/>
      <x/>
    </i>
    <i r="2">
      <x v="1"/>
    </i>
    <i r="2">
      <x v="2"/>
    </i>
    <i r="2">
      <x v="3"/>
    </i>
    <i>
      <x v="61"/>
      <x v="10"/>
      <x v="2"/>
    </i>
    <i r="2">
      <x v="3"/>
    </i>
    <i>
      <x v="62"/>
      <x v="58"/>
      <x/>
    </i>
    <i r="2">
      <x v="1"/>
    </i>
    <i r="2">
      <x v="2"/>
    </i>
    <i r="2">
      <x v="3"/>
    </i>
    <i>
      <x v="63"/>
      <x v="59"/>
      <x v="2"/>
    </i>
    <i r="2">
      <x v="3"/>
    </i>
    <i>
      <x v="65"/>
      <x v="51"/>
      <x/>
    </i>
    <i r="2">
      <x v="1"/>
    </i>
    <i r="2">
      <x v="2"/>
    </i>
    <i>
      <x v="66"/>
      <x v="47"/>
      <x/>
    </i>
    <i r="2">
      <x v="1"/>
    </i>
    <i r="2">
      <x v="2"/>
    </i>
    <i r="2">
      <x v="3"/>
    </i>
    <i>
      <x v="67"/>
      <x v="42"/>
      <x/>
    </i>
    <i r="2">
      <x v="1"/>
    </i>
    <i>
      <x v="70"/>
      <x v="61"/>
      <x/>
    </i>
    <i r="2">
      <x v="1"/>
    </i>
    <i r="2">
      <x v="2"/>
    </i>
    <i r="2">
      <x v="3"/>
    </i>
    <i>
      <x v="71"/>
      <x v="7"/>
      <x/>
    </i>
    <i r="2">
      <x v="1"/>
    </i>
    <i r="2">
      <x v="2"/>
    </i>
    <i r="2">
      <x v="3"/>
    </i>
    <i>
      <x v="72"/>
      <x v="6"/>
      <x/>
    </i>
    <i r="2">
      <x v="1"/>
    </i>
    <i r="2">
      <x v="2"/>
    </i>
    <i r="2">
      <x v="3"/>
    </i>
    <i>
      <x v="73"/>
      <x v="119"/>
      <x v="2"/>
    </i>
    <i r="2">
      <x v="3"/>
    </i>
    <i>
      <x v="74"/>
      <x v="118"/>
      <x/>
    </i>
    <i r="2">
      <x v="1"/>
    </i>
    <i r="2">
      <x v="2"/>
    </i>
    <i>
      <x v="75"/>
      <x v="120"/>
      <x/>
    </i>
    <i r="2">
      <x v="1"/>
    </i>
    <i r="2">
      <x v="2"/>
    </i>
    <i r="2">
      <x v="3"/>
    </i>
    <i>
      <x v="76"/>
      <x v="121"/>
      <x/>
    </i>
    <i r="2">
      <x v="1"/>
    </i>
    <i r="2">
      <x v="2"/>
    </i>
    <i r="2">
      <x v="3"/>
    </i>
    <i>
      <x v="77"/>
      <x v="11"/>
      <x/>
    </i>
    <i r="2">
      <x v="1"/>
    </i>
    <i r="2">
      <x v="2"/>
    </i>
    <i r="2">
      <x v="3"/>
    </i>
    <i>
      <x v="79"/>
      <x v="67"/>
      <x/>
    </i>
    <i r="2">
      <x v="1"/>
    </i>
    <i r="2">
      <x v="2"/>
    </i>
    <i r="2">
      <x v="3"/>
    </i>
    <i>
      <x v="80"/>
      <x v="68"/>
      <x v="2"/>
    </i>
    <i r="2">
      <x v="3"/>
    </i>
    <i>
      <x v="82"/>
      <x v="48"/>
      <x/>
    </i>
    <i r="2">
      <x v="1"/>
    </i>
    <i r="2">
      <x v="2"/>
    </i>
    <i r="2">
      <x v="3"/>
    </i>
    <i>
      <x v="86"/>
      <x v="62"/>
      <x v="1"/>
    </i>
    <i r="2">
      <x v="2"/>
    </i>
    <i r="2">
      <x v="3"/>
    </i>
    <i>
      <x v="87"/>
      <x v="2"/>
      <x/>
    </i>
    <i r="2">
      <x v="1"/>
    </i>
    <i r="2">
      <x v="2"/>
    </i>
    <i r="2">
      <x v="3"/>
    </i>
    <i>
      <x v="88"/>
      <x v="3"/>
      <x/>
    </i>
    <i r="2">
      <x v="1"/>
    </i>
    <i r="2">
      <x v="2"/>
    </i>
    <i r="2">
      <x v="3"/>
    </i>
    <i>
      <x v="89"/>
      <x v="13"/>
      <x/>
    </i>
    <i r="2">
      <x v="1"/>
    </i>
    <i r="2">
      <x v="2"/>
    </i>
    <i r="2">
      <x v="3"/>
    </i>
    <i>
      <x v="91"/>
      <x v="69"/>
      <x/>
    </i>
    <i r="2">
      <x v="1"/>
    </i>
    <i r="2">
      <x v="2"/>
    </i>
    <i r="2">
      <x v="3"/>
    </i>
    <i>
      <x v="92"/>
      <x v="70"/>
      <x v="2"/>
    </i>
    <i r="2">
      <x v="3"/>
    </i>
    <i>
      <x v="93"/>
      <x v="66"/>
      <x/>
    </i>
    <i r="2">
      <x v="1"/>
    </i>
    <i r="2">
      <x v="2"/>
    </i>
    <i r="2">
      <x v="3"/>
    </i>
    <i>
      <x v="94"/>
      <x v="57"/>
      <x/>
    </i>
    <i r="2">
      <x v="1"/>
    </i>
    <i r="2">
      <x v="2"/>
    </i>
    <i r="2">
      <x v="3"/>
    </i>
    <i>
      <x v="95"/>
      <x v="49"/>
      <x/>
    </i>
    <i r="2">
      <x v="1"/>
    </i>
    <i r="2">
      <x v="2"/>
    </i>
    <i>
      <x v="96"/>
      <x v="53"/>
      <x/>
    </i>
    <i r="2">
      <x v="1"/>
    </i>
    <i r="2">
      <x v="2"/>
    </i>
    <i>
      <x v="100"/>
      <x v="63"/>
      <x/>
    </i>
    <i r="2">
      <x v="1"/>
    </i>
    <i r="2">
      <x v="2"/>
    </i>
    <i r="2">
      <x v="3"/>
    </i>
    <i>
      <x v="101"/>
      <x v="8"/>
      <x/>
    </i>
    <i r="2">
      <x v="1"/>
    </i>
    <i r="2">
      <x v="2"/>
    </i>
    <i r="2">
      <x v="3"/>
    </i>
    <i>
      <x v="102"/>
      <x v="87"/>
      <x/>
    </i>
    <i r="2">
      <x v="1"/>
    </i>
    <i r="2">
      <x v="2"/>
    </i>
    <i r="2">
      <x v="3"/>
    </i>
    <i>
      <x v="104"/>
      <x v="86"/>
      <x/>
    </i>
    <i r="2">
      <x v="1"/>
    </i>
    <i r="2">
      <x v="2"/>
    </i>
    <i r="2">
      <x v="3"/>
    </i>
    <i>
      <x v="105"/>
      <x v="90"/>
      <x/>
    </i>
    <i r="2">
      <x v="1"/>
    </i>
    <i r="2">
      <x v="2"/>
    </i>
    <i r="2">
      <x v="3"/>
    </i>
    <i>
      <x v="106"/>
      <x v="91"/>
      <x/>
    </i>
    <i r="2">
      <x v="1"/>
    </i>
    <i r="2">
      <x v="2"/>
    </i>
    <i r="2">
      <x v="3"/>
    </i>
    <i>
      <x v="107"/>
      <x v="89"/>
      <x/>
    </i>
    <i r="2">
      <x v="1"/>
    </i>
    <i r="2">
      <x v="2"/>
    </i>
    <i r="2">
      <x v="3"/>
    </i>
    <i>
      <x v="108"/>
      <x v="109"/>
      <x/>
    </i>
    <i r="2">
      <x v="1"/>
    </i>
    <i r="2">
      <x v="2"/>
    </i>
    <i r="2">
      <x v="3"/>
    </i>
    <i>
      <x v="110"/>
      <x v="108"/>
      <x/>
    </i>
    <i r="2">
      <x v="1"/>
    </i>
    <i r="2">
      <x v="2"/>
    </i>
    <i r="2">
      <x v="3"/>
    </i>
    <i>
      <x v="111"/>
      <x v="126"/>
      <x/>
    </i>
    <i r="2">
      <x v="1"/>
    </i>
    <i r="2">
      <x v="2"/>
    </i>
    <i r="2">
      <x v="3"/>
    </i>
    <i>
      <x v="112"/>
      <x v="128"/>
      <x/>
    </i>
    <i r="2">
      <x v="1"/>
    </i>
    <i r="2">
      <x v="2"/>
    </i>
    <i r="2">
      <x v="3"/>
    </i>
    <i>
      <x v="113"/>
      <x v="127"/>
      <x/>
    </i>
    <i r="2">
      <x v="1"/>
    </i>
    <i r="2">
      <x v="2"/>
    </i>
    <i r="2">
      <x v="3"/>
    </i>
    <i>
      <x v="114"/>
      <x v="122"/>
      <x/>
    </i>
    <i r="2">
      <x v="1"/>
    </i>
    <i r="2">
      <x v="2"/>
    </i>
    <i r="2">
      <x v="3"/>
    </i>
    <i>
      <x v="115"/>
      <x v="123"/>
      <x/>
    </i>
    <i r="2">
      <x v="1"/>
    </i>
    <i r="2">
      <x v="2"/>
    </i>
    <i r="2">
      <x v="3"/>
    </i>
    <i>
      <x v="116"/>
      <x v="77"/>
      <x v="3"/>
    </i>
    <i>
      <x v="117"/>
      <x v="78"/>
      <x/>
    </i>
    <i r="2">
      <x v="1"/>
    </i>
    <i r="2">
      <x v="2"/>
    </i>
    <i r="2">
      <x v="3"/>
    </i>
    <i>
      <x v="118"/>
      <x v="100"/>
      <x/>
    </i>
    <i r="2">
      <x v="1"/>
    </i>
    <i r="2">
      <x v="2"/>
    </i>
    <i r="2">
      <x v="3"/>
    </i>
    <i>
      <x v="119"/>
      <x v="99"/>
      <x/>
    </i>
    <i r="2">
      <x v="1"/>
    </i>
    <i r="2">
      <x v="2"/>
    </i>
    <i r="2">
      <x v="3"/>
    </i>
    <i>
      <x v="120"/>
      <x v="102"/>
      <x/>
    </i>
    <i r="2">
      <x v="1"/>
    </i>
    <i r="2">
      <x v="2"/>
    </i>
    <i r="2">
      <x v="3"/>
    </i>
    <i>
      <x v="121"/>
      <x v="103"/>
      <x/>
    </i>
    <i r="2">
      <x v="1"/>
    </i>
    <i r="2">
      <x v="2"/>
    </i>
    <i r="2">
      <x v="3"/>
    </i>
    <i>
      <x v="122"/>
      <x v="101"/>
      <x/>
    </i>
    <i r="2">
      <x v="1"/>
    </i>
    <i r="2">
      <x v="2"/>
    </i>
    <i r="2">
      <x v="3"/>
    </i>
    <i>
      <x v="123"/>
      <x v="60"/>
      <x/>
    </i>
    <i r="2">
      <x v="1"/>
    </i>
    <i r="2">
      <x v="2"/>
    </i>
    <i r="2">
      <x v="3"/>
    </i>
    <i>
      <x v="124"/>
      <x v="46"/>
      <x/>
    </i>
    <i r="2">
      <x v="1"/>
    </i>
    <i r="2">
      <x v="2"/>
    </i>
    <i r="2">
      <x v="3"/>
    </i>
    <i>
      <x v="126"/>
      <x v="71"/>
      <x v="2"/>
    </i>
    <i r="2">
      <x v="3"/>
    </i>
    <i>
      <x v="129"/>
      <x v="50"/>
      <x/>
    </i>
    <i r="2">
      <x v="1"/>
    </i>
    <i r="2">
      <x v="2"/>
    </i>
    <i r="2">
      <x v="3"/>
    </i>
    <i>
      <x v="131"/>
      <x v="45"/>
      <x/>
    </i>
    <i r="2">
      <x v="1"/>
    </i>
    <i r="2">
      <x v="2"/>
    </i>
    <i r="2">
      <x v="3"/>
    </i>
    <i>
      <x v="134"/>
      <x v="64"/>
      <x/>
    </i>
    <i r="2">
      <x v="1"/>
    </i>
    <i r="2">
      <x v="2"/>
    </i>
    <i r="2">
      <x v="3"/>
    </i>
    <i>
      <x v="135"/>
      <x v="135"/>
      <x/>
    </i>
    <i r="2">
      <x v="1"/>
    </i>
    <i r="2">
      <x v="2"/>
    </i>
    <i>
      <x v="136"/>
      <x v="136"/>
      <x/>
    </i>
    <i r="2">
      <x v="1"/>
    </i>
    <i r="2">
      <x v="2"/>
    </i>
    <i>
      <x v="137"/>
      <x v="137"/>
      <x/>
    </i>
    <i r="2">
      <x v="1"/>
    </i>
    <i r="2">
      <x v="2"/>
    </i>
    <i r="2">
      <x v="3"/>
    </i>
    <i>
      <x v="138"/>
      <x v="138"/>
      <x/>
    </i>
    <i r="2">
      <x v="1"/>
    </i>
    <i r="2">
      <x v="2"/>
    </i>
    <i r="2">
      <x v="3"/>
    </i>
    <i>
      <x v="139"/>
      <x v="139"/>
      <x/>
    </i>
    <i r="2">
      <x v="1"/>
    </i>
    <i r="2">
      <x v="2"/>
    </i>
    <i r="2">
      <x v="3"/>
    </i>
    <i>
      <x v="140"/>
      <x v="140"/>
      <x/>
    </i>
    <i r="2">
      <x v="1"/>
    </i>
    <i r="2">
      <x v="2"/>
    </i>
    <i r="2">
      <x v="3"/>
    </i>
    <i>
      <x v="141"/>
      <x v="141"/>
      <x/>
    </i>
    <i r="2">
      <x v="1"/>
    </i>
    <i r="2">
      <x v="2"/>
    </i>
    <i r="2">
      <x v="3"/>
    </i>
    <i>
      <x v="142"/>
      <x v="142"/>
      <x/>
    </i>
    <i r="2">
      <x v="1"/>
    </i>
    <i r="2">
      <x v="2"/>
    </i>
    <i r="2">
      <x v="3"/>
    </i>
    <i>
      <x v="143"/>
      <x v="143"/>
      <x/>
    </i>
    <i r="2">
      <x v="1"/>
    </i>
    <i r="2">
      <x v="2"/>
    </i>
    <i r="2">
      <x v="3"/>
    </i>
    <i>
      <x v="144"/>
      <x v="144"/>
      <x/>
    </i>
    <i r="2">
      <x v="1"/>
    </i>
    <i r="2">
      <x v="2"/>
    </i>
    <i r="2">
      <x v="3"/>
    </i>
    <i>
      <x v="145"/>
      <x v="110"/>
      <x/>
    </i>
    <i r="2">
      <x v="1"/>
    </i>
    <i r="2">
      <x v="2"/>
    </i>
    <i r="2">
      <x v="3"/>
    </i>
    <i>
      <x v="146"/>
      <x v="88"/>
      <x/>
    </i>
    <i r="2">
      <x v="1"/>
    </i>
    <i r="2">
      <x v="2"/>
    </i>
    <i r="2">
      <x v="3"/>
    </i>
    <i>
      <x v="147"/>
      <x v="112"/>
      <x/>
    </i>
    <i r="2">
      <x v="1"/>
    </i>
    <i r="2">
      <x v="2"/>
    </i>
    <i r="2">
      <x v="3"/>
    </i>
    <i>
      <x v="148"/>
      <x v="83"/>
      <x/>
    </i>
    <i r="2">
      <x v="1"/>
    </i>
    <i r="2">
      <x v="2"/>
    </i>
    <i r="2">
      <x v="3"/>
    </i>
    <i>
      <x v="149"/>
      <x v="113"/>
      <x/>
    </i>
    <i r="2">
      <x v="1"/>
    </i>
    <i r="2">
      <x v="2"/>
    </i>
    <i r="2">
      <x v="3"/>
    </i>
    <i>
      <x v="150"/>
      <x v="84"/>
      <x/>
    </i>
    <i r="2">
      <x v="1"/>
    </i>
    <i r="2">
      <x v="2"/>
    </i>
    <i r="2">
      <x v="3"/>
    </i>
    <i>
      <x v="151"/>
      <x v="145"/>
      <x/>
    </i>
    <i r="2">
      <x v="1"/>
    </i>
    <i r="2">
      <x v="2"/>
    </i>
    <i r="2">
      <x v="3"/>
    </i>
    <i>
      <x v="152"/>
      <x v="146"/>
      <x v="1"/>
    </i>
    <i r="2">
      <x v="2"/>
    </i>
    <i r="2">
      <x v="3"/>
    </i>
    <i>
      <x v="153"/>
      <x v="147"/>
      <x v="1"/>
    </i>
    <i r="2">
      <x v="2"/>
    </i>
    <i r="2">
      <x v="3"/>
    </i>
    <i>
      <x v="154"/>
      <x v="12"/>
      <x v="2"/>
    </i>
    <i r="2">
      <x v="3"/>
    </i>
    <i>
      <x v="155"/>
      <x v="14"/>
      <x v="2"/>
    </i>
    <i r="2">
      <x v="3"/>
    </i>
    <i>
      <x v="156"/>
      <x v="15"/>
      <x v="2"/>
    </i>
    <i r="2">
      <x v="3"/>
    </i>
    <i>
      <x v="157"/>
      <x v="148"/>
      <x v="2"/>
    </i>
    <i r="2">
      <x v="3"/>
    </i>
    <i>
      <x v="158"/>
      <x v="149"/>
      <x v="2"/>
    </i>
    <i r="2">
      <x v="3"/>
    </i>
    <i>
      <x v="159"/>
      <x v="150"/>
      <x v="3"/>
    </i>
    <i>
      <x v="160"/>
      <x v="151"/>
      <x/>
    </i>
    <i r="2">
      <x v="1"/>
    </i>
    <i r="2">
      <x v="2"/>
    </i>
    <i r="2">
      <x v="3"/>
    </i>
  </rowItems>
  <colFields count="1">
    <field x="4"/>
  </colFields>
  <colItems count="5">
    <i>
      <x/>
    </i>
    <i>
      <x v="1"/>
    </i>
    <i>
      <x v="2"/>
    </i>
    <i>
      <x v="3"/>
    </i>
    <i>
      <x v="4"/>
    </i>
  </colItems>
  <pageFields count="1">
    <pageField fld="0" item="0" hier="-1"/>
  </pageFields>
  <dataFields count="1">
    <dataField name="Sum of Regional Market Units 2021PP" fld="5"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990" applyNumberFormats="0" applyBorderFormats="0" applyFontFormats="0" applyPatternFormats="0" applyAlignmentFormats="0" applyWidthHeightFormats="1" dataCaption="Values" tag="2b5fe35a-28d1-4b97-862f-08830f9e46f6" updatedVersion="6" minRefreshableVersion="3" useAutoFormatting="1" subtotalHiddenItems="1" rowGrandTotals="0" colGrandTotals="0" itemPrintTitles="1" createdVersion="6" indent="0" compact="0" compactData="0" multipleFieldFilters="0">
  <location ref="A1:I408" firstHeaderRow="1" firstDataRow="1" firstDataCol="9"/>
  <pivotFields count="9">
    <pivotField axis="axisRow" compact="0" allDrilled="1" outline="0" subtotalTop="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extLst>
        <ext xmlns:x14="http://schemas.microsoft.com/office/spreadsheetml/2009/9/main" uri="{2946ED86-A175-432a-8AC1-64E0C546D7DE}">
          <x14:pivotField fillDownLabels="1"/>
        </ext>
      </extLst>
    </pivotField>
  </pivotFields>
  <rowFields count="9">
    <field x="5"/>
    <field x="0"/>
    <field x="1"/>
    <field x="2"/>
    <field x="6"/>
    <field x="4"/>
    <field x="3"/>
    <field x="7"/>
    <field x="8"/>
  </rowFields>
  <rowItems count="407">
    <i>
      <x/>
      <x/>
      <x/>
      <x/>
      <x/>
      <x/>
      <x/>
      <x/>
      <x/>
    </i>
    <i>
      <x v="1"/>
      <x v="1"/>
      <x v="1"/>
      <x v="1"/>
      <x v="1"/>
      <x v="1"/>
      <x/>
      <x v="1"/>
      <x v="1"/>
    </i>
    <i>
      <x v="2"/>
      <x v="2"/>
      <x v="2"/>
      <x v="2"/>
      <x v="2"/>
      <x v="2"/>
      <x v="1"/>
      <x v="2"/>
      <x v="2"/>
    </i>
    <i>
      <x v="3"/>
      <x v="3"/>
      <x v="3"/>
      <x v="2"/>
      <x v="3"/>
      <x v="3"/>
      <x v="2"/>
      <x v="2"/>
      <x v="3"/>
    </i>
    <i>
      <x v="4"/>
      <x v="3"/>
      <x v="4"/>
      <x v="2"/>
      <x v="4"/>
      <x v="4"/>
      <x v="3"/>
      <x v="2"/>
      <x v="3"/>
    </i>
    <i>
      <x v="5"/>
      <x v="3"/>
      <x v="5"/>
      <x v="2"/>
      <x v="5"/>
      <x v="5"/>
      <x v="4"/>
      <x v="2"/>
      <x v="3"/>
    </i>
    <i>
      <x v="6"/>
      <x v="3"/>
      <x v="6"/>
      <x v="2"/>
      <x v="6"/>
      <x v="6"/>
      <x v="5"/>
      <x v="2"/>
      <x v="3"/>
    </i>
    <i>
      <x v="7"/>
      <x v="4"/>
      <x v="7"/>
      <x v="3"/>
      <x v="7"/>
      <x v="7"/>
      <x v="6"/>
      <x v="3"/>
      <x v="4"/>
    </i>
    <i>
      <x v="8"/>
      <x v="4"/>
      <x v="7"/>
      <x v="4"/>
      <x v="8"/>
      <x v="8"/>
      <x v="6"/>
      <x v="3"/>
      <x v="4"/>
    </i>
    <i>
      <x v="9"/>
      <x v="4"/>
      <x v="7"/>
      <x v="5"/>
      <x v="9"/>
      <x v="9"/>
      <x v="6"/>
      <x v="3"/>
      <x v="4"/>
    </i>
    <i>
      <x v="10"/>
      <x v="4"/>
      <x v="7"/>
      <x v="6"/>
      <x v="10"/>
      <x v="10"/>
      <x v="6"/>
      <x v="3"/>
      <x v="4"/>
    </i>
    <i>
      <x v="11"/>
      <x v="4"/>
      <x v="7"/>
      <x v="7"/>
      <x v="11"/>
      <x v="11"/>
      <x v="6"/>
      <x v="3"/>
      <x v="4"/>
    </i>
    <i>
      <x v="12"/>
      <x v="4"/>
      <x v="7"/>
      <x v="8"/>
      <x v="12"/>
      <x v="12"/>
      <x v="6"/>
      <x v="3"/>
      <x v="4"/>
    </i>
    <i>
      <x v="13"/>
      <x v="4"/>
      <x v="7"/>
      <x v="9"/>
      <x v="13"/>
      <x v="13"/>
      <x v="6"/>
      <x v="3"/>
      <x v="4"/>
    </i>
    <i>
      <x v="14"/>
      <x v="4"/>
      <x v="7"/>
      <x v="10"/>
      <x v="14"/>
      <x v="14"/>
      <x v="6"/>
      <x v="3"/>
      <x v="4"/>
    </i>
    <i>
      <x v="15"/>
      <x v="4"/>
      <x v="7"/>
      <x v="11"/>
      <x v="15"/>
      <x v="15"/>
      <x v="6"/>
      <x v="3"/>
      <x v="4"/>
    </i>
    <i>
      <x v="16"/>
      <x v="4"/>
      <x v="7"/>
      <x v="12"/>
      <x v="16"/>
      <x v="16"/>
      <x v="6"/>
      <x v="3"/>
      <x v="4"/>
    </i>
    <i>
      <x v="17"/>
      <x v="4"/>
      <x v="8"/>
      <x v="13"/>
      <x v="17"/>
      <x v="17"/>
      <x v="6"/>
      <x v="3"/>
      <x v="4"/>
    </i>
    <i>
      <x v="18"/>
      <x v="4"/>
      <x v="8"/>
      <x v="14"/>
      <x v="18"/>
      <x v="18"/>
      <x v="6"/>
      <x v="3"/>
      <x v="4"/>
    </i>
    <i>
      <x v="19"/>
      <x v="4"/>
      <x v="8"/>
      <x v="15"/>
      <x v="19"/>
      <x v="19"/>
      <x v="6"/>
      <x v="3"/>
      <x v="4"/>
    </i>
    <i>
      <x v="20"/>
      <x v="4"/>
      <x v="8"/>
      <x v="16"/>
      <x v="20"/>
      <x v="20"/>
      <x v="6"/>
      <x v="3"/>
      <x v="4"/>
    </i>
    <i>
      <x v="21"/>
      <x v="4"/>
      <x v="8"/>
      <x v="17"/>
      <x v="21"/>
      <x v="21"/>
      <x v="6"/>
      <x v="3"/>
      <x v="4"/>
    </i>
    <i>
      <x v="22"/>
      <x v="4"/>
      <x v="8"/>
      <x v="18"/>
      <x v="22"/>
      <x v="22"/>
      <x v="6"/>
      <x v="3"/>
      <x v="4"/>
    </i>
    <i>
      <x v="23"/>
      <x v="4"/>
      <x v="8"/>
      <x v="19"/>
      <x v="23"/>
      <x v="23"/>
      <x v="6"/>
      <x v="3"/>
      <x v="4"/>
    </i>
    <i>
      <x v="24"/>
      <x v="4"/>
      <x v="8"/>
      <x v="20"/>
      <x v="24"/>
      <x v="24"/>
      <x v="6"/>
      <x v="3"/>
      <x v="4"/>
    </i>
    <i>
      <x v="25"/>
      <x v="4"/>
      <x v="9"/>
      <x v="21"/>
      <x v="25"/>
      <x v="25"/>
      <x v="6"/>
      <x v="3"/>
      <x v="4"/>
    </i>
    <i>
      <x v="26"/>
      <x v="4"/>
      <x v="9"/>
      <x v="22"/>
      <x v="26"/>
      <x v="26"/>
      <x v="6"/>
      <x v="3"/>
      <x v="4"/>
    </i>
    <i>
      <x v="27"/>
      <x v="4"/>
      <x v="9"/>
      <x v="23"/>
      <x v="27"/>
      <x v="27"/>
      <x v="6"/>
      <x v="3"/>
      <x v="4"/>
    </i>
    <i>
      <x v="28"/>
      <x v="4"/>
      <x v="9"/>
      <x v="24"/>
      <x v="28"/>
      <x v="28"/>
      <x v="6"/>
      <x v="3"/>
      <x v="4"/>
    </i>
    <i>
      <x v="29"/>
      <x v="4"/>
      <x v="9"/>
      <x v="25"/>
      <x v="29"/>
      <x v="29"/>
      <x v="6"/>
      <x v="3"/>
      <x v="4"/>
    </i>
    <i>
      <x v="30"/>
      <x v="4"/>
      <x v="9"/>
      <x v="26"/>
      <x v="30"/>
      <x v="30"/>
      <x v="6"/>
      <x v="3"/>
      <x v="4"/>
    </i>
    <i>
      <x v="31"/>
      <x v="4"/>
      <x v="9"/>
      <x v="27"/>
      <x v="31"/>
      <x v="31"/>
      <x v="6"/>
      <x v="3"/>
      <x v="4"/>
    </i>
    <i>
      <x v="32"/>
      <x v="4"/>
      <x v="9"/>
      <x v="28"/>
      <x v="32"/>
      <x v="32"/>
      <x v="6"/>
      <x v="3"/>
      <x v="4"/>
    </i>
    <i>
      <x v="33"/>
      <x v="4"/>
      <x v="9"/>
      <x v="29"/>
      <x v="33"/>
      <x v="33"/>
      <x v="6"/>
      <x v="3"/>
      <x v="4"/>
    </i>
    <i>
      <x v="34"/>
      <x v="4"/>
      <x v="10"/>
      <x v="30"/>
      <x v="34"/>
      <x v="34"/>
      <x v="6"/>
      <x v="3"/>
      <x v="4"/>
    </i>
    <i>
      <x v="35"/>
      <x v="4"/>
      <x v="10"/>
      <x v="31"/>
      <x v="35"/>
      <x v="35"/>
      <x v="6"/>
      <x v="3"/>
      <x v="4"/>
    </i>
    <i>
      <x v="36"/>
      <x v="4"/>
      <x v="10"/>
      <x v="32"/>
      <x v="36"/>
      <x v="36"/>
      <x v="6"/>
      <x v="3"/>
      <x v="4"/>
    </i>
    <i>
      <x v="37"/>
      <x v="4"/>
      <x v="10"/>
      <x v="33"/>
      <x v="37"/>
      <x v="37"/>
      <x v="6"/>
      <x v="3"/>
      <x v="4"/>
    </i>
    <i>
      <x v="38"/>
      <x v="4"/>
      <x v="10"/>
      <x v="34"/>
      <x v="38"/>
      <x v="38"/>
      <x v="6"/>
      <x v="3"/>
      <x v="4"/>
    </i>
    <i>
      <x v="39"/>
      <x v="4"/>
      <x v="10"/>
      <x v="35"/>
      <x v="39"/>
      <x v="39"/>
      <x v="6"/>
      <x v="3"/>
      <x v="4"/>
    </i>
    <i>
      <x v="40"/>
      <x v="4"/>
      <x v="10"/>
      <x v="36"/>
      <x v="40"/>
      <x v="40"/>
      <x v="6"/>
      <x v="3"/>
      <x v="4"/>
    </i>
    <i>
      <x v="41"/>
      <x v="4"/>
      <x v="10"/>
      <x v="37"/>
      <x v="41"/>
      <x v="41"/>
      <x v="6"/>
      <x v="3"/>
      <x v="4"/>
    </i>
    <i>
      <x v="42"/>
      <x v="4"/>
      <x v="10"/>
      <x v="38"/>
      <x v="42"/>
      <x v="42"/>
      <x v="6"/>
      <x v="3"/>
      <x v="4"/>
    </i>
    <i>
      <x v="43"/>
      <x v="4"/>
      <x v="10"/>
      <x v="39"/>
      <x v="43"/>
      <x v="43"/>
      <x v="6"/>
      <x v="3"/>
      <x v="4"/>
    </i>
    <i>
      <x v="44"/>
      <x v="4"/>
      <x v="10"/>
      <x v="40"/>
      <x v="44"/>
      <x v="44"/>
      <x v="6"/>
      <x v="3"/>
      <x v="4"/>
    </i>
    <i>
      <x v="45"/>
      <x v="5"/>
      <x v="11"/>
      <x v="2"/>
      <x v="45"/>
      <x v="45"/>
      <x v="7"/>
      <x v="2"/>
      <x v="5"/>
    </i>
    <i>
      <x v="46"/>
      <x v="6"/>
      <x v="12"/>
      <x v="41"/>
      <x v="46"/>
      <x v="46"/>
      <x v="8"/>
      <x v="2"/>
      <x v="6"/>
    </i>
    <i>
      <x v="47"/>
      <x v="6"/>
      <x v="12"/>
      <x v="42"/>
      <x v="47"/>
      <x v="47"/>
      <x v="8"/>
      <x v="2"/>
      <x v="6"/>
    </i>
    <i>
      <x v="48"/>
      <x v="6"/>
      <x v="12"/>
      <x v="43"/>
      <x v="48"/>
      <x v="48"/>
      <x v="8"/>
      <x v="2"/>
      <x v="6"/>
    </i>
    <i>
      <x v="49"/>
      <x v="6"/>
      <x v="12"/>
      <x v="44"/>
      <x v="49"/>
      <x v="49"/>
      <x v="8"/>
      <x v="2"/>
      <x v="6"/>
    </i>
    <i>
      <x v="50"/>
      <x v="6"/>
      <x v="12"/>
      <x v="45"/>
      <x v="50"/>
      <x v="50"/>
      <x v="8"/>
      <x v="2"/>
      <x v="6"/>
    </i>
    <i>
      <x v="51"/>
      <x v="6"/>
      <x v="12"/>
      <x v="46"/>
      <x v="51"/>
      <x v="51"/>
      <x v="8"/>
      <x v="2"/>
      <x v="6"/>
    </i>
    <i>
      <x v="52"/>
      <x v="7"/>
      <x v="13"/>
      <x v="47"/>
      <x v="52"/>
      <x v="52"/>
      <x v="9"/>
      <x v="1"/>
      <x v="7"/>
    </i>
    <i>
      <x v="53"/>
      <x v="8"/>
      <x v="14"/>
      <x v="47"/>
      <x v="53"/>
      <x v="53"/>
      <x v="10"/>
      <x v="2"/>
      <x v="8"/>
    </i>
    <i>
      <x v="54"/>
      <x v="9"/>
      <x v="15"/>
      <x v="2"/>
      <x v="54"/>
      <x v="54"/>
      <x v="11"/>
      <x v="4"/>
      <x v="9"/>
    </i>
    <i>
      <x v="55"/>
      <x v="10"/>
      <x v="16"/>
      <x v="2"/>
      <x v="55"/>
      <x v="55"/>
      <x v="12"/>
      <x v="2"/>
      <x v="10"/>
    </i>
    <i>
      <x v="56"/>
      <x v="10"/>
      <x v="17"/>
      <x v="2"/>
      <x v="56"/>
      <x v="56"/>
      <x v="13"/>
      <x v="2"/>
      <x v="10"/>
    </i>
    <i>
      <x v="57"/>
      <x v="10"/>
      <x v="18"/>
      <x v="2"/>
      <x v="57"/>
      <x v="57"/>
      <x v="14"/>
      <x v="2"/>
      <x v="10"/>
    </i>
    <i>
      <x v="58"/>
      <x v="10"/>
      <x v="19"/>
      <x v="2"/>
      <x v="58"/>
      <x v="58"/>
      <x v="15"/>
      <x v="2"/>
      <x v="10"/>
    </i>
    <i>
      <x v="59"/>
      <x v="11"/>
      <x v="20"/>
      <x v="47"/>
      <x v="53"/>
      <x v="53"/>
      <x v="16"/>
      <x v="1"/>
      <x v="11"/>
    </i>
    <i>
      <x v="60"/>
      <x v="12"/>
      <x v="21"/>
      <x v="48"/>
      <x v="59"/>
      <x v="59"/>
      <x v="17"/>
      <x/>
      <x v="12"/>
    </i>
    <i>
      <x v="61"/>
      <x v="13"/>
      <x v="22"/>
      <x v="2"/>
      <x v="60"/>
      <x v="60"/>
      <x v="18"/>
      <x v="2"/>
      <x v="13"/>
    </i>
    <i>
      <x v="62"/>
      <x v="14"/>
      <x v="23"/>
      <x v="49"/>
      <x v="61"/>
      <x v="61"/>
      <x v="19"/>
      <x v="1"/>
      <x v="14"/>
    </i>
    <i>
      <x v="63"/>
      <x v="14"/>
      <x v="24"/>
      <x v="49"/>
      <x v="62"/>
      <x v="62"/>
      <x v="20"/>
      <x v="1"/>
      <x v="14"/>
    </i>
    <i>
      <x v="64"/>
      <x v="14"/>
      <x v="25"/>
      <x v="49"/>
      <x v="63"/>
      <x v="63"/>
      <x v="21"/>
      <x v="5"/>
      <x v="14"/>
    </i>
    <i>
      <x v="65"/>
      <x v="14"/>
      <x v="26"/>
      <x v="49"/>
      <x v="64"/>
      <x v="64"/>
      <x v="22"/>
      <x v="6"/>
      <x v="14"/>
    </i>
    <i>
      <x v="66"/>
      <x v="14"/>
      <x v="27"/>
      <x v="49"/>
      <x v="65"/>
      <x v="65"/>
      <x v="23"/>
      <x v="6"/>
      <x v="14"/>
    </i>
    <i>
      <x v="67"/>
      <x v="14"/>
      <x v="28"/>
      <x v="50"/>
      <x v="66"/>
      <x v="66"/>
      <x v="24"/>
      <x v="7"/>
      <x v="14"/>
    </i>
    <i>
      <x v="68"/>
      <x v="14"/>
      <x v="28"/>
      <x v="51"/>
      <x v="67"/>
      <x v="67"/>
      <x v="24"/>
      <x v="7"/>
      <x v="14"/>
    </i>
    <i>
      <x v="69"/>
      <x v="14"/>
      <x v="29"/>
      <x v="52"/>
      <x v="68"/>
      <x v="68"/>
      <x v="25"/>
      <x v="8"/>
      <x v="14"/>
    </i>
    <i>
      <x v="70"/>
      <x v="14"/>
      <x v="30"/>
      <x v="52"/>
      <x v="69"/>
      <x v="69"/>
      <x v="25"/>
      <x v="9"/>
      <x v="14"/>
    </i>
    <i>
      <x v="71"/>
      <x v="14"/>
      <x v="31"/>
      <x v="50"/>
      <x v="70"/>
      <x v="70"/>
      <x v="25"/>
      <x v="10"/>
      <x v="14"/>
    </i>
    <i>
      <x v="72"/>
      <x v="14"/>
      <x v="32"/>
      <x v="53"/>
      <x v="71"/>
      <x v="71"/>
      <x v="26"/>
      <x v="11"/>
      <x v="14"/>
    </i>
    <i>
      <x v="73"/>
      <x v="14"/>
      <x v="32"/>
      <x v="54"/>
      <x v="72"/>
      <x v="72"/>
      <x v="26"/>
      <x v="11"/>
      <x v="14"/>
    </i>
    <i>
      <x v="74"/>
      <x v="14"/>
      <x v="33"/>
      <x v="53"/>
      <x v="73"/>
      <x v="73"/>
      <x v="27"/>
      <x v="11"/>
      <x v="14"/>
    </i>
    <i>
      <x v="75"/>
      <x v="14"/>
      <x v="33"/>
      <x v="54"/>
      <x v="74"/>
      <x v="74"/>
      <x v="27"/>
      <x v="11"/>
      <x v="14"/>
    </i>
    <i>
      <x v="76"/>
      <x v="14"/>
      <x v="34"/>
      <x v="49"/>
      <x v="75"/>
      <x v="75"/>
      <x v="28"/>
      <x v="12"/>
      <x v="14"/>
    </i>
    <i>
      <x v="77"/>
      <x v="14"/>
      <x v="35"/>
      <x v="49"/>
      <x v="76"/>
      <x v="76"/>
      <x v="29"/>
      <x v="6"/>
      <x v="14"/>
    </i>
    <i>
      <x v="78"/>
      <x v="14"/>
      <x v="36"/>
      <x v="49"/>
      <x v="77"/>
      <x v="77"/>
      <x v="30"/>
      <x v="11"/>
      <x v="14"/>
    </i>
    <i>
      <x v="79"/>
      <x v="14"/>
      <x v="37"/>
      <x v="49"/>
      <x v="78"/>
      <x v="78"/>
      <x v="31"/>
      <x v="13"/>
      <x v="14"/>
    </i>
    <i>
      <x v="80"/>
      <x v="14"/>
      <x v="38"/>
      <x v="55"/>
      <x v="79"/>
      <x v="79"/>
      <x v="32"/>
      <x v="8"/>
      <x v="14"/>
    </i>
    <i>
      <x v="81"/>
      <x v="14"/>
      <x v="38"/>
      <x v="56"/>
      <x v="80"/>
      <x v="80"/>
      <x v="32"/>
      <x v="8"/>
      <x v="14"/>
    </i>
    <i>
      <x v="82"/>
      <x v="14"/>
      <x v="39"/>
      <x v="49"/>
      <x v="81"/>
      <x v="81"/>
      <x v="33"/>
      <x v="14"/>
      <x v="14"/>
    </i>
    <i>
      <x v="83"/>
      <x v="14"/>
      <x v="40"/>
      <x v="49"/>
      <x v="82"/>
      <x v="82"/>
      <x v="34"/>
      <x v="3"/>
      <x v="14"/>
    </i>
    <i>
      <x v="84"/>
      <x v="14"/>
      <x v="41"/>
      <x v="50"/>
      <x v="83"/>
      <x v="83"/>
      <x v="35"/>
      <x v="6"/>
      <x v="14"/>
    </i>
    <i>
      <x v="85"/>
      <x v="14"/>
      <x v="41"/>
      <x v="51"/>
      <x v="84"/>
      <x v="84"/>
      <x v="35"/>
      <x v="6"/>
      <x v="14"/>
    </i>
    <i>
      <x v="86"/>
      <x v="14"/>
      <x v="41"/>
      <x v="57"/>
      <x v="85"/>
      <x v="85"/>
      <x v="35"/>
      <x v="6"/>
      <x v="14"/>
    </i>
    <i>
      <x v="87"/>
      <x v="15"/>
      <x v="42"/>
      <x v="2"/>
      <x v="86"/>
      <x v="86"/>
      <x v="36"/>
      <x v="2"/>
      <x v="15"/>
    </i>
    <i>
      <x v="88"/>
      <x v="16"/>
      <x v="43"/>
      <x v="58"/>
      <x v="87"/>
      <x v="87"/>
      <x v="37"/>
      <x v="13"/>
      <x v="16"/>
    </i>
    <i>
      <x v="89"/>
      <x v="17"/>
      <x v="44"/>
      <x v="2"/>
      <x v="88"/>
      <x v="88"/>
      <x v="38"/>
      <x v="1"/>
      <x v="17"/>
    </i>
    <i>
      <x v="90"/>
      <x v="18"/>
      <x v="45"/>
      <x v="59"/>
      <x v="89"/>
      <x v="89"/>
      <x v="39"/>
      <x v="11"/>
      <x v="18"/>
    </i>
    <i>
      <x v="91"/>
      <x v="18"/>
      <x v="45"/>
      <x v="47"/>
      <x v="90"/>
      <x v="89"/>
      <x v="39"/>
      <x v="11"/>
      <x v="18"/>
    </i>
    <i>
      <x v="92"/>
      <x v="18"/>
      <x v="46"/>
      <x v="59"/>
      <x v="91"/>
      <x v="90"/>
      <x v="39"/>
      <x v="11"/>
      <x v="18"/>
    </i>
    <i>
      <x v="93"/>
      <x v="18"/>
      <x v="46"/>
      <x v="47"/>
      <x v="92"/>
      <x v="90"/>
      <x v="39"/>
      <x v="11"/>
      <x v="18"/>
    </i>
    <i>
      <x v="94"/>
      <x v="18"/>
      <x v="47"/>
      <x v="59"/>
      <x v="93"/>
      <x v="91"/>
      <x v="40"/>
      <x v="11"/>
      <x v="18"/>
    </i>
    <i>
      <x v="95"/>
      <x v="18"/>
      <x v="47"/>
      <x v="47"/>
      <x v="94"/>
      <x v="91"/>
      <x v="40"/>
      <x v="11"/>
      <x v="18"/>
    </i>
    <i>
      <x v="96"/>
      <x v="18"/>
      <x v="48"/>
      <x v="59"/>
      <x v="95"/>
      <x v="92"/>
      <x v="40"/>
      <x v="11"/>
      <x v="18"/>
    </i>
    <i>
      <x v="97"/>
      <x v="18"/>
      <x v="48"/>
      <x v="47"/>
      <x v="96"/>
      <x v="92"/>
      <x v="40"/>
      <x v="11"/>
      <x v="18"/>
    </i>
    <i>
      <x v="98"/>
      <x v="19"/>
      <x v="49"/>
      <x v="2"/>
      <x v="97"/>
      <x v="93"/>
      <x v="41"/>
      <x v="1"/>
      <x v="19"/>
    </i>
    <i>
      <x v="99"/>
      <x v="20"/>
      <x v="50"/>
      <x v="2"/>
      <x v="98"/>
      <x v="94"/>
      <x v="42"/>
      <x v="2"/>
      <x v="20"/>
    </i>
    <i>
      <x v="100"/>
      <x v="20"/>
      <x v="51"/>
      <x v="2"/>
      <x v="99"/>
      <x v="95"/>
      <x v="43"/>
      <x v="2"/>
      <x v="20"/>
    </i>
    <i>
      <x v="101"/>
      <x v="21"/>
      <x v="52"/>
      <x v="47"/>
      <x v="100"/>
      <x v="96"/>
      <x v="44"/>
      <x v="15"/>
      <x v="21"/>
    </i>
    <i>
      <x v="102"/>
      <x v="22"/>
      <x v="53"/>
      <x v="2"/>
      <x v="101"/>
      <x v="97"/>
      <x v="45"/>
      <x/>
      <x v="22"/>
    </i>
    <i>
      <x v="103"/>
      <x v="23"/>
      <x v="54"/>
      <x v="47"/>
      <x v="102"/>
      <x v="98"/>
      <x v="46"/>
      <x v="1"/>
      <x v="23"/>
    </i>
    <i>
      <x v="104"/>
      <x v="23"/>
      <x v="55"/>
      <x v="47"/>
      <x v="103"/>
      <x v="99"/>
      <x v="46"/>
      <x v="1"/>
      <x v="23"/>
    </i>
    <i>
      <x v="105"/>
      <x v="23"/>
      <x v="56"/>
      <x v="47"/>
      <x v="104"/>
      <x v="100"/>
      <x v="47"/>
      <x v="1"/>
      <x v="23"/>
    </i>
    <i>
      <x v="106"/>
      <x v="24"/>
      <x v="57"/>
      <x v="47"/>
      <x v="105"/>
      <x v="101"/>
      <x v="48"/>
      <x v="3"/>
      <x v="24"/>
    </i>
    <i>
      <x v="107"/>
      <x v="25"/>
      <x v="58"/>
      <x v="2"/>
      <x v="106"/>
      <x v="102"/>
      <x v="49"/>
      <x/>
      <x v="25"/>
    </i>
    <i>
      <x v="108"/>
      <x v="25"/>
      <x v="59"/>
      <x v="2"/>
      <x v="107"/>
      <x v="103"/>
      <x v="50"/>
      <x/>
      <x v="25"/>
    </i>
    <i>
      <x v="109"/>
      <x v="26"/>
      <x v="60"/>
      <x v="2"/>
      <x v="108"/>
      <x v="104"/>
      <x v="25"/>
      <x/>
      <x v="26"/>
    </i>
    <i>
      <x v="110"/>
      <x v="27"/>
      <x v="61"/>
      <x v="2"/>
      <x v="109"/>
      <x v="105"/>
      <x v="51"/>
      <x v="16"/>
      <x v="27"/>
    </i>
    <i>
      <x v="111"/>
      <x v="27"/>
      <x v="62"/>
      <x v="2"/>
      <x v="110"/>
      <x v="106"/>
      <x v="52"/>
      <x v="16"/>
      <x v="27"/>
    </i>
    <i>
      <x v="112"/>
      <x v="27"/>
      <x v="63"/>
      <x v="57"/>
      <x v="111"/>
      <x v="107"/>
      <x v="53"/>
      <x v="16"/>
      <x v="27"/>
    </i>
    <i>
      <x v="113"/>
      <x v="27"/>
      <x v="64"/>
      <x v="2"/>
      <x v="112"/>
      <x v="108"/>
      <x v="54"/>
      <x v="16"/>
      <x v="27"/>
    </i>
    <i>
      <x v="114"/>
      <x v="28"/>
      <x v="65"/>
      <x v="2"/>
      <x v="113"/>
      <x v="109"/>
      <x v="11"/>
      <x/>
      <x v="28"/>
    </i>
    <i>
      <x v="115"/>
      <x v="29"/>
      <x v="66"/>
      <x v="47"/>
      <x v="54"/>
      <x v="54"/>
      <x v="55"/>
      <x v="1"/>
      <x v="29"/>
    </i>
    <i>
      <x v="116"/>
      <x v="30"/>
      <x v="67"/>
      <x v="47"/>
      <x v="114"/>
      <x v="110"/>
      <x v="56"/>
      <x v="1"/>
      <x v="30"/>
    </i>
    <i>
      <x v="117"/>
      <x v="31"/>
      <x v="68"/>
      <x v="2"/>
      <x v="115"/>
      <x v="111"/>
      <x v="57"/>
      <x v="2"/>
      <x v="31"/>
    </i>
    <i>
      <x v="118"/>
      <x v="32"/>
      <x v="69"/>
      <x v="2"/>
      <x v="54"/>
      <x v="54"/>
      <x v="58"/>
      <x v="2"/>
      <x v="32"/>
    </i>
    <i>
      <x v="119"/>
      <x v="33"/>
      <x v="70"/>
      <x v="41"/>
      <x v="116"/>
      <x v="112"/>
      <x v="59"/>
      <x v="5"/>
      <x v="33"/>
    </i>
    <i>
      <x v="120"/>
      <x v="33"/>
      <x v="70"/>
      <x v="44"/>
      <x v="117"/>
      <x v="113"/>
      <x v="59"/>
      <x v="5"/>
      <x v="33"/>
    </i>
    <i>
      <x v="121"/>
      <x v="33"/>
      <x v="71"/>
      <x v="41"/>
      <x v="118"/>
      <x v="114"/>
      <x v="60"/>
      <x v="2"/>
      <x v="33"/>
    </i>
    <i>
      <x v="122"/>
      <x v="33"/>
      <x v="71"/>
      <x v="44"/>
      <x v="119"/>
      <x v="115"/>
      <x v="60"/>
      <x v="2"/>
      <x v="33"/>
    </i>
    <i>
      <x v="123"/>
      <x v="33"/>
      <x v="72"/>
      <x v="41"/>
      <x v="120"/>
      <x v="116"/>
      <x v="61"/>
      <x v="5"/>
      <x v="33"/>
    </i>
    <i>
      <x v="124"/>
      <x v="33"/>
      <x v="72"/>
      <x v="44"/>
      <x v="121"/>
      <x v="117"/>
      <x v="61"/>
      <x v="5"/>
      <x v="33"/>
    </i>
    <i>
      <x v="125"/>
      <x v="34"/>
      <x v="73"/>
      <x v="41"/>
      <x v="122"/>
      <x v="118"/>
      <x v="62"/>
      <x v="6"/>
      <x v="34"/>
    </i>
    <i>
      <x v="126"/>
      <x v="34"/>
      <x v="74"/>
      <x v="60"/>
      <x v="123"/>
      <x v="119"/>
      <x v="63"/>
      <x v="6"/>
      <x v="34"/>
    </i>
    <i>
      <x v="127"/>
      <x v="34"/>
      <x v="75"/>
      <x v="41"/>
      <x v="124"/>
      <x v="118"/>
      <x v="64"/>
      <x v="6"/>
      <x v="34"/>
    </i>
    <i>
      <x v="128"/>
      <x v="34"/>
      <x v="75"/>
      <x v="61"/>
      <x v="125"/>
      <x v="120"/>
      <x v="64"/>
      <x v="6"/>
      <x v="34"/>
    </i>
    <i>
      <x v="129"/>
      <x v="34"/>
      <x v="74"/>
      <x v="62"/>
      <x v="126"/>
      <x v="121"/>
      <x v="63"/>
      <x v="6"/>
      <x v="34"/>
    </i>
    <i>
      <x v="130"/>
      <x v="34"/>
      <x v="74"/>
      <x v="63"/>
      <x v="127"/>
      <x v="122"/>
      <x v="63"/>
      <x v="6"/>
      <x v="34"/>
    </i>
    <i>
      <x v="131"/>
      <x v="34"/>
      <x v="74"/>
      <x v="64"/>
      <x v="128"/>
      <x v="123"/>
      <x v="63"/>
      <x v="6"/>
      <x v="34"/>
    </i>
    <i>
      <x v="132"/>
      <x v="34"/>
      <x v="74"/>
      <x v="65"/>
      <x v="129"/>
      <x v="124"/>
      <x v="63"/>
      <x v="6"/>
      <x v="34"/>
    </i>
    <i>
      <x v="133"/>
      <x v="34"/>
      <x v="74"/>
      <x v="66"/>
      <x v="130"/>
      <x v="125"/>
      <x v="63"/>
      <x v="6"/>
      <x v="34"/>
    </i>
    <i>
      <x v="134"/>
      <x v="34"/>
      <x v="74"/>
      <x v="67"/>
      <x v="131"/>
      <x v="126"/>
      <x v="63"/>
      <x v="6"/>
      <x v="34"/>
    </i>
    <i>
      <x v="135"/>
      <x v="34"/>
      <x v="74"/>
      <x v="68"/>
      <x v="132"/>
      <x v="127"/>
      <x v="63"/>
      <x v="6"/>
      <x v="34"/>
    </i>
    <i>
      <x v="136"/>
      <x v="34"/>
      <x v="73"/>
      <x v="69"/>
      <x v="133"/>
      <x v="128"/>
      <x v="62"/>
      <x v="6"/>
      <x v="34"/>
    </i>
    <i>
      <x v="137"/>
      <x v="35"/>
      <x v="76"/>
      <x v="47"/>
      <x v="134"/>
      <x v="129"/>
      <x v="65"/>
      <x v="9"/>
      <x v="35"/>
    </i>
    <i>
      <x v="138"/>
      <x v="35"/>
      <x v="77"/>
      <x v="47"/>
      <x v="135"/>
      <x v="130"/>
      <x v="66"/>
      <x v="17"/>
      <x v="35"/>
    </i>
    <i>
      <x v="139"/>
      <x v="35"/>
      <x v="78"/>
      <x v="47"/>
      <x v="136"/>
      <x v="131"/>
      <x v="67"/>
      <x v="13"/>
      <x v="35"/>
    </i>
    <i>
      <x v="140"/>
      <x v="35"/>
      <x v="79"/>
      <x v="47"/>
      <x v="137"/>
      <x v="132"/>
      <x v="68"/>
      <x v="13"/>
      <x v="35"/>
    </i>
    <i>
      <x v="141"/>
      <x v="35"/>
      <x v="80"/>
      <x v="47"/>
      <x v="138"/>
      <x v="133"/>
      <x v="69"/>
      <x v="18"/>
      <x v="35"/>
    </i>
    <i>
      <x v="142"/>
      <x v="35"/>
      <x v="81"/>
      <x v="47"/>
      <x v="139"/>
      <x v="134"/>
      <x v="70"/>
      <x v="18"/>
      <x v="35"/>
    </i>
    <i>
      <x v="143"/>
      <x v="36"/>
      <x v="82"/>
      <x v="70"/>
      <x v="140"/>
      <x v="135"/>
      <x v="71"/>
      <x v="3"/>
      <x v="36"/>
    </i>
    <i>
      <x v="144"/>
      <x v="36"/>
      <x v="83"/>
      <x v="70"/>
      <x v="141"/>
      <x v="136"/>
      <x v="72"/>
      <x v="1"/>
      <x v="36"/>
    </i>
    <i>
      <x v="145"/>
      <x v="36"/>
      <x v="84"/>
      <x v="70"/>
      <x v="141"/>
      <x v="136"/>
      <x v="72"/>
      <x v="1"/>
      <x v="36"/>
    </i>
    <i>
      <x v="146"/>
      <x v="37"/>
      <x v="85"/>
      <x v="47"/>
      <x v="142"/>
      <x v="137"/>
      <x v="73"/>
      <x v="1"/>
      <x v="37"/>
    </i>
    <i>
      <x v="147"/>
      <x v="38"/>
      <x v="86"/>
      <x v="47"/>
      <x v="52"/>
      <x v="52"/>
      <x v="74"/>
      <x v="1"/>
      <x v="38"/>
    </i>
    <i>
      <x v="148"/>
      <x v="39"/>
      <x v="87"/>
      <x v="71"/>
      <x v="143"/>
      <x v="138"/>
      <x v="75"/>
      <x v="6"/>
      <x v="39"/>
    </i>
    <i>
      <x v="149"/>
      <x v="39"/>
      <x v="87"/>
      <x v="72"/>
      <x v="144"/>
      <x v="139"/>
      <x v="75"/>
      <x v="6"/>
      <x v="39"/>
    </i>
    <i>
      <x v="150"/>
      <x v="39"/>
      <x v="87"/>
      <x v="73"/>
      <x v="145"/>
      <x v="140"/>
      <x v="75"/>
      <x v="6"/>
      <x v="39"/>
    </i>
    <i>
      <x v="151"/>
      <x v="39"/>
      <x v="87"/>
      <x v="74"/>
      <x v="146"/>
      <x v="141"/>
      <x v="75"/>
      <x v="6"/>
      <x v="39"/>
    </i>
    <i>
      <x v="152"/>
      <x v="40"/>
      <x v="88"/>
      <x v="75"/>
      <x v="147"/>
      <x v="142"/>
      <x v="76"/>
      <x v="3"/>
      <x v="40"/>
    </i>
    <i>
      <x v="153"/>
      <x v="40"/>
      <x v="88"/>
      <x v="76"/>
      <x v="148"/>
      <x v="143"/>
      <x v="76"/>
      <x v="3"/>
      <x v="40"/>
    </i>
    <i>
      <x v="154"/>
      <x v="40"/>
      <x v="88"/>
      <x v="77"/>
      <x v="149"/>
      <x v="144"/>
      <x v="76"/>
      <x v="3"/>
      <x v="40"/>
    </i>
    <i>
      <x v="155"/>
      <x v="40"/>
      <x v="88"/>
      <x v="78"/>
      <x v="150"/>
      <x v="145"/>
      <x v="76"/>
      <x v="3"/>
      <x v="40"/>
    </i>
    <i>
      <x v="156"/>
      <x v="40"/>
      <x v="88"/>
      <x v="79"/>
      <x v="151"/>
      <x v="146"/>
      <x v="76"/>
      <x v="3"/>
      <x v="40"/>
    </i>
    <i>
      <x v="157"/>
      <x v="40"/>
      <x v="88"/>
      <x v="80"/>
      <x v="152"/>
      <x v="147"/>
      <x v="76"/>
      <x v="3"/>
      <x v="40"/>
    </i>
    <i>
      <x v="158"/>
      <x v="40"/>
      <x v="88"/>
      <x v="81"/>
      <x v="153"/>
      <x v="148"/>
      <x v="76"/>
      <x v="3"/>
      <x v="40"/>
    </i>
    <i>
      <x v="159"/>
      <x v="41"/>
      <x v="89"/>
      <x v="69"/>
      <x v="154"/>
      <x v="149"/>
      <x v="77"/>
      <x v="19"/>
      <x v="41"/>
    </i>
    <i>
      <x v="160"/>
      <x v="41"/>
      <x v="90"/>
      <x v="69"/>
      <x v="155"/>
      <x v="150"/>
      <x v="78"/>
      <x v="19"/>
      <x v="41"/>
    </i>
    <i>
      <x v="161"/>
      <x v="41"/>
      <x v="91"/>
      <x v="69"/>
      <x v="156"/>
      <x v="151"/>
      <x v="77"/>
      <x v="19"/>
      <x v="41"/>
    </i>
    <i>
      <x v="162"/>
      <x v="41"/>
      <x v="92"/>
      <x v="69"/>
      <x v="157"/>
      <x v="152"/>
      <x v="78"/>
      <x v="19"/>
      <x v="41"/>
    </i>
    <i>
      <x v="163"/>
      <x v="41"/>
      <x v="93"/>
      <x v="69"/>
      <x v="158"/>
      <x v="153"/>
      <x v="78"/>
      <x v="19"/>
      <x v="41"/>
    </i>
    <i>
      <x v="164"/>
      <x v="41"/>
      <x v="94"/>
      <x v="69"/>
      <x v="159"/>
      <x v="154"/>
      <x v="78"/>
      <x v="19"/>
      <x v="41"/>
    </i>
    <i>
      <x v="165"/>
      <x v="41"/>
      <x v="95"/>
      <x v="82"/>
      <x v="160"/>
      <x v="155"/>
      <x v="77"/>
      <x v="19"/>
      <x v="41"/>
    </i>
    <i>
      <x v="166"/>
      <x v="41"/>
      <x v="95"/>
      <x v="83"/>
      <x v="161"/>
      <x v="156"/>
      <x v="77"/>
      <x v="19"/>
      <x v="41"/>
    </i>
    <i>
      <x v="167"/>
      <x v="41"/>
      <x v="95"/>
      <x v="84"/>
      <x v="162"/>
      <x v="157"/>
      <x v="77"/>
      <x v="19"/>
      <x v="41"/>
    </i>
    <i>
      <x v="168"/>
      <x v="41"/>
      <x v="96"/>
      <x v="85"/>
      <x v="163"/>
      <x v="158"/>
      <x v="77"/>
      <x v="19"/>
      <x v="41"/>
    </i>
    <i>
      <x v="169"/>
      <x v="41"/>
      <x v="96"/>
      <x v="86"/>
      <x v="164"/>
      <x v="159"/>
      <x v="77"/>
      <x v="19"/>
      <x v="41"/>
    </i>
    <i>
      <x v="170"/>
      <x v="41"/>
      <x v="96"/>
      <x v="87"/>
      <x v="165"/>
      <x v="160"/>
      <x v="77"/>
      <x v="19"/>
      <x v="41"/>
    </i>
    <i>
      <x v="171"/>
      <x v="41"/>
      <x v="97"/>
      <x v="88"/>
      <x v="166"/>
      <x v="161"/>
      <x v="77"/>
      <x v="19"/>
      <x v="41"/>
    </i>
    <i>
      <x v="172"/>
      <x v="41"/>
      <x v="97"/>
      <x v="89"/>
      <x v="167"/>
      <x v="162"/>
      <x v="77"/>
      <x v="19"/>
      <x v="41"/>
    </i>
    <i>
      <x v="173"/>
      <x v="41"/>
      <x v="97"/>
      <x v="90"/>
      <x v="168"/>
      <x v="163"/>
      <x v="77"/>
      <x v="19"/>
      <x v="41"/>
    </i>
    <i>
      <x v="174"/>
      <x v="41"/>
      <x v="98"/>
      <x v="91"/>
      <x v="169"/>
      <x v="164"/>
      <x v="77"/>
      <x v="19"/>
      <x v="41"/>
    </i>
    <i>
      <x v="175"/>
      <x v="41"/>
      <x v="98"/>
      <x v="92"/>
      <x v="170"/>
      <x v="165"/>
      <x v="77"/>
      <x v="19"/>
      <x v="41"/>
    </i>
    <i>
      <x v="176"/>
      <x v="41"/>
      <x v="98"/>
      <x v="93"/>
      <x v="171"/>
      <x v="166"/>
      <x v="77"/>
      <x v="19"/>
      <x v="41"/>
    </i>
    <i>
      <x v="177"/>
      <x v="41"/>
      <x v="99"/>
      <x v="69"/>
      <x v="172"/>
      <x v="167"/>
      <x v="77"/>
      <x v="19"/>
      <x v="41"/>
    </i>
    <i>
      <x v="178"/>
      <x v="41"/>
      <x v="100"/>
      <x v="69"/>
      <x v="173"/>
      <x v="168"/>
      <x v="77"/>
      <x v="19"/>
      <x v="41"/>
    </i>
    <i>
      <x v="179"/>
      <x v="41"/>
      <x v="101"/>
      <x v="69"/>
      <x v="174"/>
      <x v="169"/>
      <x v="77"/>
      <x v="19"/>
      <x v="41"/>
    </i>
    <i>
      <x v="180"/>
      <x v="42"/>
      <x v="102"/>
      <x v="82"/>
      <x v="175"/>
      <x v="170"/>
      <x v="78"/>
      <x v="19"/>
      <x v="4"/>
    </i>
    <i>
      <x v="181"/>
      <x v="42"/>
      <x v="102"/>
      <x v="83"/>
      <x v="176"/>
      <x v="171"/>
      <x v="78"/>
      <x v="19"/>
      <x v="4"/>
    </i>
    <i>
      <x v="182"/>
      <x v="42"/>
      <x v="102"/>
      <x v="84"/>
      <x v="177"/>
      <x v="172"/>
      <x v="78"/>
      <x v="19"/>
      <x v="4"/>
    </i>
    <i>
      <x v="183"/>
      <x v="42"/>
      <x v="102"/>
      <x v="94"/>
      <x v="178"/>
      <x v="173"/>
      <x v="78"/>
      <x v="19"/>
      <x v="4"/>
    </i>
    <i>
      <x v="184"/>
      <x v="42"/>
      <x v="102"/>
      <x v="95"/>
      <x v="179"/>
      <x v="174"/>
      <x v="78"/>
      <x v="19"/>
      <x v="4"/>
    </i>
    <i>
      <x v="185"/>
      <x v="42"/>
      <x v="102"/>
      <x v="96"/>
      <x v="180"/>
      <x v="175"/>
      <x v="78"/>
      <x v="19"/>
      <x v="4"/>
    </i>
    <i>
      <x v="186"/>
      <x v="42"/>
      <x v="103"/>
      <x v="85"/>
      <x v="181"/>
      <x v="176"/>
      <x v="78"/>
      <x v="19"/>
      <x v="4"/>
    </i>
    <i>
      <x v="187"/>
      <x v="42"/>
      <x v="103"/>
      <x v="86"/>
      <x v="182"/>
      <x v="177"/>
      <x v="78"/>
      <x v="19"/>
      <x v="4"/>
    </i>
    <i>
      <x v="188"/>
      <x v="42"/>
      <x v="103"/>
      <x v="87"/>
      <x v="183"/>
      <x v="178"/>
      <x v="78"/>
      <x v="19"/>
      <x v="4"/>
    </i>
    <i>
      <x v="189"/>
      <x v="42"/>
      <x v="103"/>
      <x v="94"/>
      <x v="184"/>
      <x v="179"/>
      <x v="78"/>
      <x v="19"/>
      <x v="4"/>
    </i>
    <i>
      <x v="190"/>
      <x v="42"/>
      <x v="103"/>
      <x v="95"/>
      <x v="185"/>
      <x v="180"/>
      <x v="78"/>
      <x v="19"/>
      <x v="4"/>
    </i>
    <i>
      <x v="191"/>
      <x v="42"/>
      <x v="103"/>
      <x v="96"/>
      <x v="186"/>
      <x v="181"/>
      <x v="78"/>
      <x v="19"/>
      <x v="4"/>
    </i>
    <i>
      <x v="192"/>
      <x v="42"/>
      <x v="104"/>
      <x v="88"/>
      <x v="187"/>
      <x v="182"/>
      <x v="78"/>
      <x v="19"/>
      <x v="4"/>
    </i>
    <i>
      <x v="193"/>
      <x v="42"/>
      <x v="104"/>
      <x v="89"/>
      <x v="188"/>
      <x v="183"/>
      <x v="78"/>
      <x v="19"/>
      <x v="4"/>
    </i>
    <i>
      <x v="194"/>
      <x v="42"/>
      <x v="104"/>
      <x v="97"/>
      <x v="189"/>
      <x v="184"/>
      <x v="78"/>
      <x v="19"/>
      <x v="4"/>
    </i>
    <i>
      <x v="195"/>
      <x v="42"/>
      <x v="104"/>
      <x v="98"/>
      <x v="190"/>
      <x v="185"/>
      <x v="78"/>
      <x v="19"/>
      <x v="4"/>
    </i>
    <i>
      <x v="196"/>
      <x v="42"/>
      <x v="104"/>
      <x v="99"/>
      <x v="191"/>
      <x v="186"/>
      <x v="78"/>
      <x v="19"/>
      <x v="4"/>
    </i>
    <i>
      <x v="197"/>
      <x v="42"/>
      <x v="104"/>
      <x v="100"/>
      <x v="192"/>
      <x v="186"/>
      <x v="78"/>
      <x v="19"/>
      <x v="4"/>
    </i>
    <i>
      <x v="198"/>
      <x v="42"/>
      <x v="105"/>
      <x v="91"/>
      <x v="193"/>
      <x v="187"/>
      <x v="78"/>
      <x v="19"/>
      <x v="4"/>
    </i>
    <i>
      <x v="199"/>
      <x v="42"/>
      <x v="105"/>
      <x v="92"/>
      <x v="194"/>
      <x v="188"/>
      <x v="78"/>
      <x v="19"/>
      <x v="4"/>
    </i>
    <i>
      <x v="200"/>
      <x v="42"/>
      <x v="105"/>
      <x v="93"/>
      <x v="195"/>
      <x v="189"/>
      <x v="78"/>
      <x v="19"/>
      <x v="4"/>
    </i>
    <i>
      <x v="201"/>
      <x v="42"/>
      <x v="105"/>
      <x v="101"/>
      <x v="196"/>
      <x v="190"/>
      <x v="78"/>
      <x v="19"/>
      <x v="4"/>
    </i>
    <i>
      <x v="202"/>
      <x v="42"/>
      <x v="105"/>
      <x v="102"/>
      <x v="197"/>
      <x v="191"/>
      <x v="78"/>
      <x v="19"/>
      <x v="4"/>
    </i>
    <i>
      <x v="203"/>
      <x v="42"/>
      <x v="105"/>
      <x v="103"/>
      <x v="198"/>
      <x v="192"/>
      <x v="78"/>
      <x v="19"/>
      <x v="4"/>
    </i>
    <i>
      <x v="204"/>
      <x v="43"/>
      <x v="106"/>
      <x v="47"/>
      <x v="199"/>
      <x v="193"/>
      <x v="79"/>
      <x v="4"/>
      <x v="42"/>
    </i>
    <i>
      <x v="205"/>
      <x v="43"/>
      <x v="107"/>
      <x v="47"/>
      <x v="200"/>
      <x v="194"/>
      <x v="80"/>
      <x v="4"/>
      <x v="42"/>
    </i>
    <i>
      <x v="206"/>
      <x v="43"/>
      <x v="108"/>
      <x v="47"/>
      <x v="201"/>
      <x v="195"/>
      <x v="80"/>
      <x v="4"/>
      <x v="42"/>
    </i>
    <i>
      <x v="207"/>
      <x v="44"/>
      <x v="109"/>
      <x v="104"/>
      <x v="202"/>
      <x v="196"/>
      <x v="81"/>
      <x v="17"/>
      <x v="43"/>
    </i>
    <i>
      <x v="208"/>
      <x v="44"/>
      <x v="109"/>
      <x v="105"/>
      <x v="203"/>
      <x v="197"/>
      <x v="81"/>
      <x v="17"/>
      <x v="43"/>
    </i>
    <i>
      <x v="209"/>
      <x v="44"/>
      <x v="109"/>
      <x v="106"/>
      <x v="204"/>
      <x v="198"/>
      <x v="81"/>
      <x v="17"/>
      <x v="43"/>
    </i>
    <i>
      <x v="210"/>
      <x v="44"/>
      <x v="109"/>
      <x v="107"/>
      <x v="205"/>
      <x v="199"/>
      <x v="81"/>
      <x v="17"/>
      <x v="43"/>
    </i>
    <i>
      <x v="211"/>
      <x v="44"/>
      <x v="109"/>
      <x v="108"/>
      <x v="206"/>
      <x v="200"/>
      <x v="81"/>
      <x v="17"/>
      <x v="43"/>
    </i>
    <i>
      <x v="212"/>
      <x v="44"/>
      <x v="109"/>
      <x v="109"/>
      <x v="207"/>
      <x v="201"/>
      <x v="81"/>
      <x v="17"/>
      <x v="43"/>
    </i>
    <i>
      <x v="213"/>
      <x v="44"/>
      <x v="109"/>
      <x v="110"/>
      <x v="208"/>
      <x v="202"/>
      <x v="81"/>
      <x v="17"/>
      <x v="43"/>
    </i>
    <i>
      <x v="214"/>
      <x v="44"/>
      <x v="109"/>
      <x v="111"/>
      <x v="209"/>
      <x v="203"/>
      <x v="81"/>
      <x v="17"/>
      <x v="43"/>
    </i>
    <i>
      <x v="215"/>
      <x v="44"/>
      <x v="109"/>
      <x v="112"/>
      <x v="210"/>
      <x v="204"/>
      <x v="81"/>
      <x v="17"/>
      <x v="43"/>
    </i>
    <i>
      <x v="216"/>
      <x v="44"/>
      <x v="109"/>
      <x v="113"/>
      <x v="211"/>
      <x v="205"/>
      <x v="81"/>
      <x v="17"/>
      <x v="43"/>
    </i>
    <i>
      <x v="217"/>
      <x v="44"/>
      <x v="109"/>
      <x v="114"/>
      <x v="212"/>
      <x v="206"/>
      <x v="81"/>
      <x v="17"/>
      <x v="43"/>
    </i>
    <i>
      <x v="218"/>
      <x v="45"/>
      <x v="110"/>
      <x v="41"/>
      <x v="213"/>
      <x v="207"/>
      <x v="82"/>
      <x v="13"/>
      <x v="44"/>
    </i>
    <i>
      <x v="219"/>
      <x v="45"/>
      <x v="110"/>
      <x v="115"/>
      <x v="214"/>
      <x v="208"/>
      <x v="82"/>
      <x v="13"/>
      <x v="44"/>
    </i>
    <i>
      <x v="220"/>
      <x v="45"/>
      <x v="110"/>
      <x v="116"/>
      <x v="215"/>
      <x v="209"/>
      <x v="82"/>
      <x v="13"/>
      <x v="44"/>
    </i>
    <i>
      <x v="221"/>
      <x v="45"/>
      <x v="110"/>
      <x v="117"/>
      <x v="216"/>
      <x v="210"/>
      <x v="82"/>
      <x v="13"/>
      <x v="44"/>
    </i>
    <i>
      <x v="222"/>
      <x v="45"/>
      <x v="110"/>
      <x v="118"/>
      <x v="217"/>
      <x v="211"/>
      <x v="82"/>
      <x v="13"/>
      <x v="44"/>
    </i>
    <i>
      <x v="223"/>
      <x v="45"/>
      <x v="110"/>
      <x v="119"/>
      <x v="218"/>
      <x v="212"/>
      <x v="82"/>
      <x v="13"/>
      <x v="44"/>
    </i>
    <i>
      <x v="224"/>
      <x v="45"/>
      <x v="110"/>
      <x v="120"/>
      <x v="219"/>
      <x v="213"/>
      <x v="82"/>
      <x v="13"/>
      <x v="44"/>
    </i>
    <i>
      <x v="225"/>
      <x v="46"/>
      <x v="111"/>
      <x v="47"/>
      <x v="220"/>
      <x v="214"/>
      <x v="83"/>
      <x v="7"/>
      <x v="45"/>
    </i>
    <i>
      <x v="226"/>
      <x v="46"/>
      <x v="111"/>
      <x v="121"/>
      <x v="221"/>
      <x v="214"/>
      <x v="83"/>
      <x v="7"/>
      <x v="45"/>
    </i>
    <i>
      <x v="227"/>
      <x v="46"/>
      <x v="111"/>
      <x v="122"/>
      <x v="222"/>
      <x v="214"/>
      <x v="83"/>
      <x v="7"/>
      <x v="45"/>
    </i>
    <i>
      <x v="228"/>
      <x v="46"/>
      <x v="111"/>
      <x v="123"/>
      <x v="223"/>
      <x v="214"/>
      <x v="83"/>
      <x v="7"/>
      <x v="45"/>
    </i>
    <i>
      <x v="229"/>
      <x v="46"/>
      <x v="111"/>
      <x v="124"/>
      <x v="224"/>
      <x v="214"/>
      <x v="83"/>
      <x v="7"/>
      <x v="45"/>
    </i>
    <i>
      <x v="230"/>
      <x v="46"/>
      <x v="112"/>
      <x v="47"/>
      <x v="225"/>
      <x v="215"/>
      <x v="84"/>
      <x v="7"/>
      <x v="45"/>
    </i>
    <i>
      <x v="231"/>
      <x v="46"/>
      <x v="112"/>
      <x v="121"/>
      <x v="226"/>
      <x v="215"/>
      <x v="84"/>
      <x v="7"/>
      <x v="45"/>
    </i>
    <i>
      <x v="232"/>
      <x v="46"/>
      <x v="112"/>
      <x v="122"/>
      <x v="227"/>
      <x v="215"/>
      <x v="84"/>
      <x v="7"/>
      <x v="45"/>
    </i>
    <i>
      <x v="233"/>
      <x v="46"/>
      <x v="112"/>
      <x v="123"/>
      <x v="228"/>
      <x v="215"/>
      <x v="84"/>
      <x v="7"/>
      <x v="45"/>
    </i>
    <i>
      <x v="234"/>
      <x v="46"/>
      <x v="112"/>
      <x v="124"/>
      <x v="229"/>
      <x v="215"/>
      <x v="84"/>
      <x v="7"/>
      <x v="45"/>
    </i>
    <i>
      <x v="235"/>
      <x v="46"/>
      <x v="113"/>
      <x v="47"/>
      <x v="230"/>
      <x v="216"/>
      <x v="85"/>
      <x v="7"/>
      <x v="45"/>
    </i>
    <i>
      <x v="236"/>
      <x v="46"/>
      <x v="113"/>
      <x v="121"/>
      <x v="231"/>
      <x v="216"/>
      <x v="85"/>
      <x v="7"/>
      <x v="45"/>
    </i>
    <i>
      <x v="237"/>
      <x v="46"/>
      <x v="113"/>
      <x v="122"/>
      <x v="232"/>
      <x v="216"/>
      <x v="85"/>
      <x v="7"/>
      <x v="45"/>
    </i>
    <i>
      <x v="238"/>
      <x v="46"/>
      <x v="113"/>
      <x v="123"/>
      <x v="233"/>
      <x v="216"/>
      <x v="85"/>
      <x v="7"/>
      <x v="45"/>
    </i>
    <i>
      <x v="239"/>
      <x v="46"/>
      <x v="113"/>
      <x v="124"/>
      <x v="234"/>
      <x v="216"/>
      <x v="85"/>
      <x v="7"/>
      <x v="45"/>
    </i>
    <i>
      <x v="240"/>
      <x v="46"/>
      <x v="114"/>
      <x v="47"/>
      <x v="235"/>
      <x v="217"/>
      <x v="86"/>
      <x v="7"/>
      <x v="45"/>
    </i>
    <i>
      <x v="241"/>
      <x v="46"/>
      <x v="114"/>
      <x v="121"/>
      <x v="236"/>
      <x v="217"/>
      <x v="86"/>
      <x v="7"/>
      <x v="45"/>
    </i>
    <i>
      <x v="242"/>
      <x v="46"/>
      <x v="114"/>
      <x v="122"/>
      <x v="237"/>
      <x v="217"/>
      <x v="86"/>
      <x v="7"/>
      <x v="45"/>
    </i>
    <i>
      <x v="243"/>
      <x v="46"/>
      <x v="114"/>
      <x v="123"/>
      <x v="238"/>
      <x v="217"/>
      <x v="86"/>
      <x v="7"/>
      <x v="45"/>
    </i>
    <i>
      <x v="244"/>
      <x v="46"/>
      <x v="114"/>
      <x v="124"/>
      <x v="239"/>
      <x v="217"/>
      <x v="86"/>
      <x v="7"/>
      <x v="45"/>
    </i>
    <i>
      <x v="245"/>
      <x v="47"/>
      <x v="115"/>
      <x v="125"/>
      <x v="240"/>
      <x v="218"/>
      <x v="77"/>
      <x v="19"/>
      <x v="46"/>
    </i>
    <i>
      <x v="246"/>
      <x v="47"/>
      <x v="89"/>
      <x v="69"/>
      <x v="241"/>
      <x v="149"/>
      <x v="77"/>
      <x v="19"/>
      <x v="46"/>
    </i>
    <i>
      <x v="247"/>
      <x v="47"/>
      <x v="116"/>
      <x v="125"/>
      <x v="242"/>
      <x v="219"/>
      <x v="77"/>
      <x v="19"/>
      <x v="46"/>
    </i>
    <i>
      <x v="248"/>
      <x v="47"/>
      <x v="117"/>
      <x v="126"/>
      <x v="243"/>
      <x v="220"/>
      <x v="87"/>
      <x v="19"/>
      <x v="46"/>
    </i>
    <i>
      <x v="249"/>
      <x v="47"/>
      <x v="118"/>
      <x v="126"/>
      <x v="244"/>
      <x v="221"/>
      <x v="88"/>
      <x v="19"/>
      <x v="46"/>
    </i>
    <i>
      <x v="250"/>
      <x v="47"/>
      <x v="119"/>
      <x v="126"/>
      <x v="245"/>
      <x v="222"/>
      <x v="89"/>
      <x v="19"/>
      <x v="46"/>
    </i>
    <i>
      <x v="251"/>
      <x v="47"/>
      <x v="120"/>
      <x v="126"/>
      <x v="246"/>
      <x v="223"/>
      <x v="90"/>
      <x v="19"/>
      <x v="46"/>
    </i>
    <i>
      <x v="252"/>
      <x v="47"/>
      <x v="121"/>
      <x v="126"/>
      <x v="247"/>
      <x v="224"/>
      <x v="91"/>
      <x v="19"/>
      <x v="46"/>
    </i>
    <i>
      <x v="253"/>
      <x v="47"/>
      <x v="122"/>
      <x v="126"/>
      <x v="248"/>
      <x v="225"/>
      <x v="92"/>
      <x v="19"/>
      <x v="46"/>
    </i>
    <i>
      <x v="254"/>
      <x v="47"/>
      <x v="123"/>
      <x v="126"/>
      <x v="249"/>
      <x v="226"/>
      <x v="93"/>
      <x v="19"/>
      <x v="46"/>
    </i>
    <i>
      <x v="255"/>
      <x v="47"/>
      <x v="124"/>
      <x v="126"/>
      <x v="250"/>
      <x v="227"/>
      <x v="94"/>
      <x v="19"/>
      <x v="46"/>
    </i>
    <i>
      <x v="256"/>
      <x v="47"/>
      <x v="125"/>
      <x v="126"/>
      <x v="251"/>
      <x v="228"/>
      <x v="95"/>
      <x v="19"/>
      <x v="46"/>
    </i>
    <i>
      <x v="257"/>
      <x v="47"/>
      <x v="126"/>
      <x v="126"/>
      <x v="252"/>
      <x v="229"/>
      <x v="96"/>
      <x v="19"/>
      <x v="46"/>
    </i>
    <i>
      <x v="258"/>
      <x v="47"/>
      <x v="127"/>
      <x v="126"/>
      <x v="253"/>
      <x v="230"/>
      <x v="97"/>
      <x v="19"/>
      <x v="46"/>
    </i>
    <i>
      <x v="259"/>
      <x v="47"/>
      <x v="128"/>
      <x v="126"/>
      <x v="254"/>
      <x v="231"/>
      <x v="98"/>
      <x v="19"/>
      <x v="46"/>
    </i>
    <i>
      <x v="260"/>
      <x v="47"/>
      <x v="129"/>
      <x v="126"/>
      <x v="255"/>
      <x v="232"/>
      <x v="99"/>
      <x v="19"/>
      <x v="46"/>
    </i>
    <i>
      <x v="261"/>
      <x v="47"/>
      <x v="90"/>
      <x v="69"/>
      <x v="256"/>
      <x v="233"/>
      <x v="78"/>
      <x v="19"/>
      <x v="46"/>
    </i>
    <i>
      <x v="262"/>
      <x v="47"/>
      <x v="93"/>
      <x v="69"/>
      <x v="257"/>
      <x v="153"/>
      <x v="78"/>
      <x v="19"/>
      <x v="46"/>
    </i>
    <i>
      <x v="263"/>
      <x v="47"/>
      <x v="130"/>
      <x v="126"/>
      <x v="258"/>
      <x v="234"/>
      <x v="77"/>
      <x v="19"/>
      <x v="46"/>
    </i>
    <i>
      <x v="264"/>
      <x v="47"/>
      <x v="95"/>
      <x v="94"/>
      <x v="259"/>
      <x v="235"/>
      <x v="77"/>
      <x v="19"/>
      <x v="46"/>
    </i>
    <i>
      <x v="265"/>
      <x v="47"/>
      <x v="95"/>
      <x v="95"/>
      <x v="260"/>
      <x v="236"/>
      <x v="77"/>
      <x v="19"/>
      <x v="46"/>
    </i>
    <i>
      <x v="266"/>
      <x v="47"/>
      <x v="95"/>
      <x v="96"/>
      <x v="261"/>
      <x v="237"/>
      <x v="77"/>
      <x v="19"/>
      <x v="46"/>
    </i>
    <i>
      <x v="267"/>
      <x v="47"/>
      <x v="95"/>
      <x v="127"/>
      <x v="262"/>
      <x v="238"/>
      <x v="77"/>
      <x v="19"/>
      <x v="46"/>
    </i>
    <i>
      <x v="268"/>
      <x v="47"/>
      <x v="95"/>
      <x v="128"/>
      <x v="263"/>
      <x v="239"/>
      <x v="77"/>
      <x v="19"/>
      <x v="46"/>
    </i>
    <i>
      <x v="269"/>
      <x v="47"/>
      <x v="131"/>
      <x v="126"/>
      <x v="264"/>
      <x v="240"/>
      <x v="100"/>
      <x v="19"/>
      <x v="46"/>
    </i>
    <i>
      <x v="270"/>
      <x v="47"/>
      <x v="132"/>
      <x v="126"/>
      <x v="265"/>
      <x v="241"/>
      <x v="101"/>
      <x v="19"/>
      <x v="46"/>
    </i>
    <i>
      <x v="271"/>
      <x v="47"/>
      <x v="133"/>
      <x v="126"/>
      <x v="266"/>
      <x v="242"/>
      <x v="101"/>
      <x v="19"/>
      <x v="46"/>
    </i>
    <i>
      <x v="272"/>
      <x v="47"/>
      <x v="134"/>
      <x v="126"/>
      <x v="267"/>
      <x v="243"/>
      <x v="101"/>
      <x v="19"/>
      <x v="46"/>
    </i>
    <i>
      <x v="273"/>
      <x v="47"/>
      <x v="135"/>
      <x v="126"/>
      <x v="268"/>
      <x v="244"/>
      <x v="101"/>
      <x v="19"/>
      <x v="46"/>
    </i>
    <i>
      <x v="274"/>
      <x v="47"/>
      <x v="136"/>
      <x v="126"/>
      <x v="269"/>
      <x v="245"/>
      <x v="102"/>
      <x v="19"/>
      <x v="46"/>
    </i>
    <i>
      <x v="275"/>
      <x v="47"/>
      <x v="137"/>
      <x v="126"/>
      <x v="270"/>
      <x v="246"/>
      <x v="103"/>
      <x v="19"/>
      <x v="46"/>
    </i>
    <i>
      <x v="276"/>
      <x v="47"/>
      <x v="138"/>
      <x v="126"/>
      <x v="271"/>
      <x v="247"/>
      <x v="104"/>
      <x v="19"/>
      <x v="46"/>
    </i>
    <i>
      <x v="277"/>
      <x v="47"/>
      <x v="139"/>
      <x v="126"/>
      <x v="272"/>
      <x v="248"/>
      <x v="105"/>
      <x v="19"/>
      <x v="46"/>
    </i>
    <i>
      <x v="278"/>
      <x v="47"/>
      <x v="140"/>
      <x v="126"/>
      <x v="273"/>
      <x v="249"/>
      <x v="77"/>
      <x v="19"/>
      <x v="46"/>
    </i>
    <i>
      <x v="279"/>
      <x v="47"/>
      <x v="141"/>
      <x v="126"/>
      <x v="274"/>
      <x v="250"/>
      <x v="106"/>
      <x v="19"/>
      <x v="46"/>
    </i>
    <i>
      <x v="280"/>
      <x v="47"/>
      <x v="96"/>
      <x v="95"/>
      <x v="275"/>
      <x v="251"/>
      <x v="77"/>
      <x v="19"/>
      <x v="46"/>
    </i>
    <i>
      <x v="281"/>
      <x v="47"/>
      <x v="96"/>
      <x v="96"/>
      <x v="276"/>
      <x v="252"/>
      <x v="77"/>
      <x v="19"/>
      <x v="46"/>
    </i>
    <i>
      <x v="282"/>
      <x v="47"/>
      <x v="96"/>
      <x v="127"/>
      <x v="277"/>
      <x v="253"/>
      <x v="77"/>
      <x v="19"/>
      <x v="46"/>
    </i>
    <i>
      <x v="283"/>
      <x v="47"/>
      <x v="96"/>
      <x v="128"/>
      <x v="278"/>
      <x v="254"/>
      <x v="77"/>
      <x v="19"/>
      <x v="46"/>
    </i>
    <i>
      <x v="284"/>
      <x v="47"/>
      <x v="97"/>
      <x v="98"/>
      <x v="279"/>
      <x v="255"/>
      <x v="77"/>
      <x v="19"/>
      <x v="46"/>
    </i>
    <i>
      <x v="285"/>
      <x v="47"/>
      <x v="97"/>
      <x v="99"/>
      <x v="280"/>
      <x v="256"/>
      <x v="77"/>
      <x v="19"/>
      <x v="46"/>
    </i>
    <i>
      <x v="286"/>
      <x v="47"/>
      <x v="97"/>
      <x v="100"/>
      <x v="281"/>
      <x v="257"/>
      <x v="77"/>
      <x v="19"/>
      <x v="46"/>
    </i>
    <i>
      <x v="287"/>
      <x v="47"/>
      <x v="97"/>
      <x v="129"/>
      <x v="282"/>
      <x v="258"/>
      <x v="77"/>
      <x v="19"/>
      <x v="46"/>
    </i>
    <i>
      <x v="288"/>
      <x v="47"/>
      <x v="97"/>
      <x v="130"/>
      <x v="283"/>
      <x v="259"/>
      <x v="77"/>
      <x v="19"/>
      <x v="46"/>
    </i>
    <i>
      <x v="289"/>
      <x v="47"/>
      <x v="98"/>
      <x v="101"/>
      <x v="284"/>
      <x v="260"/>
      <x v="77"/>
      <x v="19"/>
      <x v="46"/>
    </i>
    <i>
      <x v="290"/>
      <x v="47"/>
      <x v="98"/>
      <x v="102"/>
      <x v="285"/>
      <x v="261"/>
      <x v="77"/>
      <x v="19"/>
      <x v="46"/>
    </i>
    <i>
      <x v="291"/>
      <x v="47"/>
      <x v="98"/>
      <x v="103"/>
      <x v="286"/>
      <x v="262"/>
      <x v="77"/>
      <x v="19"/>
      <x v="46"/>
    </i>
    <i>
      <x v="292"/>
      <x v="47"/>
      <x v="98"/>
      <x v="131"/>
      <x v="287"/>
      <x v="263"/>
      <x v="77"/>
      <x v="19"/>
      <x v="46"/>
    </i>
    <i>
      <x v="293"/>
      <x v="47"/>
      <x v="98"/>
      <x v="132"/>
      <x v="288"/>
      <x v="264"/>
      <x v="77"/>
      <x v="19"/>
      <x v="46"/>
    </i>
    <i>
      <x v="294"/>
      <x v="47"/>
      <x v="99"/>
      <x v="69"/>
      <x v="289"/>
      <x v="167"/>
      <x v="77"/>
      <x v="19"/>
      <x v="46"/>
    </i>
    <i>
      <x v="295"/>
      <x v="47"/>
      <x v="100"/>
      <x v="69"/>
      <x v="290"/>
      <x v="168"/>
      <x v="77"/>
      <x v="19"/>
      <x v="46"/>
    </i>
    <i>
      <x v="296"/>
      <x v="47"/>
      <x v="101"/>
      <x v="69"/>
      <x v="291"/>
      <x v="169"/>
      <x v="77"/>
      <x v="19"/>
      <x v="46"/>
    </i>
    <i>
      <x v="297"/>
      <x v="47"/>
      <x v="142"/>
      <x v="125"/>
      <x v="292"/>
      <x v="265"/>
      <x v="77"/>
      <x v="19"/>
      <x v="46"/>
    </i>
    <i>
      <x v="298"/>
      <x v="47"/>
      <x v="143"/>
      <x v="125"/>
      <x v="293"/>
      <x v="266"/>
      <x v="77"/>
      <x v="19"/>
      <x v="46"/>
    </i>
    <i>
      <x v="299"/>
      <x v="48"/>
      <x v="27"/>
      <x v="49"/>
      <x v="294"/>
      <x v="267"/>
      <x v="23"/>
      <x v="6"/>
      <x v="14"/>
    </i>
    <i>
      <x v="300"/>
      <x v="48"/>
      <x v="29"/>
      <x v="133"/>
      <x v="295"/>
      <x v="268"/>
      <x v="25"/>
      <x v="8"/>
      <x v="14"/>
    </i>
    <i>
      <x v="301"/>
      <x v="48"/>
      <x v="30"/>
      <x v="133"/>
      <x v="296"/>
      <x v="269"/>
      <x v="25"/>
      <x v="9"/>
      <x v="14"/>
    </i>
    <i>
      <x v="302"/>
      <x v="48"/>
      <x v="31"/>
      <x v="133"/>
      <x v="297"/>
      <x v="270"/>
      <x v="25"/>
      <x v="10"/>
      <x v="14"/>
    </i>
    <i>
      <x v="303"/>
      <x v="48"/>
      <x v="144"/>
      <x v="134"/>
      <x v="62"/>
      <x v="62"/>
      <x v="107"/>
      <x v="1"/>
      <x v="14"/>
    </i>
    <i>
      <x v="304"/>
      <x v="48"/>
      <x v="145"/>
      <x v="49"/>
      <x v="298"/>
      <x v="271"/>
      <x v="108"/>
      <x v="20"/>
      <x v="14"/>
    </i>
    <i>
      <x v="305"/>
      <x v="48"/>
      <x v="146"/>
      <x v="49"/>
      <x v="299"/>
      <x v="272"/>
      <x v="109"/>
      <x v="2"/>
      <x v="14"/>
    </i>
    <i>
      <x v="306"/>
      <x v="48"/>
      <x v="147"/>
      <x v="49"/>
      <x v="300"/>
      <x v="273"/>
      <x v="110"/>
      <x v="12"/>
      <x v="14"/>
    </i>
    <i>
      <x v="307"/>
      <x v="48"/>
      <x v="148"/>
      <x v="49"/>
      <x v="301"/>
      <x v="274"/>
      <x v="111"/>
      <x v="21"/>
      <x v="14"/>
    </i>
    <i>
      <x v="308"/>
      <x v="48"/>
      <x v="110"/>
      <x v="49"/>
      <x v="302"/>
      <x v="275"/>
      <x v="82"/>
      <x v="12"/>
      <x v="14"/>
    </i>
    <i>
      <x v="309"/>
      <x v="48"/>
      <x v="149"/>
      <x v="49"/>
      <x v="303"/>
      <x v="276"/>
      <x v="112"/>
      <x v="2"/>
      <x v="14"/>
    </i>
    <i>
      <x v="310"/>
      <x v="48"/>
      <x v="150"/>
      <x v="49"/>
      <x v="304"/>
      <x v="277"/>
      <x v="28"/>
      <x v="12"/>
      <x v="14"/>
    </i>
    <i>
      <x v="311"/>
      <x v="48"/>
      <x v="26"/>
      <x v="49"/>
      <x v="305"/>
      <x v="278"/>
      <x v="22"/>
      <x v="6"/>
      <x v="14"/>
    </i>
    <i>
      <x v="312"/>
      <x v="49"/>
      <x v="151"/>
      <x v="41"/>
      <x v="306"/>
      <x v="279"/>
      <x v="113"/>
      <x v="22"/>
      <x v="47"/>
    </i>
    <i>
      <x v="313"/>
      <x v="49"/>
      <x v="151"/>
      <x v="135"/>
      <x v="307"/>
      <x v="280"/>
      <x v="113"/>
      <x v="22"/>
      <x v="47"/>
    </i>
    <i>
      <x v="314"/>
      <x v="49"/>
      <x v="151"/>
      <x v="136"/>
      <x v="308"/>
      <x v="281"/>
      <x v="113"/>
      <x v="22"/>
      <x v="47"/>
    </i>
    <i>
      <x v="315"/>
      <x v="49"/>
      <x v="73"/>
      <x v="41"/>
      <x v="309"/>
      <x v="282"/>
      <x v="62"/>
      <x v="6"/>
      <x v="47"/>
    </i>
    <i>
      <x v="316"/>
      <x v="49"/>
      <x v="73"/>
      <x v="137"/>
      <x v="310"/>
      <x v="283"/>
      <x v="62"/>
      <x v="6"/>
      <x v="47"/>
    </i>
    <i>
      <x v="317"/>
      <x v="49"/>
      <x v="73"/>
      <x v="138"/>
      <x v="311"/>
      <x v="284"/>
      <x v="62"/>
      <x v="6"/>
      <x v="47"/>
    </i>
    <i>
      <x v="318"/>
      <x v="49"/>
      <x v="73"/>
      <x v="139"/>
      <x v="312"/>
      <x v="285"/>
      <x v="62"/>
      <x v="6"/>
      <x v="47"/>
    </i>
    <i>
      <x v="319"/>
      <x v="49"/>
      <x v="152"/>
      <x v="41"/>
      <x v="313"/>
      <x v="286"/>
      <x v="25"/>
      <x v="23"/>
      <x v="47"/>
    </i>
    <i>
      <x v="320"/>
      <x v="49"/>
      <x v="152"/>
      <x v="135"/>
      <x v="314"/>
      <x v="287"/>
      <x v="25"/>
      <x v="23"/>
      <x v="47"/>
    </i>
    <i>
      <x v="321"/>
      <x v="49"/>
      <x v="152"/>
      <x v="61"/>
      <x v="315"/>
      <x v="288"/>
      <x v="25"/>
      <x v="23"/>
      <x v="47"/>
    </i>
    <i>
      <x v="322"/>
      <x v="49"/>
      <x v="152"/>
      <x v="140"/>
      <x v="316"/>
      <x v="289"/>
      <x v="25"/>
      <x v="23"/>
      <x v="47"/>
    </i>
    <i>
      <x v="323"/>
      <x v="49"/>
      <x v="153"/>
      <x v="41"/>
      <x v="317"/>
      <x v="290"/>
      <x v="25"/>
      <x v="23"/>
      <x v="47"/>
    </i>
    <i>
      <x v="324"/>
      <x v="49"/>
      <x v="153"/>
      <x v="135"/>
      <x v="318"/>
      <x v="291"/>
      <x v="25"/>
      <x v="23"/>
      <x v="47"/>
    </i>
    <i>
      <x v="325"/>
      <x v="49"/>
      <x v="153"/>
      <x v="61"/>
      <x v="319"/>
      <x v="292"/>
      <x v="25"/>
      <x v="23"/>
      <x v="47"/>
    </i>
    <i>
      <x v="326"/>
      <x v="49"/>
      <x v="153"/>
      <x v="140"/>
      <x v="320"/>
      <x v="293"/>
      <x v="25"/>
      <x v="23"/>
      <x v="47"/>
    </i>
    <i>
      <x v="327"/>
      <x v="49"/>
      <x v="154"/>
      <x v="41"/>
      <x v="321"/>
      <x v="294"/>
      <x v="114"/>
      <x v="13"/>
      <x v="47"/>
    </i>
    <i>
      <x v="328"/>
      <x v="49"/>
      <x v="154"/>
      <x v="141"/>
      <x v="322"/>
      <x v="295"/>
      <x v="114"/>
      <x v="13"/>
      <x v="47"/>
    </i>
    <i>
      <x v="329"/>
      <x v="49"/>
      <x v="154"/>
      <x v="116"/>
      <x v="323"/>
      <x v="296"/>
      <x v="114"/>
      <x v="13"/>
      <x v="47"/>
    </i>
    <i>
      <x v="330"/>
      <x v="49"/>
      <x v="154"/>
      <x v="117"/>
      <x v="324"/>
      <x v="297"/>
      <x v="114"/>
      <x v="13"/>
      <x v="47"/>
    </i>
    <i>
      <x v="331"/>
      <x v="49"/>
      <x v="154"/>
      <x v="118"/>
      <x v="325"/>
      <x v="298"/>
      <x v="114"/>
      <x v="13"/>
      <x v="47"/>
    </i>
    <i>
      <x v="332"/>
      <x v="49"/>
      <x v="154"/>
      <x v="119"/>
      <x v="326"/>
      <x v="299"/>
      <x v="114"/>
      <x v="13"/>
      <x v="47"/>
    </i>
    <i>
      <x v="333"/>
      <x v="49"/>
      <x v="154"/>
      <x v="120"/>
      <x v="327"/>
      <x v="300"/>
      <x v="114"/>
      <x v="13"/>
      <x v="47"/>
    </i>
    <i>
      <x v="334"/>
      <x v="49"/>
      <x v="155"/>
      <x v="41"/>
      <x v="328"/>
      <x v="301"/>
      <x v="115"/>
      <x v="13"/>
      <x v="47"/>
    </i>
    <i>
      <x v="335"/>
      <x v="49"/>
      <x v="155"/>
      <x v="141"/>
      <x v="329"/>
      <x v="302"/>
      <x v="115"/>
      <x v="13"/>
      <x v="47"/>
    </i>
    <i>
      <x v="336"/>
      <x v="49"/>
      <x v="155"/>
      <x v="142"/>
      <x v="330"/>
      <x v="303"/>
      <x v="115"/>
      <x v="13"/>
      <x v="47"/>
    </i>
    <i>
      <x v="337"/>
      <x v="49"/>
      <x v="156"/>
      <x v="41"/>
      <x v="331"/>
      <x v="304"/>
      <x v="116"/>
      <x v="13"/>
      <x v="47"/>
    </i>
    <i>
      <x v="338"/>
      <x v="49"/>
      <x v="156"/>
      <x v="141"/>
      <x v="332"/>
      <x v="305"/>
      <x v="116"/>
      <x v="13"/>
      <x v="47"/>
    </i>
    <i>
      <x v="339"/>
      <x v="49"/>
      <x v="156"/>
      <x v="142"/>
      <x v="333"/>
      <x v="306"/>
      <x v="116"/>
      <x v="13"/>
      <x v="47"/>
    </i>
    <i>
      <x v="340"/>
      <x v="49"/>
      <x v="157"/>
      <x v="41"/>
      <x v="334"/>
      <x v="307"/>
      <x v="117"/>
      <x v="8"/>
      <x v="47"/>
    </i>
    <i>
      <x v="341"/>
      <x v="49"/>
      <x v="157"/>
      <x v="143"/>
      <x v="335"/>
      <x v="308"/>
      <x v="117"/>
      <x v="8"/>
      <x v="47"/>
    </i>
    <i>
      <x v="342"/>
      <x v="49"/>
      <x v="158"/>
      <x v="41"/>
      <x v="336"/>
      <x v="309"/>
      <x v="118"/>
      <x v="23"/>
      <x v="47"/>
    </i>
    <i>
      <x v="343"/>
      <x v="49"/>
      <x v="158"/>
      <x v="135"/>
      <x v="337"/>
      <x v="310"/>
      <x v="118"/>
      <x v="23"/>
      <x v="47"/>
    </i>
    <i>
      <x v="344"/>
      <x v="49"/>
      <x v="158"/>
      <x v="144"/>
      <x v="338"/>
      <x v="311"/>
      <x v="118"/>
      <x v="23"/>
      <x v="47"/>
    </i>
    <i>
      <x v="345"/>
      <x v="49"/>
      <x v="159"/>
      <x v="41"/>
      <x v="339"/>
      <x v="312"/>
      <x v="119"/>
      <x v="13"/>
      <x v="47"/>
    </i>
    <i>
      <x v="346"/>
      <x v="49"/>
      <x v="159"/>
      <x v="141"/>
      <x v="340"/>
      <x v="313"/>
      <x v="119"/>
      <x v="13"/>
      <x v="47"/>
    </i>
    <i>
      <x v="347"/>
      <x v="49"/>
      <x v="159"/>
      <x v="142"/>
      <x v="341"/>
      <x v="314"/>
      <x v="119"/>
      <x v="13"/>
      <x v="47"/>
    </i>
    <i>
      <x v="348"/>
      <x v="49"/>
      <x v="144"/>
      <x v="134"/>
      <x v="342"/>
      <x v="315"/>
      <x v="107"/>
      <x v="17"/>
      <x v="47"/>
    </i>
    <i>
      <x v="349"/>
      <x v="49"/>
      <x v="160"/>
      <x v="41"/>
      <x v="343"/>
      <x v="316"/>
      <x v="120"/>
      <x v="6"/>
      <x v="47"/>
    </i>
    <i>
      <x v="350"/>
      <x v="49"/>
      <x v="161"/>
      <x v="145"/>
      <x v="344"/>
      <x v="317"/>
      <x v="121"/>
      <x v="17"/>
      <x v="47"/>
    </i>
    <i>
      <x v="351"/>
      <x v="49"/>
      <x v="162"/>
      <x v="41"/>
      <x v="345"/>
      <x v="318"/>
      <x v="122"/>
      <x v="16"/>
      <x v="47"/>
    </i>
    <i>
      <x v="352"/>
      <x v="49"/>
      <x v="162"/>
      <x v="141"/>
      <x v="346"/>
      <x v="319"/>
      <x v="122"/>
      <x v="16"/>
      <x v="47"/>
    </i>
    <i>
      <x v="353"/>
      <x v="49"/>
      <x v="162"/>
      <x v="146"/>
      <x v="347"/>
      <x v="320"/>
      <x v="122"/>
      <x v="16"/>
      <x v="47"/>
    </i>
    <i>
      <x v="354"/>
      <x v="49"/>
      <x v="162"/>
      <x v="147"/>
      <x v="348"/>
      <x v="321"/>
      <x v="122"/>
      <x v="16"/>
      <x v="47"/>
    </i>
    <i>
      <x v="355"/>
      <x v="49"/>
      <x v="163"/>
      <x v="41"/>
      <x v="349"/>
      <x v="322"/>
      <x v="123"/>
      <x v="16"/>
      <x v="47"/>
    </i>
    <i>
      <x v="356"/>
      <x v="49"/>
      <x v="163"/>
      <x v="143"/>
      <x v="350"/>
      <x v="323"/>
      <x v="123"/>
      <x v="16"/>
      <x v="47"/>
    </i>
    <i>
      <x v="357"/>
      <x v="49"/>
      <x v="163"/>
      <x v="61"/>
      <x v="351"/>
      <x v="324"/>
      <x v="123"/>
      <x v="16"/>
      <x v="47"/>
    </i>
    <i>
      <x v="358"/>
      <x v="49"/>
      <x v="164"/>
      <x v="41"/>
      <x v="352"/>
      <x v="325"/>
      <x v="124"/>
      <x v="17"/>
      <x v="47"/>
    </i>
    <i>
      <x v="359"/>
      <x v="49"/>
      <x v="164"/>
      <x v="148"/>
      <x v="353"/>
      <x v="326"/>
      <x v="124"/>
      <x v="17"/>
      <x v="47"/>
    </i>
    <i>
      <x v="360"/>
      <x v="49"/>
      <x v="164"/>
      <x v="149"/>
      <x v="354"/>
      <x v="327"/>
      <x v="124"/>
      <x v="17"/>
      <x v="47"/>
    </i>
    <i>
      <x v="361"/>
      <x v="49"/>
      <x v="164"/>
      <x v="150"/>
      <x v="355"/>
      <x v="328"/>
      <x v="124"/>
      <x v="17"/>
      <x v="47"/>
    </i>
    <i>
      <x v="362"/>
      <x v="49"/>
      <x v="164"/>
      <x v="151"/>
      <x v="356"/>
      <x v="329"/>
      <x v="124"/>
      <x v="17"/>
      <x v="47"/>
    </i>
    <i>
      <x v="363"/>
      <x v="49"/>
      <x v="165"/>
      <x v="41"/>
      <x v="357"/>
      <x v="330"/>
      <x v="125"/>
      <x v="24"/>
      <x v="47"/>
    </i>
    <i>
      <x v="364"/>
      <x v="49"/>
      <x v="165"/>
      <x v="135"/>
      <x v="358"/>
      <x v="331"/>
      <x v="125"/>
      <x v="24"/>
      <x v="47"/>
    </i>
    <i>
      <x v="365"/>
      <x v="49"/>
      <x v="165"/>
      <x v="136"/>
      <x v="359"/>
      <x v="332"/>
      <x v="125"/>
      <x v="24"/>
      <x v="47"/>
    </i>
    <i>
      <x v="366"/>
      <x v="49"/>
      <x v="165"/>
      <x v="134"/>
      <x v="360"/>
      <x v="333"/>
      <x v="125"/>
      <x v="24"/>
      <x v="47"/>
    </i>
    <i>
      <x v="367"/>
      <x v="49"/>
      <x v="166"/>
      <x v="41"/>
      <x v="361"/>
      <x v="334"/>
      <x v="25"/>
      <x v="23"/>
      <x v="47"/>
    </i>
    <i>
      <x v="368"/>
      <x v="49"/>
      <x v="166"/>
      <x v="135"/>
      <x v="362"/>
      <x v="335"/>
      <x v="25"/>
      <x v="23"/>
      <x v="47"/>
    </i>
    <i>
      <x v="369"/>
      <x v="49"/>
      <x v="166"/>
      <x v="61"/>
      <x v="363"/>
      <x v="336"/>
      <x v="25"/>
      <x v="23"/>
      <x v="47"/>
    </i>
    <i>
      <x v="370"/>
      <x v="49"/>
      <x v="166"/>
      <x v="140"/>
      <x v="364"/>
      <x v="337"/>
      <x v="25"/>
      <x v="23"/>
      <x v="47"/>
    </i>
    <i>
      <x v="371"/>
      <x v="49"/>
      <x v="167"/>
      <x v="145"/>
      <x v="365"/>
      <x v="338"/>
      <x v="121"/>
      <x v="17"/>
      <x v="47"/>
    </i>
    <i>
      <x v="372"/>
      <x v="49"/>
      <x v="168"/>
      <x v="152"/>
      <x v="366"/>
      <x v="339"/>
      <x v="126"/>
      <x v="17"/>
      <x v="47"/>
    </i>
    <i>
      <x v="373"/>
      <x v="49"/>
      <x v="168"/>
      <x v="61"/>
      <x v="367"/>
      <x v="340"/>
      <x v="126"/>
      <x v="17"/>
      <x v="47"/>
    </i>
    <i>
      <x v="374"/>
      <x v="49"/>
      <x v="168"/>
      <x v="153"/>
      <x v="368"/>
      <x v="341"/>
      <x v="126"/>
      <x v="17"/>
      <x v="47"/>
    </i>
    <i>
      <x v="375"/>
      <x v="49"/>
      <x v="168"/>
      <x v="134"/>
      <x v="369"/>
      <x v="342"/>
      <x v="126"/>
      <x v="17"/>
      <x v="47"/>
    </i>
    <i>
      <x v="376"/>
      <x v="49"/>
      <x v="75"/>
      <x v="41"/>
      <x v="370"/>
      <x v="343"/>
      <x v="64"/>
      <x v="6"/>
      <x v="47"/>
    </i>
    <i>
      <x v="377"/>
      <x v="49"/>
      <x v="75"/>
      <x v="138"/>
      <x v="371"/>
      <x v="344"/>
      <x v="64"/>
      <x v="6"/>
      <x v="47"/>
    </i>
    <i>
      <x v="378"/>
      <x v="49"/>
      <x v="75"/>
      <x v="154"/>
      <x v="372"/>
      <x v="345"/>
      <x v="64"/>
      <x v="6"/>
      <x v="47"/>
    </i>
    <i>
      <x v="379"/>
      <x v="49"/>
      <x v="75"/>
      <x v="155"/>
      <x v="373"/>
      <x v="346"/>
      <x v="64"/>
      <x v="6"/>
      <x v="47"/>
    </i>
    <i>
      <x v="380"/>
      <x v="49"/>
      <x v="75"/>
      <x v="68"/>
      <x v="374"/>
      <x v="347"/>
      <x v="64"/>
      <x v="6"/>
      <x v="47"/>
    </i>
    <i>
      <x v="381"/>
      <x v="49"/>
      <x v="169"/>
      <x v="41"/>
      <x v="375"/>
      <x v="348"/>
      <x v="127"/>
      <x v="24"/>
      <x v="47"/>
    </i>
    <i>
      <x v="382"/>
      <x v="49"/>
      <x v="169"/>
      <x v="135"/>
      <x v="376"/>
      <x v="349"/>
      <x v="127"/>
      <x v="24"/>
      <x v="47"/>
    </i>
    <i>
      <x v="383"/>
      <x v="49"/>
      <x v="169"/>
      <x v="136"/>
      <x v="377"/>
      <x v="350"/>
      <x v="127"/>
      <x v="24"/>
      <x v="47"/>
    </i>
    <i>
      <x v="384"/>
      <x v="50"/>
      <x v="170"/>
      <x v="156"/>
      <x v="378"/>
      <x v="351"/>
      <x v="128"/>
      <x v="25"/>
      <x v="48"/>
    </i>
    <i>
      <x v="385"/>
      <x v="50"/>
      <x v="170"/>
      <x v="157"/>
      <x v="379"/>
      <x v="352"/>
      <x v="128"/>
      <x v="25"/>
      <x v="48"/>
    </i>
    <i>
      <x v="386"/>
      <x v="50"/>
      <x v="170"/>
      <x v="158"/>
      <x v="380"/>
      <x v="353"/>
      <x v="128"/>
      <x v="25"/>
      <x v="48"/>
    </i>
    <i>
      <x v="387"/>
      <x v="50"/>
      <x v="170"/>
      <x v="159"/>
      <x v="381"/>
      <x v="354"/>
      <x v="128"/>
      <x v="25"/>
      <x v="48"/>
    </i>
    <i>
      <x v="388"/>
      <x v="51"/>
      <x v="171"/>
      <x v="41"/>
      <x v="382"/>
      <x v="355"/>
      <x v="25"/>
      <x v="26"/>
      <x v="49"/>
    </i>
    <i>
      <x v="389"/>
      <x v="51"/>
      <x v="171"/>
      <x v="47"/>
      <x v="383"/>
      <x v="356"/>
      <x v="25"/>
      <x v="26"/>
      <x v="49"/>
    </i>
    <i>
      <x v="390"/>
      <x v="51"/>
      <x v="171"/>
      <x v="121"/>
      <x v="384"/>
      <x v="357"/>
      <x v="25"/>
      <x v="26"/>
      <x v="49"/>
    </i>
    <i>
      <x v="391"/>
      <x v="51"/>
      <x v="172"/>
      <x v="41"/>
      <x v="385"/>
      <x v="358"/>
      <x v="25"/>
      <x v="26"/>
      <x v="49"/>
    </i>
    <i>
      <x v="392"/>
      <x v="51"/>
      <x v="172"/>
      <x v="47"/>
      <x v="386"/>
      <x v="359"/>
      <x v="25"/>
      <x v="26"/>
      <x v="49"/>
    </i>
    <i>
      <x v="393"/>
      <x v="51"/>
      <x v="172"/>
      <x v="121"/>
      <x v="387"/>
      <x v="360"/>
      <x v="25"/>
      <x v="26"/>
      <x v="49"/>
    </i>
    <i>
      <x v="394"/>
      <x v="51"/>
      <x v="173"/>
      <x v="41"/>
      <x v="388"/>
      <x v="361"/>
      <x v="25"/>
      <x v="26"/>
      <x v="49"/>
    </i>
    <i>
      <x v="395"/>
      <x v="51"/>
      <x v="173"/>
      <x v="47"/>
      <x v="389"/>
      <x v="362"/>
      <x v="25"/>
      <x v="26"/>
      <x v="49"/>
    </i>
    <i>
      <x v="396"/>
      <x v="51"/>
      <x v="173"/>
      <x v="121"/>
      <x v="390"/>
      <x v="363"/>
      <x v="25"/>
      <x v="26"/>
      <x v="49"/>
    </i>
    <i>
      <x v="397"/>
      <x v="51"/>
      <x v="173"/>
      <x v="122"/>
      <x v="391"/>
      <x v="364"/>
      <x v="25"/>
      <x v="26"/>
      <x v="49"/>
    </i>
    <i>
      <x v="398"/>
      <x v="51"/>
      <x v="174"/>
      <x v="41"/>
      <x v="392"/>
      <x v="365"/>
      <x v="25"/>
      <x v="26"/>
      <x v="49"/>
    </i>
    <i>
      <x v="399"/>
      <x v="51"/>
      <x v="174"/>
      <x v="47"/>
      <x v="393"/>
      <x v="366"/>
      <x v="25"/>
      <x v="26"/>
      <x v="49"/>
    </i>
    <i>
      <x v="400"/>
      <x v="51"/>
      <x v="174"/>
      <x v="121"/>
      <x v="394"/>
      <x v="367"/>
      <x v="25"/>
      <x v="26"/>
      <x v="49"/>
    </i>
    <i>
      <x v="401"/>
      <x v="51"/>
      <x v="174"/>
      <x v="122"/>
      <x v="395"/>
      <x v="368"/>
      <x v="25"/>
      <x v="26"/>
      <x v="49"/>
    </i>
    <i>
      <x v="402"/>
      <x v="51"/>
      <x v="175"/>
      <x v="41"/>
      <x v="396"/>
      <x v="369"/>
      <x v="25"/>
      <x v="20"/>
      <x v="49"/>
    </i>
    <i>
      <x v="403"/>
      <x v="51"/>
      <x v="175"/>
      <x v="2"/>
      <x v="397"/>
      <x v="370"/>
      <x v="25"/>
      <x v="20"/>
      <x v="49"/>
    </i>
    <i>
      <x v="404"/>
      <x v="51"/>
      <x v="176"/>
      <x v="41"/>
      <x v="398"/>
      <x v="371"/>
      <x v="25"/>
      <x v="20"/>
      <x v="49"/>
    </i>
    <i>
      <x v="405"/>
      <x v="51"/>
      <x v="176"/>
      <x v="47"/>
      <x v="399"/>
      <x v="372"/>
      <x v="25"/>
      <x v="20"/>
      <x v="49"/>
    </i>
    <i>
      <x v="406"/>
      <x v="51"/>
      <x v="176"/>
      <x v="121"/>
      <x v="400"/>
      <x v="373"/>
      <x v="25"/>
      <x v="20"/>
      <x v="49"/>
    </i>
  </rowItem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10"/>
    <rowHierarchyUsage hierarchyUsage="13"/>
    <rowHierarchyUsage hierarchyUsage="16"/>
    <rowHierarchyUsage hierarchyUsage="18"/>
    <rowHierarchyUsage hierarchyUsage="8"/>
    <rowHierarchyUsage hierarchyUsage="11"/>
    <rowHierarchyUsage hierarchyUsage="17"/>
    <rowHierarchyUsage hierarchyUsage="9"/>
    <rowHierarchyUsage hierarchyUsage="15"/>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782985A-F414-4E77-AA1F-AA5ABD2DC26B}" name="PivotTable2" cacheId="985"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1:H495" firstHeaderRow="1" firstDataRow="2" firstDataCol="4"/>
  <pivotFields count="8">
    <pivotField axis="axisRow" compact="0" outline="0" showAll="0" defaultSubtotal="0">
      <items count="34">
        <item m="1" x="19"/>
        <item m="1" x="20"/>
        <item m="1" x="17"/>
        <item m="1" x="28"/>
        <item m="1" x="27"/>
        <item m="1" x="23"/>
        <item m="1" x="21"/>
        <item m="1" x="32"/>
        <item m="1" x="33"/>
        <item m="1" x="31"/>
        <item m="1" x="26"/>
        <item m="1" x="22"/>
        <item m="1" x="24"/>
        <item m="1" x="29"/>
        <item m="1" x="30"/>
        <item m="1" x="25"/>
        <item m="1" x="18"/>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outline="0" showAll="0" defaultSubtotal="0">
      <items count="78">
        <item x="2"/>
        <item x="9"/>
        <item x="20"/>
        <item x="40"/>
        <item x="27"/>
        <item x="16"/>
        <item x="5"/>
        <item x="61"/>
        <item x="64"/>
        <item x="65"/>
        <item x="66"/>
        <item x="63"/>
        <item x="62"/>
        <item x="11"/>
        <item x="10"/>
        <item x="24"/>
        <item x="58"/>
        <item x="34"/>
        <item x="52"/>
        <item x="42"/>
        <item x="31"/>
        <item x="21"/>
        <item x="53"/>
        <item x="3"/>
        <item x="59"/>
        <item x="35"/>
        <item x="45"/>
        <item x="25"/>
        <item x="14"/>
        <item x="41"/>
        <item x="49"/>
        <item x="39"/>
        <item x="48"/>
        <item x="57"/>
        <item x="8"/>
        <item x="7"/>
        <item x="30"/>
        <item x="19"/>
        <item x="72"/>
        <item x="77"/>
        <item x="75"/>
        <item x="76"/>
        <item x="74"/>
        <item x="73"/>
        <item x="29"/>
        <item x="38"/>
        <item x="18"/>
        <item x="0"/>
        <item x="56"/>
        <item x="22"/>
        <item x="12"/>
        <item x="50"/>
        <item x="32"/>
        <item x="43"/>
        <item x="6"/>
        <item x="37"/>
        <item x="47"/>
        <item x="28"/>
        <item x="17"/>
        <item x="55"/>
        <item x="60"/>
        <item x="68"/>
        <item x="67"/>
        <item x="71"/>
        <item x="69"/>
        <item x="70"/>
        <item x="4"/>
        <item x="36"/>
        <item x="46"/>
        <item x="54"/>
        <item x="26"/>
        <item x="15"/>
        <item x="23"/>
        <item x="13"/>
        <item x="33"/>
        <item x="44"/>
        <item x="51"/>
        <item x="1"/>
      </items>
      <extLst>
        <ext xmlns:x14="http://schemas.microsoft.com/office/spreadsheetml/2009/9/main" uri="{2946ED86-A175-432a-8AC1-64E0C546D7DE}">
          <x14:pivotField fillDownLabels="1"/>
        </ext>
      </extLst>
    </pivotField>
    <pivotField axis="axisCol"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4">
    <field x="0"/>
    <field x="1"/>
    <field x="3"/>
    <field x="4"/>
  </rowFields>
  <rowItems count="493">
    <i>
      <x v="17"/>
      <x/>
      <x/>
      <x v="47"/>
    </i>
    <i r="2">
      <x v="1"/>
      <x v="47"/>
    </i>
    <i r="2">
      <x v="2"/>
      <x v="47"/>
    </i>
    <i r="2">
      <x v="3"/>
      <x v="47"/>
    </i>
    <i r="2">
      <x v="4"/>
      <x v="47"/>
    </i>
    <i r="2">
      <x v="5"/>
      <x v="47"/>
    </i>
    <i r="2">
      <x v="6"/>
      <x v="47"/>
    </i>
    <i r="2">
      <x v="7"/>
      <x v="47"/>
    </i>
    <i r="2">
      <x v="8"/>
      <x v="47"/>
    </i>
    <i r="2">
      <x v="9"/>
      <x v="47"/>
    </i>
    <i r="2">
      <x v="10"/>
      <x v="47"/>
    </i>
    <i r="2">
      <x v="11"/>
      <x v="47"/>
    </i>
    <i r="2">
      <x v="12"/>
      <x v="47"/>
    </i>
    <i r="2">
      <x v="13"/>
      <x v="50"/>
    </i>
    <i r="2">
      <x v="14"/>
      <x v="50"/>
    </i>
    <i r="2">
      <x v="15"/>
      <x v="49"/>
    </i>
    <i r="2">
      <x v="16"/>
      <x v="49"/>
    </i>
    <i r="2">
      <x v="17"/>
      <x v="49"/>
    </i>
    <i r="2">
      <x v="18"/>
      <x v="52"/>
    </i>
    <i r="2">
      <x v="19"/>
      <x v="52"/>
    </i>
    <i r="2">
      <x v="20"/>
      <x v="53"/>
    </i>
    <i r="2">
      <x v="21"/>
      <x v="53"/>
    </i>
    <i r="2">
      <x v="22"/>
      <x v="53"/>
    </i>
    <i r="2">
      <x v="23"/>
      <x v="51"/>
    </i>
    <i r="2">
      <x v="24"/>
      <x v="51"/>
    </i>
    <i r="2">
      <x v="25"/>
      <x v="51"/>
    </i>
    <i r="2">
      <x v="26"/>
      <x v="51"/>
    </i>
    <i r="2">
      <x v="27"/>
      <x v="51"/>
    </i>
    <i r="2">
      <x v="28"/>
      <x v="51"/>
    </i>
    <i>
      <x v="18"/>
      <x/>
      <x/>
      <x v="77"/>
    </i>
    <i r="2">
      <x v="1"/>
      <x v="77"/>
    </i>
    <i r="2">
      <x v="2"/>
      <x v="77"/>
    </i>
    <i r="2">
      <x v="3"/>
      <x v="77"/>
    </i>
    <i r="2">
      <x v="4"/>
      <x v="77"/>
    </i>
    <i r="2">
      <x v="5"/>
      <x v="77"/>
    </i>
    <i r="2">
      <x v="6"/>
      <x v="77"/>
    </i>
    <i r="2">
      <x v="7"/>
      <x v="77"/>
    </i>
    <i r="2">
      <x v="8"/>
      <x v="77"/>
    </i>
    <i r="2">
      <x v="9"/>
      <x v="77"/>
    </i>
    <i r="2">
      <x v="10"/>
      <x v="77"/>
    </i>
    <i r="2">
      <x v="11"/>
      <x v="77"/>
    </i>
    <i r="2">
      <x v="12"/>
      <x v="77"/>
    </i>
    <i r="2">
      <x v="13"/>
      <x v="73"/>
    </i>
    <i r="2">
      <x v="14"/>
      <x v="73"/>
    </i>
    <i r="2">
      <x v="15"/>
      <x v="72"/>
    </i>
    <i r="2">
      <x v="16"/>
      <x v="72"/>
    </i>
    <i r="2">
      <x v="17"/>
      <x v="72"/>
    </i>
    <i r="2">
      <x v="18"/>
      <x v="74"/>
    </i>
    <i r="2">
      <x v="19"/>
      <x v="74"/>
    </i>
    <i r="2">
      <x v="20"/>
      <x v="75"/>
    </i>
    <i r="2">
      <x v="21"/>
      <x v="75"/>
    </i>
    <i r="2">
      <x v="22"/>
      <x v="75"/>
    </i>
    <i r="2">
      <x v="23"/>
      <x v="76"/>
    </i>
    <i r="2">
      <x v="24"/>
      <x v="76"/>
    </i>
    <i r="2">
      <x v="25"/>
      <x v="76"/>
    </i>
    <i r="2">
      <x v="26"/>
      <x v="76"/>
    </i>
    <i r="2">
      <x v="27"/>
      <x v="76"/>
    </i>
    <i r="2">
      <x v="28"/>
      <x v="76"/>
    </i>
    <i>
      <x v="19"/>
      <x/>
      <x/>
      <x/>
    </i>
    <i r="2">
      <x v="1"/>
      <x/>
    </i>
    <i r="2">
      <x v="2"/>
      <x/>
    </i>
    <i r="2">
      <x v="3"/>
      <x/>
    </i>
    <i r="2">
      <x v="4"/>
      <x/>
    </i>
    <i r="2">
      <x v="5"/>
      <x/>
    </i>
    <i r="2">
      <x v="6"/>
      <x/>
    </i>
    <i r="2">
      <x v="7"/>
      <x/>
    </i>
    <i r="2">
      <x v="8"/>
      <x/>
    </i>
    <i r="2">
      <x v="9"/>
      <x/>
    </i>
    <i r="2">
      <x v="10"/>
      <x/>
    </i>
    <i r="2">
      <x v="11"/>
      <x/>
    </i>
    <i r="2">
      <x v="12"/>
      <x/>
    </i>
    <i r="2">
      <x v="13"/>
      <x/>
    </i>
    <i r="2">
      <x v="14"/>
      <x/>
    </i>
    <i r="2">
      <x v="15"/>
      <x v="15"/>
    </i>
    <i r="2">
      <x v="16"/>
      <x v="15"/>
    </i>
    <i r="2">
      <x v="17"/>
      <x v="15"/>
    </i>
    <i r="2">
      <x v="18"/>
      <x v="17"/>
    </i>
    <i r="2">
      <x v="19"/>
      <x v="17"/>
    </i>
    <i r="2">
      <x v="20"/>
      <x v="17"/>
    </i>
    <i r="2">
      <x v="21"/>
      <x v="17"/>
    </i>
    <i r="2">
      <x v="22"/>
      <x v="17"/>
    </i>
    <i r="2">
      <x v="23"/>
      <x v="18"/>
    </i>
    <i r="2">
      <x v="24"/>
      <x v="18"/>
    </i>
    <i r="2">
      <x v="25"/>
      <x v="18"/>
    </i>
    <i r="2">
      <x v="26"/>
      <x v="18"/>
    </i>
    <i r="2">
      <x v="27"/>
      <x v="18"/>
    </i>
    <i r="2">
      <x v="28"/>
      <x v="18"/>
    </i>
    <i>
      <x v="20"/>
      <x/>
      <x/>
      <x v="23"/>
    </i>
    <i r="2">
      <x v="1"/>
      <x v="23"/>
    </i>
    <i r="2">
      <x v="2"/>
      <x v="23"/>
    </i>
    <i r="2">
      <x v="3"/>
      <x v="23"/>
    </i>
    <i r="2">
      <x v="4"/>
      <x v="23"/>
    </i>
    <i r="2">
      <x v="5"/>
      <x v="23"/>
    </i>
    <i r="2">
      <x v="6"/>
      <x v="23"/>
    </i>
    <i r="2">
      <x v="7"/>
      <x v="23"/>
    </i>
    <i r="2">
      <x v="8"/>
      <x v="23"/>
    </i>
    <i r="2">
      <x v="9"/>
      <x v="23"/>
    </i>
    <i r="2">
      <x v="10"/>
      <x v="23"/>
    </i>
    <i r="2">
      <x v="11"/>
      <x v="23"/>
    </i>
    <i r="2">
      <x v="12"/>
      <x v="23"/>
    </i>
    <i r="2">
      <x v="13"/>
      <x v="28"/>
    </i>
    <i r="2">
      <x v="14"/>
      <x v="28"/>
    </i>
    <i r="2">
      <x v="15"/>
      <x v="27"/>
    </i>
    <i r="2">
      <x v="16"/>
      <x v="27"/>
    </i>
    <i r="2">
      <x v="17"/>
      <x v="27"/>
    </i>
    <i r="2">
      <x v="18"/>
      <x v="25"/>
    </i>
    <i r="2">
      <x v="19"/>
      <x v="25"/>
    </i>
    <i r="2">
      <x v="20"/>
      <x v="26"/>
    </i>
    <i r="2">
      <x v="21"/>
      <x v="26"/>
    </i>
    <i r="2">
      <x v="22"/>
      <x v="26"/>
    </i>
    <i r="2">
      <x v="23"/>
      <x v="22"/>
    </i>
    <i r="2">
      <x v="24"/>
      <x v="22"/>
    </i>
    <i r="2">
      <x v="25"/>
      <x v="22"/>
    </i>
    <i r="2">
      <x v="26"/>
      <x v="22"/>
    </i>
    <i r="2">
      <x v="27"/>
      <x v="22"/>
    </i>
    <i r="2">
      <x v="28"/>
      <x v="22"/>
    </i>
    <i>
      <x v="21"/>
      <x/>
      <x/>
      <x v="66"/>
    </i>
    <i r="2">
      <x v="1"/>
      <x v="66"/>
    </i>
    <i r="2">
      <x v="2"/>
      <x v="66"/>
    </i>
    <i r="2">
      <x v="3"/>
      <x v="66"/>
    </i>
    <i r="2">
      <x v="4"/>
      <x v="66"/>
    </i>
    <i r="2">
      <x v="5"/>
      <x v="66"/>
    </i>
    <i r="2">
      <x v="6"/>
      <x v="66"/>
    </i>
    <i r="2">
      <x v="7"/>
      <x v="66"/>
    </i>
    <i r="2">
      <x v="8"/>
      <x v="66"/>
    </i>
    <i r="2">
      <x v="9"/>
      <x v="66"/>
    </i>
    <i r="2">
      <x v="10"/>
      <x v="66"/>
    </i>
    <i r="2">
      <x v="11"/>
      <x v="66"/>
    </i>
    <i r="2">
      <x v="12"/>
      <x v="66"/>
    </i>
    <i r="2">
      <x v="13"/>
      <x v="71"/>
    </i>
    <i r="2">
      <x v="14"/>
      <x v="71"/>
    </i>
    <i r="2">
      <x v="15"/>
      <x v="70"/>
    </i>
    <i r="2">
      <x v="16"/>
      <x v="70"/>
    </i>
    <i r="2">
      <x v="17"/>
      <x v="70"/>
    </i>
    <i r="2">
      <x v="18"/>
      <x v="67"/>
    </i>
    <i r="2">
      <x v="19"/>
      <x v="67"/>
    </i>
    <i r="2">
      <x v="20"/>
      <x v="68"/>
    </i>
    <i r="2">
      <x v="21"/>
      <x v="68"/>
    </i>
    <i r="2">
      <x v="22"/>
      <x v="68"/>
    </i>
    <i r="2">
      <x v="23"/>
      <x v="69"/>
    </i>
    <i r="2">
      <x v="24"/>
      <x v="69"/>
    </i>
    <i r="2">
      <x v="25"/>
      <x v="69"/>
    </i>
    <i r="2">
      <x v="26"/>
      <x v="69"/>
    </i>
    <i r="2">
      <x v="27"/>
      <x v="69"/>
    </i>
    <i r="2">
      <x v="28"/>
      <x v="69"/>
    </i>
    <i>
      <x v="22"/>
      <x v="1"/>
      <x/>
      <x v="6"/>
    </i>
    <i r="2">
      <x v="1"/>
      <x v="6"/>
    </i>
    <i r="2">
      <x v="2"/>
      <x v="6"/>
    </i>
    <i r="2">
      <x v="3"/>
      <x v="6"/>
    </i>
    <i r="2">
      <x v="4"/>
      <x v="6"/>
    </i>
    <i r="2">
      <x v="5"/>
      <x v="6"/>
    </i>
    <i r="2">
      <x v="6"/>
      <x v="6"/>
    </i>
    <i r="2">
      <x v="7"/>
      <x v="6"/>
    </i>
    <i r="2">
      <x v="8"/>
      <x v="6"/>
    </i>
    <i r="2">
      <x v="9"/>
      <x v="6"/>
    </i>
    <i r="2">
      <x v="10"/>
      <x v="6"/>
    </i>
    <i r="2">
      <x v="11"/>
      <x v="6"/>
    </i>
    <i r="2">
      <x v="12"/>
      <x v="6"/>
    </i>
    <i r="2">
      <x v="13"/>
      <x v="5"/>
    </i>
    <i r="2">
      <x v="14"/>
      <x v="5"/>
    </i>
    <i r="2">
      <x v="15"/>
      <x v="4"/>
    </i>
    <i r="2">
      <x v="16"/>
      <x v="4"/>
    </i>
    <i r="2">
      <x v="17"/>
      <x v="4"/>
    </i>
    <i r="2">
      <x v="18"/>
      <x/>
    </i>
    <i r="2">
      <x v="19"/>
      <x/>
    </i>
    <i r="2">
      <x v="20"/>
      <x/>
    </i>
    <i r="2">
      <x v="21"/>
      <x/>
    </i>
    <i r="2">
      <x v="22"/>
      <x/>
    </i>
    <i r="2">
      <x v="23"/>
      <x/>
    </i>
    <i r="2">
      <x v="24"/>
      <x/>
    </i>
    <i r="2">
      <x v="25"/>
      <x/>
    </i>
    <i r="2">
      <x v="26"/>
      <x/>
    </i>
    <i r="2">
      <x v="27"/>
      <x/>
    </i>
    <i r="2">
      <x v="28"/>
      <x/>
    </i>
    <i>
      <x v="23"/>
      <x/>
      <x/>
      <x v="54"/>
    </i>
    <i r="2">
      <x v="1"/>
      <x v="54"/>
    </i>
    <i r="2">
      <x v="2"/>
      <x v="54"/>
    </i>
    <i r="2">
      <x v="3"/>
      <x v="54"/>
    </i>
    <i r="2">
      <x v="4"/>
      <x v="54"/>
    </i>
    <i r="2">
      <x v="5"/>
      <x v="54"/>
    </i>
    <i r="2">
      <x v="6"/>
      <x v="54"/>
    </i>
    <i r="2">
      <x v="7"/>
      <x v="54"/>
    </i>
    <i r="2">
      <x v="8"/>
      <x v="54"/>
    </i>
    <i r="2">
      <x v="9"/>
      <x v="54"/>
    </i>
    <i r="2">
      <x v="10"/>
      <x v="54"/>
    </i>
    <i r="2">
      <x v="11"/>
      <x v="54"/>
    </i>
    <i r="2">
      <x v="12"/>
      <x v="54"/>
    </i>
    <i r="2">
      <x v="13"/>
      <x v="58"/>
    </i>
    <i r="2">
      <x v="14"/>
      <x v="58"/>
    </i>
    <i r="2">
      <x v="15"/>
      <x v="57"/>
    </i>
    <i r="2">
      <x v="16"/>
      <x v="57"/>
    </i>
    <i r="2">
      <x v="17"/>
      <x v="57"/>
    </i>
    <i r="2">
      <x v="18"/>
      <x v="55"/>
    </i>
    <i r="2">
      <x v="19"/>
      <x v="55"/>
    </i>
    <i r="2">
      <x v="20"/>
      <x v="56"/>
    </i>
    <i r="2">
      <x v="21"/>
      <x v="56"/>
    </i>
    <i r="2">
      <x v="22"/>
      <x v="56"/>
    </i>
    <i r="2">
      <x v="23"/>
      <x v="59"/>
    </i>
    <i r="2">
      <x v="24"/>
      <x v="59"/>
    </i>
    <i r="2">
      <x v="25"/>
      <x v="59"/>
    </i>
    <i r="2">
      <x v="26"/>
      <x v="59"/>
    </i>
    <i r="2">
      <x v="27"/>
      <x v="59"/>
    </i>
    <i r="2">
      <x v="28"/>
      <x v="59"/>
    </i>
    <i>
      <x v="24"/>
      <x/>
      <x/>
      <x v="35"/>
    </i>
    <i r="2">
      <x v="1"/>
      <x v="35"/>
    </i>
    <i r="2">
      <x v="2"/>
      <x v="35"/>
    </i>
    <i r="2">
      <x v="3"/>
      <x v="35"/>
    </i>
    <i r="2">
      <x v="4"/>
      <x v="35"/>
    </i>
    <i r="2">
      <x v="5"/>
      <x v="35"/>
    </i>
    <i r="2">
      <x v="6"/>
      <x v="35"/>
    </i>
    <i r="2">
      <x v="7"/>
      <x v="35"/>
    </i>
    <i r="2">
      <x v="8"/>
      <x v="35"/>
    </i>
    <i r="2">
      <x v="9"/>
      <x v="35"/>
    </i>
    <i r="2">
      <x v="10"/>
      <x v="35"/>
    </i>
    <i r="2">
      <x v="11"/>
      <x v="35"/>
    </i>
    <i r="2">
      <x v="12"/>
      <x v="35"/>
    </i>
    <i r="2">
      <x v="13"/>
      <x v="46"/>
    </i>
    <i r="2">
      <x v="14"/>
      <x v="46"/>
    </i>
    <i r="2">
      <x v="15"/>
      <x v="44"/>
    </i>
    <i r="2">
      <x v="16"/>
      <x v="44"/>
    </i>
    <i r="2">
      <x v="17"/>
      <x v="44"/>
    </i>
    <i r="2">
      <x v="18"/>
      <x v="45"/>
    </i>
    <i r="2">
      <x v="19"/>
      <x v="45"/>
    </i>
    <i r="2">
      <x v="20"/>
      <x v="46"/>
    </i>
    <i r="2">
      <x v="21"/>
      <x v="46"/>
    </i>
    <i r="2">
      <x v="22"/>
      <x v="46"/>
    </i>
    <i r="2">
      <x v="23"/>
      <x v="48"/>
    </i>
    <i r="2">
      <x v="24"/>
      <x v="48"/>
    </i>
    <i r="2">
      <x v="25"/>
      <x v="48"/>
    </i>
    <i r="2">
      <x v="26"/>
      <x v="48"/>
    </i>
    <i r="2">
      <x v="27"/>
      <x v="48"/>
    </i>
    <i r="2">
      <x v="28"/>
      <x v="48"/>
    </i>
    <i>
      <x v="25"/>
      <x/>
      <x/>
      <x v="34"/>
    </i>
    <i r="2">
      <x v="1"/>
      <x v="34"/>
    </i>
    <i r="2">
      <x v="2"/>
      <x v="34"/>
    </i>
    <i r="2">
      <x v="3"/>
      <x v="34"/>
    </i>
    <i r="2">
      <x v="4"/>
      <x v="34"/>
    </i>
    <i r="2">
      <x v="5"/>
      <x v="34"/>
    </i>
    <i r="2">
      <x v="6"/>
      <x v="34"/>
    </i>
    <i r="2">
      <x v="7"/>
      <x v="34"/>
    </i>
    <i r="2">
      <x v="8"/>
      <x v="34"/>
    </i>
    <i r="2">
      <x v="9"/>
      <x v="34"/>
    </i>
    <i r="2">
      <x v="10"/>
      <x v="34"/>
    </i>
    <i r="2">
      <x v="11"/>
      <x v="34"/>
    </i>
    <i r="2">
      <x v="12"/>
      <x v="34"/>
    </i>
    <i r="2">
      <x v="13"/>
      <x v="37"/>
    </i>
    <i r="2">
      <x v="14"/>
      <x v="37"/>
    </i>
    <i r="2">
      <x v="15"/>
      <x v="36"/>
    </i>
    <i r="2">
      <x v="16"/>
      <x v="36"/>
    </i>
    <i r="2">
      <x v="17"/>
      <x v="36"/>
    </i>
    <i r="2">
      <x v="18"/>
      <x v="31"/>
    </i>
    <i r="2">
      <x v="19"/>
      <x v="31"/>
    </i>
    <i r="2">
      <x v="20"/>
      <x v="32"/>
    </i>
    <i r="2">
      <x v="21"/>
      <x v="32"/>
    </i>
    <i r="2">
      <x v="22"/>
      <x v="32"/>
    </i>
    <i r="2">
      <x v="23"/>
      <x v="33"/>
    </i>
    <i r="2">
      <x v="24"/>
      <x v="33"/>
    </i>
    <i r="2">
      <x v="25"/>
      <x v="33"/>
    </i>
    <i r="2">
      <x v="26"/>
      <x v="33"/>
    </i>
    <i r="2">
      <x v="27"/>
      <x v="33"/>
    </i>
    <i r="2">
      <x v="28"/>
      <x v="33"/>
    </i>
    <i>
      <x v="26"/>
      <x/>
      <x/>
      <x v="1"/>
    </i>
    <i r="2">
      <x v="1"/>
      <x v="1"/>
    </i>
    <i r="2">
      <x v="2"/>
      <x v="1"/>
    </i>
    <i r="2">
      <x v="3"/>
      <x v="1"/>
    </i>
    <i r="2">
      <x v="4"/>
      <x v="1"/>
    </i>
    <i r="2">
      <x v="5"/>
      <x v="1"/>
    </i>
    <i r="2">
      <x v="6"/>
      <x v="1"/>
    </i>
    <i r="2">
      <x v="7"/>
      <x v="1"/>
    </i>
    <i r="2">
      <x v="8"/>
      <x v="1"/>
    </i>
    <i r="2">
      <x v="9"/>
      <x v="1"/>
    </i>
    <i r="2">
      <x v="10"/>
      <x v="1"/>
    </i>
    <i r="2">
      <x v="11"/>
      <x v="1"/>
    </i>
    <i r="2">
      <x v="12"/>
      <x v="1"/>
    </i>
    <i r="2">
      <x v="13"/>
      <x v="2"/>
    </i>
    <i r="2">
      <x v="14"/>
      <x v="2"/>
    </i>
    <i r="2">
      <x v="15"/>
      <x v="2"/>
    </i>
    <i r="2">
      <x v="16"/>
      <x v="2"/>
    </i>
    <i r="2">
      <x v="17"/>
      <x v="2"/>
    </i>
    <i r="2">
      <x v="18"/>
      <x v="3"/>
    </i>
    <i r="2">
      <x v="19"/>
      <x v="3"/>
    </i>
    <i r="2">
      <x v="20"/>
      <x/>
    </i>
    <i r="2">
      <x v="21"/>
      <x/>
    </i>
    <i r="2">
      <x v="22"/>
      <x/>
    </i>
    <i r="2">
      <x v="23"/>
      <x/>
    </i>
    <i r="2">
      <x v="24"/>
      <x/>
    </i>
    <i r="2">
      <x v="25"/>
      <x/>
    </i>
    <i r="2">
      <x v="26"/>
      <x/>
    </i>
    <i r="2">
      <x v="27"/>
      <x/>
    </i>
    <i r="2">
      <x v="28"/>
      <x/>
    </i>
    <i>
      <x v="27"/>
      <x/>
      <x/>
      <x v="14"/>
    </i>
    <i r="2">
      <x v="1"/>
      <x v="14"/>
    </i>
    <i r="2">
      <x v="2"/>
      <x v="14"/>
    </i>
    <i r="2">
      <x v="3"/>
      <x v="14"/>
    </i>
    <i r="2">
      <x v="4"/>
      <x v="14"/>
    </i>
    <i r="2">
      <x v="5"/>
      <x v="14"/>
    </i>
    <i r="2">
      <x v="6"/>
      <x v="14"/>
    </i>
    <i r="2">
      <x v="7"/>
      <x v="14"/>
    </i>
    <i r="2">
      <x v="8"/>
      <x v="14"/>
    </i>
    <i r="2">
      <x v="9"/>
      <x v="14"/>
    </i>
    <i r="2">
      <x v="10"/>
      <x v="14"/>
    </i>
    <i r="2">
      <x v="11"/>
      <x v="14"/>
    </i>
    <i r="2">
      <x v="12"/>
      <x v="14"/>
    </i>
    <i r="2">
      <x v="13"/>
      <x/>
    </i>
    <i r="2">
      <x v="14"/>
      <x/>
    </i>
    <i r="2">
      <x v="15"/>
      <x/>
    </i>
    <i r="2">
      <x v="16"/>
      <x/>
    </i>
    <i r="2">
      <x v="17"/>
      <x/>
    </i>
    <i r="2">
      <x v="18"/>
      <x v="29"/>
    </i>
    <i r="2">
      <x v="19"/>
      <x v="29"/>
    </i>
    <i r="2">
      <x v="20"/>
      <x v="30"/>
    </i>
    <i r="2">
      <x v="21"/>
      <x v="30"/>
    </i>
    <i r="2">
      <x v="22"/>
      <x v="30"/>
    </i>
    <i r="2">
      <x v="23"/>
      <x/>
    </i>
    <i r="2">
      <x v="24"/>
      <x/>
    </i>
    <i r="2">
      <x v="25"/>
      <x/>
    </i>
    <i r="2">
      <x v="26"/>
      <x/>
    </i>
    <i r="2">
      <x v="27"/>
      <x/>
    </i>
    <i r="2">
      <x v="28"/>
      <x/>
    </i>
    <i>
      <x v="28"/>
      <x/>
      <x/>
      <x v="13"/>
    </i>
    <i r="2">
      <x v="1"/>
      <x v="13"/>
    </i>
    <i r="2">
      <x v="2"/>
      <x v="13"/>
    </i>
    <i r="2">
      <x v="3"/>
      <x v="13"/>
    </i>
    <i r="2">
      <x v="4"/>
      <x v="13"/>
    </i>
    <i r="2">
      <x v="5"/>
      <x v="13"/>
    </i>
    <i r="2">
      <x v="6"/>
      <x v="13"/>
    </i>
    <i r="2">
      <x v="7"/>
      <x v="13"/>
    </i>
    <i r="2">
      <x v="8"/>
      <x v="13"/>
    </i>
    <i r="2">
      <x v="9"/>
      <x v="13"/>
    </i>
    <i r="2">
      <x v="10"/>
      <x v="13"/>
    </i>
    <i r="2">
      <x v="11"/>
      <x v="13"/>
    </i>
    <i r="2">
      <x v="12"/>
      <x v="13"/>
    </i>
    <i r="2">
      <x v="13"/>
      <x v="21"/>
    </i>
    <i r="2">
      <x v="14"/>
      <x v="21"/>
    </i>
    <i r="2">
      <x v="15"/>
      <x v="20"/>
    </i>
    <i r="2">
      <x v="16"/>
      <x v="20"/>
    </i>
    <i r="2">
      <x v="17"/>
      <x v="20"/>
    </i>
    <i r="2">
      <x v="18"/>
      <x v="19"/>
    </i>
    <i r="2">
      <x v="19"/>
      <x v="19"/>
    </i>
    <i r="2">
      <x v="20"/>
      <x v="19"/>
    </i>
    <i r="2">
      <x v="21"/>
      <x v="19"/>
    </i>
    <i r="2">
      <x v="22"/>
      <x v="19"/>
    </i>
    <i r="2">
      <x v="23"/>
      <x v="16"/>
    </i>
    <i r="2">
      <x v="24"/>
      <x v="16"/>
    </i>
    <i r="2">
      <x v="25"/>
      <x v="16"/>
    </i>
    <i r="2">
      <x v="26"/>
      <x v="16"/>
    </i>
    <i r="2">
      <x v="27"/>
      <x v="16"/>
    </i>
    <i r="2">
      <x v="28"/>
      <x v="16"/>
    </i>
    <i>
      <x v="29"/>
      <x v="1"/>
      <x/>
      <x/>
    </i>
    <i r="2">
      <x v="1"/>
      <x/>
    </i>
    <i r="2">
      <x v="2"/>
      <x/>
    </i>
    <i r="2">
      <x v="3"/>
      <x/>
    </i>
    <i r="2">
      <x v="4"/>
      <x/>
    </i>
    <i r="2">
      <x v="5"/>
      <x/>
    </i>
    <i r="2">
      <x v="6"/>
      <x/>
    </i>
    <i r="2">
      <x v="7"/>
      <x/>
    </i>
    <i r="2">
      <x v="8"/>
      <x/>
    </i>
    <i r="2">
      <x v="9"/>
      <x/>
    </i>
    <i r="2">
      <x v="10"/>
      <x/>
    </i>
    <i r="2">
      <x v="11"/>
      <x/>
    </i>
    <i r="2">
      <x v="12"/>
      <x/>
    </i>
    <i r="2">
      <x v="13"/>
      <x/>
    </i>
    <i r="2">
      <x v="14"/>
      <x/>
    </i>
    <i r="2">
      <x v="15"/>
      <x/>
    </i>
    <i r="2">
      <x v="16"/>
      <x/>
    </i>
    <i r="2">
      <x v="17"/>
      <x/>
    </i>
    <i r="2">
      <x v="18"/>
      <x/>
    </i>
    <i r="2">
      <x v="19"/>
      <x/>
    </i>
    <i r="2">
      <x v="20"/>
      <x/>
    </i>
    <i r="2">
      <x v="21"/>
      <x/>
    </i>
    <i r="2">
      <x v="22"/>
      <x/>
    </i>
    <i r="2">
      <x v="23"/>
      <x/>
    </i>
    <i r="2">
      <x v="24"/>
      <x/>
    </i>
    <i r="2">
      <x v="25"/>
      <x/>
    </i>
    <i r="2">
      <x v="26"/>
      <x/>
    </i>
    <i r="2">
      <x v="27"/>
      <x/>
    </i>
    <i r="2">
      <x v="28"/>
      <x/>
    </i>
    <i>
      <x v="30"/>
      <x v="1"/>
      <x/>
      <x v="24"/>
    </i>
    <i r="2">
      <x v="1"/>
      <x v="24"/>
    </i>
    <i r="2">
      <x v="2"/>
      <x v="24"/>
    </i>
    <i r="2">
      <x v="3"/>
      <x v="24"/>
    </i>
    <i r="2">
      <x v="4"/>
      <x v="24"/>
    </i>
    <i r="2">
      <x v="5"/>
      <x v="24"/>
    </i>
    <i r="2">
      <x v="6"/>
      <x v="24"/>
    </i>
    <i r="2">
      <x v="7"/>
      <x v="24"/>
    </i>
    <i r="2">
      <x v="8"/>
      <x v="24"/>
    </i>
    <i r="2">
      <x v="9"/>
      <x v="24"/>
    </i>
    <i r="2">
      <x v="10"/>
      <x v="24"/>
    </i>
    <i r="2">
      <x v="11"/>
      <x v="24"/>
    </i>
    <i r="2">
      <x v="12"/>
      <x v="24"/>
    </i>
    <i r="2">
      <x v="13"/>
      <x/>
    </i>
    <i r="2">
      <x v="14"/>
      <x/>
    </i>
    <i r="2">
      <x v="15"/>
      <x/>
    </i>
    <i r="2">
      <x v="16"/>
      <x/>
    </i>
    <i r="2">
      <x v="17"/>
      <x/>
    </i>
    <i r="2">
      <x v="18"/>
      <x/>
    </i>
    <i r="2">
      <x v="19"/>
      <x/>
    </i>
    <i r="2">
      <x v="20"/>
      <x/>
    </i>
    <i r="2">
      <x v="21"/>
      <x/>
    </i>
    <i r="2">
      <x v="22"/>
      <x/>
    </i>
    <i r="2">
      <x v="23"/>
      <x/>
    </i>
    <i r="2">
      <x v="24"/>
      <x/>
    </i>
    <i r="2">
      <x v="25"/>
      <x/>
    </i>
    <i r="2">
      <x v="26"/>
      <x/>
    </i>
    <i r="2">
      <x v="27"/>
      <x/>
    </i>
    <i r="2">
      <x v="28"/>
      <x/>
    </i>
    <i>
      <x v="31"/>
      <x/>
      <x/>
      <x v="60"/>
    </i>
    <i r="2">
      <x v="1"/>
      <x v="60"/>
    </i>
    <i r="2">
      <x v="2"/>
      <x v="60"/>
    </i>
    <i r="2">
      <x v="3"/>
      <x v="60"/>
    </i>
    <i r="2">
      <x v="4"/>
      <x v="60"/>
    </i>
    <i r="2">
      <x v="5"/>
      <x v="60"/>
    </i>
    <i r="2">
      <x v="6"/>
      <x v="60"/>
    </i>
    <i r="2">
      <x v="7"/>
      <x v="60"/>
    </i>
    <i r="2">
      <x v="8"/>
      <x v="60"/>
    </i>
    <i r="2">
      <x v="9"/>
      <x v="60"/>
    </i>
    <i r="2">
      <x v="10"/>
      <x v="60"/>
    </i>
    <i r="2">
      <x v="11"/>
      <x v="60"/>
    </i>
    <i r="2">
      <x v="12"/>
      <x v="60"/>
    </i>
    <i r="2">
      <x v="13"/>
      <x v="62"/>
    </i>
    <i r="2">
      <x v="14"/>
      <x v="62"/>
    </i>
    <i r="2">
      <x v="15"/>
      <x v="61"/>
    </i>
    <i r="2">
      <x v="16"/>
      <x v="61"/>
    </i>
    <i r="2">
      <x v="17"/>
      <x v="61"/>
    </i>
    <i r="2">
      <x v="18"/>
      <x v="64"/>
    </i>
    <i r="2">
      <x v="19"/>
      <x v="64"/>
    </i>
    <i r="2">
      <x v="20"/>
      <x v="65"/>
    </i>
    <i r="2">
      <x v="21"/>
      <x v="65"/>
    </i>
    <i r="2">
      <x v="22"/>
      <x v="65"/>
    </i>
    <i r="2">
      <x v="23"/>
      <x v="63"/>
    </i>
    <i r="2">
      <x v="24"/>
      <x v="63"/>
    </i>
    <i r="2">
      <x v="25"/>
      <x v="63"/>
    </i>
    <i r="2">
      <x v="26"/>
      <x v="63"/>
    </i>
    <i r="2">
      <x v="27"/>
      <x v="63"/>
    </i>
    <i r="2">
      <x v="28"/>
      <x v="63"/>
    </i>
    <i>
      <x v="32"/>
      <x/>
      <x/>
      <x v="7"/>
    </i>
    <i r="2">
      <x v="1"/>
      <x v="7"/>
    </i>
    <i r="2">
      <x v="2"/>
      <x v="7"/>
    </i>
    <i r="2">
      <x v="3"/>
      <x v="7"/>
    </i>
    <i r="2">
      <x v="4"/>
      <x v="7"/>
    </i>
    <i r="2">
      <x v="5"/>
      <x v="7"/>
    </i>
    <i r="2">
      <x v="6"/>
      <x v="7"/>
    </i>
    <i r="2">
      <x v="7"/>
      <x v="7"/>
    </i>
    <i r="2">
      <x v="8"/>
      <x v="7"/>
    </i>
    <i r="2">
      <x v="9"/>
      <x v="7"/>
    </i>
    <i r="2">
      <x v="10"/>
      <x v="7"/>
    </i>
    <i r="2">
      <x v="11"/>
      <x v="7"/>
    </i>
    <i r="2">
      <x v="12"/>
      <x v="7"/>
    </i>
    <i r="2">
      <x v="13"/>
      <x v="12"/>
    </i>
    <i r="2">
      <x v="14"/>
      <x v="12"/>
    </i>
    <i r="2">
      <x v="15"/>
      <x v="11"/>
    </i>
    <i r="2">
      <x v="16"/>
      <x v="11"/>
    </i>
    <i r="2">
      <x v="17"/>
      <x v="11"/>
    </i>
    <i r="2">
      <x v="18"/>
      <x v="8"/>
    </i>
    <i r="2">
      <x v="19"/>
      <x v="8"/>
    </i>
    <i r="2">
      <x v="20"/>
      <x v="9"/>
    </i>
    <i r="2">
      <x v="21"/>
      <x v="9"/>
    </i>
    <i r="2">
      <x v="22"/>
      <x v="9"/>
    </i>
    <i r="2">
      <x v="23"/>
      <x v="10"/>
    </i>
    <i r="2">
      <x v="24"/>
      <x v="10"/>
    </i>
    <i r="2">
      <x v="25"/>
      <x v="10"/>
    </i>
    <i r="2">
      <x v="26"/>
      <x v="10"/>
    </i>
    <i r="2">
      <x v="27"/>
      <x v="10"/>
    </i>
    <i r="2">
      <x v="28"/>
      <x v="10"/>
    </i>
    <i>
      <x v="33"/>
      <x/>
      <x/>
      <x v="38"/>
    </i>
    <i r="2">
      <x v="1"/>
      <x v="38"/>
    </i>
    <i r="2">
      <x v="2"/>
      <x v="38"/>
    </i>
    <i r="2">
      <x v="3"/>
      <x v="38"/>
    </i>
    <i r="2">
      <x v="4"/>
      <x v="38"/>
    </i>
    <i r="2">
      <x v="5"/>
      <x v="38"/>
    </i>
    <i r="2">
      <x v="6"/>
      <x v="38"/>
    </i>
    <i r="2">
      <x v="7"/>
      <x v="38"/>
    </i>
    <i r="2">
      <x v="8"/>
      <x v="38"/>
    </i>
    <i r="2">
      <x v="9"/>
      <x v="38"/>
    </i>
    <i r="2">
      <x v="10"/>
      <x v="38"/>
    </i>
    <i r="2">
      <x v="11"/>
      <x v="38"/>
    </i>
    <i r="2">
      <x v="12"/>
      <x v="38"/>
    </i>
    <i r="2">
      <x v="13"/>
      <x v="43"/>
    </i>
    <i r="2">
      <x v="14"/>
      <x v="43"/>
    </i>
    <i r="2">
      <x v="15"/>
      <x v="42"/>
    </i>
    <i r="2">
      <x v="16"/>
      <x v="42"/>
    </i>
    <i r="2">
      <x v="17"/>
      <x v="42"/>
    </i>
    <i r="2">
      <x v="18"/>
      <x v="40"/>
    </i>
    <i r="2">
      <x v="19"/>
      <x v="40"/>
    </i>
    <i r="2">
      <x v="20"/>
      <x v="41"/>
    </i>
    <i r="2">
      <x v="21"/>
      <x v="41"/>
    </i>
    <i r="2">
      <x v="22"/>
      <x v="41"/>
    </i>
    <i r="2">
      <x v="23"/>
      <x v="39"/>
    </i>
    <i r="2">
      <x v="24"/>
      <x v="39"/>
    </i>
    <i r="2">
      <x v="25"/>
      <x v="39"/>
    </i>
    <i r="2">
      <x v="26"/>
      <x v="39"/>
    </i>
    <i r="2">
      <x v="27"/>
      <x v="39"/>
    </i>
    <i r="2">
      <x v="28"/>
      <x v="39"/>
    </i>
  </rowItems>
  <colFields count="1">
    <field x="5"/>
  </colFields>
  <colItems count="4">
    <i>
      <x/>
    </i>
    <i>
      <x v="1"/>
    </i>
    <i>
      <x v="2"/>
    </i>
    <i>
      <x v="3"/>
    </i>
  </colItems>
  <dataFields count="1">
    <dataField name="Sum of State Funder Share" fld="7" baseField="0" baseItem="0" numFmtId="10"/>
  </dataFields>
  <formats count="494">
    <format dxfId="493">
      <pivotArea outline="0" collapsedLevelsAreSubtotals="1" fieldPosition="0"/>
    </format>
    <format dxfId="492">
      <pivotArea dataOnly="0" labelOnly="1" outline="0" fieldPosition="0">
        <references count="4">
          <reference field="0" count="1" selected="0">
            <x v="0"/>
          </reference>
          <reference field="1" count="1" selected="0">
            <x v="0"/>
          </reference>
          <reference field="3" count="1" selected="0">
            <x v="0"/>
          </reference>
          <reference field="4" count="1">
            <x v="47"/>
          </reference>
        </references>
      </pivotArea>
    </format>
    <format dxfId="491">
      <pivotArea dataOnly="0" labelOnly="1" outline="0" fieldPosition="0">
        <references count="4">
          <reference field="0" count="1" selected="0">
            <x v="1"/>
          </reference>
          <reference field="1" count="1" selected="0">
            <x v="0"/>
          </reference>
          <reference field="3" count="1" selected="0">
            <x v="0"/>
          </reference>
          <reference field="4" count="1">
            <x v="77"/>
          </reference>
        </references>
      </pivotArea>
    </format>
    <format dxfId="490">
      <pivotArea dataOnly="0" labelOnly="1" outline="0" fieldPosition="0">
        <references count="4">
          <reference field="0" count="1" selected="0">
            <x v="2"/>
          </reference>
          <reference field="1" count="1" selected="0">
            <x v="0"/>
          </reference>
          <reference field="3" count="1" selected="0">
            <x v="0"/>
          </reference>
          <reference field="4" count="1">
            <x v="0"/>
          </reference>
        </references>
      </pivotArea>
    </format>
    <format dxfId="489">
      <pivotArea dataOnly="0" labelOnly="1" outline="0" fieldPosition="0">
        <references count="4">
          <reference field="0" count="1" selected="0">
            <x v="3"/>
          </reference>
          <reference field="1" count="1" selected="0">
            <x v="0"/>
          </reference>
          <reference field="3" count="1" selected="0">
            <x v="0"/>
          </reference>
          <reference field="4" count="1">
            <x v="23"/>
          </reference>
        </references>
      </pivotArea>
    </format>
    <format dxfId="488">
      <pivotArea dataOnly="0" labelOnly="1" outline="0" fieldPosition="0">
        <references count="4">
          <reference field="0" count="1" selected="0">
            <x v="4"/>
          </reference>
          <reference field="1" count="1" selected="0">
            <x v="0"/>
          </reference>
          <reference field="3" count="1" selected="0">
            <x v="0"/>
          </reference>
          <reference field="4" count="1">
            <x v="1"/>
          </reference>
        </references>
      </pivotArea>
    </format>
    <format dxfId="487">
      <pivotArea dataOnly="0" labelOnly="1" outline="0" fieldPosition="0">
        <references count="4">
          <reference field="0" count="1" selected="0">
            <x v="6"/>
          </reference>
          <reference field="1" count="1" selected="0">
            <x v="0"/>
          </reference>
          <reference field="3" count="1" selected="0">
            <x v="0"/>
          </reference>
          <reference field="4" count="1">
            <x v="66"/>
          </reference>
        </references>
      </pivotArea>
    </format>
    <format dxfId="486">
      <pivotArea dataOnly="0" labelOnly="1" outline="0" fieldPosition="0">
        <references count="4">
          <reference field="0" count="1" selected="0">
            <x v="8"/>
          </reference>
          <reference field="1" count="1" selected="0">
            <x v="0"/>
          </reference>
          <reference field="3" count="1" selected="0">
            <x v="0"/>
          </reference>
          <reference field="4" count="1">
            <x v="14"/>
          </reference>
        </references>
      </pivotArea>
    </format>
    <format dxfId="485">
      <pivotArea dataOnly="0" labelOnly="1" outline="0" fieldPosition="0">
        <references count="4">
          <reference field="0" count="1" selected="0">
            <x v="9"/>
          </reference>
          <reference field="1" count="1" selected="0">
            <x v="0"/>
          </reference>
          <reference field="3" count="1" selected="0">
            <x v="0"/>
          </reference>
          <reference field="4" count="1">
            <x v="54"/>
          </reference>
        </references>
      </pivotArea>
    </format>
    <format dxfId="484">
      <pivotArea dataOnly="0" labelOnly="1" outline="0" fieldPosition="0">
        <references count="4">
          <reference field="0" count="1" selected="0">
            <x v="10"/>
          </reference>
          <reference field="1" count="1" selected="0">
            <x v="0"/>
          </reference>
          <reference field="3" count="1" selected="0">
            <x v="0"/>
          </reference>
          <reference field="4" count="1">
            <x v="35"/>
          </reference>
        </references>
      </pivotArea>
    </format>
    <format dxfId="483">
      <pivotArea dataOnly="0" labelOnly="1" outline="0" fieldPosition="0">
        <references count="4">
          <reference field="0" count="1" selected="0">
            <x v="11"/>
          </reference>
          <reference field="1" count="1" selected="0">
            <x v="0"/>
          </reference>
          <reference field="3" count="1" selected="0">
            <x v="0"/>
          </reference>
          <reference field="4" count="1">
            <x v="34"/>
          </reference>
        </references>
      </pivotArea>
    </format>
    <format dxfId="482">
      <pivotArea dataOnly="0" labelOnly="1" outline="0" fieldPosition="0">
        <references count="4">
          <reference field="0" count="1" selected="0">
            <x v="12"/>
          </reference>
          <reference field="1" count="1" selected="0">
            <x v="0"/>
          </reference>
          <reference field="3" count="1" selected="0">
            <x v="0"/>
          </reference>
          <reference field="4" count="1">
            <x v="60"/>
          </reference>
        </references>
      </pivotArea>
    </format>
    <format dxfId="481">
      <pivotArea dataOnly="0" labelOnly="1" outline="0" fieldPosition="0">
        <references count="4">
          <reference field="0" count="1" selected="0">
            <x v="14"/>
          </reference>
          <reference field="1" count="1" selected="0">
            <x v="0"/>
          </reference>
          <reference field="3" count="1" selected="0">
            <x v="0"/>
          </reference>
          <reference field="4" count="1">
            <x v="38"/>
          </reference>
        </references>
      </pivotArea>
    </format>
    <format dxfId="480">
      <pivotArea dataOnly="0" labelOnly="1" outline="0" fieldPosition="0">
        <references count="4">
          <reference field="0" count="1" selected="0">
            <x v="15"/>
          </reference>
          <reference field="1" count="1" selected="0">
            <x v="0"/>
          </reference>
          <reference field="3" count="1" selected="0">
            <x v="0"/>
          </reference>
          <reference field="4" count="1">
            <x v="7"/>
          </reference>
        </references>
      </pivotArea>
    </format>
    <format dxfId="479">
      <pivotArea dataOnly="0" labelOnly="1" outline="0" fieldPosition="0">
        <references count="4">
          <reference field="0" count="1" selected="0">
            <x v="16"/>
          </reference>
          <reference field="1" count="1" selected="0">
            <x v="0"/>
          </reference>
          <reference field="3" count="1" selected="0">
            <x v="0"/>
          </reference>
          <reference field="4" count="1">
            <x v="13"/>
          </reference>
        </references>
      </pivotArea>
    </format>
    <format dxfId="478">
      <pivotArea dataOnly="0" labelOnly="1" outline="0" fieldPosition="0">
        <references count="4">
          <reference field="0" count="1" selected="0">
            <x v="5"/>
          </reference>
          <reference field="1" count="1" selected="0">
            <x v="1"/>
          </reference>
          <reference field="3" count="1" selected="0">
            <x v="0"/>
          </reference>
          <reference field="4" count="1">
            <x v="0"/>
          </reference>
        </references>
      </pivotArea>
    </format>
    <format dxfId="477">
      <pivotArea dataOnly="0" labelOnly="1" outline="0" fieldPosition="0">
        <references count="4">
          <reference field="0" count="1" selected="0">
            <x v="7"/>
          </reference>
          <reference field="1" count="1" selected="0">
            <x v="1"/>
          </reference>
          <reference field="3" count="1" selected="0">
            <x v="0"/>
          </reference>
          <reference field="4" count="1">
            <x v="6"/>
          </reference>
        </references>
      </pivotArea>
    </format>
    <format dxfId="476">
      <pivotArea dataOnly="0" labelOnly="1" outline="0" fieldPosition="0">
        <references count="4">
          <reference field="0" count="1" selected="0">
            <x v="13"/>
          </reference>
          <reference field="1" count="1" selected="0">
            <x v="1"/>
          </reference>
          <reference field="3" count="1" selected="0">
            <x v="0"/>
          </reference>
          <reference field="4" count="1">
            <x v="24"/>
          </reference>
        </references>
      </pivotArea>
    </format>
    <format dxfId="475">
      <pivotArea dataOnly="0" labelOnly="1" outline="0" fieldPosition="0">
        <references count="4">
          <reference field="0" count="1" selected="0">
            <x v="0"/>
          </reference>
          <reference field="1" count="1" selected="0">
            <x v="0"/>
          </reference>
          <reference field="3" count="1" selected="0">
            <x v="1"/>
          </reference>
          <reference field="4" count="1">
            <x v="47"/>
          </reference>
        </references>
      </pivotArea>
    </format>
    <format dxfId="474">
      <pivotArea dataOnly="0" labelOnly="1" outline="0" fieldPosition="0">
        <references count="4">
          <reference field="0" count="1" selected="0">
            <x v="1"/>
          </reference>
          <reference field="1" count="1" selected="0">
            <x v="0"/>
          </reference>
          <reference field="3" count="1" selected="0">
            <x v="1"/>
          </reference>
          <reference field="4" count="1">
            <x v="77"/>
          </reference>
        </references>
      </pivotArea>
    </format>
    <format dxfId="473">
      <pivotArea dataOnly="0" labelOnly="1" outline="0" fieldPosition="0">
        <references count="4">
          <reference field="0" count="1" selected="0">
            <x v="2"/>
          </reference>
          <reference field="1" count="1" selected="0">
            <x v="0"/>
          </reference>
          <reference field="3" count="1" selected="0">
            <x v="1"/>
          </reference>
          <reference field="4" count="1">
            <x v="0"/>
          </reference>
        </references>
      </pivotArea>
    </format>
    <format dxfId="472">
      <pivotArea dataOnly="0" labelOnly="1" outline="0" fieldPosition="0">
        <references count="4">
          <reference field="0" count="1" selected="0">
            <x v="3"/>
          </reference>
          <reference field="1" count="1" selected="0">
            <x v="0"/>
          </reference>
          <reference field="3" count="1" selected="0">
            <x v="1"/>
          </reference>
          <reference field="4" count="1">
            <x v="23"/>
          </reference>
        </references>
      </pivotArea>
    </format>
    <format dxfId="471">
      <pivotArea dataOnly="0" labelOnly="1" outline="0" fieldPosition="0">
        <references count="4">
          <reference field="0" count="1" selected="0">
            <x v="4"/>
          </reference>
          <reference field="1" count="1" selected="0">
            <x v="0"/>
          </reference>
          <reference field="3" count="1" selected="0">
            <x v="1"/>
          </reference>
          <reference field="4" count="1">
            <x v="1"/>
          </reference>
        </references>
      </pivotArea>
    </format>
    <format dxfId="470">
      <pivotArea dataOnly="0" labelOnly="1" outline="0" fieldPosition="0">
        <references count="4">
          <reference field="0" count="1" selected="0">
            <x v="6"/>
          </reference>
          <reference field="1" count="1" selected="0">
            <x v="0"/>
          </reference>
          <reference field="3" count="1" selected="0">
            <x v="1"/>
          </reference>
          <reference field="4" count="1">
            <x v="66"/>
          </reference>
        </references>
      </pivotArea>
    </format>
    <format dxfId="469">
      <pivotArea dataOnly="0" labelOnly="1" outline="0" fieldPosition="0">
        <references count="4">
          <reference field="0" count="1" selected="0">
            <x v="8"/>
          </reference>
          <reference field="1" count="1" selected="0">
            <x v="0"/>
          </reference>
          <reference field="3" count="1" selected="0">
            <x v="1"/>
          </reference>
          <reference field="4" count="1">
            <x v="14"/>
          </reference>
        </references>
      </pivotArea>
    </format>
    <format dxfId="468">
      <pivotArea dataOnly="0" labelOnly="1" outline="0" fieldPosition="0">
        <references count="4">
          <reference field="0" count="1" selected="0">
            <x v="9"/>
          </reference>
          <reference field="1" count="1" selected="0">
            <x v="0"/>
          </reference>
          <reference field="3" count="1" selected="0">
            <x v="1"/>
          </reference>
          <reference field="4" count="1">
            <x v="54"/>
          </reference>
        </references>
      </pivotArea>
    </format>
    <format dxfId="467">
      <pivotArea dataOnly="0" labelOnly="1" outline="0" fieldPosition="0">
        <references count="4">
          <reference field="0" count="1" selected="0">
            <x v="10"/>
          </reference>
          <reference field="1" count="1" selected="0">
            <x v="0"/>
          </reference>
          <reference field="3" count="1" selected="0">
            <x v="1"/>
          </reference>
          <reference field="4" count="1">
            <x v="35"/>
          </reference>
        </references>
      </pivotArea>
    </format>
    <format dxfId="466">
      <pivotArea dataOnly="0" labelOnly="1" outline="0" fieldPosition="0">
        <references count="4">
          <reference field="0" count="1" selected="0">
            <x v="11"/>
          </reference>
          <reference field="1" count="1" selected="0">
            <x v="0"/>
          </reference>
          <reference field="3" count="1" selected="0">
            <x v="1"/>
          </reference>
          <reference field="4" count="1">
            <x v="34"/>
          </reference>
        </references>
      </pivotArea>
    </format>
    <format dxfId="465">
      <pivotArea dataOnly="0" labelOnly="1" outline="0" fieldPosition="0">
        <references count="4">
          <reference field="0" count="1" selected="0">
            <x v="12"/>
          </reference>
          <reference field="1" count="1" selected="0">
            <x v="0"/>
          </reference>
          <reference field="3" count="1" selected="0">
            <x v="1"/>
          </reference>
          <reference field="4" count="1">
            <x v="60"/>
          </reference>
        </references>
      </pivotArea>
    </format>
    <format dxfId="464">
      <pivotArea dataOnly="0" labelOnly="1" outline="0" fieldPosition="0">
        <references count="4">
          <reference field="0" count="1" selected="0">
            <x v="14"/>
          </reference>
          <reference field="1" count="1" selected="0">
            <x v="0"/>
          </reference>
          <reference field="3" count="1" selected="0">
            <x v="1"/>
          </reference>
          <reference field="4" count="1">
            <x v="38"/>
          </reference>
        </references>
      </pivotArea>
    </format>
    <format dxfId="463">
      <pivotArea dataOnly="0" labelOnly="1" outline="0" fieldPosition="0">
        <references count="4">
          <reference field="0" count="1" selected="0">
            <x v="15"/>
          </reference>
          <reference field="1" count="1" selected="0">
            <x v="0"/>
          </reference>
          <reference field="3" count="1" selected="0">
            <x v="1"/>
          </reference>
          <reference field="4" count="1">
            <x v="7"/>
          </reference>
        </references>
      </pivotArea>
    </format>
    <format dxfId="462">
      <pivotArea dataOnly="0" labelOnly="1" outline="0" fieldPosition="0">
        <references count="4">
          <reference field="0" count="1" selected="0">
            <x v="16"/>
          </reference>
          <reference field="1" count="1" selected="0">
            <x v="0"/>
          </reference>
          <reference field="3" count="1" selected="0">
            <x v="1"/>
          </reference>
          <reference field="4" count="1">
            <x v="13"/>
          </reference>
        </references>
      </pivotArea>
    </format>
    <format dxfId="461">
      <pivotArea dataOnly="0" labelOnly="1" outline="0" fieldPosition="0">
        <references count="4">
          <reference field="0" count="1" selected="0">
            <x v="5"/>
          </reference>
          <reference field="1" count="1" selected="0">
            <x v="1"/>
          </reference>
          <reference field="3" count="1" selected="0">
            <x v="1"/>
          </reference>
          <reference field="4" count="1">
            <x v="0"/>
          </reference>
        </references>
      </pivotArea>
    </format>
    <format dxfId="460">
      <pivotArea dataOnly="0" labelOnly="1" outline="0" fieldPosition="0">
        <references count="4">
          <reference field="0" count="1" selected="0">
            <x v="7"/>
          </reference>
          <reference field="1" count="1" selected="0">
            <x v="1"/>
          </reference>
          <reference field="3" count="1" selected="0">
            <x v="1"/>
          </reference>
          <reference field="4" count="1">
            <x v="6"/>
          </reference>
        </references>
      </pivotArea>
    </format>
    <format dxfId="459">
      <pivotArea dataOnly="0" labelOnly="1" outline="0" fieldPosition="0">
        <references count="4">
          <reference field="0" count="1" selected="0">
            <x v="13"/>
          </reference>
          <reference field="1" count="1" selected="0">
            <x v="1"/>
          </reference>
          <reference field="3" count="1" selected="0">
            <x v="1"/>
          </reference>
          <reference field="4" count="1">
            <x v="24"/>
          </reference>
        </references>
      </pivotArea>
    </format>
    <format dxfId="458">
      <pivotArea dataOnly="0" labelOnly="1" outline="0" fieldPosition="0">
        <references count="4">
          <reference field="0" count="1" selected="0">
            <x v="0"/>
          </reference>
          <reference field="1" count="1" selected="0">
            <x v="0"/>
          </reference>
          <reference field="3" count="1" selected="0">
            <x v="2"/>
          </reference>
          <reference field="4" count="1">
            <x v="47"/>
          </reference>
        </references>
      </pivotArea>
    </format>
    <format dxfId="457">
      <pivotArea dataOnly="0" labelOnly="1" outline="0" fieldPosition="0">
        <references count="4">
          <reference field="0" count="1" selected="0">
            <x v="1"/>
          </reference>
          <reference field="1" count="1" selected="0">
            <x v="0"/>
          </reference>
          <reference field="3" count="1" selected="0">
            <x v="2"/>
          </reference>
          <reference field="4" count="1">
            <x v="77"/>
          </reference>
        </references>
      </pivotArea>
    </format>
    <format dxfId="456">
      <pivotArea dataOnly="0" labelOnly="1" outline="0" fieldPosition="0">
        <references count="4">
          <reference field="0" count="1" selected="0">
            <x v="2"/>
          </reference>
          <reference field="1" count="1" selected="0">
            <x v="0"/>
          </reference>
          <reference field="3" count="1" selected="0">
            <x v="2"/>
          </reference>
          <reference field="4" count="1">
            <x v="0"/>
          </reference>
        </references>
      </pivotArea>
    </format>
    <format dxfId="455">
      <pivotArea dataOnly="0" labelOnly="1" outline="0" fieldPosition="0">
        <references count="4">
          <reference field="0" count="1" selected="0">
            <x v="3"/>
          </reference>
          <reference field="1" count="1" selected="0">
            <x v="0"/>
          </reference>
          <reference field="3" count="1" selected="0">
            <x v="2"/>
          </reference>
          <reference field="4" count="1">
            <x v="23"/>
          </reference>
        </references>
      </pivotArea>
    </format>
    <format dxfId="454">
      <pivotArea dataOnly="0" labelOnly="1" outline="0" fieldPosition="0">
        <references count="4">
          <reference field="0" count="1" selected="0">
            <x v="4"/>
          </reference>
          <reference field="1" count="1" selected="0">
            <x v="0"/>
          </reference>
          <reference field="3" count="1" selected="0">
            <x v="2"/>
          </reference>
          <reference field="4" count="1">
            <x v="1"/>
          </reference>
        </references>
      </pivotArea>
    </format>
    <format dxfId="453">
      <pivotArea dataOnly="0" labelOnly="1" outline="0" fieldPosition="0">
        <references count="4">
          <reference field="0" count="1" selected="0">
            <x v="6"/>
          </reference>
          <reference field="1" count="1" selected="0">
            <x v="0"/>
          </reference>
          <reference field="3" count="1" selected="0">
            <x v="2"/>
          </reference>
          <reference field="4" count="1">
            <x v="66"/>
          </reference>
        </references>
      </pivotArea>
    </format>
    <format dxfId="452">
      <pivotArea dataOnly="0" labelOnly="1" outline="0" fieldPosition="0">
        <references count="4">
          <reference field="0" count="1" selected="0">
            <x v="8"/>
          </reference>
          <reference field="1" count="1" selected="0">
            <x v="0"/>
          </reference>
          <reference field="3" count="1" selected="0">
            <x v="2"/>
          </reference>
          <reference field="4" count="1">
            <x v="14"/>
          </reference>
        </references>
      </pivotArea>
    </format>
    <format dxfId="451">
      <pivotArea dataOnly="0" labelOnly="1" outline="0" fieldPosition="0">
        <references count="4">
          <reference field="0" count="1" selected="0">
            <x v="9"/>
          </reference>
          <reference field="1" count="1" selected="0">
            <x v="0"/>
          </reference>
          <reference field="3" count="1" selected="0">
            <x v="2"/>
          </reference>
          <reference field="4" count="1">
            <x v="54"/>
          </reference>
        </references>
      </pivotArea>
    </format>
    <format dxfId="450">
      <pivotArea dataOnly="0" labelOnly="1" outline="0" fieldPosition="0">
        <references count="4">
          <reference field="0" count="1" selected="0">
            <x v="10"/>
          </reference>
          <reference field="1" count="1" selected="0">
            <x v="0"/>
          </reference>
          <reference field="3" count="1" selected="0">
            <x v="2"/>
          </reference>
          <reference field="4" count="1">
            <x v="35"/>
          </reference>
        </references>
      </pivotArea>
    </format>
    <format dxfId="449">
      <pivotArea dataOnly="0" labelOnly="1" outline="0" fieldPosition="0">
        <references count="4">
          <reference field="0" count="1" selected="0">
            <x v="11"/>
          </reference>
          <reference field="1" count="1" selected="0">
            <x v="0"/>
          </reference>
          <reference field="3" count="1" selected="0">
            <x v="2"/>
          </reference>
          <reference field="4" count="1">
            <x v="34"/>
          </reference>
        </references>
      </pivotArea>
    </format>
    <format dxfId="448">
      <pivotArea dataOnly="0" labelOnly="1" outline="0" fieldPosition="0">
        <references count="4">
          <reference field="0" count="1" selected="0">
            <x v="12"/>
          </reference>
          <reference field="1" count="1" selected="0">
            <x v="0"/>
          </reference>
          <reference field="3" count="1" selected="0">
            <x v="2"/>
          </reference>
          <reference field="4" count="1">
            <x v="60"/>
          </reference>
        </references>
      </pivotArea>
    </format>
    <format dxfId="447">
      <pivotArea dataOnly="0" labelOnly="1" outline="0" fieldPosition="0">
        <references count="4">
          <reference field="0" count="1" selected="0">
            <x v="14"/>
          </reference>
          <reference field="1" count="1" selected="0">
            <x v="0"/>
          </reference>
          <reference field="3" count="1" selected="0">
            <x v="2"/>
          </reference>
          <reference field="4" count="1">
            <x v="38"/>
          </reference>
        </references>
      </pivotArea>
    </format>
    <format dxfId="446">
      <pivotArea dataOnly="0" labelOnly="1" outline="0" fieldPosition="0">
        <references count="4">
          <reference field="0" count="1" selected="0">
            <x v="15"/>
          </reference>
          <reference field="1" count="1" selected="0">
            <x v="0"/>
          </reference>
          <reference field="3" count="1" selected="0">
            <x v="2"/>
          </reference>
          <reference field="4" count="1">
            <x v="7"/>
          </reference>
        </references>
      </pivotArea>
    </format>
    <format dxfId="445">
      <pivotArea dataOnly="0" labelOnly="1" outline="0" fieldPosition="0">
        <references count="4">
          <reference field="0" count="1" selected="0">
            <x v="16"/>
          </reference>
          <reference field="1" count="1" selected="0">
            <x v="0"/>
          </reference>
          <reference field="3" count="1" selected="0">
            <x v="2"/>
          </reference>
          <reference field="4" count="1">
            <x v="13"/>
          </reference>
        </references>
      </pivotArea>
    </format>
    <format dxfId="444">
      <pivotArea dataOnly="0" labelOnly="1" outline="0" fieldPosition="0">
        <references count="4">
          <reference field="0" count="1" selected="0">
            <x v="5"/>
          </reference>
          <reference field="1" count="1" selected="0">
            <x v="1"/>
          </reference>
          <reference field="3" count="1" selected="0">
            <x v="2"/>
          </reference>
          <reference field="4" count="1">
            <x v="0"/>
          </reference>
        </references>
      </pivotArea>
    </format>
    <format dxfId="443">
      <pivotArea dataOnly="0" labelOnly="1" outline="0" fieldPosition="0">
        <references count="4">
          <reference field="0" count="1" selected="0">
            <x v="7"/>
          </reference>
          <reference field="1" count="1" selected="0">
            <x v="1"/>
          </reference>
          <reference field="3" count="1" selected="0">
            <x v="2"/>
          </reference>
          <reference field="4" count="1">
            <x v="6"/>
          </reference>
        </references>
      </pivotArea>
    </format>
    <format dxfId="442">
      <pivotArea dataOnly="0" labelOnly="1" outline="0" fieldPosition="0">
        <references count="4">
          <reference field="0" count="1" selected="0">
            <x v="13"/>
          </reference>
          <reference field="1" count="1" selected="0">
            <x v="1"/>
          </reference>
          <reference field="3" count="1" selected="0">
            <x v="2"/>
          </reference>
          <reference field="4" count="1">
            <x v="24"/>
          </reference>
        </references>
      </pivotArea>
    </format>
    <format dxfId="441">
      <pivotArea dataOnly="0" labelOnly="1" outline="0" fieldPosition="0">
        <references count="4">
          <reference field="0" count="1" selected="0">
            <x v="0"/>
          </reference>
          <reference field="1" count="1" selected="0">
            <x v="0"/>
          </reference>
          <reference field="3" count="1" selected="0">
            <x v="3"/>
          </reference>
          <reference field="4" count="1">
            <x v="47"/>
          </reference>
        </references>
      </pivotArea>
    </format>
    <format dxfId="440">
      <pivotArea dataOnly="0" labelOnly="1" outline="0" fieldPosition="0">
        <references count="4">
          <reference field="0" count="1" selected="0">
            <x v="1"/>
          </reference>
          <reference field="1" count="1" selected="0">
            <x v="0"/>
          </reference>
          <reference field="3" count="1" selected="0">
            <x v="3"/>
          </reference>
          <reference field="4" count="1">
            <x v="77"/>
          </reference>
        </references>
      </pivotArea>
    </format>
    <format dxfId="439">
      <pivotArea dataOnly="0" labelOnly="1" outline="0" fieldPosition="0">
        <references count="4">
          <reference field="0" count="1" selected="0">
            <x v="2"/>
          </reference>
          <reference field="1" count="1" selected="0">
            <x v="0"/>
          </reference>
          <reference field="3" count="1" selected="0">
            <x v="3"/>
          </reference>
          <reference field="4" count="1">
            <x v="0"/>
          </reference>
        </references>
      </pivotArea>
    </format>
    <format dxfId="438">
      <pivotArea dataOnly="0" labelOnly="1" outline="0" fieldPosition="0">
        <references count="4">
          <reference field="0" count="1" selected="0">
            <x v="3"/>
          </reference>
          <reference field="1" count="1" selected="0">
            <x v="0"/>
          </reference>
          <reference field="3" count="1" selected="0">
            <x v="3"/>
          </reference>
          <reference field="4" count="1">
            <x v="23"/>
          </reference>
        </references>
      </pivotArea>
    </format>
    <format dxfId="437">
      <pivotArea dataOnly="0" labelOnly="1" outline="0" fieldPosition="0">
        <references count="4">
          <reference field="0" count="1" selected="0">
            <x v="4"/>
          </reference>
          <reference field="1" count="1" selected="0">
            <x v="0"/>
          </reference>
          <reference field="3" count="1" selected="0">
            <x v="3"/>
          </reference>
          <reference field="4" count="1">
            <x v="1"/>
          </reference>
        </references>
      </pivotArea>
    </format>
    <format dxfId="436">
      <pivotArea dataOnly="0" labelOnly="1" outline="0" fieldPosition="0">
        <references count="4">
          <reference field="0" count="1" selected="0">
            <x v="6"/>
          </reference>
          <reference field="1" count="1" selected="0">
            <x v="0"/>
          </reference>
          <reference field="3" count="1" selected="0">
            <x v="3"/>
          </reference>
          <reference field="4" count="1">
            <x v="66"/>
          </reference>
        </references>
      </pivotArea>
    </format>
    <format dxfId="435">
      <pivotArea dataOnly="0" labelOnly="1" outline="0" fieldPosition="0">
        <references count="4">
          <reference field="0" count="1" selected="0">
            <x v="8"/>
          </reference>
          <reference field="1" count="1" selected="0">
            <x v="0"/>
          </reference>
          <reference field="3" count="1" selected="0">
            <x v="3"/>
          </reference>
          <reference field="4" count="1">
            <x v="14"/>
          </reference>
        </references>
      </pivotArea>
    </format>
    <format dxfId="434">
      <pivotArea dataOnly="0" labelOnly="1" outline="0" fieldPosition="0">
        <references count="4">
          <reference field="0" count="1" selected="0">
            <x v="9"/>
          </reference>
          <reference field="1" count="1" selected="0">
            <x v="0"/>
          </reference>
          <reference field="3" count="1" selected="0">
            <x v="3"/>
          </reference>
          <reference field="4" count="1">
            <x v="54"/>
          </reference>
        </references>
      </pivotArea>
    </format>
    <format dxfId="433">
      <pivotArea dataOnly="0" labelOnly="1" outline="0" fieldPosition="0">
        <references count="4">
          <reference field="0" count="1" selected="0">
            <x v="10"/>
          </reference>
          <reference field="1" count="1" selected="0">
            <x v="0"/>
          </reference>
          <reference field="3" count="1" selected="0">
            <x v="3"/>
          </reference>
          <reference field="4" count="1">
            <x v="35"/>
          </reference>
        </references>
      </pivotArea>
    </format>
    <format dxfId="432">
      <pivotArea dataOnly="0" labelOnly="1" outline="0" fieldPosition="0">
        <references count="4">
          <reference field="0" count="1" selected="0">
            <x v="11"/>
          </reference>
          <reference field="1" count="1" selected="0">
            <x v="0"/>
          </reference>
          <reference field="3" count="1" selected="0">
            <x v="3"/>
          </reference>
          <reference field="4" count="1">
            <x v="34"/>
          </reference>
        </references>
      </pivotArea>
    </format>
    <format dxfId="431">
      <pivotArea dataOnly="0" labelOnly="1" outline="0" fieldPosition="0">
        <references count="4">
          <reference field="0" count="1" selected="0">
            <x v="12"/>
          </reference>
          <reference field="1" count="1" selected="0">
            <x v="0"/>
          </reference>
          <reference field="3" count="1" selected="0">
            <x v="3"/>
          </reference>
          <reference field="4" count="1">
            <x v="60"/>
          </reference>
        </references>
      </pivotArea>
    </format>
    <format dxfId="430">
      <pivotArea dataOnly="0" labelOnly="1" outline="0" fieldPosition="0">
        <references count="4">
          <reference field="0" count="1" selected="0">
            <x v="14"/>
          </reference>
          <reference field="1" count="1" selected="0">
            <x v="0"/>
          </reference>
          <reference field="3" count="1" selected="0">
            <x v="3"/>
          </reference>
          <reference field="4" count="1">
            <x v="38"/>
          </reference>
        </references>
      </pivotArea>
    </format>
    <format dxfId="429">
      <pivotArea dataOnly="0" labelOnly="1" outline="0" fieldPosition="0">
        <references count="4">
          <reference field="0" count="1" selected="0">
            <x v="15"/>
          </reference>
          <reference field="1" count="1" selected="0">
            <x v="0"/>
          </reference>
          <reference field="3" count="1" selected="0">
            <x v="3"/>
          </reference>
          <reference field="4" count="1">
            <x v="7"/>
          </reference>
        </references>
      </pivotArea>
    </format>
    <format dxfId="428">
      <pivotArea dataOnly="0" labelOnly="1" outline="0" fieldPosition="0">
        <references count="4">
          <reference field="0" count="1" selected="0">
            <x v="16"/>
          </reference>
          <reference field="1" count="1" selected="0">
            <x v="0"/>
          </reference>
          <reference field="3" count="1" selected="0">
            <x v="3"/>
          </reference>
          <reference field="4" count="1">
            <x v="13"/>
          </reference>
        </references>
      </pivotArea>
    </format>
    <format dxfId="427">
      <pivotArea dataOnly="0" labelOnly="1" outline="0" fieldPosition="0">
        <references count="4">
          <reference field="0" count="1" selected="0">
            <x v="5"/>
          </reference>
          <reference field="1" count="1" selected="0">
            <x v="1"/>
          </reference>
          <reference field="3" count="1" selected="0">
            <x v="3"/>
          </reference>
          <reference field="4" count="1">
            <x v="0"/>
          </reference>
        </references>
      </pivotArea>
    </format>
    <format dxfId="426">
      <pivotArea dataOnly="0" labelOnly="1" outline="0" fieldPosition="0">
        <references count="4">
          <reference field="0" count="1" selected="0">
            <x v="7"/>
          </reference>
          <reference field="1" count="1" selected="0">
            <x v="1"/>
          </reference>
          <reference field="3" count="1" selected="0">
            <x v="3"/>
          </reference>
          <reference field="4" count="1">
            <x v="6"/>
          </reference>
        </references>
      </pivotArea>
    </format>
    <format dxfId="425">
      <pivotArea dataOnly="0" labelOnly="1" outline="0" fieldPosition="0">
        <references count="4">
          <reference field="0" count="1" selected="0">
            <x v="13"/>
          </reference>
          <reference field="1" count="1" selected="0">
            <x v="1"/>
          </reference>
          <reference field="3" count="1" selected="0">
            <x v="3"/>
          </reference>
          <reference field="4" count="1">
            <x v="24"/>
          </reference>
        </references>
      </pivotArea>
    </format>
    <format dxfId="424">
      <pivotArea dataOnly="0" labelOnly="1" outline="0" fieldPosition="0">
        <references count="4">
          <reference field="0" count="1" selected="0">
            <x v="0"/>
          </reference>
          <reference field="1" count="1" selected="0">
            <x v="0"/>
          </reference>
          <reference field="3" count="1" selected="0">
            <x v="4"/>
          </reference>
          <reference field="4" count="1">
            <x v="47"/>
          </reference>
        </references>
      </pivotArea>
    </format>
    <format dxfId="423">
      <pivotArea dataOnly="0" labelOnly="1" outline="0" fieldPosition="0">
        <references count="4">
          <reference field="0" count="1" selected="0">
            <x v="1"/>
          </reference>
          <reference field="1" count="1" selected="0">
            <x v="0"/>
          </reference>
          <reference field="3" count="1" selected="0">
            <x v="4"/>
          </reference>
          <reference field="4" count="1">
            <x v="77"/>
          </reference>
        </references>
      </pivotArea>
    </format>
    <format dxfId="422">
      <pivotArea dataOnly="0" labelOnly="1" outline="0" fieldPosition="0">
        <references count="4">
          <reference field="0" count="1" selected="0">
            <x v="2"/>
          </reference>
          <reference field="1" count="1" selected="0">
            <x v="0"/>
          </reference>
          <reference field="3" count="1" selected="0">
            <x v="4"/>
          </reference>
          <reference field="4" count="1">
            <x v="0"/>
          </reference>
        </references>
      </pivotArea>
    </format>
    <format dxfId="421">
      <pivotArea dataOnly="0" labelOnly="1" outline="0" fieldPosition="0">
        <references count="4">
          <reference field="0" count="1" selected="0">
            <x v="3"/>
          </reference>
          <reference field="1" count="1" selected="0">
            <x v="0"/>
          </reference>
          <reference field="3" count="1" selected="0">
            <x v="4"/>
          </reference>
          <reference field="4" count="1">
            <x v="23"/>
          </reference>
        </references>
      </pivotArea>
    </format>
    <format dxfId="420">
      <pivotArea dataOnly="0" labelOnly="1" outline="0" fieldPosition="0">
        <references count="4">
          <reference field="0" count="1" selected="0">
            <x v="4"/>
          </reference>
          <reference field="1" count="1" selected="0">
            <x v="0"/>
          </reference>
          <reference field="3" count="1" selected="0">
            <x v="4"/>
          </reference>
          <reference field="4" count="1">
            <x v="1"/>
          </reference>
        </references>
      </pivotArea>
    </format>
    <format dxfId="419">
      <pivotArea dataOnly="0" labelOnly="1" outline="0" fieldPosition="0">
        <references count="4">
          <reference field="0" count="1" selected="0">
            <x v="6"/>
          </reference>
          <reference field="1" count="1" selected="0">
            <x v="0"/>
          </reference>
          <reference field="3" count="1" selected="0">
            <x v="4"/>
          </reference>
          <reference field="4" count="1">
            <x v="66"/>
          </reference>
        </references>
      </pivotArea>
    </format>
    <format dxfId="418">
      <pivotArea dataOnly="0" labelOnly="1" outline="0" fieldPosition="0">
        <references count="4">
          <reference field="0" count="1" selected="0">
            <x v="8"/>
          </reference>
          <reference field="1" count="1" selected="0">
            <x v="0"/>
          </reference>
          <reference field="3" count="1" selected="0">
            <x v="4"/>
          </reference>
          <reference field="4" count="1">
            <x v="14"/>
          </reference>
        </references>
      </pivotArea>
    </format>
    <format dxfId="417">
      <pivotArea dataOnly="0" labelOnly="1" outline="0" fieldPosition="0">
        <references count="4">
          <reference field="0" count="1" selected="0">
            <x v="9"/>
          </reference>
          <reference field="1" count="1" selected="0">
            <x v="0"/>
          </reference>
          <reference field="3" count="1" selected="0">
            <x v="4"/>
          </reference>
          <reference field="4" count="1">
            <x v="54"/>
          </reference>
        </references>
      </pivotArea>
    </format>
    <format dxfId="416">
      <pivotArea dataOnly="0" labelOnly="1" outline="0" fieldPosition="0">
        <references count="4">
          <reference field="0" count="1" selected="0">
            <x v="10"/>
          </reference>
          <reference field="1" count="1" selected="0">
            <x v="0"/>
          </reference>
          <reference field="3" count="1" selected="0">
            <x v="4"/>
          </reference>
          <reference field="4" count="1">
            <x v="35"/>
          </reference>
        </references>
      </pivotArea>
    </format>
    <format dxfId="415">
      <pivotArea dataOnly="0" labelOnly="1" outline="0" fieldPosition="0">
        <references count="4">
          <reference field="0" count="1" selected="0">
            <x v="11"/>
          </reference>
          <reference field="1" count="1" selected="0">
            <x v="0"/>
          </reference>
          <reference field="3" count="1" selected="0">
            <x v="4"/>
          </reference>
          <reference field="4" count="1">
            <x v="34"/>
          </reference>
        </references>
      </pivotArea>
    </format>
    <format dxfId="414">
      <pivotArea dataOnly="0" labelOnly="1" outline="0" fieldPosition="0">
        <references count="4">
          <reference field="0" count="1" selected="0">
            <x v="12"/>
          </reference>
          <reference field="1" count="1" selected="0">
            <x v="0"/>
          </reference>
          <reference field="3" count="1" selected="0">
            <x v="4"/>
          </reference>
          <reference field="4" count="1">
            <x v="60"/>
          </reference>
        </references>
      </pivotArea>
    </format>
    <format dxfId="413">
      <pivotArea dataOnly="0" labelOnly="1" outline="0" fieldPosition="0">
        <references count="4">
          <reference field="0" count="1" selected="0">
            <x v="14"/>
          </reference>
          <reference field="1" count="1" selected="0">
            <x v="0"/>
          </reference>
          <reference field="3" count="1" selected="0">
            <x v="4"/>
          </reference>
          <reference field="4" count="1">
            <x v="38"/>
          </reference>
        </references>
      </pivotArea>
    </format>
    <format dxfId="412">
      <pivotArea dataOnly="0" labelOnly="1" outline="0" fieldPosition="0">
        <references count="4">
          <reference field="0" count="1" selected="0">
            <x v="15"/>
          </reference>
          <reference field="1" count="1" selected="0">
            <x v="0"/>
          </reference>
          <reference field="3" count="1" selected="0">
            <x v="4"/>
          </reference>
          <reference field="4" count="1">
            <x v="7"/>
          </reference>
        </references>
      </pivotArea>
    </format>
    <format dxfId="411">
      <pivotArea dataOnly="0" labelOnly="1" outline="0" fieldPosition="0">
        <references count="4">
          <reference field="0" count="1" selected="0">
            <x v="16"/>
          </reference>
          <reference field="1" count="1" selected="0">
            <x v="0"/>
          </reference>
          <reference field="3" count="1" selected="0">
            <x v="4"/>
          </reference>
          <reference field="4" count="1">
            <x v="13"/>
          </reference>
        </references>
      </pivotArea>
    </format>
    <format dxfId="410">
      <pivotArea dataOnly="0" labelOnly="1" outline="0" fieldPosition="0">
        <references count="4">
          <reference field="0" count="1" selected="0">
            <x v="5"/>
          </reference>
          <reference field="1" count="1" selected="0">
            <x v="1"/>
          </reference>
          <reference field="3" count="1" selected="0">
            <x v="4"/>
          </reference>
          <reference field="4" count="1">
            <x v="0"/>
          </reference>
        </references>
      </pivotArea>
    </format>
    <format dxfId="409">
      <pivotArea dataOnly="0" labelOnly="1" outline="0" fieldPosition="0">
        <references count="4">
          <reference field="0" count="1" selected="0">
            <x v="7"/>
          </reference>
          <reference field="1" count="1" selected="0">
            <x v="1"/>
          </reference>
          <reference field="3" count="1" selected="0">
            <x v="4"/>
          </reference>
          <reference field="4" count="1">
            <x v="6"/>
          </reference>
        </references>
      </pivotArea>
    </format>
    <format dxfId="408">
      <pivotArea dataOnly="0" labelOnly="1" outline="0" fieldPosition="0">
        <references count="4">
          <reference field="0" count="1" selected="0">
            <x v="13"/>
          </reference>
          <reference field="1" count="1" selected="0">
            <x v="1"/>
          </reference>
          <reference field="3" count="1" selected="0">
            <x v="4"/>
          </reference>
          <reference field="4" count="1">
            <x v="24"/>
          </reference>
        </references>
      </pivotArea>
    </format>
    <format dxfId="407">
      <pivotArea dataOnly="0" labelOnly="1" outline="0" fieldPosition="0">
        <references count="4">
          <reference field="0" count="1" selected="0">
            <x v="0"/>
          </reference>
          <reference field="1" count="1" selected="0">
            <x v="0"/>
          </reference>
          <reference field="3" count="1" selected="0">
            <x v="5"/>
          </reference>
          <reference field="4" count="1">
            <x v="47"/>
          </reference>
        </references>
      </pivotArea>
    </format>
    <format dxfId="406">
      <pivotArea dataOnly="0" labelOnly="1" outline="0" fieldPosition="0">
        <references count="4">
          <reference field="0" count="1" selected="0">
            <x v="1"/>
          </reference>
          <reference field="1" count="1" selected="0">
            <x v="0"/>
          </reference>
          <reference field="3" count="1" selected="0">
            <x v="5"/>
          </reference>
          <reference field="4" count="1">
            <x v="77"/>
          </reference>
        </references>
      </pivotArea>
    </format>
    <format dxfId="405">
      <pivotArea dataOnly="0" labelOnly="1" outline="0" fieldPosition="0">
        <references count="4">
          <reference field="0" count="1" selected="0">
            <x v="2"/>
          </reference>
          <reference field="1" count="1" selected="0">
            <x v="0"/>
          </reference>
          <reference field="3" count="1" selected="0">
            <x v="5"/>
          </reference>
          <reference field="4" count="1">
            <x v="0"/>
          </reference>
        </references>
      </pivotArea>
    </format>
    <format dxfId="404">
      <pivotArea dataOnly="0" labelOnly="1" outline="0" fieldPosition="0">
        <references count="4">
          <reference field="0" count="1" selected="0">
            <x v="3"/>
          </reference>
          <reference field="1" count="1" selected="0">
            <x v="0"/>
          </reference>
          <reference field="3" count="1" selected="0">
            <x v="5"/>
          </reference>
          <reference field="4" count="1">
            <x v="23"/>
          </reference>
        </references>
      </pivotArea>
    </format>
    <format dxfId="403">
      <pivotArea dataOnly="0" labelOnly="1" outline="0" fieldPosition="0">
        <references count="4">
          <reference field="0" count="1" selected="0">
            <x v="4"/>
          </reference>
          <reference field="1" count="1" selected="0">
            <x v="0"/>
          </reference>
          <reference field="3" count="1" selected="0">
            <x v="5"/>
          </reference>
          <reference field="4" count="1">
            <x v="1"/>
          </reference>
        </references>
      </pivotArea>
    </format>
    <format dxfId="402">
      <pivotArea dataOnly="0" labelOnly="1" outline="0" fieldPosition="0">
        <references count="4">
          <reference field="0" count="1" selected="0">
            <x v="6"/>
          </reference>
          <reference field="1" count="1" selected="0">
            <x v="0"/>
          </reference>
          <reference field="3" count="1" selected="0">
            <x v="5"/>
          </reference>
          <reference field="4" count="1">
            <x v="66"/>
          </reference>
        </references>
      </pivotArea>
    </format>
    <format dxfId="401">
      <pivotArea dataOnly="0" labelOnly="1" outline="0" fieldPosition="0">
        <references count="4">
          <reference field="0" count="1" selected="0">
            <x v="8"/>
          </reference>
          <reference field="1" count="1" selected="0">
            <x v="0"/>
          </reference>
          <reference field="3" count="1" selected="0">
            <x v="5"/>
          </reference>
          <reference field="4" count="1">
            <x v="14"/>
          </reference>
        </references>
      </pivotArea>
    </format>
    <format dxfId="400">
      <pivotArea dataOnly="0" labelOnly="1" outline="0" fieldPosition="0">
        <references count="4">
          <reference field="0" count="1" selected="0">
            <x v="9"/>
          </reference>
          <reference field="1" count="1" selected="0">
            <x v="0"/>
          </reference>
          <reference field="3" count="1" selected="0">
            <x v="5"/>
          </reference>
          <reference field="4" count="1">
            <x v="54"/>
          </reference>
        </references>
      </pivotArea>
    </format>
    <format dxfId="399">
      <pivotArea dataOnly="0" labelOnly="1" outline="0" fieldPosition="0">
        <references count="4">
          <reference field="0" count="1" selected="0">
            <x v="10"/>
          </reference>
          <reference field="1" count="1" selected="0">
            <x v="0"/>
          </reference>
          <reference field="3" count="1" selected="0">
            <x v="5"/>
          </reference>
          <reference field="4" count="1">
            <x v="35"/>
          </reference>
        </references>
      </pivotArea>
    </format>
    <format dxfId="398">
      <pivotArea dataOnly="0" labelOnly="1" outline="0" fieldPosition="0">
        <references count="4">
          <reference field="0" count="1" selected="0">
            <x v="11"/>
          </reference>
          <reference field="1" count="1" selected="0">
            <x v="0"/>
          </reference>
          <reference field="3" count="1" selected="0">
            <x v="5"/>
          </reference>
          <reference field="4" count="1">
            <x v="34"/>
          </reference>
        </references>
      </pivotArea>
    </format>
    <format dxfId="397">
      <pivotArea dataOnly="0" labelOnly="1" outline="0" fieldPosition="0">
        <references count="4">
          <reference field="0" count="1" selected="0">
            <x v="12"/>
          </reference>
          <reference field="1" count="1" selected="0">
            <x v="0"/>
          </reference>
          <reference field="3" count="1" selected="0">
            <x v="5"/>
          </reference>
          <reference field="4" count="1">
            <x v="60"/>
          </reference>
        </references>
      </pivotArea>
    </format>
    <format dxfId="396">
      <pivotArea dataOnly="0" labelOnly="1" outline="0" fieldPosition="0">
        <references count="4">
          <reference field="0" count="1" selected="0">
            <x v="14"/>
          </reference>
          <reference field="1" count="1" selected="0">
            <x v="0"/>
          </reference>
          <reference field="3" count="1" selected="0">
            <x v="5"/>
          </reference>
          <reference field="4" count="1">
            <x v="38"/>
          </reference>
        </references>
      </pivotArea>
    </format>
    <format dxfId="395">
      <pivotArea dataOnly="0" labelOnly="1" outline="0" fieldPosition="0">
        <references count="4">
          <reference field="0" count="1" selected="0">
            <x v="15"/>
          </reference>
          <reference field="1" count="1" selected="0">
            <x v="0"/>
          </reference>
          <reference field="3" count="1" selected="0">
            <x v="5"/>
          </reference>
          <reference field="4" count="1">
            <x v="7"/>
          </reference>
        </references>
      </pivotArea>
    </format>
    <format dxfId="394">
      <pivotArea dataOnly="0" labelOnly="1" outline="0" fieldPosition="0">
        <references count="4">
          <reference field="0" count="1" selected="0">
            <x v="16"/>
          </reference>
          <reference field="1" count="1" selected="0">
            <x v="0"/>
          </reference>
          <reference field="3" count="1" selected="0">
            <x v="5"/>
          </reference>
          <reference field="4" count="1">
            <x v="13"/>
          </reference>
        </references>
      </pivotArea>
    </format>
    <format dxfId="393">
      <pivotArea dataOnly="0" labelOnly="1" outline="0" fieldPosition="0">
        <references count="4">
          <reference field="0" count="1" selected="0">
            <x v="5"/>
          </reference>
          <reference field="1" count="1" selected="0">
            <x v="1"/>
          </reference>
          <reference field="3" count="1" selected="0">
            <x v="5"/>
          </reference>
          <reference field="4" count="1">
            <x v="0"/>
          </reference>
        </references>
      </pivotArea>
    </format>
    <format dxfId="392">
      <pivotArea dataOnly="0" labelOnly="1" outline="0" fieldPosition="0">
        <references count="4">
          <reference field="0" count="1" selected="0">
            <x v="7"/>
          </reference>
          <reference field="1" count="1" selected="0">
            <x v="1"/>
          </reference>
          <reference field="3" count="1" selected="0">
            <x v="5"/>
          </reference>
          <reference field="4" count="1">
            <x v="6"/>
          </reference>
        </references>
      </pivotArea>
    </format>
    <format dxfId="391">
      <pivotArea dataOnly="0" labelOnly="1" outline="0" fieldPosition="0">
        <references count="4">
          <reference field="0" count="1" selected="0">
            <x v="13"/>
          </reference>
          <reference field="1" count="1" selected="0">
            <x v="1"/>
          </reference>
          <reference field="3" count="1" selected="0">
            <x v="5"/>
          </reference>
          <reference field="4" count="1">
            <x v="24"/>
          </reference>
        </references>
      </pivotArea>
    </format>
    <format dxfId="390">
      <pivotArea dataOnly="0" labelOnly="1" outline="0" fieldPosition="0">
        <references count="4">
          <reference field="0" count="1" selected="0">
            <x v="0"/>
          </reference>
          <reference field="1" count="1" selected="0">
            <x v="0"/>
          </reference>
          <reference field="3" count="1" selected="0">
            <x v="6"/>
          </reference>
          <reference field="4" count="1">
            <x v="47"/>
          </reference>
        </references>
      </pivotArea>
    </format>
    <format dxfId="389">
      <pivotArea dataOnly="0" labelOnly="1" outline="0" fieldPosition="0">
        <references count="4">
          <reference field="0" count="1" selected="0">
            <x v="1"/>
          </reference>
          <reference field="1" count="1" selected="0">
            <x v="0"/>
          </reference>
          <reference field="3" count="1" selected="0">
            <x v="6"/>
          </reference>
          <reference field="4" count="1">
            <x v="77"/>
          </reference>
        </references>
      </pivotArea>
    </format>
    <format dxfId="388">
      <pivotArea dataOnly="0" labelOnly="1" outline="0" fieldPosition="0">
        <references count="4">
          <reference field="0" count="1" selected="0">
            <x v="2"/>
          </reference>
          <reference field="1" count="1" selected="0">
            <x v="0"/>
          </reference>
          <reference field="3" count="1" selected="0">
            <x v="6"/>
          </reference>
          <reference field="4" count="1">
            <x v="0"/>
          </reference>
        </references>
      </pivotArea>
    </format>
    <format dxfId="387">
      <pivotArea dataOnly="0" labelOnly="1" outline="0" fieldPosition="0">
        <references count="4">
          <reference field="0" count="1" selected="0">
            <x v="3"/>
          </reference>
          <reference field="1" count="1" selected="0">
            <x v="0"/>
          </reference>
          <reference field="3" count="1" selected="0">
            <x v="6"/>
          </reference>
          <reference field="4" count="1">
            <x v="23"/>
          </reference>
        </references>
      </pivotArea>
    </format>
    <format dxfId="386">
      <pivotArea dataOnly="0" labelOnly="1" outline="0" fieldPosition="0">
        <references count="4">
          <reference field="0" count="1" selected="0">
            <x v="4"/>
          </reference>
          <reference field="1" count="1" selected="0">
            <x v="0"/>
          </reference>
          <reference field="3" count="1" selected="0">
            <x v="6"/>
          </reference>
          <reference field="4" count="1">
            <x v="1"/>
          </reference>
        </references>
      </pivotArea>
    </format>
    <format dxfId="385">
      <pivotArea dataOnly="0" labelOnly="1" outline="0" fieldPosition="0">
        <references count="4">
          <reference field="0" count="1" selected="0">
            <x v="6"/>
          </reference>
          <reference field="1" count="1" selected="0">
            <x v="0"/>
          </reference>
          <reference field="3" count="1" selected="0">
            <x v="6"/>
          </reference>
          <reference field="4" count="1">
            <x v="66"/>
          </reference>
        </references>
      </pivotArea>
    </format>
    <format dxfId="384">
      <pivotArea dataOnly="0" labelOnly="1" outline="0" fieldPosition="0">
        <references count="4">
          <reference field="0" count="1" selected="0">
            <x v="8"/>
          </reference>
          <reference field="1" count="1" selected="0">
            <x v="0"/>
          </reference>
          <reference field="3" count="1" selected="0">
            <x v="6"/>
          </reference>
          <reference field="4" count="1">
            <x v="14"/>
          </reference>
        </references>
      </pivotArea>
    </format>
    <format dxfId="383">
      <pivotArea dataOnly="0" labelOnly="1" outline="0" fieldPosition="0">
        <references count="4">
          <reference field="0" count="1" selected="0">
            <x v="9"/>
          </reference>
          <reference field="1" count="1" selected="0">
            <x v="0"/>
          </reference>
          <reference field="3" count="1" selected="0">
            <x v="6"/>
          </reference>
          <reference field="4" count="1">
            <x v="54"/>
          </reference>
        </references>
      </pivotArea>
    </format>
    <format dxfId="382">
      <pivotArea dataOnly="0" labelOnly="1" outline="0" fieldPosition="0">
        <references count="4">
          <reference field="0" count="1" selected="0">
            <x v="10"/>
          </reference>
          <reference field="1" count="1" selected="0">
            <x v="0"/>
          </reference>
          <reference field="3" count="1" selected="0">
            <x v="6"/>
          </reference>
          <reference field="4" count="1">
            <x v="35"/>
          </reference>
        </references>
      </pivotArea>
    </format>
    <format dxfId="381">
      <pivotArea dataOnly="0" labelOnly="1" outline="0" fieldPosition="0">
        <references count="4">
          <reference field="0" count="1" selected="0">
            <x v="11"/>
          </reference>
          <reference field="1" count="1" selected="0">
            <x v="0"/>
          </reference>
          <reference field="3" count="1" selected="0">
            <x v="6"/>
          </reference>
          <reference field="4" count="1">
            <x v="34"/>
          </reference>
        </references>
      </pivotArea>
    </format>
    <format dxfId="380">
      <pivotArea dataOnly="0" labelOnly="1" outline="0" fieldPosition="0">
        <references count="4">
          <reference field="0" count="1" selected="0">
            <x v="12"/>
          </reference>
          <reference field="1" count="1" selected="0">
            <x v="0"/>
          </reference>
          <reference field="3" count="1" selected="0">
            <x v="6"/>
          </reference>
          <reference field="4" count="1">
            <x v="60"/>
          </reference>
        </references>
      </pivotArea>
    </format>
    <format dxfId="379">
      <pivotArea dataOnly="0" labelOnly="1" outline="0" fieldPosition="0">
        <references count="4">
          <reference field="0" count="1" selected="0">
            <x v="14"/>
          </reference>
          <reference field="1" count="1" selected="0">
            <x v="0"/>
          </reference>
          <reference field="3" count="1" selected="0">
            <x v="6"/>
          </reference>
          <reference field="4" count="1">
            <x v="38"/>
          </reference>
        </references>
      </pivotArea>
    </format>
    <format dxfId="378">
      <pivotArea dataOnly="0" labelOnly="1" outline="0" fieldPosition="0">
        <references count="4">
          <reference field="0" count="1" selected="0">
            <x v="15"/>
          </reference>
          <reference field="1" count="1" selected="0">
            <x v="0"/>
          </reference>
          <reference field="3" count="1" selected="0">
            <x v="6"/>
          </reference>
          <reference field="4" count="1">
            <x v="7"/>
          </reference>
        </references>
      </pivotArea>
    </format>
    <format dxfId="377">
      <pivotArea dataOnly="0" labelOnly="1" outline="0" fieldPosition="0">
        <references count="4">
          <reference field="0" count="1" selected="0">
            <x v="16"/>
          </reference>
          <reference field="1" count="1" selected="0">
            <x v="0"/>
          </reference>
          <reference field="3" count="1" selected="0">
            <x v="6"/>
          </reference>
          <reference field="4" count="1">
            <x v="13"/>
          </reference>
        </references>
      </pivotArea>
    </format>
    <format dxfId="376">
      <pivotArea dataOnly="0" labelOnly="1" outline="0" fieldPosition="0">
        <references count="4">
          <reference field="0" count="1" selected="0">
            <x v="5"/>
          </reference>
          <reference field="1" count="1" selected="0">
            <x v="1"/>
          </reference>
          <reference field="3" count="1" selected="0">
            <x v="6"/>
          </reference>
          <reference field="4" count="1">
            <x v="0"/>
          </reference>
        </references>
      </pivotArea>
    </format>
    <format dxfId="375">
      <pivotArea dataOnly="0" labelOnly="1" outline="0" fieldPosition="0">
        <references count="4">
          <reference field="0" count="1" selected="0">
            <x v="7"/>
          </reference>
          <reference field="1" count="1" selected="0">
            <x v="1"/>
          </reference>
          <reference field="3" count="1" selected="0">
            <x v="6"/>
          </reference>
          <reference field="4" count="1">
            <x v="6"/>
          </reference>
        </references>
      </pivotArea>
    </format>
    <format dxfId="374">
      <pivotArea dataOnly="0" labelOnly="1" outline="0" fieldPosition="0">
        <references count="4">
          <reference field="0" count="1" selected="0">
            <x v="13"/>
          </reference>
          <reference field="1" count="1" selected="0">
            <x v="1"/>
          </reference>
          <reference field="3" count="1" selected="0">
            <x v="6"/>
          </reference>
          <reference field="4" count="1">
            <x v="24"/>
          </reference>
        </references>
      </pivotArea>
    </format>
    <format dxfId="373">
      <pivotArea dataOnly="0" labelOnly="1" outline="0" fieldPosition="0">
        <references count="4">
          <reference field="0" count="1" selected="0">
            <x v="0"/>
          </reference>
          <reference field="1" count="1" selected="0">
            <x v="0"/>
          </reference>
          <reference field="3" count="1" selected="0">
            <x v="7"/>
          </reference>
          <reference field="4" count="1">
            <x v="47"/>
          </reference>
        </references>
      </pivotArea>
    </format>
    <format dxfId="372">
      <pivotArea dataOnly="0" labelOnly="1" outline="0" fieldPosition="0">
        <references count="4">
          <reference field="0" count="1" selected="0">
            <x v="1"/>
          </reference>
          <reference field="1" count="1" selected="0">
            <x v="0"/>
          </reference>
          <reference field="3" count="1" selected="0">
            <x v="7"/>
          </reference>
          <reference field="4" count="1">
            <x v="77"/>
          </reference>
        </references>
      </pivotArea>
    </format>
    <format dxfId="371">
      <pivotArea dataOnly="0" labelOnly="1" outline="0" fieldPosition="0">
        <references count="4">
          <reference field="0" count="1" selected="0">
            <x v="2"/>
          </reference>
          <reference field="1" count="1" selected="0">
            <x v="0"/>
          </reference>
          <reference field="3" count="1" selected="0">
            <x v="7"/>
          </reference>
          <reference field="4" count="1">
            <x v="0"/>
          </reference>
        </references>
      </pivotArea>
    </format>
    <format dxfId="370">
      <pivotArea dataOnly="0" labelOnly="1" outline="0" fieldPosition="0">
        <references count="4">
          <reference field="0" count="1" selected="0">
            <x v="3"/>
          </reference>
          <reference field="1" count="1" selected="0">
            <x v="0"/>
          </reference>
          <reference field="3" count="1" selected="0">
            <x v="7"/>
          </reference>
          <reference field="4" count="1">
            <x v="23"/>
          </reference>
        </references>
      </pivotArea>
    </format>
    <format dxfId="369">
      <pivotArea dataOnly="0" labelOnly="1" outline="0" fieldPosition="0">
        <references count="4">
          <reference field="0" count="1" selected="0">
            <x v="4"/>
          </reference>
          <reference field="1" count="1" selected="0">
            <x v="0"/>
          </reference>
          <reference field="3" count="1" selected="0">
            <x v="7"/>
          </reference>
          <reference field="4" count="1">
            <x v="1"/>
          </reference>
        </references>
      </pivotArea>
    </format>
    <format dxfId="368">
      <pivotArea dataOnly="0" labelOnly="1" outline="0" fieldPosition="0">
        <references count="4">
          <reference field="0" count="1" selected="0">
            <x v="6"/>
          </reference>
          <reference field="1" count="1" selected="0">
            <x v="0"/>
          </reference>
          <reference field="3" count="1" selected="0">
            <x v="7"/>
          </reference>
          <reference field="4" count="1">
            <x v="66"/>
          </reference>
        </references>
      </pivotArea>
    </format>
    <format dxfId="367">
      <pivotArea dataOnly="0" labelOnly="1" outline="0" fieldPosition="0">
        <references count="4">
          <reference field="0" count="1" selected="0">
            <x v="8"/>
          </reference>
          <reference field="1" count="1" selected="0">
            <x v="0"/>
          </reference>
          <reference field="3" count="1" selected="0">
            <x v="7"/>
          </reference>
          <reference field="4" count="1">
            <x v="14"/>
          </reference>
        </references>
      </pivotArea>
    </format>
    <format dxfId="366">
      <pivotArea dataOnly="0" labelOnly="1" outline="0" fieldPosition="0">
        <references count="4">
          <reference field="0" count="1" selected="0">
            <x v="9"/>
          </reference>
          <reference field="1" count="1" selected="0">
            <x v="0"/>
          </reference>
          <reference field="3" count="1" selected="0">
            <x v="7"/>
          </reference>
          <reference field="4" count="1">
            <x v="54"/>
          </reference>
        </references>
      </pivotArea>
    </format>
    <format dxfId="365">
      <pivotArea dataOnly="0" labelOnly="1" outline="0" fieldPosition="0">
        <references count="4">
          <reference field="0" count="1" selected="0">
            <x v="10"/>
          </reference>
          <reference field="1" count="1" selected="0">
            <x v="0"/>
          </reference>
          <reference field="3" count="1" selected="0">
            <x v="7"/>
          </reference>
          <reference field="4" count="1">
            <x v="35"/>
          </reference>
        </references>
      </pivotArea>
    </format>
    <format dxfId="364">
      <pivotArea dataOnly="0" labelOnly="1" outline="0" fieldPosition="0">
        <references count="4">
          <reference field="0" count="1" selected="0">
            <x v="11"/>
          </reference>
          <reference field="1" count="1" selected="0">
            <x v="0"/>
          </reference>
          <reference field="3" count="1" selected="0">
            <x v="7"/>
          </reference>
          <reference field="4" count="1">
            <x v="34"/>
          </reference>
        </references>
      </pivotArea>
    </format>
    <format dxfId="363">
      <pivotArea dataOnly="0" labelOnly="1" outline="0" fieldPosition="0">
        <references count="4">
          <reference field="0" count="1" selected="0">
            <x v="12"/>
          </reference>
          <reference field="1" count="1" selected="0">
            <x v="0"/>
          </reference>
          <reference field="3" count="1" selected="0">
            <x v="7"/>
          </reference>
          <reference field="4" count="1">
            <x v="60"/>
          </reference>
        </references>
      </pivotArea>
    </format>
    <format dxfId="362">
      <pivotArea dataOnly="0" labelOnly="1" outline="0" fieldPosition="0">
        <references count="4">
          <reference field="0" count="1" selected="0">
            <x v="14"/>
          </reference>
          <reference field="1" count="1" selected="0">
            <x v="0"/>
          </reference>
          <reference field="3" count="1" selected="0">
            <x v="7"/>
          </reference>
          <reference field="4" count="1">
            <x v="38"/>
          </reference>
        </references>
      </pivotArea>
    </format>
    <format dxfId="361">
      <pivotArea dataOnly="0" labelOnly="1" outline="0" fieldPosition="0">
        <references count="4">
          <reference field="0" count="1" selected="0">
            <x v="15"/>
          </reference>
          <reference field="1" count="1" selected="0">
            <x v="0"/>
          </reference>
          <reference field="3" count="1" selected="0">
            <x v="7"/>
          </reference>
          <reference field="4" count="1">
            <x v="7"/>
          </reference>
        </references>
      </pivotArea>
    </format>
    <format dxfId="360">
      <pivotArea dataOnly="0" labelOnly="1" outline="0" fieldPosition="0">
        <references count="4">
          <reference field="0" count="1" selected="0">
            <x v="16"/>
          </reference>
          <reference field="1" count="1" selected="0">
            <x v="0"/>
          </reference>
          <reference field="3" count="1" selected="0">
            <x v="7"/>
          </reference>
          <reference field="4" count="1">
            <x v="13"/>
          </reference>
        </references>
      </pivotArea>
    </format>
    <format dxfId="359">
      <pivotArea dataOnly="0" labelOnly="1" outline="0" fieldPosition="0">
        <references count="4">
          <reference field="0" count="1" selected="0">
            <x v="5"/>
          </reference>
          <reference field="1" count="1" selected="0">
            <x v="1"/>
          </reference>
          <reference field="3" count="1" selected="0">
            <x v="7"/>
          </reference>
          <reference field="4" count="1">
            <x v="0"/>
          </reference>
        </references>
      </pivotArea>
    </format>
    <format dxfId="358">
      <pivotArea dataOnly="0" labelOnly="1" outline="0" fieldPosition="0">
        <references count="4">
          <reference field="0" count="1" selected="0">
            <x v="7"/>
          </reference>
          <reference field="1" count="1" selected="0">
            <x v="1"/>
          </reference>
          <reference field="3" count="1" selected="0">
            <x v="7"/>
          </reference>
          <reference field="4" count="1">
            <x v="6"/>
          </reference>
        </references>
      </pivotArea>
    </format>
    <format dxfId="357">
      <pivotArea dataOnly="0" labelOnly="1" outline="0" fieldPosition="0">
        <references count="4">
          <reference field="0" count="1" selected="0">
            <x v="13"/>
          </reference>
          <reference field="1" count="1" selected="0">
            <x v="1"/>
          </reference>
          <reference field="3" count="1" selected="0">
            <x v="7"/>
          </reference>
          <reference field="4" count="1">
            <x v="24"/>
          </reference>
        </references>
      </pivotArea>
    </format>
    <format dxfId="356">
      <pivotArea dataOnly="0" labelOnly="1" outline="0" fieldPosition="0">
        <references count="4">
          <reference field="0" count="1" selected="0">
            <x v="0"/>
          </reference>
          <reference field="1" count="1" selected="0">
            <x v="0"/>
          </reference>
          <reference field="3" count="1" selected="0">
            <x v="8"/>
          </reference>
          <reference field="4" count="1">
            <x v="47"/>
          </reference>
        </references>
      </pivotArea>
    </format>
    <format dxfId="355">
      <pivotArea dataOnly="0" labelOnly="1" outline="0" fieldPosition="0">
        <references count="4">
          <reference field="0" count="1" selected="0">
            <x v="1"/>
          </reference>
          <reference field="1" count="1" selected="0">
            <x v="0"/>
          </reference>
          <reference field="3" count="1" selected="0">
            <x v="8"/>
          </reference>
          <reference field="4" count="1">
            <x v="77"/>
          </reference>
        </references>
      </pivotArea>
    </format>
    <format dxfId="354">
      <pivotArea dataOnly="0" labelOnly="1" outline="0" fieldPosition="0">
        <references count="4">
          <reference field="0" count="1" selected="0">
            <x v="2"/>
          </reference>
          <reference field="1" count="1" selected="0">
            <x v="0"/>
          </reference>
          <reference field="3" count="1" selected="0">
            <x v="8"/>
          </reference>
          <reference field="4" count="1">
            <x v="0"/>
          </reference>
        </references>
      </pivotArea>
    </format>
    <format dxfId="353">
      <pivotArea dataOnly="0" labelOnly="1" outline="0" fieldPosition="0">
        <references count="4">
          <reference field="0" count="1" selected="0">
            <x v="3"/>
          </reference>
          <reference field="1" count="1" selected="0">
            <x v="0"/>
          </reference>
          <reference field="3" count="1" selected="0">
            <x v="8"/>
          </reference>
          <reference field="4" count="1">
            <x v="23"/>
          </reference>
        </references>
      </pivotArea>
    </format>
    <format dxfId="352">
      <pivotArea dataOnly="0" labelOnly="1" outline="0" fieldPosition="0">
        <references count="4">
          <reference field="0" count="1" selected="0">
            <x v="4"/>
          </reference>
          <reference field="1" count="1" selected="0">
            <x v="0"/>
          </reference>
          <reference field="3" count="1" selected="0">
            <x v="8"/>
          </reference>
          <reference field="4" count="1">
            <x v="1"/>
          </reference>
        </references>
      </pivotArea>
    </format>
    <format dxfId="351">
      <pivotArea dataOnly="0" labelOnly="1" outline="0" fieldPosition="0">
        <references count="4">
          <reference field="0" count="1" selected="0">
            <x v="6"/>
          </reference>
          <reference field="1" count="1" selected="0">
            <x v="0"/>
          </reference>
          <reference field="3" count="1" selected="0">
            <x v="8"/>
          </reference>
          <reference field="4" count="1">
            <x v="66"/>
          </reference>
        </references>
      </pivotArea>
    </format>
    <format dxfId="350">
      <pivotArea dataOnly="0" labelOnly="1" outline="0" fieldPosition="0">
        <references count="4">
          <reference field="0" count="1" selected="0">
            <x v="8"/>
          </reference>
          <reference field="1" count="1" selected="0">
            <x v="0"/>
          </reference>
          <reference field="3" count="1" selected="0">
            <x v="8"/>
          </reference>
          <reference field="4" count="1">
            <x v="14"/>
          </reference>
        </references>
      </pivotArea>
    </format>
    <format dxfId="349">
      <pivotArea dataOnly="0" labelOnly="1" outline="0" fieldPosition="0">
        <references count="4">
          <reference field="0" count="1" selected="0">
            <x v="9"/>
          </reference>
          <reference field="1" count="1" selected="0">
            <x v="0"/>
          </reference>
          <reference field="3" count="1" selected="0">
            <x v="8"/>
          </reference>
          <reference field="4" count="1">
            <x v="54"/>
          </reference>
        </references>
      </pivotArea>
    </format>
    <format dxfId="348">
      <pivotArea dataOnly="0" labelOnly="1" outline="0" fieldPosition="0">
        <references count="4">
          <reference field="0" count="1" selected="0">
            <x v="10"/>
          </reference>
          <reference field="1" count="1" selected="0">
            <x v="0"/>
          </reference>
          <reference field="3" count="1" selected="0">
            <x v="8"/>
          </reference>
          <reference field="4" count="1">
            <x v="35"/>
          </reference>
        </references>
      </pivotArea>
    </format>
    <format dxfId="347">
      <pivotArea dataOnly="0" labelOnly="1" outline="0" fieldPosition="0">
        <references count="4">
          <reference field="0" count="1" selected="0">
            <x v="11"/>
          </reference>
          <reference field="1" count="1" selected="0">
            <x v="0"/>
          </reference>
          <reference field="3" count="1" selected="0">
            <x v="8"/>
          </reference>
          <reference field="4" count="1">
            <x v="34"/>
          </reference>
        </references>
      </pivotArea>
    </format>
    <format dxfId="346">
      <pivotArea dataOnly="0" labelOnly="1" outline="0" fieldPosition="0">
        <references count="4">
          <reference field="0" count="1" selected="0">
            <x v="12"/>
          </reference>
          <reference field="1" count="1" selected="0">
            <x v="0"/>
          </reference>
          <reference field="3" count="1" selected="0">
            <x v="8"/>
          </reference>
          <reference field="4" count="1">
            <x v="60"/>
          </reference>
        </references>
      </pivotArea>
    </format>
    <format dxfId="345">
      <pivotArea dataOnly="0" labelOnly="1" outline="0" fieldPosition="0">
        <references count="4">
          <reference field="0" count="1" selected="0">
            <x v="14"/>
          </reference>
          <reference field="1" count="1" selected="0">
            <x v="0"/>
          </reference>
          <reference field="3" count="1" selected="0">
            <x v="8"/>
          </reference>
          <reference field="4" count="1">
            <x v="38"/>
          </reference>
        </references>
      </pivotArea>
    </format>
    <format dxfId="344">
      <pivotArea dataOnly="0" labelOnly="1" outline="0" fieldPosition="0">
        <references count="4">
          <reference field="0" count="1" selected="0">
            <x v="15"/>
          </reference>
          <reference field="1" count="1" selected="0">
            <x v="0"/>
          </reference>
          <reference field="3" count="1" selected="0">
            <x v="8"/>
          </reference>
          <reference field="4" count="1">
            <x v="7"/>
          </reference>
        </references>
      </pivotArea>
    </format>
    <format dxfId="343">
      <pivotArea dataOnly="0" labelOnly="1" outline="0" fieldPosition="0">
        <references count="4">
          <reference field="0" count="1" selected="0">
            <x v="16"/>
          </reference>
          <reference field="1" count="1" selected="0">
            <x v="0"/>
          </reference>
          <reference field="3" count="1" selected="0">
            <x v="8"/>
          </reference>
          <reference field="4" count="1">
            <x v="13"/>
          </reference>
        </references>
      </pivotArea>
    </format>
    <format dxfId="342">
      <pivotArea dataOnly="0" labelOnly="1" outline="0" fieldPosition="0">
        <references count="4">
          <reference field="0" count="1" selected="0">
            <x v="5"/>
          </reference>
          <reference field="1" count="1" selected="0">
            <x v="1"/>
          </reference>
          <reference field="3" count="1" selected="0">
            <x v="8"/>
          </reference>
          <reference field="4" count="1">
            <x v="0"/>
          </reference>
        </references>
      </pivotArea>
    </format>
    <format dxfId="341">
      <pivotArea dataOnly="0" labelOnly="1" outline="0" fieldPosition="0">
        <references count="4">
          <reference field="0" count="1" selected="0">
            <x v="7"/>
          </reference>
          <reference field="1" count="1" selected="0">
            <x v="1"/>
          </reference>
          <reference field="3" count="1" selected="0">
            <x v="8"/>
          </reference>
          <reference field="4" count="1">
            <x v="6"/>
          </reference>
        </references>
      </pivotArea>
    </format>
    <format dxfId="340">
      <pivotArea dataOnly="0" labelOnly="1" outline="0" fieldPosition="0">
        <references count="4">
          <reference field="0" count="1" selected="0">
            <x v="13"/>
          </reference>
          <reference field="1" count="1" selected="0">
            <x v="1"/>
          </reference>
          <reference field="3" count="1" selected="0">
            <x v="8"/>
          </reference>
          <reference field="4" count="1">
            <x v="24"/>
          </reference>
        </references>
      </pivotArea>
    </format>
    <format dxfId="339">
      <pivotArea dataOnly="0" labelOnly="1" outline="0" fieldPosition="0">
        <references count="4">
          <reference field="0" count="1" selected="0">
            <x v="0"/>
          </reference>
          <reference field="1" count="1" selected="0">
            <x v="0"/>
          </reference>
          <reference field="3" count="1" selected="0">
            <x v="9"/>
          </reference>
          <reference field="4" count="1">
            <x v="47"/>
          </reference>
        </references>
      </pivotArea>
    </format>
    <format dxfId="338">
      <pivotArea dataOnly="0" labelOnly="1" outline="0" fieldPosition="0">
        <references count="4">
          <reference field="0" count="1" selected="0">
            <x v="1"/>
          </reference>
          <reference field="1" count="1" selected="0">
            <x v="0"/>
          </reference>
          <reference field="3" count="1" selected="0">
            <x v="9"/>
          </reference>
          <reference field="4" count="1">
            <x v="77"/>
          </reference>
        </references>
      </pivotArea>
    </format>
    <format dxfId="337">
      <pivotArea dataOnly="0" labelOnly="1" outline="0" fieldPosition="0">
        <references count="4">
          <reference field="0" count="1" selected="0">
            <x v="2"/>
          </reference>
          <reference field="1" count="1" selected="0">
            <x v="0"/>
          </reference>
          <reference field="3" count="1" selected="0">
            <x v="9"/>
          </reference>
          <reference field="4" count="1">
            <x v="0"/>
          </reference>
        </references>
      </pivotArea>
    </format>
    <format dxfId="336">
      <pivotArea dataOnly="0" labelOnly="1" outline="0" fieldPosition="0">
        <references count="4">
          <reference field="0" count="1" selected="0">
            <x v="3"/>
          </reference>
          <reference field="1" count="1" selected="0">
            <x v="0"/>
          </reference>
          <reference field="3" count="1" selected="0">
            <x v="9"/>
          </reference>
          <reference field="4" count="1">
            <x v="23"/>
          </reference>
        </references>
      </pivotArea>
    </format>
    <format dxfId="335">
      <pivotArea dataOnly="0" labelOnly="1" outline="0" fieldPosition="0">
        <references count="4">
          <reference field="0" count="1" selected="0">
            <x v="4"/>
          </reference>
          <reference field="1" count="1" selected="0">
            <x v="0"/>
          </reference>
          <reference field="3" count="1" selected="0">
            <x v="9"/>
          </reference>
          <reference field="4" count="1">
            <x v="1"/>
          </reference>
        </references>
      </pivotArea>
    </format>
    <format dxfId="334">
      <pivotArea dataOnly="0" labelOnly="1" outline="0" fieldPosition="0">
        <references count="4">
          <reference field="0" count="1" selected="0">
            <x v="6"/>
          </reference>
          <reference field="1" count="1" selected="0">
            <x v="0"/>
          </reference>
          <reference field="3" count="1" selected="0">
            <x v="9"/>
          </reference>
          <reference field="4" count="1">
            <x v="66"/>
          </reference>
        </references>
      </pivotArea>
    </format>
    <format dxfId="333">
      <pivotArea dataOnly="0" labelOnly="1" outline="0" fieldPosition="0">
        <references count="4">
          <reference field="0" count="1" selected="0">
            <x v="8"/>
          </reference>
          <reference field="1" count="1" selected="0">
            <x v="0"/>
          </reference>
          <reference field="3" count="1" selected="0">
            <x v="9"/>
          </reference>
          <reference field="4" count="1">
            <x v="14"/>
          </reference>
        </references>
      </pivotArea>
    </format>
    <format dxfId="332">
      <pivotArea dataOnly="0" labelOnly="1" outline="0" fieldPosition="0">
        <references count="4">
          <reference field="0" count="1" selected="0">
            <x v="9"/>
          </reference>
          <reference field="1" count="1" selected="0">
            <x v="0"/>
          </reference>
          <reference field="3" count="1" selected="0">
            <x v="9"/>
          </reference>
          <reference field="4" count="1">
            <x v="54"/>
          </reference>
        </references>
      </pivotArea>
    </format>
    <format dxfId="331">
      <pivotArea dataOnly="0" labelOnly="1" outline="0" fieldPosition="0">
        <references count="4">
          <reference field="0" count="1" selected="0">
            <x v="10"/>
          </reference>
          <reference field="1" count="1" selected="0">
            <x v="0"/>
          </reference>
          <reference field="3" count="1" selected="0">
            <x v="9"/>
          </reference>
          <reference field="4" count="1">
            <x v="35"/>
          </reference>
        </references>
      </pivotArea>
    </format>
    <format dxfId="330">
      <pivotArea dataOnly="0" labelOnly="1" outline="0" fieldPosition="0">
        <references count="4">
          <reference field="0" count="1" selected="0">
            <x v="11"/>
          </reference>
          <reference field="1" count="1" selected="0">
            <x v="0"/>
          </reference>
          <reference field="3" count="1" selected="0">
            <x v="9"/>
          </reference>
          <reference field="4" count="1">
            <x v="34"/>
          </reference>
        </references>
      </pivotArea>
    </format>
    <format dxfId="329">
      <pivotArea dataOnly="0" labelOnly="1" outline="0" fieldPosition="0">
        <references count="4">
          <reference field="0" count="1" selected="0">
            <x v="12"/>
          </reference>
          <reference field="1" count="1" selected="0">
            <x v="0"/>
          </reference>
          <reference field="3" count="1" selected="0">
            <x v="9"/>
          </reference>
          <reference field="4" count="1">
            <x v="60"/>
          </reference>
        </references>
      </pivotArea>
    </format>
    <format dxfId="328">
      <pivotArea dataOnly="0" labelOnly="1" outline="0" fieldPosition="0">
        <references count="4">
          <reference field="0" count="1" selected="0">
            <x v="14"/>
          </reference>
          <reference field="1" count="1" selected="0">
            <x v="0"/>
          </reference>
          <reference field="3" count="1" selected="0">
            <x v="9"/>
          </reference>
          <reference field="4" count="1">
            <x v="38"/>
          </reference>
        </references>
      </pivotArea>
    </format>
    <format dxfId="327">
      <pivotArea dataOnly="0" labelOnly="1" outline="0" fieldPosition="0">
        <references count="4">
          <reference field="0" count="1" selected="0">
            <x v="15"/>
          </reference>
          <reference field="1" count="1" selected="0">
            <x v="0"/>
          </reference>
          <reference field="3" count="1" selected="0">
            <x v="9"/>
          </reference>
          <reference field="4" count="1">
            <x v="7"/>
          </reference>
        </references>
      </pivotArea>
    </format>
    <format dxfId="326">
      <pivotArea dataOnly="0" labelOnly="1" outline="0" fieldPosition="0">
        <references count="4">
          <reference field="0" count="1" selected="0">
            <x v="16"/>
          </reference>
          <reference field="1" count="1" selected="0">
            <x v="0"/>
          </reference>
          <reference field="3" count="1" selected="0">
            <x v="9"/>
          </reference>
          <reference field="4" count="1">
            <x v="13"/>
          </reference>
        </references>
      </pivotArea>
    </format>
    <format dxfId="325">
      <pivotArea dataOnly="0" labelOnly="1" outline="0" fieldPosition="0">
        <references count="4">
          <reference field="0" count="1" selected="0">
            <x v="5"/>
          </reference>
          <reference field="1" count="1" selected="0">
            <x v="1"/>
          </reference>
          <reference field="3" count="1" selected="0">
            <x v="9"/>
          </reference>
          <reference field="4" count="1">
            <x v="0"/>
          </reference>
        </references>
      </pivotArea>
    </format>
    <format dxfId="324">
      <pivotArea dataOnly="0" labelOnly="1" outline="0" fieldPosition="0">
        <references count="4">
          <reference field="0" count="1" selected="0">
            <x v="7"/>
          </reference>
          <reference field="1" count="1" selected="0">
            <x v="1"/>
          </reference>
          <reference field="3" count="1" selected="0">
            <x v="9"/>
          </reference>
          <reference field="4" count="1">
            <x v="6"/>
          </reference>
        </references>
      </pivotArea>
    </format>
    <format dxfId="323">
      <pivotArea dataOnly="0" labelOnly="1" outline="0" fieldPosition="0">
        <references count="4">
          <reference field="0" count="1" selected="0">
            <x v="13"/>
          </reference>
          <reference field="1" count="1" selected="0">
            <x v="1"/>
          </reference>
          <reference field="3" count="1" selected="0">
            <x v="9"/>
          </reference>
          <reference field="4" count="1">
            <x v="24"/>
          </reference>
        </references>
      </pivotArea>
    </format>
    <format dxfId="322">
      <pivotArea dataOnly="0" labelOnly="1" outline="0" fieldPosition="0">
        <references count="4">
          <reference field="0" count="1" selected="0">
            <x v="0"/>
          </reference>
          <reference field="1" count="1" selected="0">
            <x v="0"/>
          </reference>
          <reference field="3" count="1" selected="0">
            <x v="10"/>
          </reference>
          <reference field="4" count="1">
            <x v="47"/>
          </reference>
        </references>
      </pivotArea>
    </format>
    <format dxfId="321">
      <pivotArea dataOnly="0" labelOnly="1" outline="0" fieldPosition="0">
        <references count="4">
          <reference field="0" count="1" selected="0">
            <x v="1"/>
          </reference>
          <reference field="1" count="1" selected="0">
            <x v="0"/>
          </reference>
          <reference field="3" count="1" selected="0">
            <x v="10"/>
          </reference>
          <reference field="4" count="1">
            <x v="77"/>
          </reference>
        </references>
      </pivotArea>
    </format>
    <format dxfId="320">
      <pivotArea dataOnly="0" labelOnly="1" outline="0" fieldPosition="0">
        <references count="4">
          <reference field="0" count="1" selected="0">
            <x v="2"/>
          </reference>
          <reference field="1" count="1" selected="0">
            <x v="0"/>
          </reference>
          <reference field="3" count="1" selected="0">
            <x v="10"/>
          </reference>
          <reference field="4" count="1">
            <x v="0"/>
          </reference>
        </references>
      </pivotArea>
    </format>
    <format dxfId="319">
      <pivotArea dataOnly="0" labelOnly="1" outline="0" fieldPosition="0">
        <references count="4">
          <reference field="0" count="1" selected="0">
            <x v="3"/>
          </reference>
          <reference field="1" count="1" selected="0">
            <x v="0"/>
          </reference>
          <reference field="3" count="1" selected="0">
            <x v="10"/>
          </reference>
          <reference field="4" count="1">
            <x v="23"/>
          </reference>
        </references>
      </pivotArea>
    </format>
    <format dxfId="318">
      <pivotArea dataOnly="0" labelOnly="1" outline="0" fieldPosition="0">
        <references count="4">
          <reference field="0" count="1" selected="0">
            <x v="4"/>
          </reference>
          <reference field="1" count="1" selected="0">
            <x v="0"/>
          </reference>
          <reference field="3" count="1" selected="0">
            <x v="10"/>
          </reference>
          <reference field="4" count="1">
            <x v="1"/>
          </reference>
        </references>
      </pivotArea>
    </format>
    <format dxfId="317">
      <pivotArea dataOnly="0" labelOnly="1" outline="0" fieldPosition="0">
        <references count="4">
          <reference field="0" count="1" selected="0">
            <x v="6"/>
          </reference>
          <reference field="1" count="1" selected="0">
            <x v="0"/>
          </reference>
          <reference field="3" count="1" selected="0">
            <x v="10"/>
          </reference>
          <reference field="4" count="1">
            <x v="66"/>
          </reference>
        </references>
      </pivotArea>
    </format>
    <format dxfId="316">
      <pivotArea dataOnly="0" labelOnly="1" outline="0" fieldPosition="0">
        <references count="4">
          <reference field="0" count="1" selected="0">
            <x v="8"/>
          </reference>
          <reference field="1" count="1" selected="0">
            <x v="0"/>
          </reference>
          <reference field="3" count="1" selected="0">
            <x v="10"/>
          </reference>
          <reference field="4" count="1">
            <x v="14"/>
          </reference>
        </references>
      </pivotArea>
    </format>
    <format dxfId="315">
      <pivotArea dataOnly="0" labelOnly="1" outline="0" fieldPosition="0">
        <references count="4">
          <reference field="0" count="1" selected="0">
            <x v="9"/>
          </reference>
          <reference field="1" count="1" selected="0">
            <x v="0"/>
          </reference>
          <reference field="3" count="1" selected="0">
            <x v="10"/>
          </reference>
          <reference field="4" count="1">
            <x v="54"/>
          </reference>
        </references>
      </pivotArea>
    </format>
    <format dxfId="314">
      <pivotArea dataOnly="0" labelOnly="1" outline="0" fieldPosition="0">
        <references count="4">
          <reference field="0" count="1" selected="0">
            <x v="10"/>
          </reference>
          <reference field="1" count="1" selected="0">
            <x v="0"/>
          </reference>
          <reference field="3" count="1" selected="0">
            <x v="10"/>
          </reference>
          <reference field="4" count="1">
            <x v="35"/>
          </reference>
        </references>
      </pivotArea>
    </format>
    <format dxfId="313">
      <pivotArea dataOnly="0" labelOnly="1" outline="0" fieldPosition="0">
        <references count="4">
          <reference field="0" count="1" selected="0">
            <x v="11"/>
          </reference>
          <reference field="1" count="1" selected="0">
            <x v="0"/>
          </reference>
          <reference field="3" count="1" selected="0">
            <x v="10"/>
          </reference>
          <reference field="4" count="1">
            <x v="34"/>
          </reference>
        </references>
      </pivotArea>
    </format>
    <format dxfId="312">
      <pivotArea dataOnly="0" labelOnly="1" outline="0" fieldPosition="0">
        <references count="4">
          <reference field="0" count="1" selected="0">
            <x v="12"/>
          </reference>
          <reference field="1" count="1" selected="0">
            <x v="0"/>
          </reference>
          <reference field="3" count="1" selected="0">
            <x v="10"/>
          </reference>
          <reference field="4" count="1">
            <x v="60"/>
          </reference>
        </references>
      </pivotArea>
    </format>
    <format dxfId="311">
      <pivotArea dataOnly="0" labelOnly="1" outline="0" fieldPosition="0">
        <references count="4">
          <reference field="0" count="1" selected="0">
            <x v="14"/>
          </reference>
          <reference field="1" count="1" selected="0">
            <x v="0"/>
          </reference>
          <reference field="3" count="1" selected="0">
            <x v="10"/>
          </reference>
          <reference field="4" count="1">
            <x v="38"/>
          </reference>
        </references>
      </pivotArea>
    </format>
    <format dxfId="310">
      <pivotArea dataOnly="0" labelOnly="1" outline="0" fieldPosition="0">
        <references count="4">
          <reference field="0" count="1" selected="0">
            <x v="15"/>
          </reference>
          <reference field="1" count="1" selected="0">
            <x v="0"/>
          </reference>
          <reference field="3" count="1" selected="0">
            <x v="10"/>
          </reference>
          <reference field="4" count="1">
            <x v="7"/>
          </reference>
        </references>
      </pivotArea>
    </format>
    <format dxfId="309">
      <pivotArea dataOnly="0" labelOnly="1" outline="0" fieldPosition="0">
        <references count="4">
          <reference field="0" count="1" selected="0">
            <x v="16"/>
          </reference>
          <reference field="1" count="1" selected="0">
            <x v="0"/>
          </reference>
          <reference field="3" count="1" selected="0">
            <x v="10"/>
          </reference>
          <reference field="4" count="1">
            <x v="13"/>
          </reference>
        </references>
      </pivotArea>
    </format>
    <format dxfId="308">
      <pivotArea dataOnly="0" labelOnly="1" outline="0" fieldPosition="0">
        <references count="4">
          <reference field="0" count="1" selected="0">
            <x v="5"/>
          </reference>
          <reference field="1" count="1" selected="0">
            <x v="1"/>
          </reference>
          <reference field="3" count="1" selected="0">
            <x v="10"/>
          </reference>
          <reference field="4" count="1">
            <x v="0"/>
          </reference>
        </references>
      </pivotArea>
    </format>
    <format dxfId="307">
      <pivotArea dataOnly="0" labelOnly="1" outline="0" fieldPosition="0">
        <references count="4">
          <reference field="0" count="1" selected="0">
            <x v="7"/>
          </reference>
          <reference field="1" count="1" selected="0">
            <x v="1"/>
          </reference>
          <reference field="3" count="1" selected="0">
            <x v="10"/>
          </reference>
          <reference field="4" count="1">
            <x v="6"/>
          </reference>
        </references>
      </pivotArea>
    </format>
    <format dxfId="306">
      <pivotArea dataOnly="0" labelOnly="1" outline="0" fieldPosition="0">
        <references count="4">
          <reference field="0" count="1" selected="0">
            <x v="13"/>
          </reference>
          <reference field="1" count="1" selected="0">
            <x v="1"/>
          </reference>
          <reference field="3" count="1" selected="0">
            <x v="10"/>
          </reference>
          <reference field="4" count="1">
            <x v="24"/>
          </reference>
        </references>
      </pivotArea>
    </format>
    <format dxfId="305">
      <pivotArea dataOnly="0" labelOnly="1" outline="0" fieldPosition="0">
        <references count="4">
          <reference field="0" count="1" selected="0">
            <x v="0"/>
          </reference>
          <reference field="1" count="1" selected="0">
            <x v="0"/>
          </reference>
          <reference field="3" count="1" selected="0">
            <x v="11"/>
          </reference>
          <reference field="4" count="1">
            <x v="47"/>
          </reference>
        </references>
      </pivotArea>
    </format>
    <format dxfId="304">
      <pivotArea dataOnly="0" labelOnly="1" outline="0" fieldPosition="0">
        <references count="4">
          <reference field="0" count="1" selected="0">
            <x v="1"/>
          </reference>
          <reference field="1" count="1" selected="0">
            <x v="0"/>
          </reference>
          <reference field="3" count="1" selected="0">
            <x v="11"/>
          </reference>
          <reference field="4" count="1">
            <x v="77"/>
          </reference>
        </references>
      </pivotArea>
    </format>
    <format dxfId="303">
      <pivotArea dataOnly="0" labelOnly="1" outline="0" fieldPosition="0">
        <references count="4">
          <reference field="0" count="1" selected="0">
            <x v="2"/>
          </reference>
          <reference field="1" count="1" selected="0">
            <x v="0"/>
          </reference>
          <reference field="3" count="1" selected="0">
            <x v="11"/>
          </reference>
          <reference field="4" count="1">
            <x v="0"/>
          </reference>
        </references>
      </pivotArea>
    </format>
    <format dxfId="302">
      <pivotArea dataOnly="0" labelOnly="1" outline="0" fieldPosition="0">
        <references count="4">
          <reference field="0" count="1" selected="0">
            <x v="3"/>
          </reference>
          <reference field="1" count="1" selected="0">
            <x v="0"/>
          </reference>
          <reference field="3" count="1" selected="0">
            <x v="11"/>
          </reference>
          <reference field="4" count="1">
            <x v="23"/>
          </reference>
        </references>
      </pivotArea>
    </format>
    <format dxfId="301">
      <pivotArea dataOnly="0" labelOnly="1" outline="0" fieldPosition="0">
        <references count="4">
          <reference field="0" count="1" selected="0">
            <x v="4"/>
          </reference>
          <reference field="1" count="1" selected="0">
            <x v="0"/>
          </reference>
          <reference field="3" count="1" selected="0">
            <x v="11"/>
          </reference>
          <reference field="4" count="1">
            <x v="1"/>
          </reference>
        </references>
      </pivotArea>
    </format>
    <format dxfId="300">
      <pivotArea dataOnly="0" labelOnly="1" outline="0" fieldPosition="0">
        <references count="4">
          <reference field="0" count="1" selected="0">
            <x v="6"/>
          </reference>
          <reference field="1" count="1" selected="0">
            <x v="0"/>
          </reference>
          <reference field="3" count="1" selected="0">
            <x v="11"/>
          </reference>
          <reference field="4" count="1">
            <x v="66"/>
          </reference>
        </references>
      </pivotArea>
    </format>
    <format dxfId="299">
      <pivotArea dataOnly="0" labelOnly="1" outline="0" fieldPosition="0">
        <references count="4">
          <reference field="0" count="1" selected="0">
            <x v="8"/>
          </reference>
          <reference field="1" count="1" selected="0">
            <x v="0"/>
          </reference>
          <reference field="3" count="1" selected="0">
            <x v="11"/>
          </reference>
          <reference field="4" count="1">
            <x v="14"/>
          </reference>
        </references>
      </pivotArea>
    </format>
    <format dxfId="298">
      <pivotArea dataOnly="0" labelOnly="1" outline="0" fieldPosition="0">
        <references count="4">
          <reference field="0" count="1" selected="0">
            <x v="9"/>
          </reference>
          <reference field="1" count="1" selected="0">
            <x v="0"/>
          </reference>
          <reference field="3" count="1" selected="0">
            <x v="11"/>
          </reference>
          <reference field="4" count="1">
            <x v="54"/>
          </reference>
        </references>
      </pivotArea>
    </format>
    <format dxfId="297">
      <pivotArea dataOnly="0" labelOnly="1" outline="0" fieldPosition="0">
        <references count="4">
          <reference field="0" count="1" selected="0">
            <x v="10"/>
          </reference>
          <reference field="1" count="1" selected="0">
            <x v="0"/>
          </reference>
          <reference field="3" count="1" selected="0">
            <x v="11"/>
          </reference>
          <reference field="4" count="1">
            <x v="35"/>
          </reference>
        </references>
      </pivotArea>
    </format>
    <format dxfId="296">
      <pivotArea dataOnly="0" labelOnly="1" outline="0" fieldPosition="0">
        <references count="4">
          <reference field="0" count="1" selected="0">
            <x v="11"/>
          </reference>
          <reference field="1" count="1" selected="0">
            <x v="0"/>
          </reference>
          <reference field="3" count="1" selected="0">
            <x v="11"/>
          </reference>
          <reference field="4" count="1">
            <x v="34"/>
          </reference>
        </references>
      </pivotArea>
    </format>
    <format dxfId="295">
      <pivotArea dataOnly="0" labelOnly="1" outline="0" fieldPosition="0">
        <references count="4">
          <reference field="0" count="1" selected="0">
            <x v="12"/>
          </reference>
          <reference field="1" count="1" selected="0">
            <x v="0"/>
          </reference>
          <reference field="3" count="1" selected="0">
            <x v="11"/>
          </reference>
          <reference field="4" count="1">
            <x v="60"/>
          </reference>
        </references>
      </pivotArea>
    </format>
    <format dxfId="294">
      <pivotArea dataOnly="0" labelOnly="1" outline="0" fieldPosition="0">
        <references count="4">
          <reference field="0" count="1" selected="0">
            <x v="14"/>
          </reference>
          <reference field="1" count="1" selected="0">
            <x v="0"/>
          </reference>
          <reference field="3" count="1" selected="0">
            <x v="11"/>
          </reference>
          <reference field="4" count="1">
            <x v="38"/>
          </reference>
        </references>
      </pivotArea>
    </format>
    <format dxfId="293">
      <pivotArea dataOnly="0" labelOnly="1" outline="0" fieldPosition="0">
        <references count="4">
          <reference field="0" count="1" selected="0">
            <x v="15"/>
          </reference>
          <reference field="1" count="1" selected="0">
            <x v="0"/>
          </reference>
          <reference field="3" count="1" selected="0">
            <x v="11"/>
          </reference>
          <reference field="4" count="1">
            <x v="7"/>
          </reference>
        </references>
      </pivotArea>
    </format>
    <format dxfId="292">
      <pivotArea dataOnly="0" labelOnly="1" outline="0" fieldPosition="0">
        <references count="4">
          <reference field="0" count="1" selected="0">
            <x v="16"/>
          </reference>
          <reference field="1" count="1" selected="0">
            <x v="0"/>
          </reference>
          <reference field="3" count="1" selected="0">
            <x v="11"/>
          </reference>
          <reference field="4" count="1">
            <x v="13"/>
          </reference>
        </references>
      </pivotArea>
    </format>
    <format dxfId="291">
      <pivotArea dataOnly="0" labelOnly="1" outline="0" fieldPosition="0">
        <references count="4">
          <reference field="0" count="1" selected="0">
            <x v="5"/>
          </reference>
          <reference field="1" count="1" selected="0">
            <x v="1"/>
          </reference>
          <reference field="3" count="1" selected="0">
            <x v="11"/>
          </reference>
          <reference field="4" count="1">
            <x v="0"/>
          </reference>
        </references>
      </pivotArea>
    </format>
    <format dxfId="290">
      <pivotArea dataOnly="0" labelOnly="1" outline="0" fieldPosition="0">
        <references count="4">
          <reference field="0" count="1" selected="0">
            <x v="7"/>
          </reference>
          <reference field="1" count="1" selected="0">
            <x v="1"/>
          </reference>
          <reference field="3" count="1" selected="0">
            <x v="11"/>
          </reference>
          <reference field="4" count="1">
            <x v="6"/>
          </reference>
        </references>
      </pivotArea>
    </format>
    <format dxfId="289">
      <pivotArea dataOnly="0" labelOnly="1" outline="0" fieldPosition="0">
        <references count="4">
          <reference field="0" count="1" selected="0">
            <x v="13"/>
          </reference>
          <reference field="1" count="1" selected="0">
            <x v="1"/>
          </reference>
          <reference field="3" count="1" selected="0">
            <x v="11"/>
          </reference>
          <reference field="4" count="1">
            <x v="24"/>
          </reference>
        </references>
      </pivotArea>
    </format>
    <format dxfId="288">
      <pivotArea dataOnly="0" labelOnly="1" outline="0" fieldPosition="0">
        <references count="4">
          <reference field="0" count="1" selected="0">
            <x v="0"/>
          </reference>
          <reference field="1" count="1" selected="0">
            <x v="0"/>
          </reference>
          <reference field="3" count="1" selected="0">
            <x v="12"/>
          </reference>
          <reference field="4" count="1">
            <x v="47"/>
          </reference>
        </references>
      </pivotArea>
    </format>
    <format dxfId="287">
      <pivotArea dataOnly="0" labelOnly="1" outline="0" fieldPosition="0">
        <references count="4">
          <reference field="0" count="1" selected="0">
            <x v="1"/>
          </reference>
          <reference field="1" count="1" selected="0">
            <x v="0"/>
          </reference>
          <reference field="3" count="1" selected="0">
            <x v="12"/>
          </reference>
          <reference field="4" count="1">
            <x v="77"/>
          </reference>
        </references>
      </pivotArea>
    </format>
    <format dxfId="286">
      <pivotArea dataOnly="0" labelOnly="1" outline="0" fieldPosition="0">
        <references count="4">
          <reference field="0" count="1" selected="0">
            <x v="2"/>
          </reference>
          <reference field="1" count="1" selected="0">
            <x v="0"/>
          </reference>
          <reference field="3" count="1" selected="0">
            <x v="12"/>
          </reference>
          <reference field="4" count="1">
            <x v="0"/>
          </reference>
        </references>
      </pivotArea>
    </format>
    <format dxfId="285">
      <pivotArea dataOnly="0" labelOnly="1" outline="0" fieldPosition="0">
        <references count="4">
          <reference field="0" count="1" selected="0">
            <x v="3"/>
          </reference>
          <reference field="1" count="1" selected="0">
            <x v="0"/>
          </reference>
          <reference field="3" count="1" selected="0">
            <x v="12"/>
          </reference>
          <reference field="4" count="1">
            <x v="23"/>
          </reference>
        </references>
      </pivotArea>
    </format>
    <format dxfId="284">
      <pivotArea dataOnly="0" labelOnly="1" outline="0" fieldPosition="0">
        <references count="4">
          <reference field="0" count="1" selected="0">
            <x v="4"/>
          </reference>
          <reference field="1" count="1" selected="0">
            <x v="0"/>
          </reference>
          <reference field="3" count="1" selected="0">
            <x v="12"/>
          </reference>
          <reference field="4" count="1">
            <x v="1"/>
          </reference>
        </references>
      </pivotArea>
    </format>
    <format dxfId="283">
      <pivotArea dataOnly="0" labelOnly="1" outline="0" fieldPosition="0">
        <references count="4">
          <reference field="0" count="1" selected="0">
            <x v="6"/>
          </reference>
          <reference field="1" count="1" selected="0">
            <x v="0"/>
          </reference>
          <reference field="3" count="1" selected="0">
            <x v="12"/>
          </reference>
          <reference field="4" count="1">
            <x v="66"/>
          </reference>
        </references>
      </pivotArea>
    </format>
    <format dxfId="282">
      <pivotArea dataOnly="0" labelOnly="1" outline="0" fieldPosition="0">
        <references count="4">
          <reference field="0" count="1" selected="0">
            <x v="8"/>
          </reference>
          <reference field="1" count="1" selected="0">
            <x v="0"/>
          </reference>
          <reference field="3" count="1" selected="0">
            <x v="12"/>
          </reference>
          <reference field="4" count="1">
            <x v="14"/>
          </reference>
        </references>
      </pivotArea>
    </format>
    <format dxfId="281">
      <pivotArea dataOnly="0" labelOnly="1" outline="0" fieldPosition="0">
        <references count="4">
          <reference field="0" count="1" selected="0">
            <x v="9"/>
          </reference>
          <reference field="1" count="1" selected="0">
            <x v="0"/>
          </reference>
          <reference field="3" count="1" selected="0">
            <x v="12"/>
          </reference>
          <reference field="4" count="1">
            <x v="54"/>
          </reference>
        </references>
      </pivotArea>
    </format>
    <format dxfId="280">
      <pivotArea dataOnly="0" labelOnly="1" outline="0" fieldPosition="0">
        <references count="4">
          <reference field="0" count="1" selected="0">
            <x v="10"/>
          </reference>
          <reference field="1" count="1" selected="0">
            <x v="0"/>
          </reference>
          <reference field="3" count="1" selected="0">
            <x v="12"/>
          </reference>
          <reference field="4" count="1">
            <x v="35"/>
          </reference>
        </references>
      </pivotArea>
    </format>
    <format dxfId="279">
      <pivotArea dataOnly="0" labelOnly="1" outline="0" fieldPosition="0">
        <references count="4">
          <reference field="0" count="1" selected="0">
            <x v="11"/>
          </reference>
          <reference field="1" count="1" selected="0">
            <x v="0"/>
          </reference>
          <reference field="3" count="1" selected="0">
            <x v="12"/>
          </reference>
          <reference field="4" count="1">
            <x v="34"/>
          </reference>
        </references>
      </pivotArea>
    </format>
    <format dxfId="278">
      <pivotArea dataOnly="0" labelOnly="1" outline="0" fieldPosition="0">
        <references count="4">
          <reference field="0" count="1" selected="0">
            <x v="12"/>
          </reference>
          <reference field="1" count="1" selected="0">
            <x v="0"/>
          </reference>
          <reference field="3" count="1" selected="0">
            <x v="12"/>
          </reference>
          <reference field="4" count="1">
            <x v="60"/>
          </reference>
        </references>
      </pivotArea>
    </format>
    <format dxfId="277">
      <pivotArea dataOnly="0" labelOnly="1" outline="0" fieldPosition="0">
        <references count="4">
          <reference field="0" count="1" selected="0">
            <x v="14"/>
          </reference>
          <reference field="1" count="1" selected="0">
            <x v="0"/>
          </reference>
          <reference field="3" count="1" selected="0">
            <x v="12"/>
          </reference>
          <reference field="4" count="1">
            <x v="38"/>
          </reference>
        </references>
      </pivotArea>
    </format>
    <format dxfId="276">
      <pivotArea dataOnly="0" labelOnly="1" outline="0" fieldPosition="0">
        <references count="4">
          <reference field="0" count="1" selected="0">
            <x v="15"/>
          </reference>
          <reference field="1" count="1" selected="0">
            <x v="0"/>
          </reference>
          <reference field="3" count="1" selected="0">
            <x v="12"/>
          </reference>
          <reference field="4" count="1">
            <x v="7"/>
          </reference>
        </references>
      </pivotArea>
    </format>
    <format dxfId="275">
      <pivotArea dataOnly="0" labelOnly="1" outline="0" fieldPosition="0">
        <references count="4">
          <reference field="0" count="1" selected="0">
            <x v="16"/>
          </reference>
          <reference field="1" count="1" selected="0">
            <x v="0"/>
          </reference>
          <reference field="3" count="1" selected="0">
            <x v="12"/>
          </reference>
          <reference field="4" count="1">
            <x v="13"/>
          </reference>
        </references>
      </pivotArea>
    </format>
    <format dxfId="274">
      <pivotArea dataOnly="0" labelOnly="1" outline="0" fieldPosition="0">
        <references count="4">
          <reference field="0" count="1" selected="0">
            <x v="5"/>
          </reference>
          <reference field="1" count="1" selected="0">
            <x v="1"/>
          </reference>
          <reference field="3" count="1" selected="0">
            <x v="12"/>
          </reference>
          <reference field="4" count="1">
            <x v="0"/>
          </reference>
        </references>
      </pivotArea>
    </format>
    <format dxfId="273">
      <pivotArea dataOnly="0" labelOnly="1" outline="0" fieldPosition="0">
        <references count="4">
          <reference field="0" count="1" selected="0">
            <x v="7"/>
          </reference>
          <reference field="1" count="1" selected="0">
            <x v="1"/>
          </reference>
          <reference field="3" count="1" selected="0">
            <x v="12"/>
          </reference>
          <reference field="4" count="1">
            <x v="6"/>
          </reference>
        </references>
      </pivotArea>
    </format>
    <format dxfId="272">
      <pivotArea dataOnly="0" labelOnly="1" outline="0" fieldPosition="0">
        <references count="4">
          <reference field="0" count="1" selected="0">
            <x v="13"/>
          </reference>
          <reference field="1" count="1" selected="0">
            <x v="1"/>
          </reference>
          <reference field="3" count="1" selected="0">
            <x v="12"/>
          </reference>
          <reference field="4" count="1">
            <x v="24"/>
          </reference>
        </references>
      </pivotArea>
    </format>
    <format dxfId="271">
      <pivotArea dataOnly="0" labelOnly="1" outline="0" fieldPosition="0">
        <references count="4">
          <reference field="0" count="1" selected="0">
            <x v="0"/>
          </reference>
          <reference field="1" count="1" selected="0">
            <x v="0"/>
          </reference>
          <reference field="3" count="1" selected="0">
            <x v="13"/>
          </reference>
          <reference field="4" count="1">
            <x v="50"/>
          </reference>
        </references>
      </pivotArea>
    </format>
    <format dxfId="270">
      <pivotArea dataOnly="0" labelOnly="1" outline="0" fieldPosition="0">
        <references count="4">
          <reference field="0" count="1" selected="0">
            <x v="1"/>
          </reference>
          <reference field="1" count="1" selected="0">
            <x v="0"/>
          </reference>
          <reference field="3" count="1" selected="0">
            <x v="13"/>
          </reference>
          <reference field="4" count="1">
            <x v="73"/>
          </reference>
        </references>
      </pivotArea>
    </format>
    <format dxfId="269">
      <pivotArea dataOnly="0" labelOnly="1" outline="0" fieldPosition="0">
        <references count="4">
          <reference field="0" count="1" selected="0">
            <x v="2"/>
          </reference>
          <reference field="1" count="1" selected="0">
            <x v="0"/>
          </reference>
          <reference field="3" count="1" selected="0">
            <x v="13"/>
          </reference>
          <reference field="4" count="1">
            <x v="0"/>
          </reference>
        </references>
      </pivotArea>
    </format>
    <format dxfId="268">
      <pivotArea dataOnly="0" labelOnly="1" outline="0" fieldPosition="0">
        <references count="4">
          <reference field="0" count="1" selected="0">
            <x v="3"/>
          </reference>
          <reference field="1" count="1" selected="0">
            <x v="0"/>
          </reference>
          <reference field="3" count="1" selected="0">
            <x v="13"/>
          </reference>
          <reference field="4" count="1">
            <x v="28"/>
          </reference>
        </references>
      </pivotArea>
    </format>
    <format dxfId="267">
      <pivotArea dataOnly="0" labelOnly="1" outline="0" fieldPosition="0">
        <references count="4">
          <reference field="0" count="1" selected="0">
            <x v="4"/>
          </reference>
          <reference field="1" count="1" selected="0">
            <x v="0"/>
          </reference>
          <reference field="3" count="1" selected="0">
            <x v="13"/>
          </reference>
          <reference field="4" count="1">
            <x v="2"/>
          </reference>
        </references>
      </pivotArea>
    </format>
    <format dxfId="266">
      <pivotArea dataOnly="0" labelOnly="1" outline="0" fieldPosition="0">
        <references count="4">
          <reference field="0" count="1" selected="0">
            <x v="6"/>
          </reference>
          <reference field="1" count="1" selected="0">
            <x v="0"/>
          </reference>
          <reference field="3" count="1" selected="0">
            <x v="13"/>
          </reference>
          <reference field="4" count="1">
            <x v="71"/>
          </reference>
        </references>
      </pivotArea>
    </format>
    <format dxfId="265">
      <pivotArea dataOnly="0" labelOnly="1" outline="0" fieldPosition="0">
        <references count="4">
          <reference field="0" count="1" selected="0">
            <x v="8"/>
          </reference>
          <reference field="1" count="1" selected="0">
            <x v="0"/>
          </reference>
          <reference field="3" count="1" selected="0">
            <x v="13"/>
          </reference>
          <reference field="4" count="1">
            <x v="0"/>
          </reference>
        </references>
      </pivotArea>
    </format>
    <format dxfId="264">
      <pivotArea dataOnly="0" labelOnly="1" outline="0" fieldPosition="0">
        <references count="4">
          <reference field="0" count="1" selected="0">
            <x v="9"/>
          </reference>
          <reference field="1" count="1" selected="0">
            <x v="0"/>
          </reference>
          <reference field="3" count="1" selected="0">
            <x v="13"/>
          </reference>
          <reference field="4" count="1">
            <x v="58"/>
          </reference>
        </references>
      </pivotArea>
    </format>
    <format dxfId="263">
      <pivotArea dataOnly="0" labelOnly="1" outline="0" fieldPosition="0">
        <references count="4">
          <reference field="0" count="1" selected="0">
            <x v="10"/>
          </reference>
          <reference field="1" count="1" selected="0">
            <x v="0"/>
          </reference>
          <reference field="3" count="1" selected="0">
            <x v="13"/>
          </reference>
          <reference field="4" count="1">
            <x v="46"/>
          </reference>
        </references>
      </pivotArea>
    </format>
    <format dxfId="262">
      <pivotArea dataOnly="0" labelOnly="1" outline="0" fieldPosition="0">
        <references count="4">
          <reference field="0" count="1" selected="0">
            <x v="11"/>
          </reference>
          <reference field="1" count="1" selected="0">
            <x v="0"/>
          </reference>
          <reference field="3" count="1" selected="0">
            <x v="13"/>
          </reference>
          <reference field="4" count="1">
            <x v="37"/>
          </reference>
        </references>
      </pivotArea>
    </format>
    <format dxfId="261">
      <pivotArea dataOnly="0" labelOnly="1" outline="0" fieldPosition="0">
        <references count="4">
          <reference field="0" count="1" selected="0">
            <x v="12"/>
          </reference>
          <reference field="1" count="1" selected="0">
            <x v="0"/>
          </reference>
          <reference field="3" count="1" selected="0">
            <x v="13"/>
          </reference>
          <reference field="4" count="1">
            <x v="62"/>
          </reference>
        </references>
      </pivotArea>
    </format>
    <format dxfId="260">
      <pivotArea dataOnly="0" labelOnly="1" outline="0" fieldPosition="0">
        <references count="4">
          <reference field="0" count="1" selected="0">
            <x v="14"/>
          </reference>
          <reference field="1" count="1" selected="0">
            <x v="0"/>
          </reference>
          <reference field="3" count="1" selected="0">
            <x v="13"/>
          </reference>
          <reference field="4" count="1">
            <x v="43"/>
          </reference>
        </references>
      </pivotArea>
    </format>
    <format dxfId="259">
      <pivotArea dataOnly="0" labelOnly="1" outline="0" fieldPosition="0">
        <references count="4">
          <reference field="0" count="1" selected="0">
            <x v="15"/>
          </reference>
          <reference field="1" count="1" selected="0">
            <x v="0"/>
          </reference>
          <reference field="3" count="1" selected="0">
            <x v="13"/>
          </reference>
          <reference field="4" count="1">
            <x v="12"/>
          </reference>
        </references>
      </pivotArea>
    </format>
    <format dxfId="258">
      <pivotArea dataOnly="0" labelOnly="1" outline="0" fieldPosition="0">
        <references count="4">
          <reference field="0" count="1" selected="0">
            <x v="16"/>
          </reference>
          <reference field="1" count="1" selected="0">
            <x v="0"/>
          </reference>
          <reference field="3" count="1" selected="0">
            <x v="13"/>
          </reference>
          <reference field="4" count="1">
            <x v="21"/>
          </reference>
        </references>
      </pivotArea>
    </format>
    <format dxfId="257">
      <pivotArea dataOnly="0" labelOnly="1" outline="0" fieldPosition="0">
        <references count="4">
          <reference field="0" count="1" selected="0">
            <x v="5"/>
          </reference>
          <reference field="1" count="1" selected="0">
            <x v="1"/>
          </reference>
          <reference field="3" count="1" selected="0">
            <x v="13"/>
          </reference>
          <reference field="4" count="1">
            <x v="0"/>
          </reference>
        </references>
      </pivotArea>
    </format>
    <format dxfId="256">
      <pivotArea dataOnly="0" labelOnly="1" outline="0" fieldPosition="0">
        <references count="4">
          <reference field="0" count="1" selected="0">
            <x v="7"/>
          </reference>
          <reference field="1" count="1" selected="0">
            <x v="1"/>
          </reference>
          <reference field="3" count="1" selected="0">
            <x v="13"/>
          </reference>
          <reference field="4" count="1">
            <x v="5"/>
          </reference>
        </references>
      </pivotArea>
    </format>
    <format dxfId="255">
      <pivotArea dataOnly="0" labelOnly="1" outline="0" fieldPosition="0">
        <references count="4">
          <reference field="0" count="1" selected="0">
            <x v="13"/>
          </reference>
          <reference field="1" count="1" selected="0">
            <x v="1"/>
          </reference>
          <reference field="3" count="1" selected="0">
            <x v="13"/>
          </reference>
          <reference field="4" count="1">
            <x v="0"/>
          </reference>
        </references>
      </pivotArea>
    </format>
    <format dxfId="254">
      <pivotArea dataOnly="0" labelOnly="1" outline="0" fieldPosition="0">
        <references count="4">
          <reference field="0" count="1" selected="0">
            <x v="0"/>
          </reference>
          <reference field="1" count="1" selected="0">
            <x v="0"/>
          </reference>
          <reference field="3" count="1" selected="0">
            <x v="14"/>
          </reference>
          <reference field="4" count="1">
            <x v="50"/>
          </reference>
        </references>
      </pivotArea>
    </format>
    <format dxfId="253">
      <pivotArea dataOnly="0" labelOnly="1" outline="0" fieldPosition="0">
        <references count="4">
          <reference field="0" count="1" selected="0">
            <x v="1"/>
          </reference>
          <reference field="1" count="1" selected="0">
            <x v="0"/>
          </reference>
          <reference field="3" count="1" selected="0">
            <x v="14"/>
          </reference>
          <reference field="4" count="1">
            <x v="73"/>
          </reference>
        </references>
      </pivotArea>
    </format>
    <format dxfId="252">
      <pivotArea dataOnly="0" labelOnly="1" outline="0" fieldPosition="0">
        <references count="4">
          <reference field="0" count="1" selected="0">
            <x v="2"/>
          </reference>
          <reference field="1" count="1" selected="0">
            <x v="0"/>
          </reference>
          <reference field="3" count="1" selected="0">
            <x v="14"/>
          </reference>
          <reference field="4" count="1">
            <x v="0"/>
          </reference>
        </references>
      </pivotArea>
    </format>
    <format dxfId="251">
      <pivotArea dataOnly="0" labelOnly="1" outline="0" fieldPosition="0">
        <references count="4">
          <reference field="0" count="1" selected="0">
            <x v="3"/>
          </reference>
          <reference field="1" count="1" selected="0">
            <x v="0"/>
          </reference>
          <reference field="3" count="1" selected="0">
            <x v="14"/>
          </reference>
          <reference field="4" count="1">
            <x v="28"/>
          </reference>
        </references>
      </pivotArea>
    </format>
    <format dxfId="250">
      <pivotArea dataOnly="0" labelOnly="1" outline="0" fieldPosition="0">
        <references count="4">
          <reference field="0" count="1" selected="0">
            <x v="4"/>
          </reference>
          <reference field="1" count="1" selected="0">
            <x v="0"/>
          </reference>
          <reference field="3" count="1" selected="0">
            <x v="14"/>
          </reference>
          <reference field="4" count="1">
            <x v="2"/>
          </reference>
        </references>
      </pivotArea>
    </format>
    <format dxfId="249">
      <pivotArea dataOnly="0" labelOnly="1" outline="0" fieldPosition="0">
        <references count="4">
          <reference field="0" count="1" selected="0">
            <x v="6"/>
          </reference>
          <reference field="1" count="1" selected="0">
            <x v="0"/>
          </reference>
          <reference field="3" count="1" selected="0">
            <x v="14"/>
          </reference>
          <reference field="4" count="1">
            <x v="71"/>
          </reference>
        </references>
      </pivotArea>
    </format>
    <format dxfId="248">
      <pivotArea dataOnly="0" labelOnly="1" outline="0" fieldPosition="0">
        <references count="4">
          <reference field="0" count="1" selected="0">
            <x v="8"/>
          </reference>
          <reference field="1" count="1" selected="0">
            <x v="0"/>
          </reference>
          <reference field="3" count="1" selected="0">
            <x v="14"/>
          </reference>
          <reference field="4" count="1">
            <x v="0"/>
          </reference>
        </references>
      </pivotArea>
    </format>
    <format dxfId="247">
      <pivotArea dataOnly="0" labelOnly="1" outline="0" fieldPosition="0">
        <references count="4">
          <reference field="0" count="1" selected="0">
            <x v="9"/>
          </reference>
          <reference field="1" count="1" selected="0">
            <x v="0"/>
          </reference>
          <reference field="3" count="1" selected="0">
            <x v="14"/>
          </reference>
          <reference field="4" count="1">
            <x v="58"/>
          </reference>
        </references>
      </pivotArea>
    </format>
    <format dxfId="246">
      <pivotArea dataOnly="0" labelOnly="1" outline="0" fieldPosition="0">
        <references count="4">
          <reference field="0" count="1" selected="0">
            <x v="10"/>
          </reference>
          <reference field="1" count="1" selected="0">
            <x v="0"/>
          </reference>
          <reference field="3" count="1" selected="0">
            <x v="14"/>
          </reference>
          <reference field="4" count="1">
            <x v="46"/>
          </reference>
        </references>
      </pivotArea>
    </format>
    <format dxfId="245">
      <pivotArea dataOnly="0" labelOnly="1" outline="0" fieldPosition="0">
        <references count="4">
          <reference field="0" count="1" selected="0">
            <x v="11"/>
          </reference>
          <reference field="1" count="1" selected="0">
            <x v="0"/>
          </reference>
          <reference field="3" count="1" selected="0">
            <x v="14"/>
          </reference>
          <reference field="4" count="1">
            <x v="37"/>
          </reference>
        </references>
      </pivotArea>
    </format>
    <format dxfId="244">
      <pivotArea dataOnly="0" labelOnly="1" outline="0" fieldPosition="0">
        <references count="4">
          <reference field="0" count="1" selected="0">
            <x v="12"/>
          </reference>
          <reference field="1" count="1" selected="0">
            <x v="0"/>
          </reference>
          <reference field="3" count="1" selected="0">
            <x v="14"/>
          </reference>
          <reference field="4" count="1">
            <x v="62"/>
          </reference>
        </references>
      </pivotArea>
    </format>
    <format dxfId="243">
      <pivotArea dataOnly="0" labelOnly="1" outline="0" fieldPosition="0">
        <references count="4">
          <reference field="0" count="1" selected="0">
            <x v="14"/>
          </reference>
          <reference field="1" count="1" selected="0">
            <x v="0"/>
          </reference>
          <reference field="3" count="1" selected="0">
            <x v="14"/>
          </reference>
          <reference field="4" count="1">
            <x v="43"/>
          </reference>
        </references>
      </pivotArea>
    </format>
    <format dxfId="242">
      <pivotArea dataOnly="0" labelOnly="1" outline="0" fieldPosition="0">
        <references count="4">
          <reference field="0" count="1" selected="0">
            <x v="15"/>
          </reference>
          <reference field="1" count="1" selected="0">
            <x v="0"/>
          </reference>
          <reference field="3" count="1" selected="0">
            <x v="14"/>
          </reference>
          <reference field="4" count="1">
            <x v="12"/>
          </reference>
        </references>
      </pivotArea>
    </format>
    <format dxfId="241">
      <pivotArea dataOnly="0" labelOnly="1" outline="0" fieldPosition="0">
        <references count="4">
          <reference field="0" count="1" selected="0">
            <x v="16"/>
          </reference>
          <reference field="1" count="1" selected="0">
            <x v="0"/>
          </reference>
          <reference field="3" count="1" selected="0">
            <x v="14"/>
          </reference>
          <reference field="4" count="1">
            <x v="21"/>
          </reference>
        </references>
      </pivotArea>
    </format>
    <format dxfId="240">
      <pivotArea dataOnly="0" labelOnly="1" outline="0" fieldPosition="0">
        <references count="4">
          <reference field="0" count="1" selected="0">
            <x v="5"/>
          </reference>
          <reference field="1" count="1" selected="0">
            <x v="1"/>
          </reference>
          <reference field="3" count="1" selected="0">
            <x v="14"/>
          </reference>
          <reference field="4" count="1">
            <x v="0"/>
          </reference>
        </references>
      </pivotArea>
    </format>
    <format dxfId="239">
      <pivotArea dataOnly="0" labelOnly="1" outline="0" fieldPosition="0">
        <references count="4">
          <reference field="0" count="1" selected="0">
            <x v="7"/>
          </reference>
          <reference field="1" count="1" selected="0">
            <x v="1"/>
          </reference>
          <reference field="3" count="1" selected="0">
            <x v="14"/>
          </reference>
          <reference field="4" count="1">
            <x v="5"/>
          </reference>
        </references>
      </pivotArea>
    </format>
    <format dxfId="238">
      <pivotArea dataOnly="0" labelOnly="1" outline="0" fieldPosition="0">
        <references count="4">
          <reference field="0" count="1" selected="0">
            <x v="13"/>
          </reference>
          <reference field="1" count="1" selected="0">
            <x v="1"/>
          </reference>
          <reference field="3" count="1" selected="0">
            <x v="14"/>
          </reference>
          <reference field="4" count="1">
            <x v="0"/>
          </reference>
        </references>
      </pivotArea>
    </format>
    <format dxfId="237">
      <pivotArea dataOnly="0" labelOnly="1" outline="0" fieldPosition="0">
        <references count="4">
          <reference field="0" count="1" selected="0">
            <x v="0"/>
          </reference>
          <reference field="1" count="1" selected="0">
            <x v="0"/>
          </reference>
          <reference field="3" count="1" selected="0">
            <x v="15"/>
          </reference>
          <reference field="4" count="1">
            <x v="49"/>
          </reference>
        </references>
      </pivotArea>
    </format>
    <format dxfId="236">
      <pivotArea dataOnly="0" labelOnly="1" outline="0" fieldPosition="0">
        <references count="4">
          <reference field="0" count="1" selected="0">
            <x v="1"/>
          </reference>
          <reference field="1" count="1" selected="0">
            <x v="0"/>
          </reference>
          <reference field="3" count="1" selected="0">
            <x v="15"/>
          </reference>
          <reference field="4" count="1">
            <x v="72"/>
          </reference>
        </references>
      </pivotArea>
    </format>
    <format dxfId="235">
      <pivotArea dataOnly="0" labelOnly="1" outline="0" fieldPosition="0">
        <references count="4">
          <reference field="0" count="1" selected="0">
            <x v="2"/>
          </reference>
          <reference field="1" count="1" selected="0">
            <x v="0"/>
          </reference>
          <reference field="3" count="1" selected="0">
            <x v="15"/>
          </reference>
          <reference field="4" count="1">
            <x v="15"/>
          </reference>
        </references>
      </pivotArea>
    </format>
    <format dxfId="234">
      <pivotArea dataOnly="0" labelOnly="1" outline="0" fieldPosition="0">
        <references count="4">
          <reference field="0" count="1" selected="0">
            <x v="3"/>
          </reference>
          <reference field="1" count="1" selected="0">
            <x v="0"/>
          </reference>
          <reference field="3" count="1" selected="0">
            <x v="15"/>
          </reference>
          <reference field="4" count="1">
            <x v="27"/>
          </reference>
        </references>
      </pivotArea>
    </format>
    <format dxfId="233">
      <pivotArea dataOnly="0" labelOnly="1" outline="0" fieldPosition="0">
        <references count="4">
          <reference field="0" count="1" selected="0">
            <x v="4"/>
          </reference>
          <reference field="1" count="1" selected="0">
            <x v="0"/>
          </reference>
          <reference field="3" count="1" selected="0">
            <x v="15"/>
          </reference>
          <reference field="4" count="1">
            <x v="2"/>
          </reference>
        </references>
      </pivotArea>
    </format>
    <format dxfId="232">
      <pivotArea dataOnly="0" labelOnly="1" outline="0" fieldPosition="0">
        <references count="4">
          <reference field="0" count="1" selected="0">
            <x v="6"/>
          </reference>
          <reference field="1" count="1" selected="0">
            <x v="0"/>
          </reference>
          <reference field="3" count="1" selected="0">
            <x v="15"/>
          </reference>
          <reference field="4" count="1">
            <x v="70"/>
          </reference>
        </references>
      </pivotArea>
    </format>
    <format dxfId="231">
      <pivotArea dataOnly="0" labelOnly="1" outline="0" fieldPosition="0">
        <references count="4">
          <reference field="0" count="1" selected="0">
            <x v="8"/>
          </reference>
          <reference field="1" count="1" selected="0">
            <x v="0"/>
          </reference>
          <reference field="3" count="1" selected="0">
            <x v="15"/>
          </reference>
          <reference field="4" count="1">
            <x v="0"/>
          </reference>
        </references>
      </pivotArea>
    </format>
    <format dxfId="230">
      <pivotArea dataOnly="0" labelOnly="1" outline="0" fieldPosition="0">
        <references count="4">
          <reference field="0" count="1" selected="0">
            <x v="9"/>
          </reference>
          <reference field="1" count="1" selected="0">
            <x v="0"/>
          </reference>
          <reference field="3" count="1" selected="0">
            <x v="15"/>
          </reference>
          <reference field="4" count="1">
            <x v="57"/>
          </reference>
        </references>
      </pivotArea>
    </format>
    <format dxfId="229">
      <pivotArea dataOnly="0" labelOnly="1" outline="0" fieldPosition="0">
        <references count="4">
          <reference field="0" count="1" selected="0">
            <x v="10"/>
          </reference>
          <reference field="1" count="1" selected="0">
            <x v="0"/>
          </reference>
          <reference field="3" count="1" selected="0">
            <x v="15"/>
          </reference>
          <reference field="4" count="1">
            <x v="44"/>
          </reference>
        </references>
      </pivotArea>
    </format>
    <format dxfId="228">
      <pivotArea dataOnly="0" labelOnly="1" outline="0" fieldPosition="0">
        <references count="4">
          <reference field="0" count="1" selected="0">
            <x v="11"/>
          </reference>
          <reference field="1" count="1" selected="0">
            <x v="0"/>
          </reference>
          <reference field="3" count="1" selected="0">
            <x v="15"/>
          </reference>
          <reference field="4" count="1">
            <x v="36"/>
          </reference>
        </references>
      </pivotArea>
    </format>
    <format dxfId="227">
      <pivotArea dataOnly="0" labelOnly="1" outline="0" fieldPosition="0">
        <references count="4">
          <reference field="0" count="1" selected="0">
            <x v="12"/>
          </reference>
          <reference field="1" count="1" selected="0">
            <x v="0"/>
          </reference>
          <reference field="3" count="1" selected="0">
            <x v="15"/>
          </reference>
          <reference field="4" count="1">
            <x v="61"/>
          </reference>
        </references>
      </pivotArea>
    </format>
    <format dxfId="226">
      <pivotArea dataOnly="0" labelOnly="1" outline="0" fieldPosition="0">
        <references count="4">
          <reference field="0" count="1" selected="0">
            <x v="14"/>
          </reference>
          <reference field="1" count="1" selected="0">
            <x v="0"/>
          </reference>
          <reference field="3" count="1" selected="0">
            <x v="15"/>
          </reference>
          <reference field="4" count="1">
            <x v="42"/>
          </reference>
        </references>
      </pivotArea>
    </format>
    <format dxfId="225">
      <pivotArea dataOnly="0" labelOnly="1" outline="0" fieldPosition="0">
        <references count="4">
          <reference field="0" count="1" selected="0">
            <x v="15"/>
          </reference>
          <reference field="1" count="1" selected="0">
            <x v="0"/>
          </reference>
          <reference field="3" count="1" selected="0">
            <x v="15"/>
          </reference>
          <reference field="4" count="1">
            <x v="11"/>
          </reference>
        </references>
      </pivotArea>
    </format>
    <format dxfId="224">
      <pivotArea dataOnly="0" labelOnly="1" outline="0" fieldPosition="0">
        <references count="4">
          <reference field="0" count="1" selected="0">
            <x v="16"/>
          </reference>
          <reference field="1" count="1" selected="0">
            <x v="0"/>
          </reference>
          <reference field="3" count="1" selected="0">
            <x v="15"/>
          </reference>
          <reference field="4" count="1">
            <x v="20"/>
          </reference>
        </references>
      </pivotArea>
    </format>
    <format dxfId="223">
      <pivotArea dataOnly="0" labelOnly="1" outline="0" fieldPosition="0">
        <references count="4">
          <reference field="0" count="1" selected="0">
            <x v="5"/>
          </reference>
          <reference field="1" count="1" selected="0">
            <x v="1"/>
          </reference>
          <reference field="3" count="1" selected="0">
            <x v="15"/>
          </reference>
          <reference field="4" count="1">
            <x v="0"/>
          </reference>
        </references>
      </pivotArea>
    </format>
    <format dxfId="222">
      <pivotArea dataOnly="0" labelOnly="1" outline="0" fieldPosition="0">
        <references count="4">
          <reference field="0" count="1" selected="0">
            <x v="7"/>
          </reference>
          <reference field="1" count="1" selected="0">
            <x v="1"/>
          </reference>
          <reference field="3" count="1" selected="0">
            <x v="15"/>
          </reference>
          <reference field="4" count="1">
            <x v="4"/>
          </reference>
        </references>
      </pivotArea>
    </format>
    <format dxfId="221">
      <pivotArea dataOnly="0" labelOnly="1" outline="0" fieldPosition="0">
        <references count="4">
          <reference field="0" count="1" selected="0">
            <x v="13"/>
          </reference>
          <reference field="1" count="1" selected="0">
            <x v="1"/>
          </reference>
          <reference field="3" count="1" selected="0">
            <x v="15"/>
          </reference>
          <reference field="4" count="1">
            <x v="0"/>
          </reference>
        </references>
      </pivotArea>
    </format>
    <format dxfId="220">
      <pivotArea dataOnly="0" labelOnly="1" outline="0" fieldPosition="0">
        <references count="4">
          <reference field="0" count="1" selected="0">
            <x v="0"/>
          </reference>
          <reference field="1" count="1" selected="0">
            <x v="0"/>
          </reference>
          <reference field="3" count="1" selected="0">
            <x v="16"/>
          </reference>
          <reference field="4" count="1">
            <x v="49"/>
          </reference>
        </references>
      </pivotArea>
    </format>
    <format dxfId="219">
      <pivotArea dataOnly="0" labelOnly="1" outline="0" fieldPosition="0">
        <references count="4">
          <reference field="0" count="1" selected="0">
            <x v="1"/>
          </reference>
          <reference field="1" count="1" selected="0">
            <x v="0"/>
          </reference>
          <reference field="3" count="1" selected="0">
            <x v="16"/>
          </reference>
          <reference field="4" count="1">
            <x v="72"/>
          </reference>
        </references>
      </pivotArea>
    </format>
    <format dxfId="218">
      <pivotArea dataOnly="0" labelOnly="1" outline="0" fieldPosition="0">
        <references count="4">
          <reference field="0" count="1" selected="0">
            <x v="2"/>
          </reference>
          <reference field="1" count="1" selected="0">
            <x v="0"/>
          </reference>
          <reference field="3" count="1" selected="0">
            <x v="16"/>
          </reference>
          <reference field="4" count="1">
            <x v="15"/>
          </reference>
        </references>
      </pivotArea>
    </format>
    <format dxfId="217">
      <pivotArea dataOnly="0" labelOnly="1" outline="0" fieldPosition="0">
        <references count="4">
          <reference field="0" count="1" selected="0">
            <x v="3"/>
          </reference>
          <reference field="1" count="1" selected="0">
            <x v="0"/>
          </reference>
          <reference field="3" count="1" selected="0">
            <x v="16"/>
          </reference>
          <reference field="4" count="1">
            <x v="27"/>
          </reference>
        </references>
      </pivotArea>
    </format>
    <format dxfId="216">
      <pivotArea dataOnly="0" labelOnly="1" outline="0" fieldPosition="0">
        <references count="4">
          <reference field="0" count="1" selected="0">
            <x v="4"/>
          </reference>
          <reference field="1" count="1" selected="0">
            <x v="0"/>
          </reference>
          <reference field="3" count="1" selected="0">
            <x v="16"/>
          </reference>
          <reference field="4" count="1">
            <x v="2"/>
          </reference>
        </references>
      </pivotArea>
    </format>
    <format dxfId="215">
      <pivotArea dataOnly="0" labelOnly="1" outline="0" fieldPosition="0">
        <references count="4">
          <reference field="0" count="1" selected="0">
            <x v="6"/>
          </reference>
          <reference field="1" count="1" selected="0">
            <x v="0"/>
          </reference>
          <reference field="3" count="1" selected="0">
            <x v="16"/>
          </reference>
          <reference field="4" count="1">
            <x v="70"/>
          </reference>
        </references>
      </pivotArea>
    </format>
    <format dxfId="214">
      <pivotArea dataOnly="0" labelOnly="1" outline="0" fieldPosition="0">
        <references count="4">
          <reference field="0" count="1" selected="0">
            <x v="8"/>
          </reference>
          <reference field="1" count="1" selected="0">
            <x v="0"/>
          </reference>
          <reference field="3" count="1" selected="0">
            <x v="16"/>
          </reference>
          <reference field="4" count="1">
            <x v="0"/>
          </reference>
        </references>
      </pivotArea>
    </format>
    <format dxfId="213">
      <pivotArea dataOnly="0" labelOnly="1" outline="0" fieldPosition="0">
        <references count="4">
          <reference field="0" count="1" selected="0">
            <x v="9"/>
          </reference>
          <reference field="1" count="1" selected="0">
            <x v="0"/>
          </reference>
          <reference field="3" count="1" selected="0">
            <x v="16"/>
          </reference>
          <reference field="4" count="1">
            <x v="57"/>
          </reference>
        </references>
      </pivotArea>
    </format>
    <format dxfId="212">
      <pivotArea dataOnly="0" labelOnly="1" outline="0" fieldPosition="0">
        <references count="4">
          <reference field="0" count="1" selected="0">
            <x v="10"/>
          </reference>
          <reference field="1" count="1" selected="0">
            <x v="0"/>
          </reference>
          <reference field="3" count="1" selected="0">
            <x v="16"/>
          </reference>
          <reference field="4" count="1">
            <x v="44"/>
          </reference>
        </references>
      </pivotArea>
    </format>
    <format dxfId="211">
      <pivotArea dataOnly="0" labelOnly="1" outline="0" fieldPosition="0">
        <references count="4">
          <reference field="0" count="1" selected="0">
            <x v="11"/>
          </reference>
          <reference field="1" count="1" selected="0">
            <x v="0"/>
          </reference>
          <reference field="3" count="1" selected="0">
            <x v="16"/>
          </reference>
          <reference field="4" count="1">
            <x v="36"/>
          </reference>
        </references>
      </pivotArea>
    </format>
    <format dxfId="210">
      <pivotArea dataOnly="0" labelOnly="1" outline="0" fieldPosition="0">
        <references count="4">
          <reference field="0" count="1" selected="0">
            <x v="12"/>
          </reference>
          <reference field="1" count="1" selected="0">
            <x v="0"/>
          </reference>
          <reference field="3" count="1" selected="0">
            <x v="16"/>
          </reference>
          <reference field="4" count="1">
            <x v="61"/>
          </reference>
        </references>
      </pivotArea>
    </format>
    <format dxfId="209">
      <pivotArea dataOnly="0" labelOnly="1" outline="0" fieldPosition="0">
        <references count="4">
          <reference field="0" count="1" selected="0">
            <x v="14"/>
          </reference>
          <reference field="1" count="1" selected="0">
            <x v="0"/>
          </reference>
          <reference field="3" count="1" selected="0">
            <x v="16"/>
          </reference>
          <reference field="4" count="1">
            <x v="42"/>
          </reference>
        </references>
      </pivotArea>
    </format>
    <format dxfId="208">
      <pivotArea dataOnly="0" labelOnly="1" outline="0" fieldPosition="0">
        <references count="4">
          <reference field="0" count="1" selected="0">
            <x v="15"/>
          </reference>
          <reference field="1" count="1" selected="0">
            <x v="0"/>
          </reference>
          <reference field="3" count="1" selected="0">
            <x v="16"/>
          </reference>
          <reference field="4" count="1">
            <x v="11"/>
          </reference>
        </references>
      </pivotArea>
    </format>
    <format dxfId="207">
      <pivotArea dataOnly="0" labelOnly="1" outline="0" fieldPosition="0">
        <references count="4">
          <reference field="0" count="1" selected="0">
            <x v="16"/>
          </reference>
          <reference field="1" count="1" selected="0">
            <x v="0"/>
          </reference>
          <reference field="3" count="1" selected="0">
            <x v="16"/>
          </reference>
          <reference field="4" count="1">
            <x v="20"/>
          </reference>
        </references>
      </pivotArea>
    </format>
    <format dxfId="206">
      <pivotArea dataOnly="0" labelOnly="1" outline="0" fieldPosition="0">
        <references count="4">
          <reference field="0" count="1" selected="0">
            <x v="5"/>
          </reference>
          <reference field="1" count="1" selected="0">
            <x v="1"/>
          </reference>
          <reference field="3" count="1" selected="0">
            <x v="16"/>
          </reference>
          <reference field="4" count="1">
            <x v="0"/>
          </reference>
        </references>
      </pivotArea>
    </format>
    <format dxfId="205">
      <pivotArea dataOnly="0" labelOnly="1" outline="0" fieldPosition="0">
        <references count="4">
          <reference field="0" count="1" selected="0">
            <x v="7"/>
          </reference>
          <reference field="1" count="1" selected="0">
            <x v="1"/>
          </reference>
          <reference field="3" count="1" selected="0">
            <x v="16"/>
          </reference>
          <reference field="4" count="1">
            <x v="4"/>
          </reference>
        </references>
      </pivotArea>
    </format>
    <format dxfId="204">
      <pivotArea dataOnly="0" labelOnly="1" outline="0" fieldPosition="0">
        <references count="4">
          <reference field="0" count="1" selected="0">
            <x v="13"/>
          </reference>
          <reference field="1" count="1" selected="0">
            <x v="1"/>
          </reference>
          <reference field="3" count="1" selected="0">
            <x v="16"/>
          </reference>
          <reference field="4" count="1">
            <x v="0"/>
          </reference>
        </references>
      </pivotArea>
    </format>
    <format dxfId="203">
      <pivotArea dataOnly="0" labelOnly="1" outline="0" fieldPosition="0">
        <references count="4">
          <reference field="0" count="1" selected="0">
            <x v="0"/>
          </reference>
          <reference field="1" count="1" selected="0">
            <x v="0"/>
          </reference>
          <reference field="3" count="1" selected="0">
            <x v="17"/>
          </reference>
          <reference field="4" count="1">
            <x v="49"/>
          </reference>
        </references>
      </pivotArea>
    </format>
    <format dxfId="202">
      <pivotArea dataOnly="0" labelOnly="1" outline="0" fieldPosition="0">
        <references count="4">
          <reference field="0" count="1" selected="0">
            <x v="1"/>
          </reference>
          <reference field="1" count="1" selected="0">
            <x v="0"/>
          </reference>
          <reference field="3" count="1" selected="0">
            <x v="17"/>
          </reference>
          <reference field="4" count="1">
            <x v="72"/>
          </reference>
        </references>
      </pivotArea>
    </format>
    <format dxfId="201">
      <pivotArea dataOnly="0" labelOnly="1" outline="0" fieldPosition="0">
        <references count="4">
          <reference field="0" count="1" selected="0">
            <x v="2"/>
          </reference>
          <reference field="1" count="1" selected="0">
            <x v="0"/>
          </reference>
          <reference field="3" count="1" selected="0">
            <x v="17"/>
          </reference>
          <reference field="4" count="1">
            <x v="15"/>
          </reference>
        </references>
      </pivotArea>
    </format>
    <format dxfId="200">
      <pivotArea dataOnly="0" labelOnly="1" outline="0" fieldPosition="0">
        <references count="4">
          <reference field="0" count="1" selected="0">
            <x v="3"/>
          </reference>
          <reference field="1" count="1" selected="0">
            <x v="0"/>
          </reference>
          <reference field="3" count="1" selected="0">
            <x v="17"/>
          </reference>
          <reference field="4" count="1">
            <x v="27"/>
          </reference>
        </references>
      </pivotArea>
    </format>
    <format dxfId="199">
      <pivotArea dataOnly="0" labelOnly="1" outline="0" fieldPosition="0">
        <references count="4">
          <reference field="0" count="1" selected="0">
            <x v="4"/>
          </reference>
          <reference field="1" count="1" selected="0">
            <x v="0"/>
          </reference>
          <reference field="3" count="1" selected="0">
            <x v="17"/>
          </reference>
          <reference field="4" count="1">
            <x v="2"/>
          </reference>
        </references>
      </pivotArea>
    </format>
    <format dxfId="198">
      <pivotArea dataOnly="0" labelOnly="1" outline="0" fieldPosition="0">
        <references count="4">
          <reference field="0" count="1" selected="0">
            <x v="6"/>
          </reference>
          <reference field="1" count="1" selected="0">
            <x v="0"/>
          </reference>
          <reference field="3" count="1" selected="0">
            <x v="17"/>
          </reference>
          <reference field="4" count="1">
            <x v="70"/>
          </reference>
        </references>
      </pivotArea>
    </format>
    <format dxfId="197">
      <pivotArea dataOnly="0" labelOnly="1" outline="0" fieldPosition="0">
        <references count="4">
          <reference field="0" count="1" selected="0">
            <x v="8"/>
          </reference>
          <reference field="1" count="1" selected="0">
            <x v="0"/>
          </reference>
          <reference field="3" count="1" selected="0">
            <x v="17"/>
          </reference>
          <reference field="4" count="1">
            <x v="0"/>
          </reference>
        </references>
      </pivotArea>
    </format>
    <format dxfId="196">
      <pivotArea dataOnly="0" labelOnly="1" outline="0" fieldPosition="0">
        <references count="4">
          <reference field="0" count="1" selected="0">
            <x v="9"/>
          </reference>
          <reference field="1" count="1" selected="0">
            <x v="0"/>
          </reference>
          <reference field="3" count="1" selected="0">
            <x v="17"/>
          </reference>
          <reference field="4" count="1">
            <x v="57"/>
          </reference>
        </references>
      </pivotArea>
    </format>
    <format dxfId="195">
      <pivotArea dataOnly="0" labelOnly="1" outline="0" fieldPosition="0">
        <references count="4">
          <reference field="0" count="1" selected="0">
            <x v="10"/>
          </reference>
          <reference field="1" count="1" selected="0">
            <x v="0"/>
          </reference>
          <reference field="3" count="1" selected="0">
            <x v="17"/>
          </reference>
          <reference field="4" count="1">
            <x v="44"/>
          </reference>
        </references>
      </pivotArea>
    </format>
    <format dxfId="194">
      <pivotArea dataOnly="0" labelOnly="1" outline="0" fieldPosition="0">
        <references count="4">
          <reference field="0" count="1" selected="0">
            <x v="11"/>
          </reference>
          <reference field="1" count="1" selected="0">
            <x v="0"/>
          </reference>
          <reference field="3" count="1" selected="0">
            <x v="17"/>
          </reference>
          <reference field="4" count="1">
            <x v="36"/>
          </reference>
        </references>
      </pivotArea>
    </format>
    <format dxfId="193">
      <pivotArea dataOnly="0" labelOnly="1" outline="0" fieldPosition="0">
        <references count="4">
          <reference field="0" count="1" selected="0">
            <x v="12"/>
          </reference>
          <reference field="1" count="1" selected="0">
            <x v="0"/>
          </reference>
          <reference field="3" count="1" selected="0">
            <x v="17"/>
          </reference>
          <reference field="4" count="1">
            <x v="61"/>
          </reference>
        </references>
      </pivotArea>
    </format>
    <format dxfId="192">
      <pivotArea dataOnly="0" labelOnly="1" outline="0" fieldPosition="0">
        <references count="4">
          <reference field="0" count="1" selected="0">
            <x v="14"/>
          </reference>
          <reference field="1" count="1" selected="0">
            <x v="0"/>
          </reference>
          <reference field="3" count="1" selected="0">
            <x v="17"/>
          </reference>
          <reference field="4" count="1">
            <x v="42"/>
          </reference>
        </references>
      </pivotArea>
    </format>
    <format dxfId="191">
      <pivotArea dataOnly="0" labelOnly="1" outline="0" fieldPosition="0">
        <references count="4">
          <reference field="0" count="1" selected="0">
            <x v="15"/>
          </reference>
          <reference field="1" count="1" selected="0">
            <x v="0"/>
          </reference>
          <reference field="3" count="1" selected="0">
            <x v="17"/>
          </reference>
          <reference field="4" count="1">
            <x v="11"/>
          </reference>
        </references>
      </pivotArea>
    </format>
    <format dxfId="190">
      <pivotArea dataOnly="0" labelOnly="1" outline="0" fieldPosition="0">
        <references count="4">
          <reference field="0" count="1" selected="0">
            <x v="16"/>
          </reference>
          <reference field="1" count="1" selected="0">
            <x v="0"/>
          </reference>
          <reference field="3" count="1" selected="0">
            <x v="17"/>
          </reference>
          <reference field="4" count="1">
            <x v="20"/>
          </reference>
        </references>
      </pivotArea>
    </format>
    <format dxfId="189">
      <pivotArea dataOnly="0" labelOnly="1" outline="0" fieldPosition="0">
        <references count="4">
          <reference field="0" count="1" selected="0">
            <x v="5"/>
          </reference>
          <reference field="1" count="1" selected="0">
            <x v="1"/>
          </reference>
          <reference field="3" count="1" selected="0">
            <x v="17"/>
          </reference>
          <reference field="4" count="1">
            <x v="0"/>
          </reference>
        </references>
      </pivotArea>
    </format>
    <format dxfId="188">
      <pivotArea dataOnly="0" labelOnly="1" outline="0" fieldPosition="0">
        <references count="4">
          <reference field="0" count="1" selected="0">
            <x v="7"/>
          </reference>
          <reference field="1" count="1" selected="0">
            <x v="1"/>
          </reference>
          <reference field="3" count="1" selected="0">
            <x v="17"/>
          </reference>
          <reference field="4" count="1">
            <x v="4"/>
          </reference>
        </references>
      </pivotArea>
    </format>
    <format dxfId="187">
      <pivotArea dataOnly="0" labelOnly="1" outline="0" fieldPosition="0">
        <references count="4">
          <reference field="0" count="1" selected="0">
            <x v="13"/>
          </reference>
          <reference field="1" count="1" selected="0">
            <x v="1"/>
          </reference>
          <reference field="3" count="1" selected="0">
            <x v="17"/>
          </reference>
          <reference field="4" count="1">
            <x v="0"/>
          </reference>
        </references>
      </pivotArea>
    </format>
    <format dxfId="186">
      <pivotArea dataOnly="0" labelOnly="1" outline="0" fieldPosition="0">
        <references count="4">
          <reference field="0" count="1" selected="0">
            <x v="0"/>
          </reference>
          <reference field="1" count="1" selected="0">
            <x v="0"/>
          </reference>
          <reference field="3" count="1" selected="0">
            <x v="18"/>
          </reference>
          <reference field="4" count="1">
            <x v="52"/>
          </reference>
        </references>
      </pivotArea>
    </format>
    <format dxfId="185">
      <pivotArea dataOnly="0" labelOnly="1" outline="0" fieldPosition="0">
        <references count="4">
          <reference field="0" count="1" selected="0">
            <x v="1"/>
          </reference>
          <reference field="1" count="1" selected="0">
            <x v="0"/>
          </reference>
          <reference field="3" count="1" selected="0">
            <x v="18"/>
          </reference>
          <reference field="4" count="1">
            <x v="74"/>
          </reference>
        </references>
      </pivotArea>
    </format>
    <format dxfId="184">
      <pivotArea dataOnly="0" labelOnly="1" outline="0" fieldPosition="0">
        <references count="4">
          <reference field="0" count="1" selected="0">
            <x v="2"/>
          </reference>
          <reference field="1" count="1" selected="0">
            <x v="0"/>
          </reference>
          <reference field="3" count="1" selected="0">
            <x v="18"/>
          </reference>
          <reference field="4" count="1">
            <x v="17"/>
          </reference>
        </references>
      </pivotArea>
    </format>
    <format dxfId="183">
      <pivotArea dataOnly="0" labelOnly="1" outline="0" fieldPosition="0">
        <references count="4">
          <reference field="0" count="1" selected="0">
            <x v="3"/>
          </reference>
          <reference field="1" count="1" selected="0">
            <x v="0"/>
          </reference>
          <reference field="3" count="1" selected="0">
            <x v="18"/>
          </reference>
          <reference field="4" count="1">
            <x v="25"/>
          </reference>
        </references>
      </pivotArea>
    </format>
    <format dxfId="182">
      <pivotArea dataOnly="0" labelOnly="1" outline="0" fieldPosition="0">
        <references count="4">
          <reference field="0" count="1" selected="0">
            <x v="4"/>
          </reference>
          <reference field="1" count="1" selected="0">
            <x v="0"/>
          </reference>
          <reference field="3" count="1" selected="0">
            <x v="18"/>
          </reference>
          <reference field="4" count="1">
            <x v="3"/>
          </reference>
        </references>
      </pivotArea>
    </format>
    <format dxfId="181">
      <pivotArea dataOnly="0" labelOnly="1" outline="0" fieldPosition="0">
        <references count="4">
          <reference field="0" count="1" selected="0">
            <x v="6"/>
          </reference>
          <reference field="1" count="1" selected="0">
            <x v="0"/>
          </reference>
          <reference field="3" count="1" selected="0">
            <x v="18"/>
          </reference>
          <reference field="4" count="1">
            <x v="67"/>
          </reference>
        </references>
      </pivotArea>
    </format>
    <format dxfId="180">
      <pivotArea dataOnly="0" labelOnly="1" outline="0" fieldPosition="0">
        <references count="4">
          <reference field="0" count="1" selected="0">
            <x v="8"/>
          </reference>
          <reference field="1" count="1" selected="0">
            <x v="0"/>
          </reference>
          <reference field="3" count="1" selected="0">
            <x v="18"/>
          </reference>
          <reference field="4" count="1">
            <x v="29"/>
          </reference>
        </references>
      </pivotArea>
    </format>
    <format dxfId="179">
      <pivotArea dataOnly="0" labelOnly="1" outline="0" fieldPosition="0">
        <references count="4">
          <reference field="0" count="1" selected="0">
            <x v="9"/>
          </reference>
          <reference field="1" count="1" selected="0">
            <x v="0"/>
          </reference>
          <reference field="3" count="1" selected="0">
            <x v="18"/>
          </reference>
          <reference field="4" count="1">
            <x v="55"/>
          </reference>
        </references>
      </pivotArea>
    </format>
    <format dxfId="178">
      <pivotArea dataOnly="0" labelOnly="1" outline="0" fieldPosition="0">
        <references count="4">
          <reference field="0" count="1" selected="0">
            <x v="10"/>
          </reference>
          <reference field="1" count="1" selected="0">
            <x v="0"/>
          </reference>
          <reference field="3" count="1" selected="0">
            <x v="18"/>
          </reference>
          <reference field="4" count="1">
            <x v="45"/>
          </reference>
        </references>
      </pivotArea>
    </format>
    <format dxfId="177">
      <pivotArea dataOnly="0" labelOnly="1" outline="0" fieldPosition="0">
        <references count="4">
          <reference field="0" count="1" selected="0">
            <x v="11"/>
          </reference>
          <reference field="1" count="1" selected="0">
            <x v="0"/>
          </reference>
          <reference field="3" count="1" selected="0">
            <x v="18"/>
          </reference>
          <reference field="4" count="1">
            <x v="31"/>
          </reference>
        </references>
      </pivotArea>
    </format>
    <format dxfId="176">
      <pivotArea dataOnly="0" labelOnly="1" outline="0" fieldPosition="0">
        <references count="4">
          <reference field="0" count="1" selected="0">
            <x v="12"/>
          </reference>
          <reference field="1" count="1" selected="0">
            <x v="0"/>
          </reference>
          <reference field="3" count="1" selected="0">
            <x v="18"/>
          </reference>
          <reference field="4" count="1">
            <x v="64"/>
          </reference>
        </references>
      </pivotArea>
    </format>
    <format dxfId="175">
      <pivotArea dataOnly="0" labelOnly="1" outline="0" fieldPosition="0">
        <references count="4">
          <reference field="0" count="1" selected="0">
            <x v="14"/>
          </reference>
          <reference field="1" count="1" selected="0">
            <x v="0"/>
          </reference>
          <reference field="3" count="1" selected="0">
            <x v="18"/>
          </reference>
          <reference field="4" count="1">
            <x v="40"/>
          </reference>
        </references>
      </pivotArea>
    </format>
    <format dxfId="174">
      <pivotArea dataOnly="0" labelOnly="1" outline="0" fieldPosition="0">
        <references count="4">
          <reference field="0" count="1" selected="0">
            <x v="15"/>
          </reference>
          <reference field="1" count="1" selected="0">
            <x v="0"/>
          </reference>
          <reference field="3" count="1" selected="0">
            <x v="18"/>
          </reference>
          <reference field="4" count="1">
            <x v="8"/>
          </reference>
        </references>
      </pivotArea>
    </format>
    <format dxfId="173">
      <pivotArea dataOnly="0" labelOnly="1" outline="0" fieldPosition="0">
        <references count="4">
          <reference field="0" count="1" selected="0">
            <x v="16"/>
          </reference>
          <reference field="1" count="1" selected="0">
            <x v="0"/>
          </reference>
          <reference field="3" count="1" selected="0">
            <x v="18"/>
          </reference>
          <reference field="4" count="1">
            <x v="19"/>
          </reference>
        </references>
      </pivotArea>
    </format>
    <format dxfId="172">
      <pivotArea dataOnly="0" labelOnly="1" outline="0" fieldPosition="0">
        <references count="4">
          <reference field="0" count="1" selected="0">
            <x v="5"/>
          </reference>
          <reference field="1" count="1" selected="0">
            <x v="1"/>
          </reference>
          <reference field="3" count="1" selected="0">
            <x v="18"/>
          </reference>
          <reference field="4" count="1">
            <x v="0"/>
          </reference>
        </references>
      </pivotArea>
    </format>
    <format dxfId="171">
      <pivotArea dataOnly="0" labelOnly="1" outline="0" fieldPosition="0">
        <references count="4">
          <reference field="0" count="1" selected="0">
            <x v="7"/>
          </reference>
          <reference field="1" count="1" selected="0">
            <x v="1"/>
          </reference>
          <reference field="3" count="1" selected="0">
            <x v="18"/>
          </reference>
          <reference field="4" count="1">
            <x v="0"/>
          </reference>
        </references>
      </pivotArea>
    </format>
    <format dxfId="170">
      <pivotArea dataOnly="0" labelOnly="1" outline="0" fieldPosition="0">
        <references count="4">
          <reference field="0" count="1" selected="0">
            <x v="13"/>
          </reference>
          <reference field="1" count="1" selected="0">
            <x v="1"/>
          </reference>
          <reference field="3" count="1" selected="0">
            <x v="18"/>
          </reference>
          <reference field="4" count="1">
            <x v="0"/>
          </reference>
        </references>
      </pivotArea>
    </format>
    <format dxfId="169">
      <pivotArea dataOnly="0" labelOnly="1" outline="0" fieldPosition="0">
        <references count="4">
          <reference field="0" count="1" selected="0">
            <x v="0"/>
          </reference>
          <reference field="1" count="1" selected="0">
            <x v="0"/>
          </reference>
          <reference field="3" count="1" selected="0">
            <x v="19"/>
          </reference>
          <reference field="4" count="1">
            <x v="52"/>
          </reference>
        </references>
      </pivotArea>
    </format>
    <format dxfId="168">
      <pivotArea dataOnly="0" labelOnly="1" outline="0" fieldPosition="0">
        <references count="4">
          <reference field="0" count="1" selected="0">
            <x v="1"/>
          </reference>
          <reference field="1" count="1" selected="0">
            <x v="0"/>
          </reference>
          <reference field="3" count="1" selected="0">
            <x v="19"/>
          </reference>
          <reference field="4" count="1">
            <x v="74"/>
          </reference>
        </references>
      </pivotArea>
    </format>
    <format dxfId="167">
      <pivotArea dataOnly="0" labelOnly="1" outline="0" fieldPosition="0">
        <references count="4">
          <reference field="0" count="1" selected="0">
            <x v="2"/>
          </reference>
          <reference field="1" count="1" selected="0">
            <x v="0"/>
          </reference>
          <reference field="3" count="1" selected="0">
            <x v="19"/>
          </reference>
          <reference field="4" count="1">
            <x v="17"/>
          </reference>
        </references>
      </pivotArea>
    </format>
    <format dxfId="166">
      <pivotArea dataOnly="0" labelOnly="1" outline="0" fieldPosition="0">
        <references count="4">
          <reference field="0" count="1" selected="0">
            <x v="3"/>
          </reference>
          <reference field="1" count="1" selected="0">
            <x v="0"/>
          </reference>
          <reference field="3" count="1" selected="0">
            <x v="19"/>
          </reference>
          <reference field="4" count="1">
            <x v="25"/>
          </reference>
        </references>
      </pivotArea>
    </format>
    <format dxfId="165">
      <pivotArea dataOnly="0" labelOnly="1" outline="0" fieldPosition="0">
        <references count="4">
          <reference field="0" count="1" selected="0">
            <x v="4"/>
          </reference>
          <reference field="1" count="1" selected="0">
            <x v="0"/>
          </reference>
          <reference field="3" count="1" selected="0">
            <x v="19"/>
          </reference>
          <reference field="4" count="1">
            <x v="3"/>
          </reference>
        </references>
      </pivotArea>
    </format>
    <format dxfId="164">
      <pivotArea dataOnly="0" labelOnly="1" outline="0" fieldPosition="0">
        <references count="4">
          <reference field="0" count="1" selected="0">
            <x v="6"/>
          </reference>
          <reference field="1" count="1" selected="0">
            <x v="0"/>
          </reference>
          <reference field="3" count="1" selected="0">
            <x v="19"/>
          </reference>
          <reference field="4" count="1">
            <x v="67"/>
          </reference>
        </references>
      </pivotArea>
    </format>
    <format dxfId="163">
      <pivotArea dataOnly="0" labelOnly="1" outline="0" fieldPosition="0">
        <references count="4">
          <reference field="0" count="1" selected="0">
            <x v="8"/>
          </reference>
          <reference field="1" count="1" selected="0">
            <x v="0"/>
          </reference>
          <reference field="3" count="1" selected="0">
            <x v="19"/>
          </reference>
          <reference field="4" count="1">
            <x v="29"/>
          </reference>
        </references>
      </pivotArea>
    </format>
    <format dxfId="162">
      <pivotArea dataOnly="0" labelOnly="1" outline="0" fieldPosition="0">
        <references count="4">
          <reference field="0" count="1" selected="0">
            <x v="9"/>
          </reference>
          <reference field="1" count="1" selected="0">
            <x v="0"/>
          </reference>
          <reference field="3" count="1" selected="0">
            <x v="19"/>
          </reference>
          <reference field="4" count="1">
            <x v="55"/>
          </reference>
        </references>
      </pivotArea>
    </format>
    <format dxfId="161">
      <pivotArea dataOnly="0" labelOnly="1" outline="0" fieldPosition="0">
        <references count="4">
          <reference field="0" count="1" selected="0">
            <x v="10"/>
          </reference>
          <reference field="1" count="1" selected="0">
            <x v="0"/>
          </reference>
          <reference field="3" count="1" selected="0">
            <x v="19"/>
          </reference>
          <reference field="4" count="1">
            <x v="45"/>
          </reference>
        </references>
      </pivotArea>
    </format>
    <format dxfId="160">
      <pivotArea dataOnly="0" labelOnly="1" outline="0" fieldPosition="0">
        <references count="4">
          <reference field="0" count="1" selected="0">
            <x v="11"/>
          </reference>
          <reference field="1" count="1" selected="0">
            <x v="0"/>
          </reference>
          <reference field="3" count="1" selected="0">
            <x v="19"/>
          </reference>
          <reference field="4" count="1">
            <x v="31"/>
          </reference>
        </references>
      </pivotArea>
    </format>
    <format dxfId="159">
      <pivotArea dataOnly="0" labelOnly="1" outline="0" fieldPosition="0">
        <references count="4">
          <reference field="0" count="1" selected="0">
            <x v="12"/>
          </reference>
          <reference field="1" count="1" selected="0">
            <x v="0"/>
          </reference>
          <reference field="3" count="1" selected="0">
            <x v="19"/>
          </reference>
          <reference field="4" count="1">
            <x v="64"/>
          </reference>
        </references>
      </pivotArea>
    </format>
    <format dxfId="158">
      <pivotArea dataOnly="0" labelOnly="1" outline="0" fieldPosition="0">
        <references count="4">
          <reference field="0" count="1" selected="0">
            <x v="14"/>
          </reference>
          <reference field="1" count="1" selected="0">
            <x v="0"/>
          </reference>
          <reference field="3" count="1" selected="0">
            <x v="19"/>
          </reference>
          <reference field="4" count="1">
            <x v="40"/>
          </reference>
        </references>
      </pivotArea>
    </format>
    <format dxfId="157">
      <pivotArea dataOnly="0" labelOnly="1" outline="0" fieldPosition="0">
        <references count="4">
          <reference field="0" count="1" selected="0">
            <x v="15"/>
          </reference>
          <reference field="1" count="1" selected="0">
            <x v="0"/>
          </reference>
          <reference field="3" count="1" selected="0">
            <x v="19"/>
          </reference>
          <reference field="4" count="1">
            <x v="8"/>
          </reference>
        </references>
      </pivotArea>
    </format>
    <format dxfId="156">
      <pivotArea dataOnly="0" labelOnly="1" outline="0" fieldPosition="0">
        <references count="4">
          <reference field="0" count="1" selected="0">
            <x v="16"/>
          </reference>
          <reference field="1" count="1" selected="0">
            <x v="0"/>
          </reference>
          <reference field="3" count="1" selected="0">
            <x v="19"/>
          </reference>
          <reference field="4" count="1">
            <x v="19"/>
          </reference>
        </references>
      </pivotArea>
    </format>
    <format dxfId="155">
      <pivotArea dataOnly="0" labelOnly="1" outline="0" fieldPosition="0">
        <references count="4">
          <reference field="0" count="1" selected="0">
            <x v="5"/>
          </reference>
          <reference field="1" count="1" selected="0">
            <x v="1"/>
          </reference>
          <reference field="3" count="1" selected="0">
            <x v="19"/>
          </reference>
          <reference field="4" count="1">
            <x v="0"/>
          </reference>
        </references>
      </pivotArea>
    </format>
    <format dxfId="154">
      <pivotArea dataOnly="0" labelOnly="1" outline="0" fieldPosition="0">
        <references count="4">
          <reference field="0" count="1" selected="0">
            <x v="7"/>
          </reference>
          <reference field="1" count="1" selected="0">
            <x v="1"/>
          </reference>
          <reference field="3" count="1" selected="0">
            <x v="19"/>
          </reference>
          <reference field="4" count="1">
            <x v="0"/>
          </reference>
        </references>
      </pivotArea>
    </format>
    <format dxfId="153">
      <pivotArea dataOnly="0" labelOnly="1" outline="0" fieldPosition="0">
        <references count="4">
          <reference field="0" count="1" selected="0">
            <x v="13"/>
          </reference>
          <reference field="1" count="1" selected="0">
            <x v="1"/>
          </reference>
          <reference field="3" count="1" selected="0">
            <x v="19"/>
          </reference>
          <reference field="4" count="1">
            <x v="0"/>
          </reference>
        </references>
      </pivotArea>
    </format>
    <format dxfId="152">
      <pivotArea dataOnly="0" labelOnly="1" outline="0" fieldPosition="0">
        <references count="4">
          <reference field="0" count="1" selected="0">
            <x v="0"/>
          </reference>
          <reference field="1" count="1" selected="0">
            <x v="0"/>
          </reference>
          <reference field="3" count="1" selected="0">
            <x v="20"/>
          </reference>
          <reference field="4" count="1">
            <x v="53"/>
          </reference>
        </references>
      </pivotArea>
    </format>
    <format dxfId="151">
      <pivotArea dataOnly="0" labelOnly="1" outline="0" fieldPosition="0">
        <references count="4">
          <reference field="0" count="1" selected="0">
            <x v="1"/>
          </reference>
          <reference field="1" count="1" selected="0">
            <x v="0"/>
          </reference>
          <reference field="3" count="1" selected="0">
            <x v="20"/>
          </reference>
          <reference field="4" count="1">
            <x v="75"/>
          </reference>
        </references>
      </pivotArea>
    </format>
    <format dxfId="150">
      <pivotArea dataOnly="0" labelOnly="1" outline="0" fieldPosition="0">
        <references count="4">
          <reference field="0" count="1" selected="0">
            <x v="2"/>
          </reference>
          <reference field="1" count="1" selected="0">
            <x v="0"/>
          </reference>
          <reference field="3" count="1" selected="0">
            <x v="20"/>
          </reference>
          <reference field="4" count="1">
            <x v="17"/>
          </reference>
        </references>
      </pivotArea>
    </format>
    <format dxfId="149">
      <pivotArea dataOnly="0" labelOnly="1" outline="0" fieldPosition="0">
        <references count="4">
          <reference field="0" count="1" selected="0">
            <x v="3"/>
          </reference>
          <reference field="1" count="1" selected="0">
            <x v="0"/>
          </reference>
          <reference field="3" count="1" selected="0">
            <x v="20"/>
          </reference>
          <reference field="4" count="1">
            <x v="26"/>
          </reference>
        </references>
      </pivotArea>
    </format>
    <format dxfId="148">
      <pivotArea dataOnly="0" labelOnly="1" outline="0" fieldPosition="0">
        <references count="4">
          <reference field="0" count="1" selected="0">
            <x v="4"/>
          </reference>
          <reference field="1" count="1" selected="0">
            <x v="0"/>
          </reference>
          <reference field="3" count="1" selected="0">
            <x v="20"/>
          </reference>
          <reference field="4" count="1">
            <x v="0"/>
          </reference>
        </references>
      </pivotArea>
    </format>
    <format dxfId="147">
      <pivotArea dataOnly="0" labelOnly="1" outline="0" fieldPosition="0">
        <references count="4">
          <reference field="0" count="1" selected="0">
            <x v="6"/>
          </reference>
          <reference field="1" count="1" selected="0">
            <x v="0"/>
          </reference>
          <reference field="3" count="1" selected="0">
            <x v="20"/>
          </reference>
          <reference field="4" count="1">
            <x v="68"/>
          </reference>
        </references>
      </pivotArea>
    </format>
    <format dxfId="146">
      <pivotArea dataOnly="0" labelOnly="1" outline="0" fieldPosition="0">
        <references count="4">
          <reference field="0" count="1" selected="0">
            <x v="8"/>
          </reference>
          <reference field="1" count="1" selected="0">
            <x v="0"/>
          </reference>
          <reference field="3" count="1" selected="0">
            <x v="20"/>
          </reference>
          <reference field="4" count="1">
            <x v="30"/>
          </reference>
        </references>
      </pivotArea>
    </format>
    <format dxfId="145">
      <pivotArea dataOnly="0" labelOnly="1" outline="0" fieldPosition="0">
        <references count="4">
          <reference field="0" count="1" selected="0">
            <x v="9"/>
          </reference>
          <reference field="1" count="1" selected="0">
            <x v="0"/>
          </reference>
          <reference field="3" count="1" selected="0">
            <x v="20"/>
          </reference>
          <reference field="4" count="1">
            <x v="56"/>
          </reference>
        </references>
      </pivotArea>
    </format>
    <format dxfId="144">
      <pivotArea dataOnly="0" labelOnly="1" outline="0" fieldPosition="0">
        <references count="4">
          <reference field="0" count="1" selected="0">
            <x v="10"/>
          </reference>
          <reference field="1" count="1" selected="0">
            <x v="0"/>
          </reference>
          <reference field="3" count="1" selected="0">
            <x v="20"/>
          </reference>
          <reference field="4" count="1">
            <x v="46"/>
          </reference>
        </references>
      </pivotArea>
    </format>
    <format dxfId="143">
      <pivotArea dataOnly="0" labelOnly="1" outline="0" fieldPosition="0">
        <references count="4">
          <reference field="0" count="1" selected="0">
            <x v="11"/>
          </reference>
          <reference field="1" count="1" selected="0">
            <x v="0"/>
          </reference>
          <reference field="3" count="1" selected="0">
            <x v="20"/>
          </reference>
          <reference field="4" count="1">
            <x v="32"/>
          </reference>
        </references>
      </pivotArea>
    </format>
    <format dxfId="142">
      <pivotArea dataOnly="0" labelOnly="1" outline="0" fieldPosition="0">
        <references count="4">
          <reference field="0" count="1" selected="0">
            <x v="12"/>
          </reference>
          <reference field="1" count="1" selected="0">
            <x v="0"/>
          </reference>
          <reference field="3" count="1" selected="0">
            <x v="20"/>
          </reference>
          <reference field="4" count="1">
            <x v="65"/>
          </reference>
        </references>
      </pivotArea>
    </format>
    <format dxfId="141">
      <pivotArea dataOnly="0" labelOnly="1" outline="0" fieldPosition="0">
        <references count="4">
          <reference field="0" count="1" selected="0">
            <x v="14"/>
          </reference>
          <reference field="1" count="1" selected="0">
            <x v="0"/>
          </reference>
          <reference field="3" count="1" selected="0">
            <x v="20"/>
          </reference>
          <reference field="4" count="1">
            <x v="41"/>
          </reference>
        </references>
      </pivotArea>
    </format>
    <format dxfId="140">
      <pivotArea dataOnly="0" labelOnly="1" outline="0" fieldPosition="0">
        <references count="4">
          <reference field="0" count="1" selected="0">
            <x v="15"/>
          </reference>
          <reference field="1" count="1" selected="0">
            <x v="0"/>
          </reference>
          <reference field="3" count="1" selected="0">
            <x v="20"/>
          </reference>
          <reference field="4" count="1">
            <x v="9"/>
          </reference>
        </references>
      </pivotArea>
    </format>
    <format dxfId="139">
      <pivotArea dataOnly="0" labelOnly="1" outline="0" fieldPosition="0">
        <references count="4">
          <reference field="0" count="1" selected="0">
            <x v="16"/>
          </reference>
          <reference field="1" count="1" selected="0">
            <x v="0"/>
          </reference>
          <reference field="3" count="1" selected="0">
            <x v="20"/>
          </reference>
          <reference field="4" count="1">
            <x v="19"/>
          </reference>
        </references>
      </pivotArea>
    </format>
    <format dxfId="138">
      <pivotArea dataOnly="0" labelOnly="1" outline="0" fieldPosition="0">
        <references count="4">
          <reference field="0" count="1" selected="0">
            <x v="5"/>
          </reference>
          <reference field="1" count="1" selected="0">
            <x v="1"/>
          </reference>
          <reference field="3" count="1" selected="0">
            <x v="20"/>
          </reference>
          <reference field="4" count="1">
            <x v="0"/>
          </reference>
        </references>
      </pivotArea>
    </format>
    <format dxfId="137">
      <pivotArea dataOnly="0" labelOnly="1" outline="0" fieldPosition="0">
        <references count="4">
          <reference field="0" count="1" selected="0">
            <x v="7"/>
          </reference>
          <reference field="1" count="1" selected="0">
            <x v="1"/>
          </reference>
          <reference field="3" count="1" selected="0">
            <x v="20"/>
          </reference>
          <reference field="4" count="1">
            <x v="0"/>
          </reference>
        </references>
      </pivotArea>
    </format>
    <format dxfId="136">
      <pivotArea dataOnly="0" labelOnly="1" outline="0" fieldPosition="0">
        <references count="4">
          <reference field="0" count="1" selected="0">
            <x v="13"/>
          </reference>
          <reference field="1" count="1" selected="0">
            <x v="1"/>
          </reference>
          <reference field="3" count="1" selected="0">
            <x v="20"/>
          </reference>
          <reference field="4" count="1">
            <x v="0"/>
          </reference>
        </references>
      </pivotArea>
    </format>
    <format dxfId="135">
      <pivotArea dataOnly="0" labelOnly="1" outline="0" fieldPosition="0">
        <references count="4">
          <reference field="0" count="1" selected="0">
            <x v="0"/>
          </reference>
          <reference field="1" count="1" selected="0">
            <x v="0"/>
          </reference>
          <reference field="3" count="1" selected="0">
            <x v="21"/>
          </reference>
          <reference field="4" count="1">
            <x v="53"/>
          </reference>
        </references>
      </pivotArea>
    </format>
    <format dxfId="134">
      <pivotArea dataOnly="0" labelOnly="1" outline="0" fieldPosition="0">
        <references count="4">
          <reference field="0" count="1" selected="0">
            <x v="1"/>
          </reference>
          <reference field="1" count="1" selected="0">
            <x v="0"/>
          </reference>
          <reference field="3" count="1" selected="0">
            <x v="21"/>
          </reference>
          <reference field="4" count="1">
            <x v="75"/>
          </reference>
        </references>
      </pivotArea>
    </format>
    <format dxfId="133">
      <pivotArea dataOnly="0" labelOnly="1" outline="0" fieldPosition="0">
        <references count="4">
          <reference field="0" count="1" selected="0">
            <x v="2"/>
          </reference>
          <reference field="1" count="1" selected="0">
            <x v="0"/>
          </reference>
          <reference field="3" count="1" selected="0">
            <x v="21"/>
          </reference>
          <reference field="4" count="1">
            <x v="17"/>
          </reference>
        </references>
      </pivotArea>
    </format>
    <format dxfId="132">
      <pivotArea dataOnly="0" labelOnly="1" outline="0" fieldPosition="0">
        <references count="4">
          <reference field="0" count="1" selected="0">
            <x v="3"/>
          </reference>
          <reference field="1" count="1" selected="0">
            <x v="0"/>
          </reference>
          <reference field="3" count="1" selected="0">
            <x v="21"/>
          </reference>
          <reference field="4" count="1">
            <x v="26"/>
          </reference>
        </references>
      </pivotArea>
    </format>
    <format dxfId="131">
      <pivotArea dataOnly="0" labelOnly="1" outline="0" fieldPosition="0">
        <references count="4">
          <reference field="0" count="1" selected="0">
            <x v="4"/>
          </reference>
          <reference field="1" count="1" selected="0">
            <x v="0"/>
          </reference>
          <reference field="3" count="1" selected="0">
            <x v="21"/>
          </reference>
          <reference field="4" count="1">
            <x v="0"/>
          </reference>
        </references>
      </pivotArea>
    </format>
    <format dxfId="130">
      <pivotArea dataOnly="0" labelOnly="1" outline="0" fieldPosition="0">
        <references count="4">
          <reference field="0" count="1" selected="0">
            <x v="6"/>
          </reference>
          <reference field="1" count="1" selected="0">
            <x v="0"/>
          </reference>
          <reference field="3" count="1" selected="0">
            <x v="21"/>
          </reference>
          <reference field="4" count="1">
            <x v="68"/>
          </reference>
        </references>
      </pivotArea>
    </format>
    <format dxfId="129">
      <pivotArea dataOnly="0" labelOnly="1" outline="0" fieldPosition="0">
        <references count="4">
          <reference field="0" count="1" selected="0">
            <x v="8"/>
          </reference>
          <reference field="1" count="1" selected="0">
            <x v="0"/>
          </reference>
          <reference field="3" count="1" selected="0">
            <x v="21"/>
          </reference>
          <reference field="4" count="1">
            <x v="30"/>
          </reference>
        </references>
      </pivotArea>
    </format>
    <format dxfId="128">
      <pivotArea dataOnly="0" labelOnly="1" outline="0" fieldPosition="0">
        <references count="4">
          <reference field="0" count="1" selected="0">
            <x v="9"/>
          </reference>
          <reference field="1" count="1" selected="0">
            <x v="0"/>
          </reference>
          <reference field="3" count="1" selected="0">
            <x v="21"/>
          </reference>
          <reference field="4" count="1">
            <x v="56"/>
          </reference>
        </references>
      </pivotArea>
    </format>
    <format dxfId="127">
      <pivotArea dataOnly="0" labelOnly="1" outline="0" fieldPosition="0">
        <references count="4">
          <reference field="0" count="1" selected="0">
            <x v="10"/>
          </reference>
          <reference field="1" count="1" selected="0">
            <x v="0"/>
          </reference>
          <reference field="3" count="1" selected="0">
            <x v="21"/>
          </reference>
          <reference field="4" count="1">
            <x v="46"/>
          </reference>
        </references>
      </pivotArea>
    </format>
    <format dxfId="126">
      <pivotArea dataOnly="0" labelOnly="1" outline="0" fieldPosition="0">
        <references count="4">
          <reference field="0" count="1" selected="0">
            <x v="11"/>
          </reference>
          <reference field="1" count="1" selected="0">
            <x v="0"/>
          </reference>
          <reference field="3" count="1" selected="0">
            <x v="21"/>
          </reference>
          <reference field="4" count="1">
            <x v="32"/>
          </reference>
        </references>
      </pivotArea>
    </format>
    <format dxfId="125">
      <pivotArea dataOnly="0" labelOnly="1" outline="0" fieldPosition="0">
        <references count="4">
          <reference field="0" count="1" selected="0">
            <x v="12"/>
          </reference>
          <reference field="1" count="1" selected="0">
            <x v="0"/>
          </reference>
          <reference field="3" count="1" selected="0">
            <x v="21"/>
          </reference>
          <reference field="4" count="1">
            <x v="65"/>
          </reference>
        </references>
      </pivotArea>
    </format>
    <format dxfId="124">
      <pivotArea dataOnly="0" labelOnly="1" outline="0" fieldPosition="0">
        <references count="4">
          <reference field="0" count="1" selected="0">
            <x v="14"/>
          </reference>
          <reference field="1" count="1" selected="0">
            <x v="0"/>
          </reference>
          <reference field="3" count="1" selected="0">
            <x v="21"/>
          </reference>
          <reference field="4" count="1">
            <x v="41"/>
          </reference>
        </references>
      </pivotArea>
    </format>
    <format dxfId="123">
      <pivotArea dataOnly="0" labelOnly="1" outline="0" fieldPosition="0">
        <references count="4">
          <reference field="0" count="1" selected="0">
            <x v="15"/>
          </reference>
          <reference field="1" count="1" selected="0">
            <x v="0"/>
          </reference>
          <reference field="3" count="1" selected="0">
            <x v="21"/>
          </reference>
          <reference field="4" count="1">
            <x v="9"/>
          </reference>
        </references>
      </pivotArea>
    </format>
    <format dxfId="122">
      <pivotArea dataOnly="0" labelOnly="1" outline="0" fieldPosition="0">
        <references count="4">
          <reference field="0" count="1" selected="0">
            <x v="16"/>
          </reference>
          <reference field="1" count="1" selected="0">
            <x v="0"/>
          </reference>
          <reference field="3" count="1" selected="0">
            <x v="21"/>
          </reference>
          <reference field="4" count="1">
            <x v="19"/>
          </reference>
        </references>
      </pivotArea>
    </format>
    <format dxfId="121">
      <pivotArea dataOnly="0" labelOnly="1" outline="0" fieldPosition="0">
        <references count="4">
          <reference field="0" count="1" selected="0">
            <x v="5"/>
          </reference>
          <reference field="1" count="1" selected="0">
            <x v="1"/>
          </reference>
          <reference field="3" count="1" selected="0">
            <x v="21"/>
          </reference>
          <reference field="4" count="1">
            <x v="0"/>
          </reference>
        </references>
      </pivotArea>
    </format>
    <format dxfId="120">
      <pivotArea dataOnly="0" labelOnly="1" outline="0" fieldPosition="0">
        <references count="4">
          <reference field="0" count="1" selected="0">
            <x v="7"/>
          </reference>
          <reference field="1" count="1" selected="0">
            <x v="1"/>
          </reference>
          <reference field="3" count="1" selected="0">
            <x v="21"/>
          </reference>
          <reference field="4" count="1">
            <x v="0"/>
          </reference>
        </references>
      </pivotArea>
    </format>
    <format dxfId="119">
      <pivotArea dataOnly="0" labelOnly="1" outline="0" fieldPosition="0">
        <references count="4">
          <reference field="0" count="1" selected="0">
            <x v="13"/>
          </reference>
          <reference field="1" count="1" selected="0">
            <x v="1"/>
          </reference>
          <reference field="3" count="1" selected="0">
            <x v="21"/>
          </reference>
          <reference field="4" count="1">
            <x v="0"/>
          </reference>
        </references>
      </pivotArea>
    </format>
    <format dxfId="118">
      <pivotArea dataOnly="0" labelOnly="1" outline="0" fieldPosition="0">
        <references count="4">
          <reference field="0" count="1" selected="0">
            <x v="0"/>
          </reference>
          <reference field="1" count="1" selected="0">
            <x v="0"/>
          </reference>
          <reference field="3" count="1" selected="0">
            <x v="22"/>
          </reference>
          <reference field="4" count="1">
            <x v="53"/>
          </reference>
        </references>
      </pivotArea>
    </format>
    <format dxfId="117">
      <pivotArea dataOnly="0" labelOnly="1" outline="0" fieldPosition="0">
        <references count="4">
          <reference field="0" count="1" selected="0">
            <x v="1"/>
          </reference>
          <reference field="1" count="1" selected="0">
            <x v="0"/>
          </reference>
          <reference field="3" count="1" selected="0">
            <x v="22"/>
          </reference>
          <reference field="4" count="1">
            <x v="75"/>
          </reference>
        </references>
      </pivotArea>
    </format>
    <format dxfId="116">
      <pivotArea dataOnly="0" labelOnly="1" outline="0" fieldPosition="0">
        <references count="4">
          <reference field="0" count="1" selected="0">
            <x v="2"/>
          </reference>
          <reference field="1" count="1" selected="0">
            <x v="0"/>
          </reference>
          <reference field="3" count="1" selected="0">
            <x v="22"/>
          </reference>
          <reference field="4" count="1">
            <x v="17"/>
          </reference>
        </references>
      </pivotArea>
    </format>
    <format dxfId="115">
      <pivotArea dataOnly="0" labelOnly="1" outline="0" fieldPosition="0">
        <references count="4">
          <reference field="0" count="1" selected="0">
            <x v="3"/>
          </reference>
          <reference field="1" count="1" selected="0">
            <x v="0"/>
          </reference>
          <reference field="3" count="1" selected="0">
            <x v="22"/>
          </reference>
          <reference field="4" count="1">
            <x v="26"/>
          </reference>
        </references>
      </pivotArea>
    </format>
    <format dxfId="114">
      <pivotArea dataOnly="0" labelOnly="1" outline="0" fieldPosition="0">
        <references count="4">
          <reference field="0" count="1" selected="0">
            <x v="4"/>
          </reference>
          <reference field="1" count="1" selected="0">
            <x v="0"/>
          </reference>
          <reference field="3" count="1" selected="0">
            <x v="22"/>
          </reference>
          <reference field="4" count="1">
            <x v="0"/>
          </reference>
        </references>
      </pivotArea>
    </format>
    <format dxfId="113">
      <pivotArea dataOnly="0" labelOnly="1" outline="0" fieldPosition="0">
        <references count="4">
          <reference field="0" count="1" selected="0">
            <x v="6"/>
          </reference>
          <reference field="1" count="1" selected="0">
            <x v="0"/>
          </reference>
          <reference field="3" count="1" selected="0">
            <x v="22"/>
          </reference>
          <reference field="4" count="1">
            <x v="68"/>
          </reference>
        </references>
      </pivotArea>
    </format>
    <format dxfId="112">
      <pivotArea dataOnly="0" labelOnly="1" outline="0" fieldPosition="0">
        <references count="4">
          <reference field="0" count="1" selected="0">
            <x v="8"/>
          </reference>
          <reference field="1" count="1" selected="0">
            <x v="0"/>
          </reference>
          <reference field="3" count="1" selected="0">
            <x v="22"/>
          </reference>
          <reference field="4" count="1">
            <x v="30"/>
          </reference>
        </references>
      </pivotArea>
    </format>
    <format dxfId="111">
      <pivotArea dataOnly="0" labelOnly="1" outline="0" fieldPosition="0">
        <references count="4">
          <reference field="0" count="1" selected="0">
            <x v="9"/>
          </reference>
          <reference field="1" count="1" selected="0">
            <x v="0"/>
          </reference>
          <reference field="3" count="1" selected="0">
            <x v="22"/>
          </reference>
          <reference field="4" count="1">
            <x v="56"/>
          </reference>
        </references>
      </pivotArea>
    </format>
    <format dxfId="110">
      <pivotArea dataOnly="0" labelOnly="1" outline="0" fieldPosition="0">
        <references count="4">
          <reference field="0" count="1" selected="0">
            <x v="10"/>
          </reference>
          <reference field="1" count="1" selected="0">
            <x v="0"/>
          </reference>
          <reference field="3" count="1" selected="0">
            <x v="22"/>
          </reference>
          <reference field="4" count="1">
            <x v="46"/>
          </reference>
        </references>
      </pivotArea>
    </format>
    <format dxfId="109">
      <pivotArea dataOnly="0" labelOnly="1" outline="0" fieldPosition="0">
        <references count="4">
          <reference field="0" count="1" selected="0">
            <x v="11"/>
          </reference>
          <reference field="1" count="1" selected="0">
            <x v="0"/>
          </reference>
          <reference field="3" count="1" selected="0">
            <x v="22"/>
          </reference>
          <reference field="4" count="1">
            <x v="32"/>
          </reference>
        </references>
      </pivotArea>
    </format>
    <format dxfId="108">
      <pivotArea dataOnly="0" labelOnly="1" outline="0" fieldPosition="0">
        <references count="4">
          <reference field="0" count="1" selected="0">
            <x v="12"/>
          </reference>
          <reference field="1" count="1" selected="0">
            <x v="0"/>
          </reference>
          <reference field="3" count="1" selected="0">
            <x v="22"/>
          </reference>
          <reference field="4" count="1">
            <x v="65"/>
          </reference>
        </references>
      </pivotArea>
    </format>
    <format dxfId="107">
      <pivotArea dataOnly="0" labelOnly="1" outline="0" fieldPosition="0">
        <references count="4">
          <reference field="0" count="1" selected="0">
            <x v="14"/>
          </reference>
          <reference field="1" count="1" selected="0">
            <x v="0"/>
          </reference>
          <reference field="3" count="1" selected="0">
            <x v="22"/>
          </reference>
          <reference field="4" count="1">
            <x v="41"/>
          </reference>
        </references>
      </pivotArea>
    </format>
    <format dxfId="106">
      <pivotArea dataOnly="0" labelOnly="1" outline="0" fieldPosition="0">
        <references count="4">
          <reference field="0" count="1" selected="0">
            <x v="15"/>
          </reference>
          <reference field="1" count="1" selected="0">
            <x v="0"/>
          </reference>
          <reference field="3" count="1" selected="0">
            <x v="22"/>
          </reference>
          <reference field="4" count="1">
            <x v="9"/>
          </reference>
        </references>
      </pivotArea>
    </format>
    <format dxfId="105">
      <pivotArea dataOnly="0" labelOnly="1" outline="0" fieldPosition="0">
        <references count="4">
          <reference field="0" count="1" selected="0">
            <x v="16"/>
          </reference>
          <reference field="1" count="1" selected="0">
            <x v="0"/>
          </reference>
          <reference field="3" count="1" selected="0">
            <x v="22"/>
          </reference>
          <reference field="4" count="1">
            <x v="19"/>
          </reference>
        </references>
      </pivotArea>
    </format>
    <format dxfId="104">
      <pivotArea dataOnly="0" labelOnly="1" outline="0" fieldPosition="0">
        <references count="4">
          <reference field="0" count="1" selected="0">
            <x v="5"/>
          </reference>
          <reference field="1" count="1" selected="0">
            <x v="1"/>
          </reference>
          <reference field="3" count="1" selected="0">
            <x v="22"/>
          </reference>
          <reference field="4" count="1">
            <x v="0"/>
          </reference>
        </references>
      </pivotArea>
    </format>
    <format dxfId="103">
      <pivotArea dataOnly="0" labelOnly="1" outline="0" fieldPosition="0">
        <references count="4">
          <reference field="0" count="1" selected="0">
            <x v="7"/>
          </reference>
          <reference field="1" count="1" selected="0">
            <x v="1"/>
          </reference>
          <reference field="3" count="1" selected="0">
            <x v="22"/>
          </reference>
          <reference field="4" count="1">
            <x v="0"/>
          </reference>
        </references>
      </pivotArea>
    </format>
    <format dxfId="102">
      <pivotArea dataOnly="0" labelOnly="1" outline="0" fieldPosition="0">
        <references count="4">
          <reference field="0" count="1" selected="0">
            <x v="13"/>
          </reference>
          <reference field="1" count="1" selected="0">
            <x v="1"/>
          </reference>
          <reference field="3" count="1" selected="0">
            <x v="22"/>
          </reference>
          <reference field="4" count="1">
            <x v="0"/>
          </reference>
        </references>
      </pivotArea>
    </format>
    <format dxfId="101">
      <pivotArea dataOnly="0" labelOnly="1" outline="0" fieldPosition="0">
        <references count="4">
          <reference field="0" count="1" selected="0">
            <x v="0"/>
          </reference>
          <reference field="1" count="1" selected="0">
            <x v="0"/>
          </reference>
          <reference field="3" count="1" selected="0">
            <x v="23"/>
          </reference>
          <reference field="4" count="1">
            <x v="51"/>
          </reference>
        </references>
      </pivotArea>
    </format>
    <format dxfId="100">
      <pivotArea dataOnly="0" labelOnly="1" outline="0" fieldPosition="0">
        <references count="4">
          <reference field="0" count="1" selected="0">
            <x v="1"/>
          </reference>
          <reference field="1" count="1" selected="0">
            <x v="0"/>
          </reference>
          <reference field="3" count="1" selected="0">
            <x v="23"/>
          </reference>
          <reference field="4" count="1">
            <x v="76"/>
          </reference>
        </references>
      </pivotArea>
    </format>
    <format dxfId="99">
      <pivotArea dataOnly="0" labelOnly="1" outline="0" fieldPosition="0">
        <references count="4">
          <reference field="0" count="1" selected="0">
            <x v="2"/>
          </reference>
          <reference field="1" count="1" selected="0">
            <x v="0"/>
          </reference>
          <reference field="3" count="1" selected="0">
            <x v="23"/>
          </reference>
          <reference field="4" count="1">
            <x v="18"/>
          </reference>
        </references>
      </pivotArea>
    </format>
    <format dxfId="98">
      <pivotArea dataOnly="0" labelOnly="1" outline="0" fieldPosition="0">
        <references count="4">
          <reference field="0" count="1" selected="0">
            <x v="3"/>
          </reference>
          <reference field="1" count="1" selected="0">
            <x v="0"/>
          </reference>
          <reference field="3" count="1" selected="0">
            <x v="23"/>
          </reference>
          <reference field="4" count="1">
            <x v="22"/>
          </reference>
        </references>
      </pivotArea>
    </format>
    <format dxfId="97">
      <pivotArea dataOnly="0" labelOnly="1" outline="0" fieldPosition="0">
        <references count="4">
          <reference field="0" count="1" selected="0">
            <x v="4"/>
          </reference>
          <reference field="1" count="1" selected="0">
            <x v="0"/>
          </reference>
          <reference field="3" count="1" selected="0">
            <x v="23"/>
          </reference>
          <reference field="4" count="1">
            <x v="0"/>
          </reference>
        </references>
      </pivotArea>
    </format>
    <format dxfId="96">
      <pivotArea dataOnly="0" labelOnly="1" outline="0" fieldPosition="0">
        <references count="4">
          <reference field="0" count="1" selected="0">
            <x v="6"/>
          </reference>
          <reference field="1" count="1" selected="0">
            <x v="0"/>
          </reference>
          <reference field="3" count="1" selected="0">
            <x v="23"/>
          </reference>
          <reference field="4" count="1">
            <x v="69"/>
          </reference>
        </references>
      </pivotArea>
    </format>
    <format dxfId="95">
      <pivotArea dataOnly="0" labelOnly="1" outline="0" fieldPosition="0">
        <references count="4">
          <reference field="0" count="1" selected="0">
            <x v="8"/>
          </reference>
          <reference field="1" count="1" selected="0">
            <x v="0"/>
          </reference>
          <reference field="3" count="1" selected="0">
            <x v="23"/>
          </reference>
          <reference field="4" count="1">
            <x v="0"/>
          </reference>
        </references>
      </pivotArea>
    </format>
    <format dxfId="94">
      <pivotArea dataOnly="0" labelOnly="1" outline="0" fieldPosition="0">
        <references count="4">
          <reference field="0" count="1" selected="0">
            <x v="9"/>
          </reference>
          <reference field="1" count="1" selected="0">
            <x v="0"/>
          </reference>
          <reference field="3" count="1" selected="0">
            <x v="23"/>
          </reference>
          <reference field="4" count="1">
            <x v="59"/>
          </reference>
        </references>
      </pivotArea>
    </format>
    <format dxfId="93">
      <pivotArea dataOnly="0" labelOnly="1" outline="0" fieldPosition="0">
        <references count="4">
          <reference field="0" count="1" selected="0">
            <x v="10"/>
          </reference>
          <reference field="1" count="1" selected="0">
            <x v="0"/>
          </reference>
          <reference field="3" count="1" selected="0">
            <x v="23"/>
          </reference>
          <reference field="4" count="1">
            <x v="48"/>
          </reference>
        </references>
      </pivotArea>
    </format>
    <format dxfId="92">
      <pivotArea dataOnly="0" labelOnly="1" outline="0" fieldPosition="0">
        <references count="4">
          <reference field="0" count="1" selected="0">
            <x v="11"/>
          </reference>
          <reference field="1" count="1" selected="0">
            <x v="0"/>
          </reference>
          <reference field="3" count="1" selected="0">
            <x v="23"/>
          </reference>
          <reference field="4" count="1">
            <x v="33"/>
          </reference>
        </references>
      </pivotArea>
    </format>
    <format dxfId="91">
      <pivotArea dataOnly="0" labelOnly="1" outline="0" fieldPosition="0">
        <references count="4">
          <reference field="0" count="1" selected="0">
            <x v="12"/>
          </reference>
          <reference field="1" count="1" selected="0">
            <x v="0"/>
          </reference>
          <reference field="3" count="1" selected="0">
            <x v="23"/>
          </reference>
          <reference field="4" count="1">
            <x v="63"/>
          </reference>
        </references>
      </pivotArea>
    </format>
    <format dxfId="90">
      <pivotArea dataOnly="0" labelOnly="1" outline="0" fieldPosition="0">
        <references count="4">
          <reference field="0" count="1" selected="0">
            <x v="14"/>
          </reference>
          <reference field="1" count="1" selected="0">
            <x v="0"/>
          </reference>
          <reference field="3" count="1" selected="0">
            <x v="23"/>
          </reference>
          <reference field="4" count="1">
            <x v="39"/>
          </reference>
        </references>
      </pivotArea>
    </format>
    <format dxfId="89">
      <pivotArea dataOnly="0" labelOnly="1" outline="0" fieldPosition="0">
        <references count="4">
          <reference field="0" count="1" selected="0">
            <x v="15"/>
          </reference>
          <reference field="1" count="1" selected="0">
            <x v="0"/>
          </reference>
          <reference field="3" count="1" selected="0">
            <x v="23"/>
          </reference>
          <reference field="4" count="1">
            <x v="10"/>
          </reference>
        </references>
      </pivotArea>
    </format>
    <format dxfId="88">
      <pivotArea dataOnly="0" labelOnly="1" outline="0" fieldPosition="0">
        <references count="4">
          <reference field="0" count="1" selected="0">
            <x v="16"/>
          </reference>
          <reference field="1" count="1" selected="0">
            <x v="0"/>
          </reference>
          <reference field="3" count="1" selected="0">
            <x v="23"/>
          </reference>
          <reference field="4" count="1">
            <x v="16"/>
          </reference>
        </references>
      </pivotArea>
    </format>
    <format dxfId="87">
      <pivotArea dataOnly="0" labelOnly="1" outline="0" fieldPosition="0">
        <references count="4">
          <reference field="0" count="1" selected="0">
            <x v="5"/>
          </reference>
          <reference field="1" count="1" selected="0">
            <x v="1"/>
          </reference>
          <reference field="3" count="1" selected="0">
            <x v="23"/>
          </reference>
          <reference field="4" count="1">
            <x v="0"/>
          </reference>
        </references>
      </pivotArea>
    </format>
    <format dxfId="86">
      <pivotArea dataOnly="0" labelOnly="1" outline="0" fieldPosition="0">
        <references count="4">
          <reference field="0" count="1" selected="0">
            <x v="7"/>
          </reference>
          <reference field="1" count="1" selected="0">
            <x v="1"/>
          </reference>
          <reference field="3" count="1" selected="0">
            <x v="23"/>
          </reference>
          <reference field="4" count="1">
            <x v="0"/>
          </reference>
        </references>
      </pivotArea>
    </format>
    <format dxfId="85">
      <pivotArea dataOnly="0" labelOnly="1" outline="0" fieldPosition="0">
        <references count="4">
          <reference field="0" count="1" selected="0">
            <x v="13"/>
          </reference>
          <reference field="1" count="1" selected="0">
            <x v="1"/>
          </reference>
          <reference field="3" count="1" selected="0">
            <x v="23"/>
          </reference>
          <reference field="4" count="1">
            <x v="0"/>
          </reference>
        </references>
      </pivotArea>
    </format>
    <format dxfId="84">
      <pivotArea dataOnly="0" labelOnly="1" outline="0" fieldPosition="0">
        <references count="4">
          <reference field="0" count="1" selected="0">
            <x v="0"/>
          </reference>
          <reference field="1" count="1" selected="0">
            <x v="0"/>
          </reference>
          <reference field="3" count="1" selected="0">
            <x v="24"/>
          </reference>
          <reference field="4" count="1">
            <x v="51"/>
          </reference>
        </references>
      </pivotArea>
    </format>
    <format dxfId="83">
      <pivotArea dataOnly="0" labelOnly="1" outline="0" fieldPosition="0">
        <references count="4">
          <reference field="0" count="1" selected="0">
            <x v="1"/>
          </reference>
          <reference field="1" count="1" selected="0">
            <x v="0"/>
          </reference>
          <reference field="3" count="1" selected="0">
            <x v="24"/>
          </reference>
          <reference field="4" count="1">
            <x v="76"/>
          </reference>
        </references>
      </pivotArea>
    </format>
    <format dxfId="82">
      <pivotArea dataOnly="0" labelOnly="1" outline="0" fieldPosition="0">
        <references count="4">
          <reference field="0" count="1" selected="0">
            <x v="2"/>
          </reference>
          <reference field="1" count="1" selected="0">
            <x v="0"/>
          </reference>
          <reference field="3" count="1" selected="0">
            <x v="24"/>
          </reference>
          <reference field="4" count="1">
            <x v="18"/>
          </reference>
        </references>
      </pivotArea>
    </format>
    <format dxfId="81">
      <pivotArea dataOnly="0" labelOnly="1" outline="0" fieldPosition="0">
        <references count="4">
          <reference field="0" count="1" selected="0">
            <x v="3"/>
          </reference>
          <reference field="1" count="1" selected="0">
            <x v="0"/>
          </reference>
          <reference field="3" count="1" selected="0">
            <x v="24"/>
          </reference>
          <reference field="4" count="1">
            <x v="22"/>
          </reference>
        </references>
      </pivotArea>
    </format>
    <format dxfId="80">
      <pivotArea dataOnly="0" labelOnly="1" outline="0" fieldPosition="0">
        <references count="4">
          <reference field="0" count="1" selected="0">
            <x v="4"/>
          </reference>
          <reference field="1" count="1" selected="0">
            <x v="0"/>
          </reference>
          <reference field="3" count="1" selected="0">
            <x v="24"/>
          </reference>
          <reference field="4" count="1">
            <x v="0"/>
          </reference>
        </references>
      </pivotArea>
    </format>
    <format dxfId="79">
      <pivotArea dataOnly="0" labelOnly="1" outline="0" fieldPosition="0">
        <references count="4">
          <reference field="0" count="1" selected="0">
            <x v="6"/>
          </reference>
          <reference field="1" count="1" selected="0">
            <x v="0"/>
          </reference>
          <reference field="3" count="1" selected="0">
            <x v="24"/>
          </reference>
          <reference field="4" count="1">
            <x v="69"/>
          </reference>
        </references>
      </pivotArea>
    </format>
    <format dxfId="78">
      <pivotArea dataOnly="0" labelOnly="1" outline="0" fieldPosition="0">
        <references count="4">
          <reference field="0" count="1" selected="0">
            <x v="8"/>
          </reference>
          <reference field="1" count="1" selected="0">
            <x v="0"/>
          </reference>
          <reference field="3" count="1" selected="0">
            <x v="24"/>
          </reference>
          <reference field="4" count="1">
            <x v="0"/>
          </reference>
        </references>
      </pivotArea>
    </format>
    <format dxfId="77">
      <pivotArea dataOnly="0" labelOnly="1" outline="0" fieldPosition="0">
        <references count="4">
          <reference field="0" count="1" selected="0">
            <x v="9"/>
          </reference>
          <reference field="1" count="1" selected="0">
            <x v="0"/>
          </reference>
          <reference field="3" count="1" selected="0">
            <x v="24"/>
          </reference>
          <reference field="4" count="1">
            <x v="59"/>
          </reference>
        </references>
      </pivotArea>
    </format>
    <format dxfId="76">
      <pivotArea dataOnly="0" labelOnly="1" outline="0" fieldPosition="0">
        <references count="4">
          <reference field="0" count="1" selected="0">
            <x v="10"/>
          </reference>
          <reference field="1" count="1" selected="0">
            <x v="0"/>
          </reference>
          <reference field="3" count="1" selected="0">
            <x v="24"/>
          </reference>
          <reference field="4" count="1">
            <x v="48"/>
          </reference>
        </references>
      </pivotArea>
    </format>
    <format dxfId="75">
      <pivotArea dataOnly="0" labelOnly="1" outline="0" fieldPosition="0">
        <references count="4">
          <reference field="0" count="1" selected="0">
            <x v="11"/>
          </reference>
          <reference field="1" count="1" selected="0">
            <x v="0"/>
          </reference>
          <reference field="3" count="1" selected="0">
            <x v="24"/>
          </reference>
          <reference field="4" count="1">
            <x v="33"/>
          </reference>
        </references>
      </pivotArea>
    </format>
    <format dxfId="74">
      <pivotArea dataOnly="0" labelOnly="1" outline="0" fieldPosition="0">
        <references count="4">
          <reference field="0" count="1" selected="0">
            <x v="12"/>
          </reference>
          <reference field="1" count="1" selected="0">
            <x v="0"/>
          </reference>
          <reference field="3" count="1" selected="0">
            <x v="24"/>
          </reference>
          <reference field="4" count="1">
            <x v="63"/>
          </reference>
        </references>
      </pivotArea>
    </format>
    <format dxfId="73">
      <pivotArea dataOnly="0" labelOnly="1" outline="0" fieldPosition="0">
        <references count="4">
          <reference field="0" count="1" selected="0">
            <x v="14"/>
          </reference>
          <reference field="1" count="1" selected="0">
            <x v="0"/>
          </reference>
          <reference field="3" count="1" selected="0">
            <x v="24"/>
          </reference>
          <reference field="4" count="1">
            <x v="39"/>
          </reference>
        </references>
      </pivotArea>
    </format>
    <format dxfId="72">
      <pivotArea dataOnly="0" labelOnly="1" outline="0" fieldPosition="0">
        <references count="4">
          <reference field="0" count="1" selected="0">
            <x v="15"/>
          </reference>
          <reference field="1" count="1" selected="0">
            <x v="0"/>
          </reference>
          <reference field="3" count="1" selected="0">
            <x v="24"/>
          </reference>
          <reference field="4" count="1">
            <x v="10"/>
          </reference>
        </references>
      </pivotArea>
    </format>
    <format dxfId="71">
      <pivotArea dataOnly="0" labelOnly="1" outline="0" fieldPosition="0">
        <references count="4">
          <reference field="0" count="1" selected="0">
            <x v="16"/>
          </reference>
          <reference field="1" count="1" selected="0">
            <x v="0"/>
          </reference>
          <reference field="3" count="1" selected="0">
            <x v="24"/>
          </reference>
          <reference field="4" count="1">
            <x v="16"/>
          </reference>
        </references>
      </pivotArea>
    </format>
    <format dxfId="70">
      <pivotArea dataOnly="0" labelOnly="1" outline="0" fieldPosition="0">
        <references count="4">
          <reference field="0" count="1" selected="0">
            <x v="5"/>
          </reference>
          <reference field="1" count="1" selected="0">
            <x v="1"/>
          </reference>
          <reference field="3" count="1" selected="0">
            <x v="24"/>
          </reference>
          <reference field="4" count="1">
            <x v="0"/>
          </reference>
        </references>
      </pivotArea>
    </format>
    <format dxfId="69">
      <pivotArea dataOnly="0" labelOnly="1" outline="0" fieldPosition="0">
        <references count="4">
          <reference field="0" count="1" selected="0">
            <x v="7"/>
          </reference>
          <reference field="1" count="1" selected="0">
            <x v="1"/>
          </reference>
          <reference field="3" count="1" selected="0">
            <x v="24"/>
          </reference>
          <reference field="4" count="1">
            <x v="0"/>
          </reference>
        </references>
      </pivotArea>
    </format>
    <format dxfId="68">
      <pivotArea dataOnly="0" labelOnly="1" outline="0" fieldPosition="0">
        <references count="4">
          <reference field="0" count="1" selected="0">
            <x v="13"/>
          </reference>
          <reference field="1" count="1" selected="0">
            <x v="1"/>
          </reference>
          <reference field="3" count="1" selected="0">
            <x v="24"/>
          </reference>
          <reference field="4" count="1">
            <x v="0"/>
          </reference>
        </references>
      </pivotArea>
    </format>
    <format dxfId="67">
      <pivotArea dataOnly="0" labelOnly="1" outline="0" fieldPosition="0">
        <references count="4">
          <reference field="0" count="1" selected="0">
            <x v="0"/>
          </reference>
          <reference field="1" count="1" selected="0">
            <x v="0"/>
          </reference>
          <reference field="3" count="1" selected="0">
            <x v="25"/>
          </reference>
          <reference field="4" count="1">
            <x v="51"/>
          </reference>
        </references>
      </pivotArea>
    </format>
    <format dxfId="66">
      <pivotArea dataOnly="0" labelOnly="1" outline="0" fieldPosition="0">
        <references count="4">
          <reference field="0" count="1" selected="0">
            <x v="1"/>
          </reference>
          <reference field="1" count="1" selected="0">
            <x v="0"/>
          </reference>
          <reference field="3" count="1" selected="0">
            <x v="25"/>
          </reference>
          <reference field="4" count="1">
            <x v="76"/>
          </reference>
        </references>
      </pivotArea>
    </format>
    <format dxfId="65">
      <pivotArea dataOnly="0" labelOnly="1" outline="0" fieldPosition="0">
        <references count="4">
          <reference field="0" count="1" selected="0">
            <x v="2"/>
          </reference>
          <reference field="1" count="1" selected="0">
            <x v="0"/>
          </reference>
          <reference field="3" count="1" selected="0">
            <x v="25"/>
          </reference>
          <reference field="4" count="1">
            <x v="18"/>
          </reference>
        </references>
      </pivotArea>
    </format>
    <format dxfId="64">
      <pivotArea dataOnly="0" labelOnly="1" outline="0" fieldPosition="0">
        <references count="4">
          <reference field="0" count="1" selected="0">
            <x v="3"/>
          </reference>
          <reference field="1" count="1" selected="0">
            <x v="0"/>
          </reference>
          <reference field="3" count="1" selected="0">
            <x v="25"/>
          </reference>
          <reference field="4" count="1">
            <x v="22"/>
          </reference>
        </references>
      </pivotArea>
    </format>
    <format dxfId="63">
      <pivotArea dataOnly="0" labelOnly="1" outline="0" fieldPosition="0">
        <references count="4">
          <reference field="0" count="1" selected="0">
            <x v="4"/>
          </reference>
          <reference field="1" count="1" selected="0">
            <x v="0"/>
          </reference>
          <reference field="3" count="1" selected="0">
            <x v="25"/>
          </reference>
          <reference field="4" count="1">
            <x v="0"/>
          </reference>
        </references>
      </pivotArea>
    </format>
    <format dxfId="62">
      <pivotArea dataOnly="0" labelOnly="1" outline="0" fieldPosition="0">
        <references count="4">
          <reference field="0" count="1" selected="0">
            <x v="6"/>
          </reference>
          <reference field="1" count="1" selected="0">
            <x v="0"/>
          </reference>
          <reference field="3" count="1" selected="0">
            <x v="25"/>
          </reference>
          <reference field="4" count="1">
            <x v="69"/>
          </reference>
        </references>
      </pivotArea>
    </format>
    <format dxfId="61">
      <pivotArea dataOnly="0" labelOnly="1" outline="0" fieldPosition="0">
        <references count="4">
          <reference field="0" count="1" selected="0">
            <x v="8"/>
          </reference>
          <reference field="1" count="1" selected="0">
            <x v="0"/>
          </reference>
          <reference field="3" count="1" selected="0">
            <x v="25"/>
          </reference>
          <reference field="4" count="1">
            <x v="0"/>
          </reference>
        </references>
      </pivotArea>
    </format>
    <format dxfId="60">
      <pivotArea dataOnly="0" labelOnly="1" outline="0" fieldPosition="0">
        <references count="4">
          <reference field="0" count="1" selected="0">
            <x v="9"/>
          </reference>
          <reference field="1" count="1" selected="0">
            <x v="0"/>
          </reference>
          <reference field="3" count="1" selected="0">
            <x v="25"/>
          </reference>
          <reference field="4" count="1">
            <x v="59"/>
          </reference>
        </references>
      </pivotArea>
    </format>
    <format dxfId="59">
      <pivotArea dataOnly="0" labelOnly="1" outline="0" fieldPosition="0">
        <references count="4">
          <reference field="0" count="1" selected="0">
            <x v="10"/>
          </reference>
          <reference field="1" count="1" selected="0">
            <x v="0"/>
          </reference>
          <reference field="3" count="1" selected="0">
            <x v="25"/>
          </reference>
          <reference field="4" count="1">
            <x v="48"/>
          </reference>
        </references>
      </pivotArea>
    </format>
    <format dxfId="58">
      <pivotArea dataOnly="0" labelOnly="1" outline="0" fieldPosition="0">
        <references count="4">
          <reference field="0" count="1" selected="0">
            <x v="11"/>
          </reference>
          <reference field="1" count="1" selected="0">
            <x v="0"/>
          </reference>
          <reference field="3" count="1" selected="0">
            <x v="25"/>
          </reference>
          <reference field="4" count="1">
            <x v="33"/>
          </reference>
        </references>
      </pivotArea>
    </format>
    <format dxfId="57">
      <pivotArea dataOnly="0" labelOnly="1" outline="0" fieldPosition="0">
        <references count="4">
          <reference field="0" count="1" selected="0">
            <x v="12"/>
          </reference>
          <reference field="1" count="1" selected="0">
            <x v="0"/>
          </reference>
          <reference field="3" count="1" selected="0">
            <x v="25"/>
          </reference>
          <reference field="4" count="1">
            <x v="63"/>
          </reference>
        </references>
      </pivotArea>
    </format>
    <format dxfId="56">
      <pivotArea dataOnly="0" labelOnly="1" outline="0" fieldPosition="0">
        <references count="4">
          <reference field="0" count="1" selected="0">
            <x v="14"/>
          </reference>
          <reference field="1" count="1" selected="0">
            <x v="0"/>
          </reference>
          <reference field="3" count="1" selected="0">
            <x v="25"/>
          </reference>
          <reference field="4" count="1">
            <x v="39"/>
          </reference>
        </references>
      </pivotArea>
    </format>
    <format dxfId="55">
      <pivotArea dataOnly="0" labelOnly="1" outline="0" fieldPosition="0">
        <references count="4">
          <reference field="0" count="1" selected="0">
            <x v="15"/>
          </reference>
          <reference field="1" count="1" selected="0">
            <x v="0"/>
          </reference>
          <reference field="3" count="1" selected="0">
            <x v="25"/>
          </reference>
          <reference field="4" count="1">
            <x v="10"/>
          </reference>
        </references>
      </pivotArea>
    </format>
    <format dxfId="54">
      <pivotArea dataOnly="0" labelOnly="1" outline="0" fieldPosition="0">
        <references count="4">
          <reference field="0" count="1" selected="0">
            <x v="16"/>
          </reference>
          <reference field="1" count="1" selected="0">
            <x v="0"/>
          </reference>
          <reference field="3" count="1" selected="0">
            <x v="25"/>
          </reference>
          <reference field="4" count="1">
            <x v="16"/>
          </reference>
        </references>
      </pivotArea>
    </format>
    <format dxfId="53">
      <pivotArea dataOnly="0" labelOnly="1" outline="0" fieldPosition="0">
        <references count="4">
          <reference field="0" count="1" selected="0">
            <x v="5"/>
          </reference>
          <reference field="1" count="1" selected="0">
            <x v="1"/>
          </reference>
          <reference field="3" count="1" selected="0">
            <x v="25"/>
          </reference>
          <reference field="4" count="1">
            <x v="0"/>
          </reference>
        </references>
      </pivotArea>
    </format>
    <format dxfId="52">
      <pivotArea dataOnly="0" labelOnly="1" outline="0" fieldPosition="0">
        <references count="4">
          <reference field="0" count="1" selected="0">
            <x v="7"/>
          </reference>
          <reference field="1" count="1" selected="0">
            <x v="1"/>
          </reference>
          <reference field="3" count="1" selected="0">
            <x v="25"/>
          </reference>
          <reference field="4" count="1">
            <x v="0"/>
          </reference>
        </references>
      </pivotArea>
    </format>
    <format dxfId="51">
      <pivotArea dataOnly="0" labelOnly="1" outline="0" fieldPosition="0">
        <references count="4">
          <reference field="0" count="1" selected="0">
            <x v="13"/>
          </reference>
          <reference field="1" count="1" selected="0">
            <x v="1"/>
          </reference>
          <reference field="3" count="1" selected="0">
            <x v="25"/>
          </reference>
          <reference field="4" count="1">
            <x v="0"/>
          </reference>
        </references>
      </pivotArea>
    </format>
    <format dxfId="50">
      <pivotArea dataOnly="0" labelOnly="1" outline="0" fieldPosition="0">
        <references count="4">
          <reference field="0" count="1" selected="0">
            <x v="0"/>
          </reference>
          <reference field="1" count="1" selected="0">
            <x v="0"/>
          </reference>
          <reference field="3" count="1" selected="0">
            <x v="26"/>
          </reference>
          <reference field="4" count="1">
            <x v="51"/>
          </reference>
        </references>
      </pivotArea>
    </format>
    <format dxfId="49">
      <pivotArea dataOnly="0" labelOnly="1" outline="0" fieldPosition="0">
        <references count="4">
          <reference field="0" count="1" selected="0">
            <x v="1"/>
          </reference>
          <reference field="1" count="1" selected="0">
            <x v="0"/>
          </reference>
          <reference field="3" count="1" selected="0">
            <x v="26"/>
          </reference>
          <reference field="4" count="1">
            <x v="76"/>
          </reference>
        </references>
      </pivotArea>
    </format>
    <format dxfId="48">
      <pivotArea dataOnly="0" labelOnly="1" outline="0" fieldPosition="0">
        <references count="4">
          <reference field="0" count="1" selected="0">
            <x v="2"/>
          </reference>
          <reference field="1" count="1" selected="0">
            <x v="0"/>
          </reference>
          <reference field="3" count="1" selected="0">
            <x v="26"/>
          </reference>
          <reference field="4" count="1">
            <x v="18"/>
          </reference>
        </references>
      </pivotArea>
    </format>
    <format dxfId="47">
      <pivotArea dataOnly="0" labelOnly="1" outline="0" fieldPosition="0">
        <references count="4">
          <reference field="0" count="1" selected="0">
            <x v="3"/>
          </reference>
          <reference field="1" count="1" selected="0">
            <x v="0"/>
          </reference>
          <reference field="3" count="1" selected="0">
            <x v="26"/>
          </reference>
          <reference field="4" count="1">
            <x v="22"/>
          </reference>
        </references>
      </pivotArea>
    </format>
    <format dxfId="46">
      <pivotArea dataOnly="0" labelOnly="1" outline="0" fieldPosition="0">
        <references count="4">
          <reference field="0" count="1" selected="0">
            <x v="4"/>
          </reference>
          <reference field="1" count="1" selected="0">
            <x v="0"/>
          </reference>
          <reference field="3" count="1" selected="0">
            <x v="26"/>
          </reference>
          <reference field="4" count="1">
            <x v="0"/>
          </reference>
        </references>
      </pivotArea>
    </format>
    <format dxfId="45">
      <pivotArea dataOnly="0" labelOnly="1" outline="0" fieldPosition="0">
        <references count="4">
          <reference field="0" count="1" selected="0">
            <x v="6"/>
          </reference>
          <reference field="1" count="1" selected="0">
            <x v="0"/>
          </reference>
          <reference field="3" count="1" selected="0">
            <x v="26"/>
          </reference>
          <reference field="4" count="1">
            <x v="69"/>
          </reference>
        </references>
      </pivotArea>
    </format>
    <format dxfId="44">
      <pivotArea dataOnly="0" labelOnly="1" outline="0" fieldPosition="0">
        <references count="4">
          <reference field="0" count="1" selected="0">
            <x v="8"/>
          </reference>
          <reference field="1" count="1" selected="0">
            <x v="0"/>
          </reference>
          <reference field="3" count="1" selected="0">
            <x v="26"/>
          </reference>
          <reference field="4" count="1">
            <x v="0"/>
          </reference>
        </references>
      </pivotArea>
    </format>
    <format dxfId="43">
      <pivotArea dataOnly="0" labelOnly="1" outline="0" fieldPosition="0">
        <references count="4">
          <reference field="0" count="1" selected="0">
            <x v="9"/>
          </reference>
          <reference field="1" count="1" selected="0">
            <x v="0"/>
          </reference>
          <reference field="3" count="1" selected="0">
            <x v="26"/>
          </reference>
          <reference field="4" count="1">
            <x v="59"/>
          </reference>
        </references>
      </pivotArea>
    </format>
    <format dxfId="42">
      <pivotArea dataOnly="0" labelOnly="1" outline="0" fieldPosition="0">
        <references count="4">
          <reference field="0" count="1" selected="0">
            <x v="10"/>
          </reference>
          <reference field="1" count="1" selected="0">
            <x v="0"/>
          </reference>
          <reference field="3" count="1" selected="0">
            <x v="26"/>
          </reference>
          <reference field="4" count="1">
            <x v="48"/>
          </reference>
        </references>
      </pivotArea>
    </format>
    <format dxfId="41">
      <pivotArea dataOnly="0" labelOnly="1" outline="0" fieldPosition="0">
        <references count="4">
          <reference field="0" count="1" selected="0">
            <x v="11"/>
          </reference>
          <reference field="1" count="1" selected="0">
            <x v="0"/>
          </reference>
          <reference field="3" count="1" selected="0">
            <x v="26"/>
          </reference>
          <reference field="4" count="1">
            <x v="33"/>
          </reference>
        </references>
      </pivotArea>
    </format>
    <format dxfId="40">
      <pivotArea dataOnly="0" labelOnly="1" outline="0" fieldPosition="0">
        <references count="4">
          <reference field="0" count="1" selected="0">
            <x v="12"/>
          </reference>
          <reference field="1" count="1" selected="0">
            <x v="0"/>
          </reference>
          <reference field="3" count="1" selected="0">
            <x v="26"/>
          </reference>
          <reference field="4" count="1">
            <x v="63"/>
          </reference>
        </references>
      </pivotArea>
    </format>
    <format dxfId="39">
      <pivotArea dataOnly="0" labelOnly="1" outline="0" fieldPosition="0">
        <references count="4">
          <reference field="0" count="1" selected="0">
            <x v="14"/>
          </reference>
          <reference field="1" count="1" selected="0">
            <x v="0"/>
          </reference>
          <reference field="3" count="1" selected="0">
            <x v="26"/>
          </reference>
          <reference field="4" count="1">
            <x v="39"/>
          </reference>
        </references>
      </pivotArea>
    </format>
    <format dxfId="38">
      <pivotArea dataOnly="0" labelOnly="1" outline="0" fieldPosition="0">
        <references count="4">
          <reference field="0" count="1" selected="0">
            <x v="15"/>
          </reference>
          <reference field="1" count="1" selected="0">
            <x v="0"/>
          </reference>
          <reference field="3" count="1" selected="0">
            <x v="26"/>
          </reference>
          <reference field="4" count="1">
            <x v="10"/>
          </reference>
        </references>
      </pivotArea>
    </format>
    <format dxfId="37">
      <pivotArea dataOnly="0" labelOnly="1" outline="0" fieldPosition="0">
        <references count="4">
          <reference field="0" count="1" selected="0">
            <x v="16"/>
          </reference>
          <reference field="1" count="1" selected="0">
            <x v="0"/>
          </reference>
          <reference field="3" count="1" selected="0">
            <x v="26"/>
          </reference>
          <reference field="4" count="1">
            <x v="16"/>
          </reference>
        </references>
      </pivotArea>
    </format>
    <format dxfId="36">
      <pivotArea dataOnly="0" labelOnly="1" outline="0" fieldPosition="0">
        <references count="4">
          <reference field="0" count="1" selected="0">
            <x v="5"/>
          </reference>
          <reference field="1" count="1" selected="0">
            <x v="1"/>
          </reference>
          <reference field="3" count="1" selected="0">
            <x v="26"/>
          </reference>
          <reference field="4" count="1">
            <x v="0"/>
          </reference>
        </references>
      </pivotArea>
    </format>
    <format dxfId="35">
      <pivotArea dataOnly="0" labelOnly="1" outline="0" fieldPosition="0">
        <references count="4">
          <reference field="0" count="1" selected="0">
            <x v="7"/>
          </reference>
          <reference field="1" count="1" selected="0">
            <x v="1"/>
          </reference>
          <reference field="3" count="1" selected="0">
            <x v="26"/>
          </reference>
          <reference field="4" count="1">
            <x v="0"/>
          </reference>
        </references>
      </pivotArea>
    </format>
    <format dxfId="34">
      <pivotArea dataOnly="0" labelOnly="1" outline="0" fieldPosition="0">
        <references count="4">
          <reference field="0" count="1" selected="0">
            <x v="13"/>
          </reference>
          <reference field="1" count="1" selected="0">
            <x v="1"/>
          </reference>
          <reference field="3" count="1" selected="0">
            <x v="26"/>
          </reference>
          <reference field="4" count="1">
            <x v="0"/>
          </reference>
        </references>
      </pivotArea>
    </format>
    <format dxfId="33">
      <pivotArea dataOnly="0" labelOnly="1" outline="0" fieldPosition="0">
        <references count="4">
          <reference field="0" count="1" selected="0">
            <x v="0"/>
          </reference>
          <reference field="1" count="1" selected="0">
            <x v="0"/>
          </reference>
          <reference field="3" count="1" selected="0">
            <x v="27"/>
          </reference>
          <reference field="4" count="1">
            <x v="51"/>
          </reference>
        </references>
      </pivotArea>
    </format>
    <format dxfId="32">
      <pivotArea dataOnly="0" labelOnly="1" outline="0" fieldPosition="0">
        <references count="4">
          <reference field="0" count="1" selected="0">
            <x v="1"/>
          </reference>
          <reference field="1" count="1" selected="0">
            <x v="0"/>
          </reference>
          <reference field="3" count="1" selected="0">
            <x v="27"/>
          </reference>
          <reference field="4" count="1">
            <x v="76"/>
          </reference>
        </references>
      </pivotArea>
    </format>
    <format dxfId="31">
      <pivotArea dataOnly="0" labelOnly="1" outline="0" fieldPosition="0">
        <references count="4">
          <reference field="0" count="1" selected="0">
            <x v="2"/>
          </reference>
          <reference field="1" count="1" selected="0">
            <x v="0"/>
          </reference>
          <reference field="3" count="1" selected="0">
            <x v="27"/>
          </reference>
          <reference field="4" count="1">
            <x v="18"/>
          </reference>
        </references>
      </pivotArea>
    </format>
    <format dxfId="30">
      <pivotArea dataOnly="0" labelOnly="1" outline="0" fieldPosition="0">
        <references count="4">
          <reference field="0" count="1" selected="0">
            <x v="3"/>
          </reference>
          <reference field="1" count="1" selected="0">
            <x v="0"/>
          </reference>
          <reference field="3" count="1" selected="0">
            <x v="27"/>
          </reference>
          <reference field="4" count="1">
            <x v="22"/>
          </reference>
        </references>
      </pivotArea>
    </format>
    <format dxfId="29">
      <pivotArea dataOnly="0" labelOnly="1" outline="0" fieldPosition="0">
        <references count="4">
          <reference field="0" count="1" selected="0">
            <x v="4"/>
          </reference>
          <reference field="1" count="1" selected="0">
            <x v="0"/>
          </reference>
          <reference field="3" count="1" selected="0">
            <x v="27"/>
          </reference>
          <reference field="4" count="1">
            <x v="0"/>
          </reference>
        </references>
      </pivotArea>
    </format>
    <format dxfId="28">
      <pivotArea dataOnly="0" labelOnly="1" outline="0" fieldPosition="0">
        <references count="4">
          <reference field="0" count="1" selected="0">
            <x v="6"/>
          </reference>
          <reference field="1" count="1" selected="0">
            <x v="0"/>
          </reference>
          <reference field="3" count="1" selected="0">
            <x v="27"/>
          </reference>
          <reference field="4" count="1">
            <x v="69"/>
          </reference>
        </references>
      </pivotArea>
    </format>
    <format dxfId="27">
      <pivotArea dataOnly="0" labelOnly="1" outline="0" fieldPosition="0">
        <references count="4">
          <reference field="0" count="1" selected="0">
            <x v="8"/>
          </reference>
          <reference field="1" count="1" selected="0">
            <x v="0"/>
          </reference>
          <reference field="3" count="1" selected="0">
            <x v="27"/>
          </reference>
          <reference field="4" count="1">
            <x v="0"/>
          </reference>
        </references>
      </pivotArea>
    </format>
    <format dxfId="26">
      <pivotArea dataOnly="0" labelOnly="1" outline="0" fieldPosition="0">
        <references count="4">
          <reference field="0" count="1" selected="0">
            <x v="9"/>
          </reference>
          <reference field="1" count="1" selected="0">
            <x v="0"/>
          </reference>
          <reference field="3" count="1" selected="0">
            <x v="27"/>
          </reference>
          <reference field="4" count="1">
            <x v="59"/>
          </reference>
        </references>
      </pivotArea>
    </format>
    <format dxfId="25">
      <pivotArea dataOnly="0" labelOnly="1" outline="0" fieldPosition="0">
        <references count="4">
          <reference field="0" count="1" selected="0">
            <x v="10"/>
          </reference>
          <reference field="1" count="1" selected="0">
            <x v="0"/>
          </reference>
          <reference field="3" count="1" selected="0">
            <x v="27"/>
          </reference>
          <reference field="4" count="1">
            <x v="48"/>
          </reference>
        </references>
      </pivotArea>
    </format>
    <format dxfId="24">
      <pivotArea dataOnly="0" labelOnly="1" outline="0" fieldPosition="0">
        <references count="4">
          <reference field="0" count="1" selected="0">
            <x v="11"/>
          </reference>
          <reference field="1" count="1" selected="0">
            <x v="0"/>
          </reference>
          <reference field="3" count="1" selected="0">
            <x v="27"/>
          </reference>
          <reference field="4" count="1">
            <x v="33"/>
          </reference>
        </references>
      </pivotArea>
    </format>
    <format dxfId="23">
      <pivotArea dataOnly="0" labelOnly="1" outline="0" fieldPosition="0">
        <references count="4">
          <reference field="0" count="1" selected="0">
            <x v="12"/>
          </reference>
          <reference field="1" count="1" selected="0">
            <x v="0"/>
          </reference>
          <reference field="3" count="1" selected="0">
            <x v="27"/>
          </reference>
          <reference field="4" count="1">
            <x v="63"/>
          </reference>
        </references>
      </pivotArea>
    </format>
    <format dxfId="22">
      <pivotArea dataOnly="0" labelOnly="1" outline="0" fieldPosition="0">
        <references count="4">
          <reference field="0" count="1" selected="0">
            <x v="14"/>
          </reference>
          <reference field="1" count="1" selected="0">
            <x v="0"/>
          </reference>
          <reference field="3" count="1" selected="0">
            <x v="27"/>
          </reference>
          <reference field="4" count="1">
            <x v="39"/>
          </reference>
        </references>
      </pivotArea>
    </format>
    <format dxfId="21">
      <pivotArea dataOnly="0" labelOnly="1" outline="0" fieldPosition="0">
        <references count="4">
          <reference field="0" count="1" selected="0">
            <x v="15"/>
          </reference>
          <reference field="1" count="1" selected="0">
            <x v="0"/>
          </reference>
          <reference field="3" count="1" selected="0">
            <x v="27"/>
          </reference>
          <reference field="4" count="1">
            <x v="10"/>
          </reference>
        </references>
      </pivotArea>
    </format>
    <format dxfId="20">
      <pivotArea dataOnly="0" labelOnly="1" outline="0" fieldPosition="0">
        <references count="4">
          <reference field="0" count="1" selected="0">
            <x v="16"/>
          </reference>
          <reference field="1" count="1" selected="0">
            <x v="0"/>
          </reference>
          <reference field="3" count="1" selected="0">
            <x v="27"/>
          </reference>
          <reference field="4" count="1">
            <x v="16"/>
          </reference>
        </references>
      </pivotArea>
    </format>
    <format dxfId="19">
      <pivotArea dataOnly="0" labelOnly="1" outline="0" fieldPosition="0">
        <references count="4">
          <reference field="0" count="1" selected="0">
            <x v="5"/>
          </reference>
          <reference field="1" count="1" selected="0">
            <x v="1"/>
          </reference>
          <reference field="3" count="1" selected="0">
            <x v="27"/>
          </reference>
          <reference field="4" count="1">
            <x v="0"/>
          </reference>
        </references>
      </pivotArea>
    </format>
    <format dxfId="18">
      <pivotArea dataOnly="0" labelOnly="1" outline="0" fieldPosition="0">
        <references count="4">
          <reference field="0" count="1" selected="0">
            <x v="7"/>
          </reference>
          <reference field="1" count="1" selected="0">
            <x v="1"/>
          </reference>
          <reference field="3" count="1" selected="0">
            <x v="27"/>
          </reference>
          <reference field="4" count="1">
            <x v="0"/>
          </reference>
        </references>
      </pivotArea>
    </format>
    <format dxfId="17">
      <pivotArea dataOnly="0" labelOnly="1" outline="0" fieldPosition="0">
        <references count="4">
          <reference field="0" count="1" selected="0">
            <x v="13"/>
          </reference>
          <reference field="1" count="1" selected="0">
            <x v="1"/>
          </reference>
          <reference field="3" count="1" selected="0">
            <x v="27"/>
          </reference>
          <reference field="4" count="1">
            <x v="0"/>
          </reference>
        </references>
      </pivotArea>
    </format>
    <format dxfId="16">
      <pivotArea dataOnly="0" labelOnly="1" outline="0" fieldPosition="0">
        <references count="4">
          <reference field="0" count="1" selected="0">
            <x v="0"/>
          </reference>
          <reference field="1" count="1" selected="0">
            <x v="0"/>
          </reference>
          <reference field="3" count="1" selected="0">
            <x v="28"/>
          </reference>
          <reference field="4" count="1">
            <x v="51"/>
          </reference>
        </references>
      </pivotArea>
    </format>
    <format dxfId="15">
      <pivotArea dataOnly="0" labelOnly="1" outline="0" fieldPosition="0">
        <references count="4">
          <reference field="0" count="1" selected="0">
            <x v="1"/>
          </reference>
          <reference field="1" count="1" selected="0">
            <x v="0"/>
          </reference>
          <reference field="3" count="1" selected="0">
            <x v="28"/>
          </reference>
          <reference field="4" count="1">
            <x v="76"/>
          </reference>
        </references>
      </pivotArea>
    </format>
    <format dxfId="14">
      <pivotArea dataOnly="0" labelOnly="1" outline="0" fieldPosition="0">
        <references count="4">
          <reference field="0" count="1" selected="0">
            <x v="2"/>
          </reference>
          <reference field="1" count="1" selected="0">
            <x v="0"/>
          </reference>
          <reference field="3" count="1" selected="0">
            <x v="28"/>
          </reference>
          <reference field="4" count="1">
            <x v="18"/>
          </reference>
        </references>
      </pivotArea>
    </format>
    <format dxfId="13">
      <pivotArea dataOnly="0" labelOnly="1" outline="0" fieldPosition="0">
        <references count="4">
          <reference field="0" count="1" selected="0">
            <x v="3"/>
          </reference>
          <reference field="1" count="1" selected="0">
            <x v="0"/>
          </reference>
          <reference field="3" count="1" selected="0">
            <x v="28"/>
          </reference>
          <reference field="4" count="1">
            <x v="22"/>
          </reference>
        </references>
      </pivotArea>
    </format>
    <format dxfId="12">
      <pivotArea dataOnly="0" labelOnly="1" outline="0" fieldPosition="0">
        <references count="4">
          <reference field="0" count="1" selected="0">
            <x v="4"/>
          </reference>
          <reference field="1" count="1" selected="0">
            <x v="0"/>
          </reference>
          <reference field="3" count="1" selected="0">
            <x v="28"/>
          </reference>
          <reference field="4" count="1">
            <x v="0"/>
          </reference>
        </references>
      </pivotArea>
    </format>
    <format dxfId="11">
      <pivotArea dataOnly="0" labelOnly="1" outline="0" fieldPosition="0">
        <references count="4">
          <reference field="0" count="1" selected="0">
            <x v="6"/>
          </reference>
          <reference field="1" count="1" selected="0">
            <x v="0"/>
          </reference>
          <reference field="3" count="1" selected="0">
            <x v="28"/>
          </reference>
          <reference field="4" count="1">
            <x v="69"/>
          </reference>
        </references>
      </pivotArea>
    </format>
    <format dxfId="10">
      <pivotArea dataOnly="0" labelOnly="1" outline="0" fieldPosition="0">
        <references count="4">
          <reference field="0" count="1" selected="0">
            <x v="8"/>
          </reference>
          <reference field="1" count="1" selected="0">
            <x v="0"/>
          </reference>
          <reference field="3" count="1" selected="0">
            <x v="28"/>
          </reference>
          <reference field="4" count="1">
            <x v="0"/>
          </reference>
        </references>
      </pivotArea>
    </format>
    <format dxfId="9">
      <pivotArea dataOnly="0" labelOnly="1" outline="0" fieldPosition="0">
        <references count="4">
          <reference field="0" count="1" selected="0">
            <x v="9"/>
          </reference>
          <reference field="1" count="1" selected="0">
            <x v="0"/>
          </reference>
          <reference field="3" count="1" selected="0">
            <x v="28"/>
          </reference>
          <reference field="4" count="1">
            <x v="59"/>
          </reference>
        </references>
      </pivotArea>
    </format>
    <format dxfId="8">
      <pivotArea dataOnly="0" labelOnly="1" outline="0" fieldPosition="0">
        <references count="4">
          <reference field="0" count="1" selected="0">
            <x v="10"/>
          </reference>
          <reference field="1" count="1" selected="0">
            <x v="0"/>
          </reference>
          <reference field="3" count="1" selected="0">
            <x v="28"/>
          </reference>
          <reference field="4" count="1">
            <x v="48"/>
          </reference>
        </references>
      </pivotArea>
    </format>
    <format dxfId="7">
      <pivotArea dataOnly="0" labelOnly="1" outline="0" fieldPosition="0">
        <references count="4">
          <reference field="0" count="1" selected="0">
            <x v="11"/>
          </reference>
          <reference field="1" count="1" selected="0">
            <x v="0"/>
          </reference>
          <reference field="3" count="1" selected="0">
            <x v="28"/>
          </reference>
          <reference field="4" count="1">
            <x v="33"/>
          </reference>
        </references>
      </pivotArea>
    </format>
    <format dxfId="6">
      <pivotArea dataOnly="0" labelOnly="1" outline="0" fieldPosition="0">
        <references count="4">
          <reference field="0" count="1" selected="0">
            <x v="12"/>
          </reference>
          <reference field="1" count="1" selected="0">
            <x v="0"/>
          </reference>
          <reference field="3" count="1" selected="0">
            <x v="28"/>
          </reference>
          <reference field="4" count="1">
            <x v="63"/>
          </reference>
        </references>
      </pivotArea>
    </format>
    <format dxfId="5">
      <pivotArea dataOnly="0" labelOnly="1" outline="0" fieldPosition="0">
        <references count="4">
          <reference field="0" count="1" selected="0">
            <x v="14"/>
          </reference>
          <reference field="1" count="1" selected="0">
            <x v="0"/>
          </reference>
          <reference field="3" count="1" selected="0">
            <x v="28"/>
          </reference>
          <reference field="4" count="1">
            <x v="39"/>
          </reference>
        </references>
      </pivotArea>
    </format>
    <format dxfId="4">
      <pivotArea dataOnly="0" labelOnly="1" outline="0" fieldPosition="0">
        <references count="4">
          <reference field="0" count="1" selected="0">
            <x v="15"/>
          </reference>
          <reference field="1" count="1" selected="0">
            <x v="0"/>
          </reference>
          <reference field="3" count="1" selected="0">
            <x v="28"/>
          </reference>
          <reference field="4" count="1">
            <x v="10"/>
          </reference>
        </references>
      </pivotArea>
    </format>
    <format dxfId="3">
      <pivotArea dataOnly="0" labelOnly="1" outline="0" fieldPosition="0">
        <references count="4">
          <reference field="0" count="1" selected="0">
            <x v="16"/>
          </reference>
          <reference field="1" count="1" selected="0">
            <x v="0"/>
          </reference>
          <reference field="3" count="1" selected="0">
            <x v="28"/>
          </reference>
          <reference field="4" count="1">
            <x v="16"/>
          </reference>
        </references>
      </pivotArea>
    </format>
    <format dxfId="2">
      <pivotArea dataOnly="0" labelOnly="1" outline="0" fieldPosition="0">
        <references count="4">
          <reference field="0" count="1" selected="0">
            <x v="5"/>
          </reference>
          <reference field="1" count="1" selected="0">
            <x v="1"/>
          </reference>
          <reference field="3" count="1" selected="0">
            <x v="28"/>
          </reference>
          <reference field="4" count="1">
            <x v="0"/>
          </reference>
        </references>
      </pivotArea>
    </format>
    <format dxfId="1">
      <pivotArea dataOnly="0" labelOnly="1" outline="0" fieldPosition="0">
        <references count="4">
          <reference field="0" count="1" selected="0">
            <x v="7"/>
          </reference>
          <reference field="1" count="1" selected="0">
            <x v="1"/>
          </reference>
          <reference field="3" count="1" selected="0">
            <x v="28"/>
          </reference>
          <reference field="4" count="1">
            <x v="0"/>
          </reference>
        </references>
      </pivotArea>
    </format>
    <format dxfId="0">
      <pivotArea dataOnly="0" labelOnly="1" outline="0" fieldPosition="0">
        <references count="4">
          <reference field="0" count="1" selected="0">
            <x v="13"/>
          </reference>
          <reference field="1" count="1" selected="0">
            <x v="1"/>
          </reference>
          <reference field="3" count="1" selected="0">
            <x v="28"/>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1" cacheId="986"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63"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58">
    <i>
      <x/>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36"/>
      <x v="26"/>
      <x v="96"/>
      <x v="118"/>
    </i>
    <i r="1">
      <x v="237"/>
      <x v="26"/>
      <x v="96"/>
      <x v="101"/>
    </i>
    <i r="1">
      <x v="238"/>
      <x v="26"/>
      <x v="96"/>
      <x v="102"/>
    </i>
    <i r="1">
      <x v="239"/>
      <x v="26"/>
      <x v="96"/>
      <x v="103"/>
    </i>
    <i r="1">
      <x v="240"/>
      <x v="26"/>
      <x v="96"/>
      <x v="104"/>
    </i>
    <i r="1">
      <x v="241"/>
      <x v="26"/>
      <x v="96"/>
      <x v="105"/>
    </i>
    <i r="1">
      <x v="242"/>
      <x v="26"/>
      <x v="97"/>
      <x v="118"/>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i>
      <x v="1"/>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275"/>
      <x v="5"/>
      <x v="112"/>
      <x v="43"/>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276"/>
      <x v="24"/>
      <x v="113"/>
      <x v="111"/>
    </i>
    <i r="1">
      <x v="277"/>
      <x v="24"/>
      <x v="114"/>
      <x v="111"/>
    </i>
    <i r="1">
      <x v="278"/>
      <x v="24"/>
      <x v="115"/>
      <x v="111"/>
    </i>
    <i r="1">
      <x v="279"/>
      <x v="24"/>
      <x v="116"/>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80"/>
      <x v="25"/>
      <x v="117"/>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81"/>
      <x v="26"/>
      <x v="95"/>
      <x v="120"/>
    </i>
    <i r="1">
      <x v="236"/>
      <x v="26"/>
      <x v="96"/>
      <x v="118"/>
    </i>
    <i r="1">
      <x v="237"/>
      <x v="26"/>
      <x v="96"/>
      <x v="101"/>
    </i>
    <i r="1">
      <x v="238"/>
      <x v="26"/>
      <x v="96"/>
      <x v="102"/>
    </i>
    <i r="1">
      <x v="239"/>
      <x v="26"/>
      <x v="96"/>
      <x v="103"/>
    </i>
    <i r="1">
      <x v="240"/>
      <x v="26"/>
      <x v="96"/>
      <x v="104"/>
    </i>
    <i r="1">
      <x v="241"/>
      <x v="26"/>
      <x v="96"/>
      <x v="105"/>
    </i>
    <i r="1">
      <x v="242"/>
      <x v="26"/>
      <x v="97"/>
      <x v="118"/>
    </i>
    <i r="1">
      <x v="282"/>
      <x v="26"/>
      <x v="97"/>
      <x v="132"/>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1-04-09T18:10:38.24" personId="{292B42C0-D4AE-4E70-B160-B34CC0283AEF}" id="{344CAB06-87E9-49CC-8401-4004EF1B7586}">
    <text>Use DHP formula if possible for your initiative - you'll need a measure index in column B</text>
  </threadedComment>
  <threadedComment ref="K3" dT="2021-04-09T18:10:38.24" personId="{292B42C0-D4AE-4E70-B160-B34CC0283AEF}" id="{50C09E9C-6FD8-4023-8FB2-F7EED38A928F}">
    <text>Use DHP formula if possible for your initiative - you'll need a measure index in column B</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hyperlink" Target="https://neea.org/portal/sign-in%20under%20Savings%20Reports,%20Consumer%20Products" TargetMode="External"/><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0.bin"/><Relationship Id="rId1" Type="http://schemas.openxmlformats.org/officeDocument/2006/relationships/hyperlink" Target="https://nwcouncil.app.box.com/v/NonResLightingCSFandHOUv2-1" TargetMode="External"/><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nwcouncil.app.box.com/v/ComSecGlazingSys-v1-1"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A3" sqref="A3"/>
    </sheetView>
  </sheetViews>
  <sheetFormatPr defaultRowHeight="15"/>
  <cols>
    <col min="1" max="1" width="29.5703125" customWidth="1"/>
    <col min="3" max="3" width="26.42578125" customWidth="1"/>
    <col min="7" max="7" width="32.7109375" customWidth="1"/>
    <col min="8" max="8" width="21.7109375" customWidth="1"/>
  </cols>
  <sheetData>
    <row r="1" spans="1:9">
      <c r="A1" s="176" t="s">
        <v>686</v>
      </c>
      <c r="B1" s="176" t="s">
        <v>524</v>
      </c>
      <c r="C1" s="176" t="s">
        <v>687</v>
      </c>
      <c r="D1" s="176" t="s">
        <v>688</v>
      </c>
      <c r="E1" s="176" t="s">
        <v>689</v>
      </c>
      <c r="F1" s="176" t="s">
        <v>8</v>
      </c>
      <c r="G1" s="176" t="s">
        <v>690</v>
      </c>
      <c r="H1" s="176" t="s">
        <v>691</v>
      </c>
      <c r="I1" s="176" t="s">
        <v>734</v>
      </c>
    </row>
    <row r="2" spans="1:9">
      <c r="A2" s="177" t="s">
        <v>692</v>
      </c>
      <c r="B2" s="177" t="s">
        <v>692</v>
      </c>
      <c r="C2" s="177" t="s">
        <v>693</v>
      </c>
      <c r="D2" s="177">
        <v>2018</v>
      </c>
      <c r="E2" s="177" t="s">
        <v>16</v>
      </c>
      <c r="F2" s="177">
        <v>2021</v>
      </c>
      <c r="G2" s="177" t="s">
        <v>1433</v>
      </c>
      <c r="H2" s="177" t="s">
        <v>726</v>
      </c>
      <c r="I2" s="177" t="s">
        <v>1111</v>
      </c>
    </row>
    <row r="3" spans="1:9">
      <c r="A3" s="177" t="s">
        <v>694</v>
      </c>
      <c r="B3" s="177" t="s">
        <v>695</v>
      </c>
      <c r="C3" s="177" t="s">
        <v>208</v>
      </c>
      <c r="D3" s="177">
        <v>2019</v>
      </c>
      <c r="E3" s="177" t="s">
        <v>692</v>
      </c>
      <c r="F3" s="177">
        <v>2022</v>
      </c>
      <c r="G3" s="177" t="s">
        <v>1435</v>
      </c>
      <c r="I3" t="s">
        <v>215</v>
      </c>
    </row>
    <row r="4" spans="1:9">
      <c r="A4" s="177" t="s">
        <v>696</v>
      </c>
      <c r="B4" s="177" t="s">
        <v>697</v>
      </c>
      <c r="C4" s="177" t="s">
        <v>698</v>
      </c>
      <c r="D4" s="177" t="s">
        <v>573</v>
      </c>
      <c r="F4" s="177">
        <v>2023</v>
      </c>
      <c r="G4" s="177" t="s">
        <v>1412</v>
      </c>
      <c r="I4" t="s">
        <v>208</v>
      </c>
    </row>
    <row r="5" spans="1:9">
      <c r="A5" s="177" t="s">
        <v>564</v>
      </c>
      <c r="B5" s="177" t="s">
        <v>699</v>
      </c>
      <c r="C5" s="177" t="s">
        <v>700</v>
      </c>
      <c r="D5" s="177"/>
      <c r="F5" s="177">
        <v>2024</v>
      </c>
      <c r="G5" s="177" t="s">
        <v>701</v>
      </c>
    </row>
    <row r="6" spans="1:9">
      <c r="A6" s="177" t="s">
        <v>702</v>
      </c>
      <c r="B6" s="177" t="s">
        <v>703</v>
      </c>
      <c r="C6" s="177"/>
      <c r="D6" s="177"/>
      <c r="F6" s="177">
        <v>2025</v>
      </c>
      <c r="G6" s="177" t="s">
        <v>704</v>
      </c>
    </row>
    <row r="7" spans="1:9">
      <c r="A7" s="177" t="s">
        <v>705</v>
      </c>
      <c r="C7" s="177"/>
      <c r="D7" s="177"/>
      <c r="F7" s="177"/>
      <c r="G7" s="177" t="s">
        <v>706</v>
      </c>
    </row>
    <row r="8" spans="1:9">
      <c r="A8" s="177" t="s">
        <v>707</v>
      </c>
      <c r="C8" s="177"/>
      <c r="D8" s="177"/>
      <c r="F8" s="177"/>
      <c r="G8" s="177" t="s">
        <v>708</v>
      </c>
    </row>
    <row r="9" spans="1:9">
      <c r="A9" s="177" t="s">
        <v>709</v>
      </c>
      <c r="G9" s="177" t="s">
        <v>710</v>
      </c>
    </row>
    <row r="10" spans="1:9">
      <c r="A10" s="177" t="s">
        <v>711</v>
      </c>
      <c r="G10" s="177" t="s">
        <v>712</v>
      </c>
    </row>
    <row r="11" spans="1:9">
      <c r="A11" s="177" t="s">
        <v>713</v>
      </c>
      <c r="G11" s="177" t="s">
        <v>714</v>
      </c>
    </row>
    <row r="12" spans="1:9">
      <c r="A12" s="177" t="s">
        <v>715</v>
      </c>
      <c r="G12" s="177" t="s">
        <v>778</v>
      </c>
    </row>
    <row r="13" spans="1:9">
      <c r="A13" s="177" t="s">
        <v>716</v>
      </c>
      <c r="G13" s="177" t="s">
        <v>1218</v>
      </c>
    </row>
    <row r="14" spans="1:9">
      <c r="A14" s="177" t="s">
        <v>717</v>
      </c>
    </row>
    <row r="15" spans="1:9">
      <c r="A15" s="177" t="s">
        <v>718</v>
      </c>
    </row>
    <row r="16" spans="1:9">
      <c r="A16" s="177" t="s">
        <v>719</v>
      </c>
    </row>
    <row r="17" spans="1:1">
      <c r="A17" s="177" t="s">
        <v>720</v>
      </c>
    </row>
    <row r="18" spans="1:1">
      <c r="A18" s="177" t="s">
        <v>721</v>
      </c>
    </row>
    <row r="19" spans="1:1">
      <c r="A19" s="177" t="s">
        <v>722</v>
      </c>
    </row>
    <row r="20" spans="1:1">
      <c r="A20" s="177" t="s">
        <v>723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224-CFBF-4FFA-8C62-DE15C3E2D915}">
  <sheetPr>
    <tabColor rgb="FFFFFF00"/>
  </sheetPr>
  <dimension ref="A1:Q36"/>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4" width="9.28515625" style="270"/>
    <col min="15" max="17" width="0" style="270" hidden="1" customWidth="1"/>
    <col min="18" max="16384" width="9.28515625" style="270"/>
  </cols>
  <sheetData>
    <row r="1" spans="1:17" ht="15">
      <c r="A1" s="461" t="str">
        <f>Selection!A2</f>
        <v>Puget Sound Energy</v>
      </c>
    </row>
    <row r="2" spans="1:17">
      <c r="A2" s="768" t="s">
        <v>1340</v>
      </c>
    </row>
    <row r="3" spans="1:17" ht="15.75" thickBot="1">
      <c r="A3" s="463" t="s">
        <v>234</v>
      </c>
      <c r="B3" s="464">
        <v>2020</v>
      </c>
      <c r="C3" s="464">
        <v>2021</v>
      </c>
      <c r="D3" s="464" t="s">
        <v>1025</v>
      </c>
      <c r="O3" s="428" t="s">
        <v>1221</v>
      </c>
      <c r="P3" s="428"/>
      <c r="Q3" s="428"/>
    </row>
    <row r="4" spans="1:17" ht="15.75" thickTop="1">
      <c r="A4" s="925" t="str">
        <f>' Summary by Program'!K5</f>
        <v>Program Measures</v>
      </c>
      <c r="B4" s="926" t="e">
        <f ca="1">' Summary by Program 2020-21'!W38</f>
        <v>#REF!</v>
      </c>
      <c r="C4" s="926" t="e">
        <f ca="1">' Summary by Program 2020-21'!AC38</f>
        <v>#REF!</v>
      </c>
      <c r="D4" s="926" t="e">
        <f ca="1">' Summary by Program 2020-21'!L38</f>
        <v>#REF!</v>
      </c>
      <c r="G4" s="459" t="e">
        <f ca="1">B4+C4</f>
        <v>#REF!</v>
      </c>
      <c r="O4" s="428"/>
      <c r="P4" s="428"/>
      <c r="Q4" s="428"/>
    </row>
    <row r="5" spans="1:17">
      <c r="A5" s="927" t="str">
        <f>' Summary by Program'!N5&amp;"*"</f>
        <v>Codes &amp; Standards Measures*</v>
      </c>
      <c r="B5" s="928" t="e">
        <f ca="1">' Summary by Program 2020-21'!Y38</f>
        <v>#REF!</v>
      </c>
      <c r="C5" s="928" t="e">
        <f ca="1">' Summary by Program 2020-21'!AE38</f>
        <v>#REF!</v>
      </c>
      <c r="D5" s="928" t="e">
        <f ca="1">' Summary by Program 2020-21'!Q38</f>
        <v>#REF!</v>
      </c>
      <c r="G5" s="459" t="e">
        <f ca="1">B5+C5</f>
        <v>#REF!</v>
      </c>
      <c r="O5" s="817" t="e">
        <f ca="1">SUM(' Summary by Program 2020-21'!W7:W37)</f>
        <v>#REF!</v>
      </c>
      <c r="P5" s="817" t="e">
        <f ca="1">SUM(' Summary by Program 2020-21'!AC7:AC37)</f>
        <v>#REF!</v>
      </c>
      <c r="Q5" s="818" t="e">
        <f ca="1">SUM(O5:P5)</f>
        <v>#REF!</v>
      </c>
    </row>
    <row r="6" spans="1:17">
      <c r="A6" s="929" t="str">
        <f>' Summary by Program'!P5</f>
        <v xml:space="preserve">Trackable Measures </v>
      </c>
      <c r="B6" s="930" t="e">
        <f ca="1">' Summary by Program 2020-21'!AA38</f>
        <v>#REF!</v>
      </c>
      <c r="C6" s="930" t="e">
        <f ca="1">' Summary by Program 2020-21'!AG38</f>
        <v>#REF!</v>
      </c>
      <c r="D6" s="930" t="e">
        <f ca="1">' Summary by Program 2020-21'!U38</f>
        <v>#REF!</v>
      </c>
      <c r="G6" s="459" t="e">
        <f ca="1">B6+C6</f>
        <v>#REF!</v>
      </c>
      <c r="O6" s="819">
        <f>SUM(O7:O8)</f>
        <v>0</v>
      </c>
      <c r="P6" s="820">
        <f>SUM(P7:P8)</f>
        <v>0</v>
      </c>
      <c r="Q6" s="821">
        <f>SUM(O6:P6)</f>
        <v>0</v>
      </c>
    </row>
    <row r="7" spans="1:17" ht="85.5" customHeight="1">
      <c r="A7" s="2401" t="s">
        <v>1459</v>
      </c>
      <c r="B7" s="2401"/>
      <c r="C7" s="2401"/>
      <c r="D7" s="2401"/>
      <c r="E7" s="922"/>
      <c r="F7" s="922"/>
      <c r="G7" s="922"/>
      <c r="H7" s="922"/>
      <c r="I7" s="922"/>
      <c r="J7" s="922"/>
      <c r="K7" s="922"/>
      <c r="L7" s="922"/>
      <c r="M7" s="922"/>
      <c r="O7" s="819">
        <f>SUMIFS(' Summary by Program 2020-21'!Y7:Y37,' Summary by Program 2020-21'!AJ7:AJ37,1)</f>
        <v>0</v>
      </c>
      <c r="P7" s="820">
        <f>SUMIFS(' Summary by Program 2020-21'!AE7:AE37,' Summary by Program 2020-21'!AJ7:AJ37,1)</f>
        <v>0</v>
      </c>
      <c r="Q7" s="821">
        <f>SUM(O7:P7)</f>
        <v>0</v>
      </c>
    </row>
    <row r="8" spans="1:17" ht="13.5">
      <c r="A8" s="2402" t="s">
        <v>1339</v>
      </c>
      <c r="B8" s="2402"/>
      <c r="C8" s="2402"/>
      <c r="D8" s="2402"/>
      <c r="E8" s="923"/>
      <c r="F8" s="923"/>
      <c r="G8" s="923"/>
      <c r="H8" s="923"/>
      <c r="I8" s="923"/>
      <c r="J8" s="923"/>
      <c r="K8" s="923"/>
      <c r="L8" s="923"/>
      <c r="M8" s="923"/>
      <c r="O8" s="819">
        <f>SUMIFS(' Summary by Program 2020-21'!Y7:Y37,' Summary by Program 2020-21'!AJ7:AJ37,0)</f>
        <v>0</v>
      </c>
      <c r="P8" s="820">
        <f>SUMIFS(' Summary by Program 2020-21'!AE7:AE37,' Summary by Program 2020-21'!AJ7:AJ37,0)</f>
        <v>0</v>
      </c>
      <c r="Q8" s="821">
        <f>SUM(O8:P8)</f>
        <v>0</v>
      </c>
    </row>
    <row r="9" spans="1:17" ht="59.25" customHeight="1">
      <c r="A9" s="2398" t="s">
        <v>1341</v>
      </c>
      <c r="B9" s="2399"/>
      <c r="C9" s="2399"/>
      <c r="D9" s="2399"/>
      <c r="E9" s="418"/>
      <c r="F9" s="418"/>
      <c r="G9" s="418"/>
      <c r="H9" s="418"/>
      <c r="I9" s="418"/>
      <c r="J9" s="418"/>
      <c r="K9" s="418"/>
      <c r="L9" s="418"/>
      <c r="M9" s="418"/>
      <c r="O9" s="822" t="e">
        <f ca="1">SUM(' Summary by Program 2020-21'!AA7:AA37)</f>
        <v>#REF!</v>
      </c>
      <c r="P9" s="823" t="e">
        <f ca="1">SUM(' Summary by Program 2020-21'!AG7:AG37)</f>
        <v>#REF!</v>
      </c>
      <c r="Q9" s="824" t="e">
        <f ca="1">SUM(O9:P9)</f>
        <v>#REF!</v>
      </c>
    </row>
    <row r="10" spans="1:17" ht="63.75" customHeight="1">
      <c r="A10" s="2403" t="s">
        <v>1342</v>
      </c>
      <c r="B10" s="2404"/>
      <c r="C10" s="2404"/>
      <c r="D10" s="2404"/>
      <c r="E10" s="2400"/>
      <c r="F10" s="2400"/>
      <c r="G10" s="2400"/>
      <c r="H10" s="2400"/>
      <c r="I10" s="2400"/>
      <c r="J10" s="2400"/>
      <c r="K10" s="2400"/>
      <c r="L10" s="2400"/>
      <c r="M10" s="924"/>
    </row>
    <row r="11" spans="1:17" ht="89.45" customHeight="1">
      <c r="A11" s="2398" t="s">
        <v>1343</v>
      </c>
      <c r="B11" s="2399"/>
      <c r="C11" s="2399"/>
      <c r="D11" s="2399"/>
      <c r="E11" s="2400"/>
      <c r="F11" s="2400"/>
      <c r="G11" s="2400"/>
      <c r="H11" s="2400"/>
      <c r="I11" s="2400"/>
      <c r="J11" s="2400"/>
      <c r="K11" s="2400"/>
      <c r="L11" s="2400"/>
      <c r="M11" s="924"/>
    </row>
    <row r="12" spans="1:17" ht="58.5" customHeight="1">
      <c r="A12" s="2398" t="s">
        <v>1344</v>
      </c>
      <c r="B12" s="2399"/>
      <c r="C12" s="2399"/>
      <c r="D12" s="2399"/>
      <c r="E12" s="2400"/>
      <c r="F12" s="2400"/>
      <c r="G12" s="2400"/>
      <c r="H12" s="2400"/>
      <c r="I12" s="2400"/>
      <c r="J12" s="2400"/>
      <c r="K12" s="2400"/>
      <c r="L12" s="2400"/>
      <c r="M12" s="924"/>
    </row>
    <row r="13" spans="1:17" ht="15">
      <c r="A13"/>
      <c r="B13"/>
      <c r="C13"/>
      <c r="D13"/>
      <c r="E13"/>
      <c r="F13"/>
      <c r="G13"/>
      <c r="H13"/>
      <c r="I13"/>
      <c r="J13"/>
      <c r="K13"/>
      <c r="L13"/>
      <c r="M13"/>
    </row>
    <row r="14" spans="1:17" ht="15">
      <c r="A14"/>
      <c r="B14"/>
      <c r="C14"/>
      <c r="D14"/>
      <c r="E14"/>
      <c r="F14"/>
      <c r="G14"/>
      <c r="H14"/>
      <c r="I14"/>
      <c r="J14"/>
      <c r="K14"/>
      <c r="L14"/>
      <c r="M14"/>
    </row>
    <row r="15" spans="1:17" ht="15">
      <c r="A15"/>
      <c r="B15"/>
      <c r="C15"/>
      <c r="D15"/>
      <c r="E15"/>
      <c r="F15"/>
      <c r="G15"/>
      <c r="H15"/>
      <c r="I15"/>
      <c r="J15"/>
      <c r="K15"/>
      <c r="L15"/>
      <c r="M15"/>
    </row>
    <row r="16" spans="1:17" ht="15">
      <c r="A16"/>
      <c r="B16"/>
      <c r="C16"/>
      <c r="D16"/>
      <c r="E16"/>
      <c r="F16"/>
      <c r="G16"/>
      <c r="H16"/>
      <c r="I16"/>
      <c r="J16"/>
      <c r="K16"/>
      <c r="L16"/>
      <c r="M16"/>
    </row>
    <row r="17" spans="1:17" ht="15">
      <c r="A17"/>
      <c r="B17"/>
      <c r="C17"/>
      <c r="D17"/>
      <c r="E17"/>
      <c r="F17"/>
      <c r="G17"/>
      <c r="H17"/>
      <c r="I17"/>
      <c r="J17"/>
      <c r="K17"/>
      <c r="L17"/>
      <c r="M17"/>
    </row>
    <row r="18" spans="1:17" ht="15">
      <c r="A18"/>
      <c r="B18"/>
      <c r="C18"/>
      <c r="D18"/>
      <c r="E18"/>
      <c r="F18"/>
      <c r="G18"/>
      <c r="H18"/>
      <c r="I18"/>
      <c r="J18"/>
      <c r="K18"/>
      <c r="L18"/>
      <c r="M18"/>
    </row>
    <row r="19" spans="1:17" ht="15">
      <c r="A19"/>
      <c r="B19"/>
      <c r="C19"/>
      <c r="D19"/>
      <c r="E19"/>
      <c r="F19"/>
      <c r="G19"/>
      <c r="H19"/>
      <c r="I19"/>
      <c r="J19"/>
      <c r="K19"/>
      <c r="L19"/>
      <c r="M19"/>
    </row>
    <row r="20" spans="1:17" ht="15">
      <c r="A20"/>
      <c r="B20"/>
      <c r="C20"/>
      <c r="D20"/>
      <c r="E20"/>
      <c r="F20"/>
      <c r="G20"/>
      <c r="H20"/>
      <c r="I20"/>
      <c r="J20"/>
      <c r="K20"/>
      <c r="L20"/>
      <c r="M20"/>
    </row>
    <row r="21" spans="1:17" ht="15">
      <c r="A21"/>
      <c r="B21"/>
      <c r="C21"/>
      <c r="D21"/>
      <c r="E21"/>
      <c r="F21"/>
      <c r="G21"/>
      <c r="H21"/>
      <c r="I21"/>
      <c r="J21"/>
      <c r="K21"/>
      <c r="L21"/>
      <c r="M21"/>
    </row>
    <row r="22" spans="1:17" ht="15">
      <c r="A22"/>
      <c r="B22"/>
      <c r="C22"/>
      <c r="D22"/>
      <c r="E22"/>
      <c r="F22"/>
      <c r="G22"/>
      <c r="H22"/>
      <c r="I22"/>
      <c r="J22"/>
      <c r="K22"/>
      <c r="L22"/>
      <c r="M22"/>
    </row>
    <row r="23" spans="1:17" ht="15">
      <c r="A23"/>
      <c r="B23"/>
      <c r="C23"/>
      <c r="D23"/>
      <c r="E23"/>
      <c r="F23"/>
      <c r="G23"/>
      <c r="H23"/>
      <c r="I23"/>
      <c r="J23"/>
      <c r="K23"/>
      <c r="L23"/>
      <c r="M23"/>
    </row>
    <row r="24" spans="1:17" ht="15">
      <c r="A24"/>
      <c r="B24"/>
      <c r="C24"/>
      <c r="D24"/>
      <c r="E24"/>
      <c r="F24"/>
      <c r="G24"/>
      <c r="H24"/>
      <c r="I24"/>
      <c r="J24"/>
      <c r="K24"/>
      <c r="L24"/>
      <c r="M24"/>
    </row>
    <row r="25" spans="1:17" ht="15">
      <c r="A25"/>
      <c r="B25"/>
      <c r="C25"/>
      <c r="D25"/>
      <c r="E25"/>
      <c r="F25"/>
      <c r="G25"/>
      <c r="H25"/>
      <c r="I25"/>
      <c r="J25"/>
      <c r="K25"/>
      <c r="L25"/>
      <c r="M25"/>
    </row>
    <row r="26" spans="1:17" ht="15">
      <c r="A26"/>
      <c r="B26"/>
      <c r="C26"/>
      <c r="D26"/>
      <c r="E26"/>
      <c r="F26"/>
      <c r="G26"/>
      <c r="H26"/>
      <c r="I26"/>
      <c r="J26"/>
      <c r="K26"/>
      <c r="L26"/>
      <c r="M26"/>
      <c r="O26" s="849"/>
      <c r="P26" s="849"/>
      <c r="Q26" s="849"/>
    </row>
    <row r="27" spans="1:17" ht="27.6" customHeight="1"/>
    <row r="28" spans="1:17" ht="13.5">
      <c r="N28" s="367"/>
      <c r="O28" s="367"/>
      <c r="P28" s="367"/>
    </row>
    <row r="29" spans="1:17" ht="51.75" customHeight="1">
      <c r="N29" s="428"/>
      <c r="O29" s="428"/>
      <c r="P29" s="428"/>
    </row>
    <row r="30" spans="1:17" ht="51.75" customHeight="1">
      <c r="N30" s="428"/>
      <c r="O30" s="428"/>
      <c r="P30" s="428"/>
    </row>
    <row r="31" spans="1:17" ht="41.25" customHeight="1">
      <c r="N31" s="428"/>
      <c r="O31" s="428"/>
      <c r="P31" s="428"/>
    </row>
    <row r="33" ht="42" customHeight="1"/>
    <row r="34" ht="52.5" customHeight="1"/>
    <row r="35" ht="55.15"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3C02-1288-4302-BDBA-3E54A31C42BA}">
  <dimension ref="C4:H24"/>
  <sheetViews>
    <sheetView workbookViewId="0">
      <selection activeCell="O32" sqref="O32"/>
    </sheetView>
  </sheetViews>
  <sheetFormatPr defaultRowHeight="15"/>
  <cols>
    <col min="3" max="3" width="15.7109375" customWidth="1"/>
    <col min="4" max="5" width="10" style="1375" customWidth="1"/>
    <col min="8" max="8" width="19.5703125" customWidth="1"/>
  </cols>
  <sheetData>
    <row r="4" spans="3:8">
      <c r="D4" s="1375">
        <v>2020</v>
      </c>
      <c r="E4" s="1375">
        <v>2021</v>
      </c>
      <c r="F4">
        <v>2022</v>
      </c>
      <c r="G4">
        <v>2023</v>
      </c>
    </row>
    <row r="5" spans="3:8">
      <c r="C5" t="s">
        <v>2788</v>
      </c>
      <c r="D5" s="1810"/>
      <c r="E5" s="1810"/>
      <c r="F5" s="1811">
        <f ca="1">'Summary Program Measures'!L7</f>
        <v>1.4786813195882742</v>
      </c>
      <c r="G5" s="1811">
        <f ca="1">'Summary Program Measures'!N7</f>
        <v>1.7566993127495465</v>
      </c>
    </row>
    <row r="6" spans="3:8">
      <c r="C6" t="s">
        <v>2789</v>
      </c>
      <c r="D6" s="1810"/>
      <c r="E6" s="1810"/>
      <c r="F6" s="1811">
        <f ca="1">'Summary Codes and Stds'!L8</f>
        <v>0.45557508118229051</v>
      </c>
      <c r="G6" s="1811">
        <f ca="1">'Summary Codes and Stds'!N8</f>
        <v>0.56205154828833537</v>
      </c>
    </row>
    <row r="7" spans="3:8" s="1375" customFormat="1">
      <c r="C7" t="s">
        <v>208</v>
      </c>
      <c r="D7" s="1810"/>
      <c r="E7" s="1810"/>
      <c r="F7" s="1811" t="e">
        <f>Commercial_Desktops!W6</f>
        <v>#REF!</v>
      </c>
      <c r="G7" s="1811" t="e">
        <f>Commercial_Desktops!W7</f>
        <v>#REF!</v>
      </c>
    </row>
    <row r="8" spans="3:8">
      <c r="C8" t="s">
        <v>1025</v>
      </c>
      <c r="D8" s="1811">
        <v>53.69</v>
      </c>
      <c r="E8" s="1811">
        <v>53.03</v>
      </c>
      <c r="F8" s="1811">
        <f ca="1">SUM(F5:F6)</f>
        <v>1.9342564007705647</v>
      </c>
      <c r="G8" s="1811">
        <f ca="1">SUM(G5:G6)</f>
        <v>2.318750861037882</v>
      </c>
    </row>
    <row r="11" spans="3:8">
      <c r="D11" s="1375" t="s">
        <v>2791</v>
      </c>
      <c r="E11" s="1375" t="s">
        <v>15</v>
      </c>
      <c r="F11" t="s">
        <v>2790</v>
      </c>
    </row>
    <row r="12" spans="3:8" s="1375" customFormat="1">
      <c r="D12" s="1375" t="s">
        <v>2793</v>
      </c>
      <c r="E12" s="1375" t="s">
        <v>788</v>
      </c>
      <c r="F12" s="1812">
        <v>46.75</v>
      </c>
    </row>
    <row r="13" spans="3:8">
      <c r="D13" s="1375" t="s">
        <v>2792</v>
      </c>
      <c r="E13" s="1812">
        <v>67.94</v>
      </c>
      <c r="F13" s="1812">
        <v>28.03</v>
      </c>
      <c r="G13" s="1812">
        <f>F13-E13</f>
        <v>-39.909999999999997</v>
      </c>
      <c r="H13" s="1814">
        <f>G13/E13</f>
        <v>-0.58743008536944363</v>
      </c>
    </row>
    <row r="14" spans="3:8">
      <c r="D14" s="1375">
        <v>2021</v>
      </c>
      <c r="E14" s="1813">
        <f>E8</f>
        <v>53.03</v>
      </c>
      <c r="F14" s="1813">
        <f ca="1">F8</f>
        <v>1.9342564007705647</v>
      </c>
      <c r="G14" s="1812">
        <f ca="1">F14-E14</f>
        <v>-51.095743599229436</v>
      </c>
      <c r="H14" s="1814">
        <f ca="1">G14/E14</f>
        <v>-0.96352524230113967</v>
      </c>
    </row>
    <row r="18" spans="4:8" ht="30">
      <c r="E18" s="369" t="s">
        <v>17</v>
      </c>
      <c r="F18" s="369" t="s">
        <v>2795</v>
      </c>
      <c r="G18" s="369" t="s">
        <v>2796</v>
      </c>
      <c r="H18" s="369" t="s">
        <v>2797</v>
      </c>
    </row>
    <row r="19" spans="4:8">
      <c r="D19" s="1375" t="s">
        <v>2794</v>
      </c>
      <c r="E19" s="1375">
        <v>378</v>
      </c>
      <c r="F19">
        <v>47</v>
      </c>
      <c r="G19">
        <v>93</v>
      </c>
      <c r="H19" t="s">
        <v>2798</v>
      </c>
    </row>
    <row r="20" spans="4:8">
      <c r="D20" s="1375" t="s">
        <v>215</v>
      </c>
      <c r="E20" s="1375">
        <v>262</v>
      </c>
      <c r="F20">
        <v>28</v>
      </c>
      <c r="G20">
        <v>53</v>
      </c>
      <c r="H20" t="s">
        <v>2800</v>
      </c>
    </row>
    <row r="21" spans="4:8">
      <c r="D21" s="1375" t="s">
        <v>2799</v>
      </c>
      <c r="E21" s="1375" t="s">
        <v>332</v>
      </c>
      <c r="F21" s="1813">
        <f ca="1">'Summary Codes and Stds'!L8+'Summary Program Measures'!L7</f>
        <v>1.9342564007705647</v>
      </c>
      <c r="H21" t="s">
        <v>2801</v>
      </c>
    </row>
    <row r="24" spans="4:8">
      <c r="F24" s="181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theme="0" tint="-0.499984740745262"/>
    <pageSetUpPr fitToPage="1"/>
  </sheetPr>
  <dimension ref="A1:M118"/>
  <sheetViews>
    <sheetView showGridLines="0" topLeftCell="G1" workbookViewId="0">
      <pane ySplit="3" topLeftCell="A4" activePane="bottomLeft" state="frozen"/>
      <selection activeCell="A28" sqref="A28"/>
      <selection pane="bottomLeft" activeCell="L27" sqref="L27"/>
    </sheetView>
  </sheetViews>
  <sheetFormatPr defaultColWidth="9.28515625" defaultRowHeight="12.75" outlineLevelCol="1"/>
  <cols>
    <col min="1" max="1" width="9.28515625" style="894" hidden="1" customWidth="1" outlineLevel="1"/>
    <col min="2" max="2" width="17.7109375" style="894" hidden="1" customWidth="1" outlineLevel="1"/>
    <col min="3" max="3" width="8.7109375" style="484" customWidth="1" collapsed="1"/>
    <col min="4" max="4" width="38.7109375" style="484" bestFit="1" customWidth="1"/>
    <col min="5" max="5" width="40.5703125" style="484" customWidth="1"/>
    <col min="6" max="6" width="68.42578125" style="484" customWidth="1"/>
    <col min="7" max="7" width="11" style="484" customWidth="1"/>
    <col min="8" max="8" width="32.28515625" style="484" customWidth="1"/>
    <col min="9" max="9" width="46" style="484" customWidth="1"/>
    <col min="10" max="11" width="12.42578125" style="484" bestFit="1" customWidth="1"/>
    <col min="12" max="12" width="64.42578125" style="484" customWidth="1"/>
    <col min="13" max="13" width="59.7109375" style="484" customWidth="1"/>
    <col min="14" max="16384" width="9.28515625" style="418"/>
  </cols>
  <sheetData>
    <row r="1" spans="1:13" ht="46.5" customHeight="1">
      <c r="C1" s="2405" t="s">
        <v>1328</v>
      </c>
      <c r="D1" s="2405"/>
      <c r="E1" s="2405"/>
      <c r="F1" s="2405"/>
      <c r="G1" s="2405"/>
      <c r="H1" s="2405"/>
      <c r="I1" s="2405"/>
      <c r="J1" s="2405"/>
      <c r="K1" s="2405"/>
      <c r="L1" s="2405"/>
      <c r="M1" s="2405"/>
    </row>
    <row r="2" spans="1:13" s="979" customFormat="1" ht="21.75" customHeight="1">
      <c r="A2" s="912"/>
      <c r="B2" s="912"/>
      <c r="C2" s="2406" t="s">
        <v>1329</v>
      </c>
      <c r="D2" s="2407"/>
      <c r="E2" s="2407"/>
      <c r="F2" s="2408"/>
      <c r="G2" s="2409" t="s">
        <v>727</v>
      </c>
      <c r="H2" s="2410"/>
      <c r="I2" s="2411"/>
      <c r="J2" s="2412" t="s">
        <v>10</v>
      </c>
      <c r="K2" s="2413"/>
      <c r="L2" s="2413"/>
      <c r="M2" s="2414"/>
    </row>
    <row r="3" spans="1:13" s="980" customFormat="1" ht="38.25">
      <c r="A3" s="896" t="s">
        <v>728</v>
      </c>
      <c r="B3" s="896" t="s">
        <v>729</v>
      </c>
      <c r="C3" s="1429" t="s">
        <v>730</v>
      </c>
      <c r="D3" s="1298" t="s">
        <v>4</v>
      </c>
      <c r="E3" s="1298" t="s">
        <v>5</v>
      </c>
      <c r="F3" s="1299" t="s">
        <v>731</v>
      </c>
      <c r="G3" s="1300" t="s">
        <v>732</v>
      </c>
      <c r="H3" s="1298" t="s">
        <v>733</v>
      </c>
      <c r="I3" s="1301" t="s">
        <v>734</v>
      </c>
      <c r="J3" s="1300">
        <v>2022</v>
      </c>
      <c r="K3" s="1298">
        <v>2023</v>
      </c>
      <c r="L3" s="1298" t="s">
        <v>733</v>
      </c>
      <c r="M3" s="1299" t="s">
        <v>734</v>
      </c>
    </row>
    <row r="4" spans="1:13">
      <c r="A4" s="894">
        <v>2</v>
      </c>
      <c r="B4" s="894" t="s">
        <v>39</v>
      </c>
      <c r="C4" s="897" t="s">
        <v>9</v>
      </c>
      <c r="D4" s="888" t="s">
        <v>146</v>
      </c>
      <c r="E4" s="888" t="s">
        <v>1774</v>
      </c>
      <c r="F4" s="889" t="s">
        <v>1775</v>
      </c>
      <c r="G4" s="898">
        <v>0</v>
      </c>
      <c r="H4" s="888" t="s">
        <v>738</v>
      </c>
      <c r="I4" s="899" t="s">
        <v>739</v>
      </c>
      <c r="J4" s="890" t="s">
        <v>1710</v>
      </c>
      <c r="K4" s="891" t="s">
        <v>1710</v>
      </c>
      <c r="L4" s="1357" t="s">
        <v>1746</v>
      </c>
      <c r="M4" s="889" t="s">
        <v>1680</v>
      </c>
    </row>
    <row r="5" spans="1:13">
      <c r="A5" s="894">
        <v>3</v>
      </c>
      <c r="B5" s="894" t="s">
        <v>19</v>
      </c>
      <c r="C5" s="897" t="s">
        <v>9</v>
      </c>
      <c r="D5" s="888" t="s">
        <v>136</v>
      </c>
      <c r="E5" s="888" t="s">
        <v>1776</v>
      </c>
      <c r="F5" s="889" t="s">
        <v>1777</v>
      </c>
      <c r="G5" s="898">
        <v>0.19</v>
      </c>
      <c r="H5" s="888" t="s">
        <v>736</v>
      </c>
      <c r="I5" s="899" t="s">
        <v>737</v>
      </c>
      <c r="J5" s="890" t="e">
        <f>#REF!</f>
        <v>#REF!</v>
      </c>
      <c r="K5" s="891" t="e">
        <f>#REF!</f>
        <v>#REF!</v>
      </c>
      <c r="L5" s="888" t="s">
        <v>1023</v>
      </c>
      <c r="M5" s="889" t="s">
        <v>1313</v>
      </c>
    </row>
    <row r="6" spans="1:13">
      <c r="A6" s="894">
        <v>3</v>
      </c>
      <c r="B6" s="894" t="s">
        <v>20</v>
      </c>
      <c r="C6" s="897" t="s">
        <v>9</v>
      </c>
      <c r="D6" s="888" t="s">
        <v>136</v>
      </c>
      <c r="E6" s="888" t="s">
        <v>1778</v>
      </c>
      <c r="F6" s="889" t="s">
        <v>1779</v>
      </c>
      <c r="G6" s="898">
        <v>0.19</v>
      </c>
      <c r="H6" s="888" t="s">
        <v>736</v>
      </c>
      <c r="I6" s="899" t="s">
        <v>737</v>
      </c>
      <c r="J6" s="890" t="e">
        <f>#REF!</f>
        <v>#REF!</v>
      </c>
      <c r="K6" s="891" t="e">
        <f>#REF!</f>
        <v>#REF!</v>
      </c>
      <c r="L6" s="888" t="s">
        <v>1024</v>
      </c>
      <c r="M6" s="889" t="s">
        <v>1313</v>
      </c>
    </row>
    <row r="7" spans="1:13">
      <c r="B7" s="894" t="s">
        <v>1516</v>
      </c>
      <c r="C7" s="897" t="s">
        <v>9</v>
      </c>
      <c r="D7" s="888" t="s">
        <v>138</v>
      </c>
      <c r="E7" s="888" t="s">
        <v>2391</v>
      </c>
      <c r="F7" s="889" t="s">
        <v>2049</v>
      </c>
      <c r="G7" s="898">
        <v>0</v>
      </c>
      <c r="H7" s="888" t="s">
        <v>2757</v>
      </c>
      <c r="I7" s="899" t="s">
        <v>2750</v>
      </c>
      <c r="J7" s="892">
        <f>Commercial_Desktops!J35</f>
        <v>32.788506245376851</v>
      </c>
      <c r="K7" s="893">
        <f>Commercial_Desktops!J35</f>
        <v>32.788506245376851</v>
      </c>
      <c r="L7" s="888" t="s">
        <v>2751</v>
      </c>
      <c r="M7" s="889" t="s">
        <v>2754</v>
      </c>
    </row>
    <row r="8" spans="1:13">
      <c r="A8" s="894">
        <v>1</v>
      </c>
      <c r="B8" s="894" t="s">
        <v>1516</v>
      </c>
      <c r="C8" s="897" t="s">
        <v>9</v>
      </c>
      <c r="D8" s="888" t="s">
        <v>138</v>
      </c>
      <c r="E8" s="888" t="s">
        <v>2755</v>
      </c>
      <c r="F8" s="889" t="s">
        <v>2756</v>
      </c>
      <c r="G8" s="898">
        <v>0</v>
      </c>
      <c r="H8" s="1707" t="s">
        <v>2753</v>
      </c>
      <c r="I8" s="899" t="s">
        <v>2750</v>
      </c>
      <c r="J8" s="892">
        <f>Commercial_Desktops!J36</f>
        <v>39.238145456729526</v>
      </c>
      <c r="K8" s="893">
        <f>Commercial_Desktops!J36</f>
        <v>39.238145456729526</v>
      </c>
      <c r="L8" s="888" t="s">
        <v>2752</v>
      </c>
      <c r="M8" s="889" t="s">
        <v>2754</v>
      </c>
    </row>
    <row r="9" spans="1:13">
      <c r="A9" s="894">
        <v>3</v>
      </c>
      <c r="B9" s="894" t="s">
        <v>37</v>
      </c>
      <c r="C9" s="897" t="s">
        <v>9</v>
      </c>
      <c r="D9" s="888" t="s">
        <v>145</v>
      </c>
      <c r="E9" s="888" t="s">
        <v>1784</v>
      </c>
      <c r="F9" s="889" t="s">
        <v>1785</v>
      </c>
      <c r="G9" s="898">
        <v>0</v>
      </c>
      <c r="H9" s="888" t="s">
        <v>1324</v>
      </c>
      <c r="I9" s="899" t="s">
        <v>1325</v>
      </c>
      <c r="J9" s="886" t="e">
        <f>#REF!</f>
        <v>#REF!</v>
      </c>
      <c r="K9" s="887" t="e">
        <f>#REF!</f>
        <v>#REF!</v>
      </c>
      <c r="L9" s="888" t="s">
        <v>1326</v>
      </c>
      <c r="M9" s="889" t="s">
        <v>1495</v>
      </c>
    </row>
    <row r="10" spans="1:13">
      <c r="A10" s="894">
        <v>1</v>
      </c>
      <c r="B10" s="894" t="s">
        <v>52</v>
      </c>
      <c r="C10" s="897" t="s">
        <v>9</v>
      </c>
      <c r="D10" s="888" t="s">
        <v>150</v>
      </c>
      <c r="E10" s="888" t="s">
        <v>1786</v>
      </c>
      <c r="F10" s="889" t="s">
        <v>1787</v>
      </c>
      <c r="G10" s="898">
        <v>0</v>
      </c>
      <c r="H10" s="888" t="s">
        <v>2758</v>
      </c>
      <c r="I10" s="899" t="s">
        <v>2759</v>
      </c>
      <c r="J10" s="1483">
        <f>GETPIVOTDATA("Savings Rate",'AMMO Savings Rates'!$A$3,"Year",J$3,"Measure Index",$B10,"Savings Rate Type","Savings_Rate_2021PP")</f>
        <v>2479.0628890399998</v>
      </c>
      <c r="K10" s="1484">
        <f>GETPIVOTDATA("Savings Rate",'AMMO Savings Rates'!$A$3,"Year",K$3,"Measure Index",$B10,"Savings Rate Type","Savings_Rate_2021PP")</f>
        <v>2479.0628890399998</v>
      </c>
      <c r="L10" s="888" t="s">
        <v>1299</v>
      </c>
      <c r="M10" s="889" t="s">
        <v>1300</v>
      </c>
    </row>
    <row r="11" spans="1:13">
      <c r="A11" s="894">
        <v>1</v>
      </c>
      <c r="B11" s="894" t="s">
        <v>53</v>
      </c>
      <c r="C11" s="897" t="s">
        <v>9</v>
      </c>
      <c r="D11" s="888" t="s">
        <v>150</v>
      </c>
      <c r="E11" s="888" t="s">
        <v>1788</v>
      </c>
      <c r="F11" s="889" t="s">
        <v>1789</v>
      </c>
      <c r="G11" s="898">
        <v>0</v>
      </c>
      <c r="H11" s="888" t="s">
        <v>2758</v>
      </c>
      <c r="I11" s="899" t="s">
        <v>2759</v>
      </c>
      <c r="J11" s="1483">
        <f>GETPIVOTDATA("Savings Rate",'AMMO Savings Rates'!$A$3,"Year",J$3,"Measure Index",$B11,"Savings Rate Type","Savings_Rate_2021PP")</f>
        <v>2847.95602289</v>
      </c>
      <c r="K11" s="1484">
        <f>GETPIVOTDATA("Savings Rate",'AMMO Savings Rates'!$A$3,"Year",K$3,"Measure Index",$B11,"Savings Rate Type","Savings_Rate_2021PP")</f>
        <v>2847.95602289</v>
      </c>
      <c r="L11" s="888" t="s">
        <v>1299</v>
      </c>
      <c r="M11" s="889" t="s">
        <v>1300</v>
      </c>
    </row>
    <row r="12" spans="1:13" s="1387" customFormat="1">
      <c r="A12" s="894">
        <v>1</v>
      </c>
      <c r="B12" s="894" t="s">
        <v>51</v>
      </c>
      <c r="C12" s="897" t="s">
        <v>9</v>
      </c>
      <c r="D12" s="888" t="s">
        <v>150</v>
      </c>
      <c r="E12" s="888" t="s">
        <v>1790</v>
      </c>
      <c r="F12" s="889" t="s">
        <v>1791</v>
      </c>
      <c r="G12" s="898">
        <v>0</v>
      </c>
      <c r="H12" s="888" t="s">
        <v>2758</v>
      </c>
      <c r="I12" s="899" t="s">
        <v>2759</v>
      </c>
      <c r="J12" s="1483">
        <f>GETPIVOTDATA("Savings Rate",'AMMO Savings Rates'!$A$3,"Year",J$3,"Measure Index",$B12,"Savings Rate Type","Savings_Rate_2021PP")</f>
        <v>1549.82844161</v>
      </c>
      <c r="K12" s="1484">
        <f>GETPIVOTDATA("Savings Rate",'AMMO Savings Rates'!$A$3,"Year",K$3,"Measure Index",$B12,"Savings Rate Type","Savings_Rate_2021PP")</f>
        <v>1549.82844161</v>
      </c>
      <c r="L12" s="888" t="s">
        <v>2761</v>
      </c>
      <c r="M12" s="889" t="s">
        <v>2760</v>
      </c>
    </row>
    <row r="13" spans="1:13" s="736" customFormat="1">
      <c r="A13" s="894"/>
      <c r="B13" s="894"/>
      <c r="C13" s="897" t="s">
        <v>775</v>
      </c>
      <c r="D13" s="888" t="s">
        <v>1588</v>
      </c>
      <c r="E13" s="888" t="s">
        <v>1576</v>
      </c>
      <c r="F13" s="889" t="s">
        <v>1589</v>
      </c>
      <c r="G13" s="898">
        <v>0</v>
      </c>
      <c r="H13" s="888" t="s">
        <v>1602</v>
      </c>
      <c r="I13" s="899" t="s">
        <v>1603</v>
      </c>
      <c r="J13" s="886">
        <f>XMP!N6</f>
        <v>708.125</v>
      </c>
      <c r="K13" s="887">
        <f>XMP!N19</f>
        <v>778.9375</v>
      </c>
      <c r="L13" s="888" t="s">
        <v>1283</v>
      </c>
      <c r="M13" s="889" t="s">
        <v>1603</v>
      </c>
    </row>
    <row r="14" spans="1:13" s="736" customFormat="1" ht="13.5" customHeight="1">
      <c r="A14" s="894"/>
      <c r="B14" s="894"/>
      <c r="C14" s="897" t="s">
        <v>775</v>
      </c>
      <c r="D14" s="888" t="s">
        <v>1588</v>
      </c>
      <c r="E14" s="888" t="s">
        <v>1577</v>
      </c>
      <c r="F14" s="889" t="s">
        <v>1590</v>
      </c>
      <c r="G14" s="898">
        <v>0</v>
      </c>
      <c r="H14" s="888" t="s">
        <v>1602</v>
      </c>
      <c r="I14" s="899" t="s">
        <v>1603</v>
      </c>
      <c r="J14" s="886">
        <f>XMP!N7</f>
        <v>1600.5</v>
      </c>
      <c r="K14" s="887">
        <f>XMP!N20</f>
        <v>1760.55</v>
      </c>
      <c r="L14" s="888" t="s">
        <v>1283</v>
      </c>
      <c r="M14" s="889" t="s">
        <v>1603</v>
      </c>
    </row>
    <row r="15" spans="1:13" s="736" customFormat="1">
      <c r="A15" s="894"/>
      <c r="B15" s="894"/>
      <c r="C15" s="897" t="s">
        <v>775</v>
      </c>
      <c r="D15" s="888" t="s">
        <v>1588</v>
      </c>
      <c r="E15" s="888" t="s">
        <v>1578</v>
      </c>
      <c r="F15" s="889" t="s">
        <v>1591</v>
      </c>
      <c r="G15" s="898">
        <v>0</v>
      </c>
      <c r="H15" s="888" t="s">
        <v>1602</v>
      </c>
      <c r="I15" s="899" t="s">
        <v>1603</v>
      </c>
      <c r="J15" s="886">
        <f>XMP!N8</f>
        <v>13.2</v>
      </c>
      <c r="K15" s="887">
        <f>XMP!N21</f>
        <v>14.52</v>
      </c>
      <c r="L15" s="888" t="s">
        <v>1283</v>
      </c>
      <c r="M15" s="889" t="s">
        <v>1603</v>
      </c>
    </row>
    <row r="16" spans="1:13" s="736" customFormat="1">
      <c r="A16" s="894"/>
      <c r="B16" s="894"/>
      <c r="C16" s="897" t="s">
        <v>775</v>
      </c>
      <c r="D16" s="888" t="s">
        <v>1588</v>
      </c>
      <c r="E16" s="888" t="s">
        <v>1579</v>
      </c>
      <c r="F16" s="889" t="s">
        <v>1592</v>
      </c>
      <c r="G16" s="898">
        <v>0</v>
      </c>
      <c r="H16" s="888" t="s">
        <v>1602</v>
      </c>
      <c r="I16" s="899" t="s">
        <v>1603</v>
      </c>
      <c r="J16" s="886">
        <f>XMP!N9</f>
        <v>180.125</v>
      </c>
      <c r="K16" s="887">
        <f>XMP!N22</f>
        <v>198.13749999999999</v>
      </c>
      <c r="L16" s="888" t="s">
        <v>1283</v>
      </c>
      <c r="M16" s="889" t="s">
        <v>1603</v>
      </c>
    </row>
    <row r="17" spans="1:13" s="736" customFormat="1">
      <c r="A17" s="894"/>
      <c r="B17" s="894"/>
      <c r="C17" s="897" t="s">
        <v>775</v>
      </c>
      <c r="D17" s="888" t="s">
        <v>1588</v>
      </c>
      <c r="E17" s="888" t="s">
        <v>1580</v>
      </c>
      <c r="F17" s="889" t="s">
        <v>1593</v>
      </c>
      <c r="G17" s="898">
        <v>0</v>
      </c>
      <c r="H17" s="888" t="s">
        <v>1602</v>
      </c>
      <c r="I17" s="899" t="s">
        <v>1603</v>
      </c>
      <c r="J17" s="886">
        <f>XMP!N10</f>
        <v>944.625</v>
      </c>
      <c r="K17" s="887">
        <f>XMP!N23</f>
        <v>1039.0875000000001</v>
      </c>
      <c r="L17" s="888" t="s">
        <v>1283</v>
      </c>
      <c r="M17" s="889" t="s">
        <v>1603</v>
      </c>
    </row>
    <row r="18" spans="1:13" s="736" customFormat="1">
      <c r="A18" s="894"/>
      <c r="B18" s="894"/>
      <c r="C18" s="897" t="s">
        <v>775</v>
      </c>
      <c r="D18" s="888" t="s">
        <v>1588</v>
      </c>
      <c r="E18" s="888" t="s">
        <v>1581</v>
      </c>
      <c r="F18" s="889" t="s">
        <v>1597</v>
      </c>
      <c r="G18" s="898">
        <v>0</v>
      </c>
      <c r="H18" s="888" t="s">
        <v>1602</v>
      </c>
      <c r="I18" s="899" t="s">
        <v>1603</v>
      </c>
      <c r="J18" s="886">
        <f>XMP!N11</f>
        <v>562.375</v>
      </c>
      <c r="K18" s="887">
        <f>XMP!N24</f>
        <v>618.61249999999995</v>
      </c>
      <c r="L18" s="888" t="s">
        <v>1283</v>
      </c>
      <c r="M18" s="889" t="s">
        <v>1603</v>
      </c>
    </row>
    <row r="19" spans="1:13">
      <c r="C19" s="897" t="s">
        <v>775</v>
      </c>
      <c r="D19" s="888" t="s">
        <v>1588</v>
      </c>
      <c r="E19" s="888" t="s">
        <v>1582</v>
      </c>
      <c r="F19" s="889" t="s">
        <v>1598</v>
      </c>
      <c r="G19" s="898">
        <v>0</v>
      </c>
      <c r="H19" s="888" t="s">
        <v>1602</v>
      </c>
      <c r="I19" s="899" t="s">
        <v>1603</v>
      </c>
      <c r="J19" s="886">
        <f>XMP!N12</f>
        <v>1623.875</v>
      </c>
      <c r="K19" s="887">
        <f>XMP!N25</f>
        <v>1786.2625</v>
      </c>
      <c r="L19" s="888" t="s">
        <v>1283</v>
      </c>
      <c r="M19" s="889" t="s">
        <v>1603</v>
      </c>
    </row>
    <row r="20" spans="1:13">
      <c r="C20" s="897" t="s">
        <v>775</v>
      </c>
      <c r="D20" s="888" t="s">
        <v>1588</v>
      </c>
      <c r="E20" s="888" t="s">
        <v>1583</v>
      </c>
      <c r="F20" s="889" t="s">
        <v>1599</v>
      </c>
      <c r="G20" s="898">
        <v>0</v>
      </c>
      <c r="H20" s="888" t="s">
        <v>1602</v>
      </c>
      <c r="I20" s="899" t="s">
        <v>1603</v>
      </c>
      <c r="J20" s="886">
        <f>XMP!N13</f>
        <v>20.625</v>
      </c>
      <c r="K20" s="887">
        <f>XMP!N26</f>
        <v>22.6875</v>
      </c>
      <c r="L20" s="888" t="s">
        <v>1283</v>
      </c>
      <c r="M20" s="889" t="s">
        <v>1603</v>
      </c>
    </row>
    <row r="21" spans="1:13">
      <c r="C21" s="897" t="s">
        <v>775</v>
      </c>
      <c r="D21" s="888" t="s">
        <v>1588</v>
      </c>
      <c r="E21" s="888" t="s">
        <v>1584</v>
      </c>
      <c r="F21" s="889" t="s">
        <v>1600</v>
      </c>
      <c r="G21" s="898">
        <v>0</v>
      </c>
      <c r="H21" s="888" t="s">
        <v>1602</v>
      </c>
      <c r="I21" s="899" t="s">
        <v>1603</v>
      </c>
      <c r="J21" s="886">
        <f>XMP!N14</f>
        <v>0</v>
      </c>
      <c r="K21" s="887">
        <f>XMP!N27</f>
        <v>0</v>
      </c>
      <c r="L21" s="888" t="s">
        <v>1283</v>
      </c>
      <c r="M21" s="889" t="s">
        <v>1603</v>
      </c>
    </row>
    <row r="22" spans="1:13">
      <c r="C22" s="897" t="s">
        <v>775</v>
      </c>
      <c r="D22" s="888" t="s">
        <v>1588</v>
      </c>
      <c r="E22" s="888" t="s">
        <v>1585</v>
      </c>
      <c r="F22" s="889" t="s">
        <v>1601</v>
      </c>
      <c r="G22" s="898">
        <v>0</v>
      </c>
      <c r="H22" s="888" t="s">
        <v>1602</v>
      </c>
      <c r="I22" s="899" t="s">
        <v>1603</v>
      </c>
      <c r="J22" s="886">
        <f>XMP!N15</f>
        <v>16.5</v>
      </c>
      <c r="K22" s="887">
        <f>XMP!N28</f>
        <v>18.149999999999999</v>
      </c>
      <c r="L22" s="888" t="s">
        <v>1283</v>
      </c>
      <c r="M22" s="889" t="s">
        <v>1603</v>
      </c>
    </row>
    <row r="23" spans="1:13">
      <c r="C23" s="897" t="s">
        <v>775</v>
      </c>
      <c r="D23" s="888" t="s">
        <v>1588</v>
      </c>
      <c r="E23" s="888" t="s">
        <v>1575</v>
      </c>
      <c r="F23" s="889" t="s">
        <v>1594</v>
      </c>
      <c r="G23" s="898">
        <v>0</v>
      </c>
      <c r="H23" s="888" t="s">
        <v>1602</v>
      </c>
      <c r="I23" s="899" t="s">
        <v>1604</v>
      </c>
      <c r="J23" s="886">
        <f>XMP!N16</f>
        <v>1280.5448203200001</v>
      </c>
      <c r="K23" s="887">
        <f>XMP!N29</f>
        <v>1298.3988272300001</v>
      </c>
      <c r="L23" s="888" t="s">
        <v>1283</v>
      </c>
      <c r="M23" s="889" t="s">
        <v>1604</v>
      </c>
    </row>
    <row r="24" spans="1:13">
      <c r="C24" s="897" t="s">
        <v>775</v>
      </c>
      <c r="D24" s="888" t="s">
        <v>1588</v>
      </c>
      <c r="E24" s="888" t="s">
        <v>1586</v>
      </c>
      <c r="F24" s="889" t="s">
        <v>1595</v>
      </c>
      <c r="G24" s="898">
        <v>0</v>
      </c>
      <c r="H24" s="888" t="s">
        <v>1602</v>
      </c>
      <c r="I24" s="899" t="s">
        <v>1604</v>
      </c>
      <c r="J24" s="886">
        <f>XMP!N17</f>
        <v>243.22911033</v>
      </c>
      <c r="K24" s="887">
        <f>XMP!N30</f>
        <v>246.62033424000001</v>
      </c>
      <c r="L24" s="888" t="s">
        <v>1283</v>
      </c>
      <c r="M24" s="889" t="s">
        <v>1604</v>
      </c>
    </row>
    <row r="25" spans="1:13">
      <c r="C25" s="897" t="s">
        <v>775</v>
      </c>
      <c r="D25" s="888" t="s">
        <v>1588</v>
      </c>
      <c r="E25" s="888" t="s">
        <v>1587</v>
      </c>
      <c r="F25" s="889" t="s">
        <v>1596</v>
      </c>
      <c r="G25" s="898">
        <v>0</v>
      </c>
      <c r="H25" s="888" t="s">
        <v>1602</v>
      </c>
      <c r="I25" s="899" t="s">
        <v>1604</v>
      </c>
      <c r="J25" s="886">
        <f>XMP!N18</f>
        <v>127.00254179</v>
      </c>
      <c r="K25" s="887">
        <f>XMP!N31</f>
        <v>128.77327579000001</v>
      </c>
      <c r="L25" s="888" t="s">
        <v>1283</v>
      </c>
      <c r="M25" s="889" t="s">
        <v>1604</v>
      </c>
    </row>
    <row r="26" spans="1:13">
      <c r="A26" s="894">
        <v>1</v>
      </c>
      <c r="C26" s="897" t="s">
        <v>9</v>
      </c>
      <c r="D26" s="888" t="s">
        <v>152</v>
      </c>
      <c r="E26" s="888" t="s">
        <v>804</v>
      </c>
      <c r="F26" s="889" t="s">
        <v>157</v>
      </c>
      <c r="G26" s="904">
        <v>0</v>
      </c>
      <c r="H26" s="888" t="s">
        <v>1092</v>
      </c>
      <c r="I26" s="899" t="s">
        <v>1316</v>
      </c>
      <c r="J26" s="886">
        <f>SUMIFS(HPWH!$R$6:$R$37,HPWH!$J$6:$J$37,$E26,HPWH!$L$6:$L$37,'Data Sources 20-21'!J$3,HPWH!$K$6:$K$37,'Data Sources 20-21'!$F19)</f>
        <v>0</v>
      </c>
      <c r="K26" s="887">
        <f>SUMIFS(HPWH!$R$6:$R$37,HPWH!$J$6:$J$37,$E26,HPWH!$L$6:$L$37,'Data Sources 20-21'!K$3,HPWH!$K$6:$K$37,'Data Sources 20-21'!$F19)</f>
        <v>0</v>
      </c>
      <c r="L26" s="888" t="s">
        <v>821</v>
      </c>
      <c r="M26" s="889" t="s">
        <v>1316</v>
      </c>
    </row>
    <row r="27" spans="1:13">
      <c r="A27" s="894">
        <v>1</v>
      </c>
      <c r="C27" s="897" t="s">
        <v>9</v>
      </c>
      <c r="D27" s="888" t="s">
        <v>152</v>
      </c>
      <c r="E27" s="888" t="s">
        <v>804</v>
      </c>
      <c r="F27" s="889" t="s">
        <v>158</v>
      </c>
      <c r="G27" s="904">
        <v>0</v>
      </c>
      <c r="H27" s="888" t="s">
        <v>1092</v>
      </c>
      <c r="I27" s="899" t="s">
        <v>1316</v>
      </c>
      <c r="J27" s="886">
        <f>SUMIFS(HPWH!$R$6:$R$37,HPWH!$J$6:$J$37,$E27,HPWH!$L$6:$L$37,'Data Sources 20-21'!J$3,HPWH!$K$6:$K$37,'Data Sources 20-21'!$F20)</f>
        <v>0</v>
      </c>
      <c r="K27" s="887">
        <f>SUMIFS(HPWH!$R$6:$R$37,HPWH!$J$6:$J$37,$E27,HPWH!$L$6:$L$37,'Data Sources 20-21'!K$3,HPWH!$K$6:$K$37,'Data Sources 20-21'!$F20)</f>
        <v>0</v>
      </c>
      <c r="L27" s="888" t="s">
        <v>821</v>
      </c>
      <c r="M27" s="889" t="s">
        <v>1316</v>
      </c>
    </row>
    <row r="28" spans="1:13">
      <c r="A28" s="894">
        <v>1</v>
      </c>
      <c r="C28" s="897" t="s">
        <v>9</v>
      </c>
      <c r="D28" s="888" t="s">
        <v>152</v>
      </c>
      <c r="E28" s="888" t="s">
        <v>804</v>
      </c>
      <c r="F28" s="889" t="s">
        <v>818</v>
      </c>
      <c r="G28" s="904">
        <v>0</v>
      </c>
      <c r="H28" s="888" t="s">
        <v>1092</v>
      </c>
      <c r="I28" s="899" t="s">
        <v>1316</v>
      </c>
      <c r="J28" s="886">
        <f>SUMIFS(HPWH!$R$6:$R$37,HPWH!$J$6:$J$37,$E28,HPWH!$L$6:$L$37,'Data Sources 20-21'!J$3,HPWH!$K$6:$K$37,'Data Sources 20-21'!$F21)</f>
        <v>0</v>
      </c>
      <c r="K28" s="887">
        <f>SUMIFS(HPWH!$R$6:$R$37,HPWH!$J$6:$J$37,$E28,HPWH!$L$6:$L$37,'Data Sources 20-21'!K$3,HPWH!$K$6:$K$37,'Data Sources 20-21'!$F21)</f>
        <v>0</v>
      </c>
      <c r="L28" s="888" t="s">
        <v>821</v>
      </c>
      <c r="M28" s="889" t="s">
        <v>1316</v>
      </c>
    </row>
    <row r="29" spans="1:13">
      <c r="A29" s="894">
        <v>1</v>
      </c>
      <c r="C29" s="897" t="s">
        <v>9</v>
      </c>
      <c r="D29" s="888" t="s">
        <v>152</v>
      </c>
      <c r="E29" s="888" t="s">
        <v>804</v>
      </c>
      <c r="F29" s="889" t="s">
        <v>819</v>
      </c>
      <c r="G29" s="904">
        <v>0</v>
      </c>
      <c r="H29" s="888" t="s">
        <v>1092</v>
      </c>
      <c r="I29" s="899" t="s">
        <v>1316</v>
      </c>
      <c r="J29" s="886">
        <f>SUMIFS(HPWH!$R$6:$R$37,HPWH!$J$6:$J$37,$E29,HPWH!$L$6:$L$37,'Data Sources 20-21'!J$3,HPWH!$K$6:$K$37,'Data Sources 20-21'!$F22)</f>
        <v>0</v>
      </c>
      <c r="K29" s="887">
        <f>SUMIFS(HPWH!$R$6:$R$37,HPWH!$J$6:$J$37,$E29,HPWH!$L$6:$L$37,'Data Sources 20-21'!K$3,HPWH!$K$6:$K$37,'Data Sources 20-21'!$F22)</f>
        <v>0</v>
      </c>
      <c r="L29" s="888" t="s">
        <v>821</v>
      </c>
      <c r="M29" s="889" t="s">
        <v>1316</v>
      </c>
    </row>
    <row r="30" spans="1:13">
      <c r="A30" s="894">
        <v>1</v>
      </c>
      <c r="C30" s="897" t="s">
        <v>9</v>
      </c>
      <c r="D30" s="888" t="s">
        <v>152</v>
      </c>
      <c r="E30" s="888" t="s">
        <v>806</v>
      </c>
      <c r="F30" s="889" t="s">
        <v>157</v>
      </c>
      <c r="G30" s="904">
        <v>0</v>
      </c>
      <c r="H30" s="888" t="s">
        <v>1092</v>
      </c>
      <c r="I30" s="899" t="s">
        <v>1317</v>
      </c>
      <c r="J30" s="886">
        <f>SUMIFS(HPWH!$R$6:$R$37,HPWH!$J$6:$J$37,$E30,HPWH!$L$6:$L$37,'Data Sources 20-21'!J$3,HPWH!$K$6:$K$37,'Data Sources 20-21'!$F23)</f>
        <v>0</v>
      </c>
      <c r="K30" s="887">
        <f>SUMIFS(HPWH!$R$6:$R$37,HPWH!$J$6:$J$37,$E30,HPWH!$L$6:$L$37,'Data Sources 20-21'!K$3,HPWH!$K$6:$K$37,'Data Sources 20-21'!$F23)</f>
        <v>0</v>
      </c>
      <c r="L30" s="888" t="s">
        <v>822</v>
      </c>
      <c r="M30" s="889" t="s">
        <v>1317</v>
      </c>
    </row>
    <row r="31" spans="1:13">
      <c r="A31" s="894">
        <v>1</v>
      </c>
      <c r="C31" s="897" t="s">
        <v>9</v>
      </c>
      <c r="D31" s="888" t="s">
        <v>152</v>
      </c>
      <c r="E31" s="888" t="s">
        <v>806</v>
      </c>
      <c r="F31" s="889" t="s">
        <v>158</v>
      </c>
      <c r="G31" s="904">
        <v>0</v>
      </c>
      <c r="H31" s="888" t="s">
        <v>1092</v>
      </c>
      <c r="I31" s="899" t="s">
        <v>1317</v>
      </c>
      <c r="J31" s="886">
        <f>SUMIFS(HPWH!$R$6:$R$37,HPWH!$J$6:$J$37,$E31,HPWH!$L$6:$L$37,'Data Sources 20-21'!J$3,HPWH!$K$6:$K$37,'Data Sources 20-21'!$F24)</f>
        <v>0</v>
      </c>
      <c r="K31" s="887">
        <f>SUMIFS(HPWH!$R$6:$R$37,HPWH!$J$6:$J$37,$E31,HPWH!$L$6:$L$37,'Data Sources 20-21'!K$3,HPWH!$K$6:$K$37,'Data Sources 20-21'!$F24)</f>
        <v>0</v>
      </c>
      <c r="L31" s="888" t="s">
        <v>822</v>
      </c>
      <c r="M31" s="889" t="s">
        <v>1317</v>
      </c>
    </row>
    <row r="32" spans="1:13">
      <c r="A32" s="894">
        <v>1</v>
      </c>
      <c r="C32" s="897" t="s">
        <v>9</v>
      </c>
      <c r="D32" s="888" t="s">
        <v>152</v>
      </c>
      <c r="E32" s="888" t="s">
        <v>806</v>
      </c>
      <c r="F32" s="889" t="s">
        <v>818</v>
      </c>
      <c r="G32" s="904">
        <v>0</v>
      </c>
      <c r="H32" s="888" t="s">
        <v>1092</v>
      </c>
      <c r="I32" s="899" t="s">
        <v>1317</v>
      </c>
      <c r="J32" s="886">
        <f>SUMIFS(HPWH!$R$6:$R$37,HPWH!$J$6:$J$37,$E32,HPWH!$L$6:$L$37,'Data Sources 20-21'!J$3,HPWH!$K$6:$K$37,'Data Sources 20-21'!$F25)</f>
        <v>0</v>
      </c>
      <c r="K32" s="887">
        <f>SUMIFS(HPWH!$R$6:$R$37,HPWH!$J$6:$J$37,$E32,HPWH!$L$6:$L$37,'Data Sources 20-21'!K$3,HPWH!$K$6:$K$37,'Data Sources 20-21'!$F25)</f>
        <v>0</v>
      </c>
      <c r="L32" s="888" t="s">
        <v>823</v>
      </c>
      <c r="M32" s="889" t="s">
        <v>1317</v>
      </c>
    </row>
    <row r="33" spans="1:13">
      <c r="A33" s="894">
        <v>1</v>
      </c>
      <c r="C33" s="897" t="s">
        <v>9</v>
      </c>
      <c r="D33" s="888" t="s">
        <v>152</v>
      </c>
      <c r="E33" s="888" t="s">
        <v>806</v>
      </c>
      <c r="F33" s="889" t="s">
        <v>819</v>
      </c>
      <c r="G33" s="904">
        <v>0</v>
      </c>
      <c r="H33" s="888" t="s">
        <v>1092</v>
      </c>
      <c r="I33" s="899" t="s">
        <v>1317</v>
      </c>
      <c r="J33" s="886">
        <f>SUMIFS(HPWH!$R$6:$R$37,HPWH!$J$6:$J$37,$E33,HPWH!$L$6:$L$37,'Data Sources 20-21'!J$3,HPWH!$K$6:$K$37,'Data Sources 20-21'!$F26)</f>
        <v>551.42220683795506</v>
      </c>
      <c r="K33" s="887">
        <f>SUMIFS(HPWH!$R$6:$R$37,HPWH!$J$6:$J$37,$E33,HPWH!$L$6:$L$37,'Data Sources 20-21'!K$3,HPWH!$K$6:$K$37,'Data Sources 20-21'!$F26)</f>
        <v>543.2097466841235</v>
      </c>
      <c r="L33" s="888" t="s">
        <v>823</v>
      </c>
      <c r="M33" s="889" t="s">
        <v>1317</v>
      </c>
    </row>
    <row r="34" spans="1:13">
      <c r="A34" s="894">
        <v>1</v>
      </c>
      <c r="C34" s="897" t="s">
        <v>9</v>
      </c>
      <c r="D34" s="888" t="s">
        <v>152</v>
      </c>
      <c r="E34" s="888" t="s">
        <v>805</v>
      </c>
      <c r="F34" s="889" t="s">
        <v>157</v>
      </c>
      <c r="G34" s="904">
        <v>0</v>
      </c>
      <c r="H34" s="888" t="s">
        <v>1092</v>
      </c>
      <c r="I34" s="899" t="s">
        <v>1316</v>
      </c>
      <c r="J34" s="886">
        <f>SUMIFS(HPWH!$R$6:$R$37,HPWH!$J$6:$J$37,$E34,HPWH!$L$6:$L$37,'Data Sources 20-21'!J$3,HPWH!$K$6:$K$37,'Data Sources 20-21'!$F27)</f>
        <v>288.90995240000001</v>
      </c>
      <c r="K34" s="887">
        <f>SUMIFS(HPWH!$R$6:$R$37,HPWH!$J$6:$J$37,$E34,HPWH!$L$6:$L$37,'Data Sources 20-21'!K$3,HPWH!$K$6:$K$37,'Data Sources 20-21'!$F27)</f>
        <v>288.90995240000001</v>
      </c>
      <c r="L34" s="888" t="s">
        <v>821</v>
      </c>
      <c r="M34" s="889" t="s">
        <v>1316</v>
      </c>
    </row>
    <row r="35" spans="1:13">
      <c r="A35" s="894">
        <v>1</v>
      </c>
      <c r="C35" s="897" t="s">
        <v>9</v>
      </c>
      <c r="D35" s="888" t="s">
        <v>152</v>
      </c>
      <c r="E35" s="888" t="s">
        <v>805</v>
      </c>
      <c r="F35" s="889" t="s">
        <v>158</v>
      </c>
      <c r="G35" s="904">
        <v>0</v>
      </c>
      <c r="H35" s="888" t="s">
        <v>1092</v>
      </c>
      <c r="I35" s="899" t="s">
        <v>1316</v>
      </c>
      <c r="J35" s="886">
        <f>SUMIFS(HPWH!$R$6:$R$37,HPWH!$J$6:$J$37,$E35,HPWH!$L$6:$L$37,'Data Sources 20-21'!J$3,HPWH!$K$6:$K$37,'Data Sources 20-21'!$F28)</f>
        <v>169.11900077000001</v>
      </c>
      <c r="K35" s="887">
        <f>SUMIFS(HPWH!$R$6:$R$37,HPWH!$J$6:$J$37,$E35,HPWH!$L$6:$L$37,'Data Sources 20-21'!K$3,HPWH!$K$6:$K$37,'Data Sources 20-21'!$F28)</f>
        <v>169.11900077000001</v>
      </c>
      <c r="L35" s="888" t="s">
        <v>821</v>
      </c>
      <c r="M35" s="889" t="s">
        <v>1316</v>
      </c>
    </row>
    <row r="36" spans="1:13" s="1427" customFormat="1">
      <c r="A36" s="894">
        <v>1</v>
      </c>
      <c r="B36" s="894"/>
      <c r="C36" s="897" t="s">
        <v>9</v>
      </c>
      <c r="D36" s="888" t="s">
        <v>152</v>
      </c>
      <c r="E36" s="888" t="s">
        <v>805</v>
      </c>
      <c r="F36" s="889" t="s">
        <v>818</v>
      </c>
      <c r="G36" s="904">
        <v>0</v>
      </c>
      <c r="H36" s="888" t="s">
        <v>1092</v>
      </c>
      <c r="I36" s="899" t="s">
        <v>1316</v>
      </c>
      <c r="J36" s="886">
        <f>SUMIFS(HPWH!$R$6:$R$37,HPWH!$J$6:$J$37,$E36,HPWH!$L$6:$L$37,'Data Sources 20-21'!J$3,HPWH!$K$6:$K$37,'Data Sources 20-21'!$F29)</f>
        <v>298.07860697920228</v>
      </c>
      <c r="K36" s="887">
        <f>SUMIFS(HPWH!$R$6:$R$37,HPWH!$J$6:$J$37,$E36,HPWH!$L$6:$L$37,'Data Sources 20-21'!K$3,HPWH!$K$6:$K$37,'Data Sources 20-21'!$F29)</f>
        <v>298.07860697920228</v>
      </c>
      <c r="L36" s="888" t="s">
        <v>821</v>
      </c>
      <c r="M36" s="889" t="s">
        <v>1316</v>
      </c>
    </row>
    <row r="37" spans="1:13" s="1427" customFormat="1">
      <c r="A37" s="894">
        <v>1</v>
      </c>
      <c r="B37" s="894"/>
      <c r="C37" s="897" t="s">
        <v>9</v>
      </c>
      <c r="D37" s="888" t="s">
        <v>152</v>
      </c>
      <c r="E37" s="888" t="s">
        <v>805</v>
      </c>
      <c r="F37" s="889" t="s">
        <v>819</v>
      </c>
      <c r="G37" s="904">
        <v>0</v>
      </c>
      <c r="H37" s="888" t="s">
        <v>1092</v>
      </c>
      <c r="I37" s="899" t="s">
        <v>1316</v>
      </c>
      <c r="J37" s="886">
        <f>SUMIFS(HPWH!$R$6:$R$37,HPWH!$J$6:$J$37,$E37,HPWH!$L$6:$L$37,'Data Sources 20-21'!J$3,HPWH!$K$6:$K$37,'Data Sources 20-21'!$F30)</f>
        <v>1049.1477771</v>
      </c>
      <c r="K37" s="887">
        <f>SUMIFS(HPWH!$R$6:$R$37,HPWH!$J$6:$J$37,$E37,HPWH!$L$6:$L$37,'Data Sources 20-21'!K$3,HPWH!$K$6:$K$37,'Data Sources 20-21'!$F30)</f>
        <v>1049.1477771</v>
      </c>
      <c r="L37" s="888" t="s">
        <v>821</v>
      </c>
      <c r="M37" s="889" t="s">
        <v>1316</v>
      </c>
    </row>
    <row r="38" spans="1:13" s="1427" customFormat="1">
      <c r="A38" s="894">
        <v>1</v>
      </c>
      <c r="B38" s="894"/>
      <c r="C38" s="897" t="s">
        <v>9</v>
      </c>
      <c r="D38" s="888" t="s">
        <v>152</v>
      </c>
      <c r="E38" s="888" t="s">
        <v>807</v>
      </c>
      <c r="F38" s="889" t="s">
        <v>157</v>
      </c>
      <c r="G38" s="904">
        <v>0</v>
      </c>
      <c r="H38" s="888" t="s">
        <v>1092</v>
      </c>
      <c r="I38" s="899" t="s">
        <v>1317</v>
      </c>
      <c r="J38" s="886">
        <f>SUMIFS(HPWH!$R$6:$R$37,HPWH!$J$6:$J$37,$E38,HPWH!$L$6:$L$37,'Data Sources 20-21'!J$3,HPWH!$K$6:$K$37,'Data Sources 20-21'!$F31)</f>
        <v>116.042900349096</v>
      </c>
      <c r="K38" s="887">
        <f>SUMIFS(HPWH!$R$6:$R$37,HPWH!$J$6:$J$37,$E38,HPWH!$L$6:$L$37,'Data Sources 20-21'!K$3,HPWH!$K$6:$K$37,'Data Sources 20-21'!$F31)</f>
        <v>112.20688669998307</v>
      </c>
      <c r="L38" s="888" t="s">
        <v>822</v>
      </c>
      <c r="M38" s="889" t="s">
        <v>1317</v>
      </c>
    </row>
    <row r="39" spans="1:13">
      <c r="A39" s="894">
        <v>1</v>
      </c>
      <c r="C39" s="897" t="s">
        <v>9</v>
      </c>
      <c r="D39" s="888" t="s">
        <v>152</v>
      </c>
      <c r="E39" s="888" t="s">
        <v>807</v>
      </c>
      <c r="F39" s="889" t="s">
        <v>158</v>
      </c>
      <c r="G39" s="904">
        <v>0</v>
      </c>
      <c r="H39" s="888" t="s">
        <v>1092</v>
      </c>
      <c r="I39" s="899" t="s">
        <v>1317</v>
      </c>
      <c r="J39" s="886">
        <f>SUMIFS(HPWH!$R$6:$R$37,HPWH!$J$6:$J$37,$E39,HPWH!$L$6:$L$37,'Data Sources 20-21'!J$3,HPWH!$K$6:$K$37,'Data Sources 20-21'!$F32)</f>
        <v>67.834970153223921</v>
      </c>
      <c r="K39" s="887">
        <f>SUMIFS(HPWH!$R$6:$R$37,HPWH!$J$6:$J$37,$E39,HPWH!$L$6:$L$37,'Data Sources 20-21'!K$3,HPWH!$K$6:$K$37,'Data Sources 20-21'!$F32)</f>
        <v>65.592559194758408</v>
      </c>
      <c r="L39" s="888" t="s">
        <v>822</v>
      </c>
      <c r="M39" s="889" t="s">
        <v>1317</v>
      </c>
    </row>
    <row r="40" spans="1:13" s="1427" customFormat="1">
      <c r="A40" s="894">
        <v>1</v>
      </c>
      <c r="B40" s="894" t="s">
        <v>55</v>
      </c>
      <c r="C40" s="897" t="s">
        <v>9</v>
      </c>
      <c r="D40" s="888" t="s">
        <v>152</v>
      </c>
      <c r="E40" s="888" t="s">
        <v>807</v>
      </c>
      <c r="F40" s="889" t="s">
        <v>818</v>
      </c>
      <c r="G40" s="904">
        <v>0</v>
      </c>
      <c r="H40" s="888" t="s">
        <v>1092</v>
      </c>
      <c r="I40" s="899" t="s">
        <v>1317</v>
      </c>
      <c r="J40" s="886">
        <f>SUMIFS(HPWH!$R$6:$R$37,HPWH!$J$6:$J$37,$E40,HPWH!$L$6:$L$37,'Data Sources 20-21'!J$3,HPWH!$K$6:$K$37,'Data Sources 20-21'!$F33)</f>
        <v>119.64587815235947</v>
      </c>
      <c r="K40" s="887">
        <f>SUMIFS(HPWH!$R$6:$R$37,HPWH!$J$6:$J$37,$E40,HPWH!$L$6:$L$37,'Data Sources 20-21'!K$3,HPWH!$K$6:$K$37,'Data Sources 20-21'!$F33)</f>
        <v>115.69076137854705</v>
      </c>
      <c r="L40" s="888" t="s">
        <v>823</v>
      </c>
      <c r="M40" s="889" t="s">
        <v>1317</v>
      </c>
    </row>
    <row r="41" spans="1:13" s="1427" customFormat="1">
      <c r="A41" s="894">
        <v>1</v>
      </c>
      <c r="B41" s="894"/>
      <c r="C41" s="897" t="s">
        <v>9</v>
      </c>
      <c r="D41" s="888" t="s">
        <v>152</v>
      </c>
      <c r="E41" s="888" t="s">
        <v>807</v>
      </c>
      <c r="F41" s="889" t="s">
        <v>819</v>
      </c>
      <c r="G41" s="904">
        <v>0</v>
      </c>
      <c r="H41" s="888" t="s">
        <v>1092</v>
      </c>
      <c r="I41" s="899" t="s">
        <v>1317</v>
      </c>
      <c r="J41" s="886">
        <f>SUMIFS(HPWH!$R$6:$R$37,HPWH!$J$6:$J$37,$E41,HPWH!$L$6:$L$37,'Data Sources 20-21'!J$3,HPWH!$K$6:$K$37,'Data Sources 20-21'!$F34)</f>
        <v>420.89998641309217</v>
      </c>
      <c r="K41" s="887">
        <f>SUMIFS(HPWH!$R$6:$R$37,HPWH!$J$6:$J$37,$E41,HPWH!$L$6:$L$37,'Data Sources 20-21'!K$3,HPWH!$K$6:$K$37,'Data Sources 20-21'!$F34)</f>
        <v>406.986355437523</v>
      </c>
      <c r="L41" s="888" t="s">
        <v>823</v>
      </c>
      <c r="M41" s="889" t="s">
        <v>1317</v>
      </c>
    </row>
    <row r="42" spans="1:13" s="736" customFormat="1">
      <c r="A42" s="590">
        <v>1</v>
      </c>
      <c r="B42" s="590" t="s">
        <v>954</v>
      </c>
      <c r="C42" s="897" t="s">
        <v>775</v>
      </c>
      <c r="D42" s="888" t="s">
        <v>857</v>
      </c>
      <c r="E42" s="888" t="s">
        <v>1792</v>
      </c>
      <c r="F42" s="889" t="s">
        <v>1793</v>
      </c>
      <c r="G42" s="898">
        <v>0</v>
      </c>
      <c r="H42" s="888" t="s">
        <v>1428</v>
      </c>
      <c r="I42" s="905" t="s">
        <v>1745</v>
      </c>
      <c r="J42" s="886" t="e">
        <f>Manufactured_Homes!#REF!</f>
        <v>#REF!</v>
      </c>
      <c r="K42" s="887" t="e">
        <f t="shared" ref="K42:K47" si="0">J42</f>
        <v>#REF!</v>
      </c>
      <c r="L42" s="888" t="s">
        <v>1429</v>
      </c>
      <c r="M42" s="889" t="s">
        <v>1430</v>
      </c>
    </row>
    <row r="43" spans="1:13" s="736" customFormat="1">
      <c r="A43" s="590">
        <v>1</v>
      </c>
      <c r="B43" s="590" t="s">
        <v>1396</v>
      </c>
      <c r="C43" s="897" t="s">
        <v>775</v>
      </c>
      <c r="D43" s="888" t="s">
        <v>857</v>
      </c>
      <c r="E43" s="888" t="s">
        <v>1794</v>
      </c>
      <c r="F43" s="889" t="s">
        <v>1795</v>
      </c>
      <c r="G43" s="898">
        <v>0</v>
      </c>
      <c r="H43" s="888" t="s">
        <v>1728</v>
      </c>
      <c r="I43" s="905" t="s">
        <v>1745</v>
      </c>
      <c r="J43" s="886" t="e">
        <f>Manufactured_Homes!#REF!</f>
        <v>#REF!</v>
      </c>
      <c r="K43" s="887">
        <f>Manufactured_Homes!R10</f>
        <v>1328.9311196399999</v>
      </c>
      <c r="L43" s="888" t="s">
        <v>1429</v>
      </c>
      <c r="M43" s="889" t="s">
        <v>1430</v>
      </c>
    </row>
    <row r="44" spans="1:13" s="736" customFormat="1">
      <c r="A44" s="590">
        <v>1</v>
      </c>
      <c r="B44" s="590" t="s">
        <v>956</v>
      </c>
      <c r="C44" s="897" t="s">
        <v>775</v>
      </c>
      <c r="D44" s="888" t="s">
        <v>857</v>
      </c>
      <c r="E44" s="888" t="s">
        <v>1796</v>
      </c>
      <c r="F44" s="889" t="s">
        <v>1797</v>
      </c>
      <c r="G44" s="898">
        <v>0</v>
      </c>
      <c r="H44" s="888" t="s">
        <v>1728</v>
      </c>
      <c r="I44" s="905" t="s">
        <v>1745</v>
      </c>
      <c r="J44" s="886" t="e">
        <f>Manufactured_Homes!#REF!</f>
        <v>#REF!</v>
      </c>
      <c r="K44" s="887">
        <f>Manufactured_Homes!R11</f>
        <v>1893.4229323</v>
      </c>
      <c r="L44" s="888" t="s">
        <v>1429</v>
      </c>
      <c r="M44" s="889" t="s">
        <v>1430</v>
      </c>
    </row>
    <row r="45" spans="1:13">
      <c r="A45" s="894">
        <v>1</v>
      </c>
      <c r="B45" s="894" t="s">
        <v>85</v>
      </c>
      <c r="C45" s="900" t="s">
        <v>9</v>
      </c>
      <c r="D45" s="888" t="s">
        <v>1706</v>
      </c>
      <c r="E45" s="888" t="s">
        <v>1798</v>
      </c>
      <c r="F45" s="883" t="s">
        <v>1799</v>
      </c>
      <c r="G45" s="898">
        <v>0</v>
      </c>
      <c r="H45" s="888" t="s">
        <v>838</v>
      </c>
      <c r="I45" s="899" t="s">
        <v>740</v>
      </c>
      <c r="J45" s="886" t="e">
        <f>GETPIVOTDATA("Savings Rate",'AMMO Savings Rates'!$A$3,"Year",$J3,"Measure Index",$B45,"Savings Rate Type","Savings_Rate_2021PP")</f>
        <v>#REF!</v>
      </c>
      <c r="K45" s="887" t="e">
        <f t="shared" si="0"/>
        <v>#REF!</v>
      </c>
      <c r="L45" s="888" t="s">
        <v>1296</v>
      </c>
      <c r="M45" s="889" t="s">
        <v>1306</v>
      </c>
    </row>
    <row r="46" spans="1:13">
      <c r="A46" s="894">
        <v>1</v>
      </c>
      <c r="B46" s="894" t="s">
        <v>67</v>
      </c>
      <c r="C46" s="897" t="s">
        <v>9</v>
      </c>
      <c r="D46" s="888" t="s">
        <v>1706</v>
      </c>
      <c r="E46" s="888" t="s">
        <v>1800</v>
      </c>
      <c r="F46" s="889" t="s">
        <v>1801</v>
      </c>
      <c r="G46" s="898">
        <v>0</v>
      </c>
      <c r="H46" s="888" t="s">
        <v>749</v>
      </c>
      <c r="I46" s="899" t="s">
        <v>740</v>
      </c>
      <c r="J46" s="886">
        <v>0</v>
      </c>
      <c r="K46" s="887">
        <f t="shared" si="0"/>
        <v>0</v>
      </c>
      <c r="L46" s="888" t="s">
        <v>750</v>
      </c>
      <c r="M46" s="889" t="s">
        <v>1307</v>
      </c>
    </row>
    <row r="47" spans="1:13">
      <c r="A47" s="894">
        <v>1</v>
      </c>
      <c r="B47" s="894" t="s">
        <v>65</v>
      </c>
      <c r="C47" s="897" t="s">
        <v>9</v>
      </c>
      <c r="D47" s="888" t="s">
        <v>1706</v>
      </c>
      <c r="E47" s="888" t="s">
        <v>1802</v>
      </c>
      <c r="F47" s="889" t="s">
        <v>1803</v>
      </c>
      <c r="G47" s="898">
        <v>0</v>
      </c>
      <c r="H47" s="888" t="s">
        <v>749</v>
      </c>
      <c r="I47" s="899" t="s">
        <v>740</v>
      </c>
      <c r="J47" s="886" t="s">
        <v>735</v>
      </c>
      <c r="K47" s="887" t="str">
        <f t="shared" si="0"/>
        <v>N/A</v>
      </c>
      <c r="L47" s="888" t="s">
        <v>1296</v>
      </c>
      <c r="M47" s="889" t="s">
        <v>1304</v>
      </c>
    </row>
    <row r="48" spans="1:13">
      <c r="A48" s="894">
        <v>1</v>
      </c>
      <c r="B48" s="894" t="s">
        <v>68</v>
      </c>
      <c r="C48" s="897" t="s">
        <v>9</v>
      </c>
      <c r="D48" s="888" t="s">
        <v>1706</v>
      </c>
      <c r="E48" s="888" t="s">
        <v>1804</v>
      </c>
      <c r="F48" s="889" t="s">
        <v>1805</v>
      </c>
      <c r="G48" s="898">
        <v>0</v>
      </c>
      <c r="H48" s="888" t="s">
        <v>749</v>
      </c>
      <c r="I48" s="899" t="s">
        <v>740</v>
      </c>
      <c r="J48" s="886">
        <v>0</v>
      </c>
      <c r="K48" s="887">
        <v>0</v>
      </c>
      <c r="L48" s="888" t="s">
        <v>1303</v>
      </c>
      <c r="M48" s="889" t="s">
        <v>1305</v>
      </c>
    </row>
    <row r="49" spans="1:13">
      <c r="A49" s="894">
        <v>1</v>
      </c>
      <c r="B49" s="894" t="s">
        <v>63</v>
      </c>
      <c r="C49" s="897" t="s">
        <v>9</v>
      </c>
      <c r="D49" s="888" t="s">
        <v>1706</v>
      </c>
      <c r="E49" s="888" t="s">
        <v>1806</v>
      </c>
      <c r="F49" s="889" t="s">
        <v>1807</v>
      </c>
      <c r="G49" s="898">
        <v>0</v>
      </c>
      <c r="H49" s="888" t="s">
        <v>749</v>
      </c>
      <c r="I49" s="899" t="s">
        <v>740</v>
      </c>
      <c r="J49" s="886" t="s">
        <v>735</v>
      </c>
      <c r="K49" s="887" t="str">
        <f>J49</f>
        <v>N/A</v>
      </c>
      <c r="L49" s="888" t="s">
        <v>1303</v>
      </c>
      <c r="M49" s="889" t="s">
        <v>1304</v>
      </c>
    </row>
    <row r="50" spans="1:13">
      <c r="A50" s="894">
        <v>1</v>
      </c>
      <c r="B50" s="894" t="s">
        <v>62</v>
      </c>
      <c r="C50" s="897" t="s">
        <v>9</v>
      </c>
      <c r="D50" s="888" t="s">
        <v>1706</v>
      </c>
      <c r="E50" s="888" t="s">
        <v>1808</v>
      </c>
      <c r="F50" s="889" t="s">
        <v>1809</v>
      </c>
      <c r="G50" s="898">
        <v>0</v>
      </c>
      <c r="H50" s="888" t="s">
        <v>749</v>
      </c>
      <c r="I50" s="899" t="s">
        <v>740</v>
      </c>
      <c r="J50" s="886" t="s">
        <v>735</v>
      </c>
      <c r="K50" s="887" t="str">
        <f>J50</f>
        <v>N/A</v>
      </c>
      <c r="L50" s="888" t="s">
        <v>1303</v>
      </c>
      <c r="M50" s="889" t="s">
        <v>1713</v>
      </c>
    </row>
    <row r="51" spans="1:13">
      <c r="A51" s="894">
        <v>3</v>
      </c>
      <c r="B51" s="894" t="s">
        <v>21</v>
      </c>
      <c r="C51" s="897" t="s">
        <v>9</v>
      </c>
      <c r="D51" s="888" t="s">
        <v>137</v>
      </c>
      <c r="E51" s="888" t="s">
        <v>1810</v>
      </c>
      <c r="F51" s="889" t="s">
        <v>1811</v>
      </c>
      <c r="G51" s="898">
        <v>0</v>
      </c>
      <c r="H51" s="888" t="s">
        <v>1747</v>
      </c>
      <c r="I51" s="899" t="s">
        <v>740</v>
      </c>
      <c r="J51" s="890" t="e">
        <f>Codes!#REF!</f>
        <v>#REF!</v>
      </c>
      <c r="K51" s="891">
        <f>Codes!P35</f>
        <v>0.34608330155607836</v>
      </c>
      <c r="L51" s="902" t="s">
        <v>1671</v>
      </c>
      <c r="M51" s="883" t="s">
        <v>1667</v>
      </c>
    </row>
    <row r="52" spans="1:13">
      <c r="A52" s="1356"/>
      <c r="B52" s="894" t="s">
        <v>1363</v>
      </c>
      <c r="C52" s="897" t="s">
        <v>9</v>
      </c>
      <c r="D52" s="888" t="s">
        <v>137</v>
      </c>
      <c r="E52" s="888" t="s">
        <v>1812</v>
      </c>
      <c r="F52" s="889" t="s">
        <v>1813</v>
      </c>
      <c r="G52" s="898">
        <v>0</v>
      </c>
      <c r="H52" s="888" t="s">
        <v>1747</v>
      </c>
      <c r="I52" s="899" t="s">
        <v>740</v>
      </c>
      <c r="J52" s="890">
        <f>Codes!P35</f>
        <v>0.34608330155607836</v>
      </c>
      <c r="K52" s="891">
        <f>Codes!P36</f>
        <v>1.5685777655339743</v>
      </c>
      <c r="L52" s="902" t="s">
        <v>1673</v>
      </c>
      <c r="M52" s="883" t="s">
        <v>1670</v>
      </c>
    </row>
    <row r="53" spans="1:13">
      <c r="A53" s="894">
        <v>3</v>
      </c>
      <c r="B53" s="894" t="s">
        <v>22</v>
      </c>
      <c r="C53" s="900" t="s">
        <v>9</v>
      </c>
      <c r="D53" s="888" t="s">
        <v>137</v>
      </c>
      <c r="E53" s="888" t="s">
        <v>1814</v>
      </c>
      <c r="F53" s="889" t="s">
        <v>1815</v>
      </c>
      <c r="G53" s="901">
        <v>0</v>
      </c>
      <c r="H53" s="902" t="s">
        <v>1747</v>
      </c>
      <c r="I53" s="903" t="s">
        <v>740</v>
      </c>
      <c r="J53" s="890">
        <f>Codes!P37</f>
        <v>0.2632519912676427</v>
      </c>
      <c r="K53" s="891" t="e">
        <f>Codes!#REF!</f>
        <v>#REF!</v>
      </c>
      <c r="L53" s="902" t="s">
        <v>1672</v>
      </c>
      <c r="M53" s="883" t="s">
        <v>1670</v>
      </c>
    </row>
    <row r="54" spans="1:13">
      <c r="A54" s="894">
        <v>3</v>
      </c>
      <c r="B54" s="894" t="s">
        <v>23</v>
      </c>
      <c r="C54" s="900" t="s">
        <v>9</v>
      </c>
      <c r="D54" s="888" t="s">
        <v>137</v>
      </c>
      <c r="E54" s="888" t="s">
        <v>1816</v>
      </c>
      <c r="F54" s="889" t="s">
        <v>1817</v>
      </c>
      <c r="G54" s="898">
        <v>0</v>
      </c>
      <c r="H54" s="888" t="s">
        <v>1747</v>
      </c>
      <c r="I54" s="899" t="s">
        <v>740</v>
      </c>
      <c r="J54" s="890">
        <f>Codes!P39</f>
        <v>1.6904363032420013</v>
      </c>
      <c r="K54" s="891" t="e">
        <f>Codes!#REF!</f>
        <v>#REF!</v>
      </c>
      <c r="L54" s="902" t="s">
        <v>1490</v>
      </c>
      <c r="M54" s="883" t="s">
        <v>1668</v>
      </c>
    </row>
    <row r="55" spans="1:13">
      <c r="A55" s="1356"/>
      <c r="B55" s="894" t="s">
        <v>1374</v>
      </c>
      <c r="C55" s="900" t="s">
        <v>775</v>
      </c>
      <c r="D55" s="888" t="s">
        <v>137</v>
      </c>
      <c r="E55" s="888" t="s">
        <v>1818</v>
      </c>
      <c r="F55" s="889" t="s">
        <v>1819</v>
      </c>
      <c r="G55" s="898">
        <v>0</v>
      </c>
      <c r="H55" s="888" t="s">
        <v>1747</v>
      </c>
      <c r="I55" s="899" t="s">
        <v>740</v>
      </c>
      <c r="J55" s="890" t="e">
        <f>Codes!#REF!</f>
        <v>#REF!</v>
      </c>
      <c r="K55" s="891">
        <f>Codes!P40</f>
        <v>0.34758840910611205</v>
      </c>
      <c r="L55" s="902" t="s">
        <v>1674</v>
      </c>
      <c r="M55" s="883" t="s">
        <v>1298</v>
      </c>
    </row>
    <row r="56" spans="1:13">
      <c r="A56" s="894">
        <v>3</v>
      </c>
      <c r="B56" s="894" t="s">
        <v>24</v>
      </c>
      <c r="C56" s="900" t="s">
        <v>9</v>
      </c>
      <c r="D56" s="888" t="s">
        <v>137</v>
      </c>
      <c r="E56" s="888" t="s">
        <v>1820</v>
      </c>
      <c r="F56" s="889" t="s">
        <v>1821</v>
      </c>
      <c r="G56" s="901">
        <v>0</v>
      </c>
      <c r="H56" s="902" t="s">
        <v>832</v>
      </c>
      <c r="I56" s="903" t="s">
        <v>740</v>
      </c>
      <c r="J56" s="890" t="e">
        <f>Codes!#REF!</f>
        <v>#REF!</v>
      </c>
      <c r="K56" s="891">
        <f>Codes!P42</f>
        <v>0.26277029475888208</v>
      </c>
      <c r="L56" s="902" t="s">
        <v>1490</v>
      </c>
      <c r="M56" s="883" t="s">
        <v>1669</v>
      </c>
    </row>
    <row r="57" spans="1:13">
      <c r="A57" s="894">
        <v>3</v>
      </c>
      <c r="B57" s="894" t="s">
        <v>1377</v>
      </c>
      <c r="C57" s="900" t="s">
        <v>9</v>
      </c>
      <c r="D57" s="888" t="s">
        <v>137</v>
      </c>
      <c r="E57" s="888" t="s">
        <v>1822</v>
      </c>
      <c r="F57" s="889" t="s">
        <v>1823</v>
      </c>
      <c r="G57" s="901">
        <v>0</v>
      </c>
      <c r="H57" s="902" t="s">
        <v>832</v>
      </c>
      <c r="I57" s="903" t="s">
        <v>740</v>
      </c>
      <c r="J57" s="890" t="e">
        <f>Codes!#REF!</f>
        <v>#REF!</v>
      </c>
      <c r="K57" s="891">
        <f>Codes!P44</f>
        <v>1.6708463291658848</v>
      </c>
      <c r="L57" s="888" t="s">
        <v>1297</v>
      </c>
      <c r="M57" s="889" t="s">
        <v>1298</v>
      </c>
    </row>
    <row r="58" spans="1:13" ht="12" customHeight="1">
      <c r="A58" s="894">
        <v>1</v>
      </c>
      <c r="B58" s="894" t="s">
        <v>755</v>
      </c>
      <c r="C58" s="900" t="s">
        <v>9</v>
      </c>
      <c r="D58" s="888" t="s">
        <v>149</v>
      </c>
      <c r="E58" s="888" t="s">
        <v>1824</v>
      </c>
      <c r="F58" s="889" t="s">
        <v>1825</v>
      </c>
      <c r="G58" s="898">
        <v>0</v>
      </c>
      <c r="H58" s="888" t="s">
        <v>749</v>
      </c>
      <c r="I58" s="899" t="s">
        <v>740</v>
      </c>
      <c r="J58" s="886">
        <v>0</v>
      </c>
      <c r="K58" s="887">
        <v>0</v>
      </c>
      <c r="L58" s="888" t="s">
        <v>751</v>
      </c>
      <c r="M58" s="889" t="str">
        <f>M57</f>
        <v>Communication with Mike Kennedy.</v>
      </c>
    </row>
    <row r="59" spans="1:13">
      <c r="A59" s="894">
        <v>1</v>
      </c>
      <c r="B59" s="894" t="s">
        <v>72</v>
      </c>
      <c r="C59" s="897" t="s">
        <v>9</v>
      </c>
      <c r="D59" s="888" t="s">
        <v>149</v>
      </c>
      <c r="E59" s="888" t="s">
        <v>1826</v>
      </c>
      <c r="F59" s="889" t="s">
        <v>1827</v>
      </c>
      <c r="G59" s="898">
        <v>0</v>
      </c>
      <c r="H59" s="888" t="s">
        <v>749</v>
      </c>
      <c r="I59" s="899" t="s">
        <v>740</v>
      </c>
      <c r="J59" s="886">
        <v>0</v>
      </c>
      <c r="K59" s="887">
        <v>0</v>
      </c>
      <c r="L59" s="888" t="s">
        <v>751</v>
      </c>
      <c r="M59" s="889" t="s">
        <v>1307</v>
      </c>
    </row>
    <row r="60" spans="1:13">
      <c r="A60" s="894">
        <v>1</v>
      </c>
      <c r="B60" s="894" t="s">
        <v>1312</v>
      </c>
      <c r="C60" s="897" t="s">
        <v>9</v>
      </c>
      <c r="D60" s="888" t="s">
        <v>149</v>
      </c>
      <c r="E60" s="888" t="s">
        <v>1828</v>
      </c>
      <c r="F60" s="889" t="s">
        <v>1829</v>
      </c>
      <c r="G60" s="898">
        <v>0</v>
      </c>
      <c r="H60" s="888" t="s">
        <v>749</v>
      </c>
      <c r="I60" s="899" t="s">
        <v>740</v>
      </c>
      <c r="J60" s="886">
        <v>0</v>
      </c>
      <c r="K60" s="887">
        <v>0</v>
      </c>
      <c r="L60" s="888" t="s">
        <v>1296</v>
      </c>
      <c r="M60" s="889" t="s">
        <v>1304</v>
      </c>
    </row>
    <row r="61" spans="1:13">
      <c r="A61" s="894">
        <v>1</v>
      </c>
      <c r="B61" s="894" t="s">
        <v>73</v>
      </c>
      <c r="C61" s="897" t="s">
        <v>9</v>
      </c>
      <c r="D61" s="888" t="s">
        <v>149</v>
      </c>
      <c r="E61" s="888" t="s">
        <v>1830</v>
      </c>
      <c r="F61" s="889" t="s">
        <v>1831</v>
      </c>
      <c r="G61" s="898">
        <v>0</v>
      </c>
      <c r="H61" s="888" t="s">
        <v>749</v>
      </c>
      <c r="I61" s="899" t="s">
        <v>740</v>
      </c>
      <c r="J61" s="886">
        <v>0</v>
      </c>
      <c r="K61" s="887">
        <v>0</v>
      </c>
      <c r="L61" s="888" t="s">
        <v>1303</v>
      </c>
      <c r="M61" s="889" t="s">
        <v>1305</v>
      </c>
    </row>
    <row r="62" spans="1:13">
      <c r="A62" s="894">
        <v>1</v>
      </c>
      <c r="B62" s="894" t="s">
        <v>1321</v>
      </c>
      <c r="C62" s="897" t="s">
        <v>9</v>
      </c>
      <c r="D62" s="888" t="s">
        <v>149</v>
      </c>
      <c r="E62" s="888" t="s">
        <v>1832</v>
      </c>
      <c r="F62" s="889" t="s">
        <v>1833</v>
      </c>
      <c r="G62" s="898">
        <v>0</v>
      </c>
      <c r="H62" s="888" t="s">
        <v>749</v>
      </c>
      <c r="I62" s="899" t="s">
        <v>740</v>
      </c>
      <c r="J62" s="886">
        <v>0</v>
      </c>
      <c r="K62" s="887">
        <v>0</v>
      </c>
      <c r="L62" s="888" t="s">
        <v>1303</v>
      </c>
      <c r="M62" s="889" t="s">
        <v>1304</v>
      </c>
    </row>
    <row r="63" spans="1:13">
      <c r="A63" s="894">
        <v>1</v>
      </c>
      <c r="B63" s="894" t="s">
        <v>74</v>
      </c>
      <c r="C63" s="897" t="s">
        <v>9</v>
      </c>
      <c r="D63" s="888" t="s">
        <v>149</v>
      </c>
      <c r="E63" s="888" t="s">
        <v>1834</v>
      </c>
      <c r="F63" s="889" t="s">
        <v>1835</v>
      </c>
      <c r="G63" s="898">
        <v>0</v>
      </c>
      <c r="H63" s="888" t="s">
        <v>749</v>
      </c>
      <c r="I63" s="899" t="s">
        <v>740</v>
      </c>
      <c r="J63" s="886">
        <v>0</v>
      </c>
      <c r="K63" s="887">
        <v>0</v>
      </c>
      <c r="L63" s="888" t="s">
        <v>1303</v>
      </c>
      <c r="M63" s="889" t="s">
        <v>1304</v>
      </c>
    </row>
    <row r="64" spans="1:13">
      <c r="A64" s="894">
        <v>1</v>
      </c>
      <c r="B64" s="894" t="s">
        <v>1322</v>
      </c>
      <c r="C64" s="897" t="s">
        <v>9</v>
      </c>
      <c r="D64" s="888" t="s">
        <v>149</v>
      </c>
      <c r="E64" s="888" t="s">
        <v>1836</v>
      </c>
      <c r="F64" s="889" t="s">
        <v>1837</v>
      </c>
      <c r="G64" s="898">
        <v>0</v>
      </c>
      <c r="H64" s="888" t="s">
        <v>749</v>
      </c>
      <c r="I64" s="899" t="s">
        <v>740</v>
      </c>
      <c r="J64" s="886">
        <v>0</v>
      </c>
      <c r="K64" s="887">
        <v>0</v>
      </c>
      <c r="L64" s="888" t="s">
        <v>1303</v>
      </c>
      <c r="M64" s="889" t="s">
        <v>1304</v>
      </c>
    </row>
    <row r="65" spans="1:13">
      <c r="A65" s="894">
        <v>1</v>
      </c>
      <c r="B65" s="894" t="s">
        <v>75</v>
      </c>
      <c r="C65" s="897" t="s">
        <v>9</v>
      </c>
      <c r="D65" s="888" t="s">
        <v>149</v>
      </c>
      <c r="E65" s="888" t="s">
        <v>1838</v>
      </c>
      <c r="F65" s="889" t="s">
        <v>1839</v>
      </c>
      <c r="G65" s="898">
        <v>0</v>
      </c>
      <c r="H65" s="888" t="s">
        <v>749</v>
      </c>
      <c r="I65" s="899" t="s">
        <v>740</v>
      </c>
      <c r="J65" s="886">
        <v>0</v>
      </c>
      <c r="K65" s="887">
        <v>0</v>
      </c>
      <c r="L65" s="888" t="s">
        <v>1303</v>
      </c>
      <c r="M65" s="889" t="s">
        <v>1304</v>
      </c>
    </row>
    <row r="66" spans="1:13" s="736" customFormat="1">
      <c r="A66" s="894">
        <v>1</v>
      </c>
      <c r="B66" s="894" t="s">
        <v>910</v>
      </c>
      <c r="C66" s="897" t="s">
        <v>9</v>
      </c>
      <c r="D66" s="888" t="s">
        <v>859</v>
      </c>
      <c r="E66" s="888" t="s">
        <v>1840</v>
      </c>
      <c r="F66" s="889" t="s">
        <v>1841</v>
      </c>
      <c r="G66" s="898">
        <v>0</v>
      </c>
      <c r="H66" s="888" t="s">
        <v>963</v>
      </c>
      <c r="I66" s="899" t="s">
        <v>966</v>
      </c>
      <c r="J66" s="892" t="e">
        <f>#REF!</f>
        <v>#REF!</v>
      </c>
      <c r="K66" s="893" t="e">
        <f>J66</f>
        <v>#REF!</v>
      </c>
      <c r="L66" s="888" t="s">
        <v>967</v>
      </c>
      <c r="M66" s="889" t="s">
        <v>742</v>
      </c>
    </row>
    <row r="67" spans="1:13" s="736" customFormat="1">
      <c r="A67" s="894">
        <v>1</v>
      </c>
      <c r="B67" s="894" t="s">
        <v>957</v>
      </c>
      <c r="C67" s="897" t="s">
        <v>9</v>
      </c>
      <c r="D67" s="888" t="s">
        <v>859</v>
      </c>
      <c r="E67" s="888" t="s">
        <v>1842</v>
      </c>
      <c r="F67" s="889" t="s">
        <v>1843</v>
      </c>
      <c r="G67" s="898">
        <v>0</v>
      </c>
      <c r="H67" s="888" t="s">
        <v>964</v>
      </c>
      <c r="I67" s="899" t="s">
        <v>743</v>
      </c>
      <c r="J67" s="892" t="e">
        <f>#REF!</f>
        <v>#REF!</v>
      </c>
      <c r="K67" s="893" t="e">
        <f>J67</f>
        <v>#REF!</v>
      </c>
      <c r="L67" s="888" t="s">
        <v>967</v>
      </c>
      <c r="M67" s="889" t="s">
        <v>968</v>
      </c>
    </row>
    <row r="68" spans="1:13" s="736" customFormat="1">
      <c r="A68" s="894">
        <v>1</v>
      </c>
      <c r="B68" s="894" t="s">
        <v>912</v>
      </c>
      <c r="C68" s="897" t="s">
        <v>9</v>
      </c>
      <c r="D68" s="888" t="s">
        <v>859</v>
      </c>
      <c r="E68" s="888" t="s">
        <v>1844</v>
      </c>
      <c r="F68" s="889" t="s">
        <v>1845</v>
      </c>
      <c r="G68" s="898">
        <v>0</v>
      </c>
      <c r="H68" s="888" t="s">
        <v>965</v>
      </c>
      <c r="I68" s="899" t="s">
        <v>743</v>
      </c>
      <c r="J68" s="892" t="e">
        <f>#REF!</f>
        <v>#REF!</v>
      </c>
      <c r="K68" s="893" t="e">
        <f>J68</f>
        <v>#REF!</v>
      </c>
      <c r="L68" s="888" t="s">
        <v>967</v>
      </c>
      <c r="M68" s="889" t="s">
        <v>968</v>
      </c>
    </row>
    <row r="69" spans="1:13">
      <c r="A69" s="909">
        <v>1</v>
      </c>
      <c r="B69" s="909" t="s">
        <v>122</v>
      </c>
      <c r="C69" s="897" t="s">
        <v>9</v>
      </c>
      <c r="D69" s="888" t="s">
        <v>141</v>
      </c>
      <c r="E69" s="888" t="s">
        <v>1846</v>
      </c>
      <c r="F69" s="889" t="s">
        <v>1772</v>
      </c>
      <c r="G69" s="898">
        <v>0</v>
      </c>
      <c r="H69" s="888" t="s">
        <v>774</v>
      </c>
      <c r="I69" s="899" t="s">
        <v>740</v>
      </c>
      <c r="J69" s="886">
        <v>0</v>
      </c>
      <c r="K69" s="887">
        <v>0</v>
      </c>
      <c r="L69" s="888" t="s">
        <v>1718</v>
      </c>
      <c r="M69" s="889" t="s">
        <v>1715</v>
      </c>
    </row>
    <row r="70" spans="1:13">
      <c r="A70" s="909">
        <v>1</v>
      </c>
      <c r="B70" s="909" t="s">
        <v>772</v>
      </c>
      <c r="C70" s="897" t="s">
        <v>9</v>
      </c>
      <c r="D70" s="888" t="s">
        <v>141</v>
      </c>
      <c r="E70" s="888" t="s">
        <v>1847</v>
      </c>
      <c r="F70" s="889" t="s">
        <v>1769</v>
      </c>
      <c r="G70" s="898">
        <v>0</v>
      </c>
      <c r="H70" s="888" t="s">
        <v>774</v>
      </c>
      <c r="I70" s="899" t="s">
        <v>740</v>
      </c>
      <c r="J70" s="886">
        <v>0</v>
      </c>
      <c r="K70" s="887">
        <v>0</v>
      </c>
      <c r="L70" s="888" t="s">
        <v>1309</v>
      </c>
      <c r="M70" s="889" t="s">
        <v>1301</v>
      </c>
    </row>
    <row r="71" spans="1:13">
      <c r="A71" s="909">
        <v>1</v>
      </c>
      <c r="B71" s="909" t="s">
        <v>1115</v>
      </c>
      <c r="C71" s="897" t="s">
        <v>9</v>
      </c>
      <c r="D71" s="888" t="s">
        <v>141</v>
      </c>
      <c r="E71" s="888" t="s">
        <v>1848</v>
      </c>
      <c r="F71" s="889" t="s">
        <v>1773</v>
      </c>
      <c r="G71" s="898">
        <v>0</v>
      </c>
      <c r="H71" s="888" t="s">
        <v>774</v>
      </c>
      <c r="I71" s="899" t="s">
        <v>740</v>
      </c>
      <c r="J71" s="886">
        <v>0</v>
      </c>
      <c r="K71" s="887">
        <v>0</v>
      </c>
      <c r="L71" s="888" t="s">
        <v>1308</v>
      </c>
      <c r="M71" s="889" t="s">
        <v>1716</v>
      </c>
    </row>
    <row r="72" spans="1:13">
      <c r="A72" s="909">
        <v>1</v>
      </c>
      <c r="B72" s="909" t="s">
        <v>1113</v>
      </c>
      <c r="C72" s="897" t="s">
        <v>9</v>
      </c>
      <c r="D72" s="888" t="s">
        <v>141</v>
      </c>
      <c r="E72" s="888" t="s">
        <v>1849</v>
      </c>
      <c r="F72" s="889" t="s">
        <v>1768</v>
      </c>
      <c r="G72" s="898">
        <v>0</v>
      </c>
      <c r="H72" s="888" t="s">
        <v>774</v>
      </c>
      <c r="I72" s="899" t="s">
        <v>740</v>
      </c>
      <c r="J72" s="886">
        <v>0</v>
      </c>
      <c r="K72" s="887">
        <v>0</v>
      </c>
      <c r="L72" s="888" t="s">
        <v>1311</v>
      </c>
      <c r="M72" s="889" t="s">
        <v>1717</v>
      </c>
    </row>
    <row r="73" spans="1:13">
      <c r="A73" s="909">
        <v>1</v>
      </c>
      <c r="B73" s="909" t="s">
        <v>1114</v>
      </c>
      <c r="C73" s="897" t="s">
        <v>9</v>
      </c>
      <c r="D73" s="888" t="s">
        <v>141</v>
      </c>
      <c r="E73" s="888" t="s">
        <v>1850</v>
      </c>
      <c r="F73" s="889" t="s">
        <v>1771</v>
      </c>
      <c r="G73" s="898">
        <v>0</v>
      </c>
      <c r="H73" s="888" t="s">
        <v>774</v>
      </c>
      <c r="I73" s="899" t="s">
        <v>740</v>
      </c>
      <c r="J73" s="886">
        <v>0</v>
      </c>
      <c r="K73" s="887">
        <v>0</v>
      </c>
      <c r="L73" s="888" t="s">
        <v>1311</v>
      </c>
      <c r="M73" s="889" t="s">
        <v>1717</v>
      </c>
    </row>
    <row r="74" spans="1:13">
      <c r="A74" s="909">
        <v>1</v>
      </c>
      <c r="B74" s="909" t="s">
        <v>1112</v>
      </c>
      <c r="C74" s="897" t="s">
        <v>9</v>
      </c>
      <c r="D74" s="888" t="s">
        <v>141</v>
      </c>
      <c r="E74" s="888" t="s">
        <v>1851</v>
      </c>
      <c r="F74" s="889" t="s">
        <v>1770</v>
      </c>
      <c r="G74" s="898">
        <v>0</v>
      </c>
      <c r="H74" s="888" t="s">
        <v>774</v>
      </c>
      <c r="I74" s="899" t="s">
        <v>740</v>
      </c>
      <c r="J74" s="886">
        <v>0</v>
      </c>
      <c r="K74" s="887">
        <v>0</v>
      </c>
      <c r="L74" s="888" t="s">
        <v>1311</v>
      </c>
      <c r="M74" s="889" t="s">
        <v>1717</v>
      </c>
    </row>
    <row r="75" spans="1:13">
      <c r="A75" s="909">
        <v>1</v>
      </c>
      <c r="B75" s="909" t="s">
        <v>886</v>
      </c>
      <c r="C75" s="897" t="s">
        <v>9</v>
      </c>
      <c r="D75" s="888" t="s">
        <v>141</v>
      </c>
      <c r="E75" s="888" t="s">
        <v>1852</v>
      </c>
      <c r="F75" s="889" t="s">
        <v>1246</v>
      </c>
      <c r="G75" s="898">
        <v>0</v>
      </c>
      <c r="H75" s="888" t="s">
        <v>774</v>
      </c>
      <c r="I75" s="899" t="s">
        <v>740</v>
      </c>
      <c r="J75" s="886">
        <v>0</v>
      </c>
      <c r="K75" s="887">
        <v>0</v>
      </c>
      <c r="L75" s="888" t="s">
        <v>1310</v>
      </c>
      <c r="M75" s="889" t="s">
        <v>1302</v>
      </c>
    </row>
    <row r="76" spans="1:13" s="736" customFormat="1">
      <c r="A76" s="894"/>
      <c r="B76" s="894" t="s">
        <v>1360</v>
      </c>
      <c r="C76" s="897" t="s">
        <v>9</v>
      </c>
      <c r="D76" s="888" t="s">
        <v>470</v>
      </c>
      <c r="E76" s="888" t="s">
        <v>1853</v>
      </c>
      <c r="F76" s="889" t="s">
        <v>1721</v>
      </c>
      <c r="G76" s="898">
        <v>0</v>
      </c>
      <c r="H76" s="888" t="s">
        <v>774</v>
      </c>
      <c r="I76" s="899" t="s">
        <v>740</v>
      </c>
      <c r="J76" s="886">
        <v>0</v>
      </c>
      <c r="K76" s="887">
        <v>0</v>
      </c>
      <c r="L76" s="888" t="s">
        <v>1310</v>
      </c>
      <c r="M76" s="889" t="s">
        <v>1714</v>
      </c>
    </row>
    <row r="77" spans="1:13">
      <c r="A77" s="894">
        <v>1</v>
      </c>
      <c r="B77" s="894" t="s">
        <v>31</v>
      </c>
      <c r="C77" s="897" t="s">
        <v>9</v>
      </c>
      <c r="D77" s="888" t="s">
        <v>143</v>
      </c>
      <c r="E77" s="888" t="s">
        <v>1854</v>
      </c>
      <c r="F77" s="889" t="s">
        <v>1855</v>
      </c>
      <c r="G77" s="898">
        <v>0</v>
      </c>
      <c r="H77" s="888" t="s">
        <v>1314</v>
      </c>
      <c r="I77" s="899" t="s">
        <v>1315</v>
      </c>
      <c r="J77" s="890" t="e">
        <f>Com_Lighting!#REF!</f>
        <v>#REF!</v>
      </c>
      <c r="K77" s="891">
        <f>Com_Lighting!Q12</f>
        <v>24.396715512243979</v>
      </c>
      <c r="L77" s="888" t="s">
        <v>1283</v>
      </c>
      <c r="M77" s="889" t="s">
        <v>1315</v>
      </c>
    </row>
    <row r="78" spans="1:13">
      <c r="A78" s="894">
        <v>1</v>
      </c>
      <c r="B78" s="894" t="s">
        <v>30</v>
      </c>
      <c r="C78" s="897" t="s">
        <v>9</v>
      </c>
      <c r="D78" s="888" t="s">
        <v>143</v>
      </c>
      <c r="E78" s="888" t="s">
        <v>1856</v>
      </c>
      <c r="F78" s="889" t="s">
        <v>1857</v>
      </c>
      <c r="G78" s="898">
        <v>0</v>
      </c>
      <c r="H78" s="888" t="s">
        <v>1314</v>
      </c>
      <c r="I78" s="899" t="s">
        <v>1315</v>
      </c>
      <c r="J78" s="890" t="e">
        <f>Com_Lighting!#REF!</f>
        <v>#REF!</v>
      </c>
      <c r="K78" s="891">
        <f>Com_Lighting!Q11</f>
        <v>14.519726669825884</v>
      </c>
      <c r="L78" s="888" t="s">
        <v>1283</v>
      </c>
      <c r="M78" s="889" t="s">
        <v>1315</v>
      </c>
    </row>
    <row r="79" spans="1:13">
      <c r="A79" s="894">
        <v>1</v>
      </c>
      <c r="B79" s="894" t="s">
        <v>93</v>
      </c>
      <c r="C79" s="897" t="s">
        <v>9</v>
      </c>
      <c r="D79" s="888" t="s">
        <v>143</v>
      </c>
      <c r="E79" s="888" t="s">
        <v>1858</v>
      </c>
      <c r="F79" s="889" t="s">
        <v>1859</v>
      </c>
      <c r="G79" s="898">
        <v>0</v>
      </c>
      <c r="H79" s="888" t="s">
        <v>1314</v>
      </c>
      <c r="I79" s="899" t="s">
        <v>1315</v>
      </c>
      <c r="J79" s="890">
        <v>4.8861867783629416</v>
      </c>
      <c r="K79" s="891">
        <v>4.8861867783629416</v>
      </c>
      <c r="L79" s="888" t="s">
        <v>1283</v>
      </c>
      <c r="M79" s="889" t="s">
        <v>1315</v>
      </c>
    </row>
    <row r="80" spans="1:13">
      <c r="A80" s="894">
        <v>1</v>
      </c>
      <c r="B80" s="894" t="s">
        <v>94</v>
      </c>
      <c r="C80" s="897" t="s">
        <v>9</v>
      </c>
      <c r="D80" s="888" t="s">
        <v>143</v>
      </c>
      <c r="E80" s="888" t="s">
        <v>1860</v>
      </c>
      <c r="F80" s="889" t="s">
        <v>1861</v>
      </c>
      <c r="G80" s="898">
        <v>0</v>
      </c>
      <c r="H80" s="888" t="s">
        <v>1314</v>
      </c>
      <c r="I80" s="899" t="s">
        <v>1315</v>
      </c>
      <c r="J80" s="890">
        <v>6.5824512834158035</v>
      </c>
      <c r="K80" s="891">
        <v>6.5824512834158035</v>
      </c>
      <c r="L80" s="888" t="s">
        <v>1283</v>
      </c>
      <c r="M80" s="889" t="s">
        <v>1315</v>
      </c>
    </row>
    <row r="81" spans="1:13">
      <c r="A81" s="906">
        <v>1</v>
      </c>
      <c r="B81" s="907" t="s">
        <v>45</v>
      </c>
      <c r="C81" s="897" t="s">
        <v>9</v>
      </c>
      <c r="D81" s="888" t="s">
        <v>148</v>
      </c>
      <c r="E81" s="888" t="s">
        <v>1862</v>
      </c>
      <c r="F81" s="889" t="s">
        <v>1863</v>
      </c>
      <c r="G81" s="898">
        <v>0</v>
      </c>
      <c r="H81" s="888" t="s">
        <v>1093</v>
      </c>
      <c r="I81" s="899" t="s">
        <v>1323</v>
      </c>
      <c r="J81" s="892" t="e">
        <f>#REF!</f>
        <v>#REF!</v>
      </c>
      <c r="K81" s="893" t="e">
        <f>#REF!</f>
        <v>#REF!</v>
      </c>
      <c r="L81" s="888" t="s">
        <v>1091</v>
      </c>
      <c r="M81" s="889" t="s">
        <v>1323</v>
      </c>
    </row>
    <row r="82" spans="1:13">
      <c r="A82" s="908">
        <v>1</v>
      </c>
      <c r="B82" s="894" t="s">
        <v>46</v>
      </c>
      <c r="C82" s="897" t="s">
        <v>9</v>
      </c>
      <c r="D82" s="888" t="s">
        <v>148</v>
      </c>
      <c r="E82" s="888" t="s">
        <v>1864</v>
      </c>
      <c r="F82" s="889" t="s">
        <v>1865</v>
      </c>
      <c r="G82" s="898">
        <v>0</v>
      </c>
      <c r="H82" s="888" t="s">
        <v>1093</v>
      </c>
      <c r="I82" s="899" t="s">
        <v>1323</v>
      </c>
      <c r="J82" s="892" t="e">
        <f>#REF!</f>
        <v>#REF!</v>
      </c>
      <c r="K82" s="893" t="e">
        <f>#REF!</f>
        <v>#REF!</v>
      </c>
      <c r="L82" s="888" t="s">
        <v>1091</v>
      </c>
      <c r="M82" s="889" t="s">
        <v>1323</v>
      </c>
    </row>
    <row r="83" spans="1:13">
      <c r="A83" s="908">
        <v>1</v>
      </c>
      <c r="B83" s="272" t="s">
        <v>102</v>
      </c>
      <c r="C83" s="897" t="s">
        <v>9</v>
      </c>
      <c r="D83" s="888" t="s">
        <v>148</v>
      </c>
      <c r="E83" s="888" t="s">
        <v>1866</v>
      </c>
      <c r="F83" s="889" t="s">
        <v>1867</v>
      </c>
      <c r="G83" s="904">
        <v>0</v>
      </c>
      <c r="H83" s="888" t="s">
        <v>1093</v>
      </c>
      <c r="I83" s="899" t="s">
        <v>1323</v>
      </c>
      <c r="J83" s="892" t="e">
        <f>#REF!</f>
        <v>#REF!</v>
      </c>
      <c r="K83" s="893" t="e">
        <f>#REF!</f>
        <v>#REF!</v>
      </c>
      <c r="L83" s="888" t="s">
        <v>1091</v>
      </c>
      <c r="M83" s="889" t="s">
        <v>1323</v>
      </c>
    </row>
    <row r="84" spans="1:13">
      <c r="A84" s="908">
        <v>1</v>
      </c>
      <c r="B84" s="272" t="s">
        <v>103</v>
      </c>
      <c r="C84" s="897" t="s">
        <v>9</v>
      </c>
      <c r="D84" s="888" t="s">
        <v>148</v>
      </c>
      <c r="E84" s="888" t="s">
        <v>1868</v>
      </c>
      <c r="F84" s="889" t="s">
        <v>1869</v>
      </c>
      <c r="G84" s="904">
        <v>0</v>
      </c>
      <c r="H84" s="888" t="s">
        <v>1093</v>
      </c>
      <c r="I84" s="899" t="s">
        <v>1323</v>
      </c>
      <c r="J84" s="892" t="e">
        <f>#REF!</f>
        <v>#REF!</v>
      </c>
      <c r="K84" s="893" t="e">
        <f>#REF!</f>
        <v>#REF!</v>
      </c>
      <c r="L84" s="888" t="s">
        <v>1091</v>
      </c>
      <c r="M84" s="889" t="s">
        <v>1323</v>
      </c>
    </row>
    <row r="85" spans="1:13">
      <c r="A85" s="908">
        <v>3</v>
      </c>
      <c r="B85" s="894" t="s">
        <v>735</v>
      </c>
      <c r="C85" s="897" t="s">
        <v>9</v>
      </c>
      <c r="D85" s="888" t="s">
        <v>153</v>
      </c>
      <c r="E85" s="888" t="s">
        <v>747</v>
      </c>
      <c r="F85" s="889" t="s">
        <v>1293</v>
      </c>
      <c r="G85" s="898">
        <v>0</v>
      </c>
      <c r="H85" s="888" t="s">
        <v>1294</v>
      </c>
      <c r="I85" s="905" t="s">
        <v>1712</v>
      </c>
      <c r="J85" s="884" t="s">
        <v>1295</v>
      </c>
      <c r="K85" s="885" t="s">
        <v>1295</v>
      </c>
      <c r="L85" s="888" t="s">
        <v>748</v>
      </c>
      <c r="M85" s="889" t="s">
        <v>1711</v>
      </c>
    </row>
    <row r="86" spans="1:13">
      <c r="A86" s="908">
        <v>1</v>
      </c>
      <c r="B86" s="894" t="s">
        <v>95</v>
      </c>
      <c r="C86" s="897" t="s">
        <v>9</v>
      </c>
      <c r="D86" s="888" t="s">
        <v>154</v>
      </c>
      <c r="E86" s="888" t="s">
        <v>1870</v>
      </c>
      <c r="F86" s="889" t="s">
        <v>1871</v>
      </c>
      <c r="G86" s="898">
        <v>0</v>
      </c>
      <c r="H86" s="888" t="s">
        <v>1282</v>
      </c>
      <c r="I86" s="899" t="s">
        <v>1284</v>
      </c>
      <c r="J86" s="892" t="e">
        <f>SUMIFS(Frig_Freezers!#REF!,Frig_Freezers!#REF!,B86)</f>
        <v>#REF!</v>
      </c>
      <c r="K86" s="893" t="e">
        <f t="shared" ref="K86:K91" si="1">J86</f>
        <v>#REF!</v>
      </c>
      <c r="L86" s="888" t="s">
        <v>1283</v>
      </c>
      <c r="M86" s="889" t="s">
        <v>1284</v>
      </c>
    </row>
    <row r="87" spans="1:13">
      <c r="A87" s="910">
        <v>1</v>
      </c>
      <c r="B87" s="911" t="s">
        <v>96</v>
      </c>
      <c r="C87" s="897" t="s">
        <v>9</v>
      </c>
      <c r="D87" s="888" t="s">
        <v>154</v>
      </c>
      <c r="E87" s="888" t="s">
        <v>1872</v>
      </c>
      <c r="F87" s="889" t="s">
        <v>1873</v>
      </c>
      <c r="G87" s="898">
        <v>0</v>
      </c>
      <c r="H87" s="888" t="s">
        <v>1282</v>
      </c>
      <c r="I87" s="899" t="s">
        <v>1284</v>
      </c>
      <c r="J87" s="892" t="e">
        <f>SUMIFS(Frig_Freezers!#REF!,Frig_Freezers!#REF!,B87)</f>
        <v>#REF!</v>
      </c>
      <c r="K87" s="893" t="e">
        <f t="shared" si="1"/>
        <v>#REF!</v>
      </c>
      <c r="L87" s="888" t="s">
        <v>1283</v>
      </c>
      <c r="M87" s="889" t="s">
        <v>1284</v>
      </c>
    </row>
    <row r="88" spans="1:13" ht="13.5" customHeight="1">
      <c r="A88" s="894">
        <v>1</v>
      </c>
      <c r="B88" s="894" t="s">
        <v>449</v>
      </c>
      <c r="C88" s="897" t="s">
        <v>9</v>
      </c>
      <c r="D88" s="888" t="s">
        <v>154</v>
      </c>
      <c r="E88" s="888" t="s">
        <v>1874</v>
      </c>
      <c r="F88" s="889" t="s">
        <v>1875</v>
      </c>
      <c r="G88" s="898">
        <v>0</v>
      </c>
      <c r="H88" s="888" t="s">
        <v>1282</v>
      </c>
      <c r="I88" s="899" t="s">
        <v>1284</v>
      </c>
      <c r="J88" s="892" t="e">
        <f>SUMIFS(Frig_Freezers!#REF!,Frig_Freezers!#REF!,B88)</f>
        <v>#REF!</v>
      </c>
      <c r="K88" s="893" t="e">
        <f t="shared" si="1"/>
        <v>#REF!</v>
      </c>
      <c r="L88" s="888" t="s">
        <v>1283</v>
      </c>
      <c r="M88" s="889" t="s">
        <v>1284</v>
      </c>
    </row>
    <row r="89" spans="1:13">
      <c r="A89" s="894">
        <v>1</v>
      </c>
      <c r="B89" s="894" t="s">
        <v>450</v>
      </c>
      <c r="C89" s="897" t="s">
        <v>9</v>
      </c>
      <c r="D89" s="888" t="s">
        <v>154</v>
      </c>
      <c r="E89" s="888" t="s">
        <v>1876</v>
      </c>
      <c r="F89" s="889" t="s">
        <v>1877</v>
      </c>
      <c r="G89" s="898">
        <v>0</v>
      </c>
      <c r="H89" s="888" t="s">
        <v>1282</v>
      </c>
      <c r="I89" s="899" t="s">
        <v>1284</v>
      </c>
      <c r="J89" s="892" t="e">
        <f>SUMIFS(Frig_Freezers!#REF!,Frig_Freezers!#REF!,B89)</f>
        <v>#REF!</v>
      </c>
      <c r="K89" s="893" t="e">
        <f t="shared" si="1"/>
        <v>#REF!</v>
      </c>
      <c r="L89" s="888" t="s">
        <v>1283</v>
      </c>
      <c r="M89" s="889" t="s">
        <v>1284</v>
      </c>
    </row>
    <row r="90" spans="1:13" s="1427" customFormat="1">
      <c r="A90" s="894">
        <v>1</v>
      </c>
      <c r="B90" s="894" t="s">
        <v>447</v>
      </c>
      <c r="C90" s="897" t="s">
        <v>9</v>
      </c>
      <c r="D90" s="888" t="s">
        <v>154</v>
      </c>
      <c r="E90" s="888" t="s">
        <v>1878</v>
      </c>
      <c r="F90" s="889" t="s">
        <v>1879</v>
      </c>
      <c r="G90" s="898">
        <v>0</v>
      </c>
      <c r="H90" s="888" t="s">
        <v>1282</v>
      </c>
      <c r="I90" s="899" t="s">
        <v>1284</v>
      </c>
      <c r="J90" s="892" t="e">
        <f>SUMIFS(Frig_Freezers!#REF!,Frig_Freezers!#REF!,B90)</f>
        <v>#REF!</v>
      </c>
      <c r="K90" s="893" t="e">
        <f t="shared" si="1"/>
        <v>#REF!</v>
      </c>
      <c r="L90" s="888" t="s">
        <v>1283</v>
      </c>
      <c r="M90" s="889" t="s">
        <v>1284</v>
      </c>
    </row>
    <row r="91" spans="1:13">
      <c r="A91" s="894">
        <v>1</v>
      </c>
      <c r="B91" s="894" t="s">
        <v>447</v>
      </c>
      <c r="C91" s="897" t="s">
        <v>9</v>
      </c>
      <c r="D91" s="888" t="s">
        <v>154</v>
      </c>
      <c r="E91" s="888" t="s">
        <v>1878</v>
      </c>
      <c r="F91" s="889" t="s">
        <v>1879</v>
      </c>
      <c r="G91" s="898">
        <v>0</v>
      </c>
      <c r="H91" s="888" t="s">
        <v>1282</v>
      </c>
      <c r="I91" s="899" t="s">
        <v>1284</v>
      </c>
      <c r="J91" s="892" t="e">
        <f>SUMIFS(Frig_Freezers!#REF!,Frig_Freezers!#REF!,B91)</f>
        <v>#REF!</v>
      </c>
      <c r="K91" s="893" t="e">
        <f t="shared" si="1"/>
        <v>#REF!</v>
      </c>
      <c r="L91" s="888" t="s">
        <v>1283</v>
      </c>
      <c r="M91" s="889" t="s">
        <v>1284</v>
      </c>
    </row>
    <row r="92" spans="1:13">
      <c r="A92" s="894">
        <v>2</v>
      </c>
      <c r="B92" s="894" t="s">
        <v>515</v>
      </c>
      <c r="C92" s="897" t="s">
        <v>9</v>
      </c>
      <c r="D92" s="888" t="s">
        <v>154</v>
      </c>
      <c r="E92" s="888" t="s">
        <v>1289</v>
      </c>
      <c r="F92" s="889" t="s">
        <v>1880</v>
      </c>
      <c r="G92" s="898">
        <v>0</v>
      </c>
      <c r="H92" s="888" t="s">
        <v>1285</v>
      </c>
      <c r="I92" s="899" t="s">
        <v>1286</v>
      </c>
      <c r="J92" s="892" t="e">
        <f>Soundbars!#REF!</f>
        <v>#REF!</v>
      </c>
      <c r="K92" s="893" t="e">
        <f>Soundbars!#REF!</f>
        <v>#REF!</v>
      </c>
      <c r="L92" s="888" t="s">
        <v>1285</v>
      </c>
      <c r="M92" s="889" t="s">
        <v>1496</v>
      </c>
    </row>
    <row r="93" spans="1:13">
      <c r="A93" s="894">
        <v>1</v>
      </c>
      <c r="B93" s="894" t="s">
        <v>268</v>
      </c>
      <c r="C93" s="897" t="s">
        <v>9</v>
      </c>
      <c r="D93" s="888" t="s">
        <v>154</v>
      </c>
      <c r="E93" s="888" t="s">
        <v>1881</v>
      </c>
      <c r="F93" s="889" t="s">
        <v>1881</v>
      </c>
      <c r="G93" s="898">
        <v>0</v>
      </c>
      <c r="H93" s="888" t="s">
        <v>1287</v>
      </c>
      <c r="I93" s="899" t="s">
        <v>1281</v>
      </c>
      <c r="J93" s="892" t="e">
        <f>SUMIFS(Clothes_Washers!#REF!,Clothes_Washers!#REF!,B93)</f>
        <v>#REF!</v>
      </c>
      <c r="K93" s="893" t="e">
        <f t="shared" ref="K93:K108" si="2">J93</f>
        <v>#REF!</v>
      </c>
      <c r="L93" s="888" t="s">
        <v>1283</v>
      </c>
      <c r="M93" s="889" t="s">
        <v>1281</v>
      </c>
    </row>
    <row r="94" spans="1:13">
      <c r="A94" s="894">
        <v>1</v>
      </c>
      <c r="B94" s="894" t="s">
        <v>269</v>
      </c>
      <c r="C94" s="897" t="s">
        <v>9</v>
      </c>
      <c r="D94" s="888" t="s">
        <v>154</v>
      </c>
      <c r="E94" s="888" t="s">
        <v>1882</v>
      </c>
      <c r="F94" s="889" t="s">
        <v>1882</v>
      </c>
      <c r="G94" s="898">
        <v>0</v>
      </c>
      <c r="H94" s="888" t="s">
        <v>1282</v>
      </c>
      <c r="I94" s="899" t="s">
        <v>1281</v>
      </c>
      <c r="J94" s="892" t="e">
        <f>SUMIFS(Clothes_Washers!#REF!,Clothes_Washers!#REF!,B94)</f>
        <v>#REF!</v>
      </c>
      <c r="K94" s="893" t="e">
        <f t="shared" si="2"/>
        <v>#REF!</v>
      </c>
      <c r="L94" s="888" t="s">
        <v>1283</v>
      </c>
      <c r="M94" s="889" t="s">
        <v>1281</v>
      </c>
    </row>
    <row r="95" spans="1:13">
      <c r="A95" s="894">
        <v>1</v>
      </c>
      <c r="B95" s="894" t="s">
        <v>98</v>
      </c>
      <c r="C95" s="897" t="s">
        <v>9</v>
      </c>
      <c r="D95" s="888" t="s">
        <v>154</v>
      </c>
      <c r="E95" s="888" t="s">
        <v>1883</v>
      </c>
      <c r="F95" s="889" t="s">
        <v>1884</v>
      </c>
      <c r="G95" s="898">
        <v>0</v>
      </c>
      <c r="H95" s="888" t="s">
        <v>1282</v>
      </c>
      <c r="I95" s="899" t="s">
        <v>1281</v>
      </c>
      <c r="J95" s="892" t="e">
        <f>SUMIFS(Clothes_Washers!#REF!,Clothes_Washers!#REF!,B95)</f>
        <v>#REF!</v>
      </c>
      <c r="K95" s="893" t="e">
        <f t="shared" si="2"/>
        <v>#REF!</v>
      </c>
      <c r="L95" s="888" t="s">
        <v>1283</v>
      </c>
      <c r="M95" s="889" t="s">
        <v>1281</v>
      </c>
    </row>
    <row r="96" spans="1:13">
      <c r="A96" s="894">
        <v>1</v>
      </c>
      <c r="B96" s="894" t="s">
        <v>99</v>
      </c>
      <c r="C96" s="897" t="s">
        <v>9</v>
      </c>
      <c r="D96" s="888" t="s">
        <v>154</v>
      </c>
      <c r="E96" s="888" t="s">
        <v>1885</v>
      </c>
      <c r="F96" s="889" t="s">
        <v>1886</v>
      </c>
      <c r="G96" s="898">
        <v>0</v>
      </c>
      <c r="H96" s="888" t="s">
        <v>1282</v>
      </c>
      <c r="I96" s="899" t="s">
        <v>1281</v>
      </c>
      <c r="J96" s="892" t="e">
        <f>SUMIFS(Clothes_Washers!#REF!,Clothes_Washers!#REF!,B96)</f>
        <v>#REF!</v>
      </c>
      <c r="K96" s="893" t="e">
        <f t="shared" si="2"/>
        <v>#REF!</v>
      </c>
      <c r="L96" s="888" t="s">
        <v>1283</v>
      </c>
      <c r="M96" s="889" t="s">
        <v>1281</v>
      </c>
    </row>
    <row r="97" spans="1:13">
      <c r="A97" s="894">
        <v>1</v>
      </c>
      <c r="B97" s="894" t="s">
        <v>501</v>
      </c>
      <c r="C97" s="897" t="s">
        <v>9</v>
      </c>
      <c r="D97" s="888" t="s">
        <v>154</v>
      </c>
      <c r="E97" s="888" t="s">
        <v>1887</v>
      </c>
      <c r="F97" s="889" t="s">
        <v>1887</v>
      </c>
      <c r="G97" s="898">
        <v>0</v>
      </c>
      <c r="H97" s="888" t="s">
        <v>1282</v>
      </c>
      <c r="I97" s="899" t="s">
        <v>1284</v>
      </c>
      <c r="J97" s="892" t="e">
        <f>SUMIFS(Frig_Freezers!#REF!,Frig_Freezers!#REF!,B97)</f>
        <v>#REF!</v>
      </c>
      <c r="K97" s="893" t="e">
        <f t="shared" si="2"/>
        <v>#REF!</v>
      </c>
      <c r="L97" s="888" t="s">
        <v>1283</v>
      </c>
      <c r="M97" s="889" t="s">
        <v>1284</v>
      </c>
    </row>
    <row r="98" spans="1:13">
      <c r="A98" s="894">
        <v>1</v>
      </c>
      <c r="B98" s="894" t="s">
        <v>502</v>
      </c>
      <c r="C98" s="897" t="s">
        <v>9</v>
      </c>
      <c r="D98" s="888" t="s">
        <v>154</v>
      </c>
      <c r="E98" s="888" t="s">
        <v>1888</v>
      </c>
      <c r="F98" s="889" t="s">
        <v>1888</v>
      </c>
      <c r="G98" s="898">
        <v>0</v>
      </c>
      <c r="H98" s="888" t="s">
        <v>1282</v>
      </c>
      <c r="I98" s="899" t="s">
        <v>1284</v>
      </c>
      <c r="J98" s="892" t="e">
        <f>SUMIFS(Frig_Freezers!#REF!,Frig_Freezers!#REF!,B98)</f>
        <v>#REF!</v>
      </c>
      <c r="K98" s="893" t="e">
        <f t="shared" si="2"/>
        <v>#REF!</v>
      </c>
      <c r="L98" s="888" t="s">
        <v>1283</v>
      </c>
      <c r="M98" s="889" t="s">
        <v>1284</v>
      </c>
    </row>
    <row r="99" spans="1:13">
      <c r="A99" s="894">
        <v>1</v>
      </c>
      <c r="B99" s="894" t="s">
        <v>503</v>
      </c>
      <c r="C99" s="897" t="s">
        <v>9</v>
      </c>
      <c r="D99" s="888" t="s">
        <v>154</v>
      </c>
      <c r="E99" s="888" t="s">
        <v>1889</v>
      </c>
      <c r="F99" s="889" t="s">
        <v>1889</v>
      </c>
      <c r="G99" s="898">
        <v>0</v>
      </c>
      <c r="H99" s="888" t="s">
        <v>1282</v>
      </c>
      <c r="I99" s="899" t="s">
        <v>1284</v>
      </c>
      <c r="J99" s="892" t="e">
        <f>SUMIFS(Frig_Freezers!#REF!,Frig_Freezers!#REF!,B99)</f>
        <v>#REF!</v>
      </c>
      <c r="K99" s="893" t="e">
        <f t="shared" si="2"/>
        <v>#REF!</v>
      </c>
      <c r="L99" s="888" t="s">
        <v>1283</v>
      </c>
      <c r="M99" s="889" t="s">
        <v>1284</v>
      </c>
    </row>
    <row r="100" spans="1:13">
      <c r="A100" s="894">
        <v>1</v>
      </c>
      <c r="B100" s="894" t="s">
        <v>504</v>
      </c>
      <c r="C100" s="897" t="s">
        <v>9</v>
      </c>
      <c r="D100" s="888" t="s">
        <v>154</v>
      </c>
      <c r="E100" s="888" t="s">
        <v>1890</v>
      </c>
      <c r="F100" s="889" t="s">
        <v>1890</v>
      </c>
      <c r="G100" s="898">
        <v>0</v>
      </c>
      <c r="H100" s="888" t="s">
        <v>1282</v>
      </c>
      <c r="I100" s="899" t="s">
        <v>1284</v>
      </c>
      <c r="J100" s="892" t="e">
        <f>SUMIFS(Frig_Freezers!#REF!,Frig_Freezers!#REF!,B100)</f>
        <v>#REF!</v>
      </c>
      <c r="K100" s="893" t="e">
        <f t="shared" si="2"/>
        <v>#REF!</v>
      </c>
      <c r="L100" s="888" t="s">
        <v>1283</v>
      </c>
      <c r="M100" s="889" t="s">
        <v>1284</v>
      </c>
    </row>
    <row r="101" spans="1:13">
      <c r="A101" s="894">
        <v>1</v>
      </c>
      <c r="B101" s="894" t="s">
        <v>505</v>
      </c>
      <c r="C101" s="897" t="s">
        <v>9</v>
      </c>
      <c r="D101" s="888" t="s">
        <v>154</v>
      </c>
      <c r="E101" s="888" t="s">
        <v>1891</v>
      </c>
      <c r="F101" s="889" t="s">
        <v>1891</v>
      </c>
      <c r="G101" s="898">
        <v>0</v>
      </c>
      <c r="H101" s="888" t="s">
        <v>1282</v>
      </c>
      <c r="I101" s="899" t="s">
        <v>1284</v>
      </c>
      <c r="J101" s="892" t="e">
        <f>SUMIFS(Frig_Freezers!#REF!,Frig_Freezers!#REF!,B101)</f>
        <v>#REF!</v>
      </c>
      <c r="K101" s="893" t="e">
        <f t="shared" si="2"/>
        <v>#REF!</v>
      </c>
      <c r="L101" s="888" t="s">
        <v>1283</v>
      </c>
      <c r="M101" s="889" t="s">
        <v>1284</v>
      </c>
    </row>
    <row r="102" spans="1:13" s="736" customFormat="1">
      <c r="A102" s="894">
        <v>1</v>
      </c>
      <c r="B102" s="894" t="s">
        <v>506</v>
      </c>
      <c r="C102" s="897" t="s">
        <v>9</v>
      </c>
      <c r="D102" s="888" t="s">
        <v>154</v>
      </c>
      <c r="E102" s="888" t="s">
        <v>1892</v>
      </c>
      <c r="F102" s="889" t="s">
        <v>1892</v>
      </c>
      <c r="G102" s="898">
        <v>0</v>
      </c>
      <c r="H102" s="888" t="s">
        <v>1282</v>
      </c>
      <c r="I102" s="899" t="s">
        <v>1284</v>
      </c>
      <c r="J102" s="892" t="e">
        <f>SUMIFS(Frig_Freezers!#REF!,Frig_Freezers!#REF!,B102)</f>
        <v>#REF!</v>
      </c>
      <c r="K102" s="893" t="e">
        <f t="shared" si="2"/>
        <v>#REF!</v>
      </c>
      <c r="L102" s="888" t="s">
        <v>1283</v>
      </c>
      <c r="M102" s="889" t="s">
        <v>1284</v>
      </c>
    </row>
    <row r="103" spans="1:13" s="736" customFormat="1">
      <c r="A103" s="894">
        <v>1</v>
      </c>
      <c r="B103" s="894" t="s">
        <v>95</v>
      </c>
      <c r="C103" s="897" t="s">
        <v>9</v>
      </c>
      <c r="D103" s="888" t="s">
        <v>154</v>
      </c>
      <c r="E103" s="888" t="s">
        <v>1870</v>
      </c>
      <c r="F103" s="889" t="s">
        <v>1871</v>
      </c>
      <c r="G103" s="898">
        <v>0</v>
      </c>
      <c r="H103" s="888" t="s">
        <v>1282</v>
      </c>
      <c r="I103" s="899" t="s">
        <v>1284</v>
      </c>
      <c r="J103" s="892" t="e">
        <f>SUMIFS(Frig_Freezers!#REF!,Frig_Freezers!#REF!,B103)</f>
        <v>#REF!</v>
      </c>
      <c r="K103" s="893" t="e">
        <f t="shared" si="2"/>
        <v>#REF!</v>
      </c>
      <c r="L103" s="888" t="s">
        <v>1283</v>
      </c>
      <c r="M103" s="889" t="s">
        <v>1284</v>
      </c>
    </row>
    <row r="104" spans="1:13" s="736" customFormat="1">
      <c r="A104" s="894">
        <v>1</v>
      </c>
      <c r="B104" s="894" t="s">
        <v>96</v>
      </c>
      <c r="C104" s="897" t="s">
        <v>9</v>
      </c>
      <c r="D104" s="888" t="s">
        <v>154</v>
      </c>
      <c r="E104" s="888" t="s">
        <v>1872</v>
      </c>
      <c r="F104" s="889" t="s">
        <v>1873</v>
      </c>
      <c r="G104" s="898">
        <v>0</v>
      </c>
      <c r="H104" s="888" t="s">
        <v>1282</v>
      </c>
      <c r="I104" s="899" t="s">
        <v>1284</v>
      </c>
      <c r="J104" s="892" t="e">
        <f>SUMIFS(Frig_Freezers!#REF!,Frig_Freezers!#REF!,B104)</f>
        <v>#REF!</v>
      </c>
      <c r="K104" s="893" t="e">
        <f t="shared" si="2"/>
        <v>#REF!</v>
      </c>
      <c r="L104" s="888" t="s">
        <v>1283</v>
      </c>
      <c r="M104" s="889" t="s">
        <v>1284</v>
      </c>
    </row>
    <row r="105" spans="1:13" s="736" customFormat="1">
      <c r="A105" s="894">
        <v>1</v>
      </c>
      <c r="B105" s="894" t="s">
        <v>449</v>
      </c>
      <c r="C105" s="897" t="s">
        <v>9</v>
      </c>
      <c r="D105" s="888" t="s">
        <v>154</v>
      </c>
      <c r="E105" s="888" t="s">
        <v>1874</v>
      </c>
      <c r="F105" s="889" t="s">
        <v>1875</v>
      </c>
      <c r="G105" s="898">
        <v>0</v>
      </c>
      <c r="H105" s="888" t="s">
        <v>1282</v>
      </c>
      <c r="I105" s="899" t="s">
        <v>1284</v>
      </c>
      <c r="J105" s="892" t="e">
        <f>SUMIFS(Frig_Freezers!#REF!,Frig_Freezers!#REF!,B105)</f>
        <v>#REF!</v>
      </c>
      <c r="K105" s="893" t="e">
        <f t="shared" si="2"/>
        <v>#REF!</v>
      </c>
      <c r="L105" s="888" t="s">
        <v>1283</v>
      </c>
      <c r="M105" s="889" t="s">
        <v>1284</v>
      </c>
    </row>
    <row r="106" spans="1:13" s="736" customFormat="1">
      <c r="A106" s="894">
        <v>1</v>
      </c>
      <c r="B106" s="894" t="s">
        <v>450</v>
      </c>
      <c r="C106" s="897" t="s">
        <v>9</v>
      </c>
      <c r="D106" s="888" t="s">
        <v>154</v>
      </c>
      <c r="E106" s="888" t="s">
        <v>1876</v>
      </c>
      <c r="F106" s="889" t="s">
        <v>1877</v>
      </c>
      <c r="G106" s="898">
        <v>0</v>
      </c>
      <c r="H106" s="888" t="s">
        <v>1282</v>
      </c>
      <c r="I106" s="899" t="s">
        <v>1284</v>
      </c>
      <c r="J106" s="892" t="e">
        <f>SUMIFS(Frig_Freezers!#REF!,Frig_Freezers!#REF!,B106)</f>
        <v>#REF!</v>
      </c>
      <c r="K106" s="893" t="e">
        <f t="shared" si="2"/>
        <v>#REF!</v>
      </c>
      <c r="L106" s="888" t="s">
        <v>1283</v>
      </c>
      <c r="M106" s="889" t="s">
        <v>1284</v>
      </c>
    </row>
    <row r="107" spans="1:13" s="736" customFormat="1">
      <c r="A107" s="894">
        <v>1</v>
      </c>
      <c r="B107" s="894" t="s">
        <v>447</v>
      </c>
      <c r="C107" s="897" t="s">
        <v>9</v>
      </c>
      <c r="D107" s="888" t="s">
        <v>154</v>
      </c>
      <c r="E107" s="888" t="s">
        <v>1878</v>
      </c>
      <c r="F107" s="889" t="s">
        <v>1879</v>
      </c>
      <c r="G107" s="898">
        <v>0</v>
      </c>
      <c r="H107" s="888" t="s">
        <v>1282</v>
      </c>
      <c r="I107" s="899" t="s">
        <v>1284</v>
      </c>
      <c r="J107" s="892" t="e">
        <f>SUMIFS(Frig_Freezers!#REF!,Frig_Freezers!#REF!,B107)</f>
        <v>#REF!</v>
      </c>
      <c r="K107" s="893" t="e">
        <f t="shared" si="2"/>
        <v>#REF!</v>
      </c>
      <c r="L107" s="888" t="s">
        <v>1283</v>
      </c>
      <c r="M107" s="889" t="s">
        <v>1284</v>
      </c>
    </row>
    <row r="108" spans="1:13" s="736" customFormat="1">
      <c r="A108" s="894">
        <v>1</v>
      </c>
      <c r="B108" s="894" t="s">
        <v>448</v>
      </c>
      <c r="C108" s="897" t="s">
        <v>9</v>
      </c>
      <c r="D108" s="888" t="s">
        <v>154</v>
      </c>
      <c r="E108" s="888" t="s">
        <v>1893</v>
      </c>
      <c r="F108" s="889" t="s">
        <v>1894</v>
      </c>
      <c r="G108" s="898">
        <v>0</v>
      </c>
      <c r="H108" s="888" t="s">
        <v>1282</v>
      </c>
      <c r="I108" s="899" t="s">
        <v>1284</v>
      </c>
      <c r="J108" s="892" t="e">
        <f>SUMIFS(Frig_Freezers!#REF!,Frig_Freezers!#REF!,B108)</f>
        <v>#REF!</v>
      </c>
      <c r="K108" s="893" t="e">
        <f t="shared" si="2"/>
        <v>#REF!</v>
      </c>
      <c r="L108" s="888" t="s">
        <v>1283</v>
      </c>
      <c r="M108" s="889" t="s">
        <v>1284</v>
      </c>
    </row>
    <row r="109" spans="1:13" s="736" customFormat="1">
      <c r="A109" s="894">
        <v>2</v>
      </c>
      <c r="B109" s="894" t="s">
        <v>511</v>
      </c>
      <c r="C109" s="897" t="s">
        <v>9</v>
      </c>
      <c r="D109" s="888" t="s">
        <v>154</v>
      </c>
      <c r="E109" s="888" t="s">
        <v>1895</v>
      </c>
      <c r="F109" s="889" t="s">
        <v>1895</v>
      </c>
      <c r="G109" s="898">
        <v>0</v>
      </c>
      <c r="H109" s="888" t="s">
        <v>1288</v>
      </c>
      <c r="I109" s="899" t="s">
        <v>1292</v>
      </c>
      <c r="J109" s="892" t="e">
        <f>Room_AC!#REF!</f>
        <v>#REF!</v>
      </c>
      <c r="K109" s="893" t="e">
        <f>Room_AC!#REF!</f>
        <v>#REF!</v>
      </c>
      <c r="L109" s="888" t="s">
        <v>1291</v>
      </c>
      <c r="M109" s="889" t="s">
        <v>1497</v>
      </c>
    </row>
    <row r="110" spans="1:13" s="736" customFormat="1">
      <c r="A110" s="894">
        <v>2</v>
      </c>
      <c r="B110" s="894" t="s">
        <v>1684</v>
      </c>
      <c r="C110" s="897" t="s">
        <v>775</v>
      </c>
      <c r="D110" s="888" t="s">
        <v>154</v>
      </c>
      <c r="E110" s="888" t="s">
        <v>1896</v>
      </c>
      <c r="F110" s="889" t="s">
        <v>1896</v>
      </c>
      <c r="G110" s="898">
        <v>0</v>
      </c>
      <c r="H110" s="888" t="s">
        <v>1288</v>
      </c>
      <c r="I110" s="899" t="s">
        <v>1292</v>
      </c>
      <c r="J110" s="892">
        <f>Room_AC!Q6</f>
        <v>58.958138820000002</v>
      </c>
      <c r="K110" s="893">
        <f>Room_AC!Q6</f>
        <v>58.958138820000002</v>
      </c>
      <c r="L110" s="888" t="s">
        <v>1291</v>
      </c>
      <c r="M110" s="889" t="s">
        <v>1497</v>
      </c>
    </row>
    <row r="111" spans="1:13" s="736" customFormat="1">
      <c r="A111" s="894">
        <v>2</v>
      </c>
      <c r="B111" s="894" t="s">
        <v>514</v>
      </c>
      <c r="C111" s="897" t="s">
        <v>9</v>
      </c>
      <c r="D111" s="888" t="s">
        <v>154</v>
      </c>
      <c r="E111" s="888" t="s">
        <v>1290</v>
      </c>
      <c r="F111" s="889" t="s">
        <v>1897</v>
      </c>
      <c r="G111" s="898">
        <v>0</v>
      </c>
      <c r="H111" s="888" t="s">
        <v>1285</v>
      </c>
      <c r="I111" s="899" t="s">
        <v>1286</v>
      </c>
      <c r="J111" s="892" t="e">
        <f>Soundbars!#REF!</f>
        <v>#REF!</v>
      </c>
      <c r="K111" s="893" t="e">
        <f>Soundbars!#REF!</f>
        <v>#REF!</v>
      </c>
      <c r="L111" s="888" t="s">
        <v>1285</v>
      </c>
      <c r="M111" s="889" t="s">
        <v>1496</v>
      </c>
    </row>
    <row r="112" spans="1:13" s="736" customFormat="1">
      <c r="A112" s="894">
        <v>1</v>
      </c>
      <c r="B112" s="894" t="s">
        <v>1534</v>
      </c>
      <c r="C112" s="897" t="s">
        <v>9</v>
      </c>
      <c r="D112" s="888" t="s">
        <v>154</v>
      </c>
      <c r="E112" s="888" t="s">
        <v>1898</v>
      </c>
      <c r="F112" s="889" t="s">
        <v>1899</v>
      </c>
      <c r="G112" s="898">
        <v>0</v>
      </c>
      <c r="H112" s="888" t="s">
        <v>753</v>
      </c>
      <c r="I112" s="899" t="s">
        <v>754</v>
      </c>
      <c r="J112" s="892" t="e">
        <f>Clothes_Dryers!#REF!</f>
        <v>#REF!</v>
      </c>
      <c r="K112" s="893">
        <f>Clothes_Dryers!Q12</f>
        <v>52.031702559999999</v>
      </c>
      <c r="L112" s="888" t="s">
        <v>1731</v>
      </c>
      <c r="M112" s="889" t="s">
        <v>1732</v>
      </c>
    </row>
    <row r="113" spans="1:13" s="736" customFormat="1">
      <c r="A113" s="894">
        <v>1</v>
      </c>
      <c r="B113" s="894" t="s">
        <v>1537</v>
      </c>
      <c r="C113" s="897" t="s">
        <v>9</v>
      </c>
      <c r="D113" s="888" t="s">
        <v>154</v>
      </c>
      <c r="E113" s="888" t="s">
        <v>1900</v>
      </c>
      <c r="F113" s="889" t="s">
        <v>1901</v>
      </c>
      <c r="G113" s="898">
        <v>0</v>
      </c>
      <c r="H113" s="888" t="s">
        <v>752</v>
      </c>
      <c r="I113" s="899" t="s">
        <v>600</v>
      </c>
      <c r="J113" s="892" t="e">
        <f>Clothes_Dryers!#REF!</f>
        <v>#REF!</v>
      </c>
      <c r="K113" s="893">
        <f>Clothes_Dryers!Q13</f>
        <v>280.96180164999998</v>
      </c>
      <c r="L113" s="888" t="s">
        <v>1731</v>
      </c>
      <c r="M113" s="889" t="s">
        <v>1732</v>
      </c>
    </row>
    <row r="114" spans="1:13" s="736" customFormat="1">
      <c r="A114" s="894">
        <v>1</v>
      </c>
      <c r="B114" s="894" t="s">
        <v>1538</v>
      </c>
      <c r="C114" s="897" t="s">
        <v>9</v>
      </c>
      <c r="D114" s="888" t="s">
        <v>154</v>
      </c>
      <c r="E114" s="888" t="s">
        <v>1902</v>
      </c>
      <c r="F114" s="889" t="s">
        <v>1903</v>
      </c>
      <c r="G114" s="898">
        <v>0</v>
      </c>
      <c r="H114" s="888" t="s">
        <v>752</v>
      </c>
      <c r="I114" s="899" t="s">
        <v>600</v>
      </c>
      <c r="J114" s="892" t="e">
        <f>Clothes_Dryers!#REF!</f>
        <v>#REF!</v>
      </c>
      <c r="K114" s="893">
        <f>Clothes_Dryers!Q14</f>
        <v>355.55630531000003</v>
      </c>
      <c r="L114" s="888" t="s">
        <v>1731</v>
      </c>
      <c r="M114" s="889" t="s">
        <v>1732</v>
      </c>
    </row>
    <row r="115" spans="1:13">
      <c r="A115" s="894">
        <v>1</v>
      </c>
      <c r="B115" s="894" t="s">
        <v>1539</v>
      </c>
      <c r="C115" s="897" t="s">
        <v>9</v>
      </c>
      <c r="D115" s="888" t="s">
        <v>154</v>
      </c>
      <c r="E115" s="888" t="s">
        <v>1904</v>
      </c>
      <c r="F115" s="889" t="s">
        <v>1905</v>
      </c>
      <c r="G115" s="898">
        <v>0</v>
      </c>
      <c r="H115" s="888" t="s">
        <v>752</v>
      </c>
      <c r="I115" s="899" t="s">
        <v>600</v>
      </c>
      <c r="J115" s="892" t="e">
        <f>Clothes_Dryers!#REF!</f>
        <v>#REF!</v>
      </c>
      <c r="K115" s="893">
        <f>Clothes_Dryers!Q15</f>
        <v>436.91925670000001</v>
      </c>
      <c r="L115" s="888" t="s">
        <v>1731</v>
      </c>
      <c r="M115" s="889" t="s">
        <v>1732</v>
      </c>
    </row>
    <row r="116" spans="1:13">
      <c r="A116" s="894">
        <v>1</v>
      </c>
      <c r="B116" s="894" t="s">
        <v>1540</v>
      </c>
      <c r="C116" s="897" t="s">
        <v>9</v>
      </c>
      <c r="D116" s="888" t="s">
        <v>154</v>
      </c>
      <c r="E116" s="888" t="s">
        <v>1906</v>
      </c>
      <c r="F116" s="889" t="s">
        <v>1907</v>
      </c>
      <c r="G116" s="898">
        <v>0</v>
      </c>
      <c r="H116" s="888" t="s">
        <v>752</v>
      </c>
      <c r="I116" s="899" t="s">
        <v>600</v>
      </c>
      <c r="J116" s="892" t="e">
        <f>Clothes_Dryers!#REF!</f>
        <v>#REF!</v>
      </c>
      <c r="K116" s="893">
        <f>Clothes_Dryers!Q16</f>
        <v>478.15276754000001</v>
      </c>
      <c r="L116" s="888" t="s">
        <v>1731</v>
      </c>
      <c r="M116" s="889" t="s">
        <v>1732</v>
      </c>
    </row>
    <row r="117" spans="1:13">
      <c r="A117" s="894">
        <v>1</v>
      </c>
      <c r="B117" s="894" t="s">
        <v>1541</v>
      </c>
      <c r="C117" s="897" t="s">
        <v>9</v>
      </c>
      <c r="D117" s="888" t="s">
        <v>154</v>
      </c>
      <c r="E117" s="888" t="s">
        <v>1908</v>
      </c>
      <c r="F117" s="889" t="s">
        <v>1909</v>
      </c>
      <c r="G117" s="898">
        <v>0</v>
      </c>
      <c r="H117" s="888" t="s">
        <v>752</v>
      </c>
      <c r="I117" s="899" t="s">
        <v>600</v>
      </c>
      <c r="J117" s="892" t="e">
        <f>Clothes_Dryers!#REF!</f>
        <v>#REF!</v>
      </c>
      <c r="K117" s="893">
        <f>Clothes_Dryers!Q17</f>
        <v>510.39602108999998</v>
      </c>
      <c r="L117" s="888" t="s">
        <v>1731</v>
      </c>
      <c r="M117" s="889" t="s">
        <v>1732</v>
      </c>
    </row>
    <row r="118" spans="1:13">
      <c r="C118" s="897" t="s">
        <v>9</v>
      </c>
      <c r="D118" s="888" t="s">
        <v>142</v>
      </c>
      <c r="E118" s="888" t="s">
        <v>142</v>
      </c>
      <c r="F118" s="889" t="s">
        <v>142</v>
      </c>
      <c r="G118" s="898">
        <v>0</v>
      </c>
      <c r="H118" s="888" t="s">
        <v>1748</v>
      </c>
      <c r="I118" s="899" t="s">
        <v>521</v>
      </c>
      <c r="J118" s="892" t="s">
        <v>1710</v>
      </c>
      <c r="K118" s="893" t="s">
        <v>1710</v>
      </c>
      <c r="L118" s="888" t="s">
        <v>1736</v>
      </c>
      <c r="M118" s="889" t="s">
        <v>1737</v>
      </c>
    </row>
  </sheetData>
  <autoFilter ref="A3:M118" xr:uid="{00000000-0009-0000-0000-00000D000000}">
    <sortState xmlns:xlrd2="http://schemas.microsoft.com/office/spreadsheetml/2017/richdata2" ref="A4:M117">
      <sortCondition ref="D3:D117"/>
    </sortState>
  </autoFilter>
  <mergeCells count="4">
    <mergeCell ref="C1:M1"/>
    <mergeCell ref="C2:F2"/>
    <mergeCell ref="G2:I2"/>
    <mergeCell ref="J2:M2"/>
  </mergeCells>
  <phoneticPr fontId="183" type="noConversion"/>
  <hyperlinks>
    <hyperlink ref="J85" location="Homes_Vol!A1" display="See Vol Homes Tab" xr:uid="{00000000-0004-0000-0D00-000000000000}"/>
    <hyperlink ref="K85" location="Homes_Vol!A1" display="See Vol Homes Tab" xr:uid="{00000000-0004-0000-0D00-000001000000}"/>
  </hyperlinks>
  <pageMargins left="0.7" right="0.7" top="0.75" bottom="0.75" header="0.3" footer="0.3"/>
  <pageSetup paperSize="5"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42A-A219-4ED8-88DB-718903275DC0}">
  <sheetPr>
    <tabColor rgb="FF92D050"/>
  </sheetPr>
  <dimension ref="A1:AM29"/>
  <sheetViews>
    <sheetView showGridLines="0" topLeftCell="H2" zoomScaleNormal="100" workbookViewId="0">
      <selection activeCell="T17" sqref="T17"/>
    </sheetView>
  </sheetViews>
  <sheetFormatPr defaultColWidth="9.28515625" defaultRowHeight="12.75" outlineLevelCol="1"/>
  <cols>
    <col min="1" max="1" width="21.140625" style="1715" hidden="1" customWidth="1" outlineLevel="1"/>
    <col min="2" max="2" width="20.85546875" style="177" hidden="1" customWidth="1" outlineLevel="1"/>
    <col min="3" max="3" width="24.42578125" style="177" hidden="1" customWidth="1" outlineLevel="1"/>
    <col min="4" max="4" width="13.42578125" style="177" hidden="1" customWidth="1" outlineLevel="1"/>
    <col min="5" max="5" width="12.28515625" style="177" hidden="1" customWidth="1" outlineLevel="1"/>
    <col min="6" max="6" width="9" style="177" hidden="1" customWidth="1" outlineLevel="1"/>
    <col min="7" max="7" width="10.7109375" style="177" hidden="1" customWidth="1" outlineLevel="1"/>
    <col min="8" max="8" width="3.140625" style="270" customWidth="1" collapsed="1"/>
    <col min="9" max="9" width="30.28515625" style="270" customWidth="1"/>
    <col min="10" max="10" width="24.140625" style="1446" customWidth="1"/>
    <col min="11" max="11" width="14.140625" style="270" customWidth="1"/>
    <col min="12" max="12" width="11.7109375" style="270" customWidth="1"/>
    <col min="13" max="13" width="10.28515625" style="270" hidden="1" customWidth="1"/>
    <col min="14" max="14" width="10.28515625" style="270" customWidth="1"/>
    <col min="15" max="19" width="10.28515625" style="270" hidden="1" customWidth="1"/>
    <col min="20" max="20" width="13.85546875" style="270" customWidth="1"/>
    <col min="21" max="21" width="10.140625" style="270" hidden="1" customWidth="1"/>
    <col min="22" max="22" width="14.5703125" style="270" hidden="1" customWidth="1"/>
    <col min="23" max="23" width="8.28515625" style="270" hidden="1" customWidth="1"/>
    <col min="24" max="24" width="60" style="270" customWidth="1"/>
    <col min="25" max="25" width="34.28515625" style="1466" customWidth="1"/>
    <col min="26"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39" s="768" customFormat="1" ht="24" hidden="1" customHeight="1">
      <c r="A1" s="1715"/>
      <c r="B1" s="80"/>
      <c r="C1" s="80"/>
      <c r="D1" s="80"/>
      <c r="E1" s="80"/>
      <c r="F1" s="80"/>
      <c r="G1" s="80"/>
      <c r="I1" s="768">
        <v>2022</v>
      </c>
      <c r="J1" s="1441">
        <v>2023</v>
      </c>
      <c r="K1" s="768">
        <v>2024</v>
      </c>
      <c r="L1" s="768">
        <v>2025</v>
      </c>
      <c r="N1" s="768">
        <v>1</v>
      </c>
      <c r="T1" s="768">
        <v>2021</v>
      </c>
      <c r="Y1" s="1466"/>
      <c r="AA1" s="768">
        <v>2</v>
      </c>
      <c r="AC1" s="768">
        <v>1</v>
      </c>
      <c r="AE1" s="768">
        <v>3</v>
      </c>
      <c r="AG1" s="768">
        <v>2</v>
      </c>
      <c r="AM1" s="799"/>
    </row>
    <row r="2" spans="1:39" s="768" customFormat="1" ht="15">
      <c r="A2" s="1715"/>
      <c r="B2" s="80"/>
      <c r="C2" s="80"/>
      <c r="D2" s="80"/>
      <c r="E2" s="80"/>
      <c r="F2" s="80"/>
      <c r="G2" s="80"/>
      <c r="J2" s="1442"/>
      <c r="L2" s="2415" t="s">
        <v>1487</v>
      </c>
      <c r="M2" s="2416"/>
      <c r="N2" s="2416"/>
      <c r="O2" s="2416"/>
      <c r="P2" s="2416"/>
      <c r="Q2" s="2416"/>
      <c r="R2" s="2416"/>
      <c r="S2" s="2416"/>
      <c r="T2" s="2416"/>
      <c r="U2" s="1964"/>
      <c r="V2" s="1964"/>
      <c r="W2" s="1964"/>
      <c r="X2" s="2417" t="s">
        <v>125</v>
      </c>
      <c r="Y2" s="1466"/>
      <c r="AC2" s="799"/>
    </row>
    <row r="3" spans="1:39" ht="30.75" customHeight="1">
      <c r="D3" s="177" t="s">
        <v>187</v>
      </c>
      <c r="H3" s="1465" t="str">
        <f>Selection!A2&amp;"'s 2022-2023 Savings Forecast"</f>
        <v>Puget Sound Energy's 2022-2023 Savings Forecast</v>
      </c>
      <c r="I3" s="1447"/>
      <c r="J3" s="1448"/>
      <c r="K3" s="1449"/>
      <c r="L3" s="2422">
        <v>2022</v>
      </c>
      <c r="M3" s="2423"/>
      <c r="N3" s="2424">
        <v>2023</v>
      </c>
      <c r="O3" s="2424"/>
      <c r="P3" s="2424">
        <v>2024</v>
      </c>
      <c r="Q3" s="2424"/>
      <c r="R3" s="2424">
        <v>2025</v>
      </c>
      <c r="S3" s="2424"/>
      <c r="T3" s="2209" t="s">
        <v>2946</v>
      </c>
      <c r="U3" s="1957"/>
      <c r="V3" s="1956"/>
      <c r="W3" s="1956"/>
      <c r="X3" s="2418"/>
      <c r="AA3" s="768"/>
      <c r="AB3" s="768"/>
      <c r="AC3" s="799"/>
      <c r="AK3" s="270"/>
      <c r="AL3" s="270"/>
      <c r="AM3" s="270"/>
    </row>
    <row r="4" spans="1:39" ht="15" hidden="1" customHeight="1">
      <c r="D4" s="2443">
        <v>2020</v>
      </c>
      <c r="E4" s="2443"/>
      <c r="F4" s="2443">
        <v>2021</v>
      </c>
      <c r="G4" s="2443"/>
      <c r="H4" s="1307"/>
      <c r="I4" s="1308"/>
      <c r="J4" s="1443"/>
      <c r="K4" s="1280"/>
      <c r="L4" s="1272" t="s">
        <v>543</v>
      </c>
      <c r="M4" s="1932"/>
      <c r="N4" s="1942" t="s">
        <v>543</v>
      </c>
      <c r="O4" s="1942"/>
      <c r="P4" s="1942" t="s">
        <v>543</v>
      </c>
      <c r="Q4" s="1943"/>
      <c r="R4" s="1942" t="s">
        <v>543</v>
      </c>
      <c r="S4" s="1943"/>
      <c r="T4" s="1276" t="s">
        <v>543</v>
      </c>
      <c r="U4" s="1310"/>
      <c r="V4" s="1276"/>
      <c r="W4" s="1276"/>
      <c r="X4" s="2418"/>
      <c r="AA4" s="768"/>
      <c r="AB4" s="768"/>
      <c r="AC4" s="799"/>
      <c r="AK4" s="270"/>
      <c r="AL4" s="270"/>
      <c r="AM4" s="270"/>
    </row>
    <row r="5" spans="1:39" ht="15.75" hidden="1" customHeight="1">
      <c r="A5" s="1715" t="s">
        <v>529</v>
      </c>
      <c r="B5" s="177" t="s">
        <v>530</v>
      </c>
      <c r="D5" s="177" t="s">
        <v>553</v>
      </c>
      <c r="E5" s="177" t="s">
        <v>554</v>
      </c>
      <c r="F5" s="177" t="s">
        <v>553</v>
      </c>
      <c r="G5" s="177" t="s">
        <v>555</v>
      </c>
      <c r="H5" s="1273" t="s">
        <v>3</v>
      </c>
      <c r="I5" s="1274" t="s">
        <v>528</v>
      </c>
      <c r="J5" s="1444" t="s">
        <v>531</v>
      </c>
      <c r="K5" s="1278"/>
      <c r="L5" s="1933" t="s">
        <v>546</v>
      </c>
      <c r="M5" s="1934"/>
      <c r="N5" s="1944" t="s">
        <v>546</v>
      </c>
      <c r="O5" s="1944"/>
      <c r="P5" s="1944" t="s">
        <v>546</v>
      </c>
      <c r="Q5" s="1945"/>
      <c r="R5" s="1944" t="s">
        <v>546</v>
      </c>
      <c r="S5" s="1945"/>
      <c r="T5" s="1910" t="s">
        <v>546</v>
      </c>
      <c r="U5" s="1931"/>
      <c r="V5" s="1910"/>
      <c r="W5" s="1910"/>
      <c r="X5" s="2418"/>
      <c r="Y5" s="1885"/>
      <c r="AA5" s="768"/>
      <c r="AB5" s="768"/>
      <c r="AC5" s="799"/>
      <c r="AK5" s="270"/>
      <c r="AL5" s="2329"/>
      <c r="AM5" s="2329"/>
    </row>
    <row r="6" spans="1:39" ht="40.5" hidden="1" customHeight="1">
      <c r="H6" s="1450"/>
      <c r="I6" s="1305"/>
      <c r="J6" s="1445"/>
      <c r="K6" s="1458" t="s">
        <v>1097</v>
      </c>
      <c r="L6" s="1459" t="s">
        <v>1437</v>
      </c>
      <c r="M6" s="1935" t="s">
        <v>2779</v>
      </c>
      <c r="N6" s="1946" t="s">
        <v>1437</v>
      </c>
      <c r="O6" s="1947" t="s">
        <v>2779</v>
      </c>
      <c r="P6" s="1946" t="s">
        <v>1437</v>
      </c>
      <c r="Q6" s="1947" t="s">
        <v>2779</v>
      </c>
      <c r="R6" s="1946" t="s">
        <v>1437</v>
      </c>
      <c r="S6" s="1947" t="s">
        <v>2779</v>
      </c>
      <c r="T6" s="2426" t="s">
        <v>1488</v>
      </c>
      <c r="U6" s="2427"/>
      <c r="V6" s="2425" t="s">
        <v>2780</v>
      </c>
      <c r="W6" s="2425"/>
      <c r="X6" s="2418"/>
      <c r="AA6" s="768"/>
      <c r="AB6" s="768"/>
      <c r="AC6" s="799"/>
      <c r="AK6" s="270"/>
      <c r="AL6" s="270"/>
      <c r="AM6" s="270"/>
    </row>
    <row r="7" spans="1:39" s="236" customFormat="1" ht="15">
      <c r="A7" s="1715"/>
      <c r="B7" s="177"/>
      <c r="C7" s="177"/>
      <c r="D7" s="177"/>
      <c r="E7" s="177"/>
      <c r="F7" s="177"/>
      <c r="G7" s="177"/>
      <c r="H7" s="1282"/>
      <c r="I7" s="1454" t="s">
        <v>542</v>
      </c>
      <c r="J7" s="1452"/>
      <c r="K7" s="1453"/>
      <c r="L7" s="1457">
        <f ca="1">SUM(L8:L25)</f>
        <v>1.4786813195882742</v>
      </c>
      <c r="M7" s="1936"/>
      <c r="N7" s="1948">
        <f ca="1">SUM(N8:N25)</f>
        <v>1.7566993127495465</v>
      </c>
      <c r="O7" s="1949"/>
      <c r="P7" s="1948">
        <f ca="1">SUM(P8:P25)</f>
        <v>2.2827314759531081</v>
      </c>
      <c r="Q7" s="1949"/>
      <c r="R7" s="1948">
        <f ca="1">SUM(R8:R25)</f>
        <v>2.9761272803798016</v>
      </c>
      <c r="S7" s="1949"/>
      <c r="T7" s="1937">
        <f ca="1">SUM(T8:T25)</f>
        <v>3.2353806323378218</v>
      </c>
      <c r="U7" s="1963"/>
      <c r="V7" s="1455">
        <f>SUM(V8:V25)</f>
        <v>0</v>
      </c>
      <c r="W7" s="1456" t="str">
        <f ca="1">"("&amp;TEXT(T7-V7,"0.##")&amp;")"</f>
        <v>(3.24)</v>
      </c>
      <c r="X7" s="2419"/>
      <c r="Y7" s="1466"/>
      <c r="AA7" s="81"/>
      <c r="AB7" s="1283"/>
      <c r="AC7" s="1283"/>
      <c r="AI7" s="1284"/>
      <c r="AJ7" s="1284"/>
      <c r="AK7" s="1284"/>
    </row>
    <row r="8" spans="1:39" s="684" customFormat="1">
      <c r="A8" s="1716" t="s">
        <v>264</v>
      </c>
      <c r="B8" s="1717" t="s">
        <v>249</v>
      </c>
      <c r="C8" s="1717" t="str">
        <f>INDEX(Programs!B:B,MATCH('Summary Program Measures'!B8,Programs!$E:$E,0))</f>
        <v>Ductless Heat Pumps</v>
      </c>
      <c r="D8" s="1718">
        <v>0.9</v>
      </c>
      <c r="E8" s="1718">
        <v>1.1000000000000001</v>
      </c>
      <c r="F8" s="1718">
        <v>0.8</v>
      </c>
      <c r="G8" s="1718">
        <v>1.1599999999999999</v>
      </c>
      <c r="H8" s="2430" t="s">
        <v>236</v>
      </c>
      <c r="I8" s="1396" t="str">
        <f>INDEX(Programs!B:B,MATCH('Summary Program Measures'!B8,Programs!$E:$E,0))</f>
        <v>Ductless Heat Pumps</v>
      </c>
      <c r="J8" s="2210" t="s">
        <v>150</v>
      </c>
      <c r="K8" s="1769">
        <f>VALUE(INDEX('AMMO Measures'!H:H,MATCH($B8,'AMMO Measures'!K:K,0)))</f>
        <v>15</v>
      </c>
      <c r="L8" s="2192">
        <f ca="1">SUMIFS(INDIRECT($A8&amp;"!$u:$u"),INDIRECT($A8&amp;"!$f:$f"),N$1,INDIRECT($A8&amp;"!$i:$i"),$C8,INDIRECT($A8&amp;"!$l:$l"),$I$1)</f>
        <v>0.37260567351378543</v>
      </c>
      <c r="M8" s="2193"/>
      <c r="N8" s="1950">
        <f ca="1">SUMIFS(INDIRECT($A8&amp;"!$u:$u"),INDIRECT($A8&amp;"!$f:$f"),AC$1,INDIRECT($A8&amp;"!$i:$i"),$C8,INDIRECT($A8&amp;"!$l:$l"),$J$1)</f>
        <v>0.4216677272782493</v>
      </c>
      <c r="O8" s="2194"/>
      <c r="P8" s="1950">
        <f ca="1">SUMIFS(INDIRECT($A8&amp;"!$u:$u"),INDIRECT($A8&amp;"!$f:$f"),N$1,INDIRECT($A8&amp;"!$i:$i"),$C8,INDIRECT($A8&amp;"!$l:$l"),$K$1)</f>
        <v>0.52119066016923388</v>
      </c>
      <c r="Q8" s="2194"/>
      <c r="R8" s="1950">
        <f ca="1">SUMIFS(INDIRECT($A8&amp;"!$u:$u"),INDIRECT($A8&amp;"!$f:$f"),N$1,INDIRECT($A8&amp;"!$i:$i"),$C8,INDIRECT($A8&amp;"!$l:$l"),$L$1)</f>
        <v>0.77663778864724942</v>
      </c>
      <c r="S8" s="2194"/>
      <c r="T8" s="1938">
        <f ca="1">L8+N8</f>
        <v>0.79427340079203468</v>
      </c>
      <c r="U8" s="2211"/>
      <c r="V8" s="1958">
        <f t="shared" ref="V8:V13" si="0">M8+O8</f>
        <v>0</v>
      </c>
      <c r="W8" s="2212" t="str">
        <f ca="1">"("&amp;TEXT(T8-V8,"0.##")&amp;")"</f>
        <v>(0.79)</v>
      </c>
      <c r="X8" s="2148" t="s">
        <v>2949</v>
      </c>
      <c r="Y8" s="1467"/>
      <c r="AA8" s="993"/>
      <c r="AB8" s="993"/>
      <c r="AC8" s="1003"/>
      <c r="AE8" s="1004"/>
      <c r="AF8" s="1004"/>
      <c r="AG8" s="1004"/>
      <c r="AH8" s="1004"/>
      <c r="AI8" s="1005"/>
      <c r="AJ8" s="1006"/>
      <c r="AK8" s="1006"/>
      <c r="AL8" s="1006"/>
      <c r="AM8" s="1006"/>
    </row>
    <row r="9" spans="1:39" s="684" customFormat="1" ht="25.5">
      <c r="A9" s="1716" t="s">
        <v>1574</v>
      </c>
      <c r="B9" s="80" t="s">
        <v>1563</v>
      </c>
      <c r="C9" s="1717" t="s">
        <v>236</v>
      </c>
      <c r="D9" s="1718">
        <v>0.7</v>
      </c>
      <c r="E9" s="1718">
        <v>1.3</v>
      </c>
      <c r="F9" s="1718">
        <v>0.7</v>
      </c>
      <c r="G9" s="1718">
        <v>1.7</v>
      </c>
      <c r="H9" s="2420"/>
      <c r="I9" s="1397" t="str">
        <f>INDEX(Programs!B:B,MATCH('Summary Program Measures'!B9,Programs!$E:$E,0))</f>
        <v>Extended Motor Products</v>
      </c>
      <c r="J9" s="2213" t="s">
        <v>1701</v>
      </c>
      <c r="K9" s="1769">
        <f>VALUE(INDEX('AMMO Measures'!H:H,MATCH($B9,'AMMO Measures'!K:K,0)))</f>
        <v>11.5</v>
      </c>
      <c r="L9" s="2195">
        <f ca="1">SUMIFS(INDIRECT($A9&amp;"!$v:$v"),INDIRECT($A9&amp;"!$f:$f"),N$1,INDIRECT($A9&amp;"!$m:$m"),$I$1,INDIRECT($A9&amp;"!$H:$H"),C9)</f>
        <v>5.5344503331074005E-2</v>
      </c>
      <c r="M9" s="2196"/>
      <c r="N9" s="1951">
        <f ca="1">SUMIFS(INDIRECT($A9&amp;"!$v:$v"),INDIRECT($A9&amp;"!$f:$f"),AC$1,INDIRECT($A9&amp;"!$m:$m"),$J$1,INDIRECT($A20&amp;"!$H:$H"),C9)</f>
        <v>6.0878953664181411E-2</v>
      </c>
      <c r="O9" s="2197"/>
      <c r="P9" s="1951">
        <f ca="1">SUMIFS(INDIRECT($A9&amp;"!$v:$v"),INDIRECT($A9&amp;"!$f:$f"),AC$1,INDIRECT($A9&amp;"!$m:$m"),$K$1,INDIRECT($A20&amp;"!$H:$H"),C9)</f>
        <v>6.6966849030599573E-2</v>
      </c>
      <c r="Q9" s="2197"/>
      <c r="R9" s="1951">
        <f ca="1">SUMIFS(INDIRECT($A9&amp;"!$v:$v"),INDIRECT($A9&amp;"!$f:$f"),N$1,INDIRECT($A9&amp;"!$m:$m"),$L$1,INDIRECT($A20&amp;"!$H:$H"),C9)</f>
        <v>6.6966849030599573E-2</v>
      </c>
      <c r="S9" s="2197"/>
      <c r="T9" s="1939">
        <f ca="1">L9+N9</f>
        <v>0.11622345699525541</v>
      </c>
      <c r="U9" s="2214"/>
      <c r="V9" s="1959">
        <f t="shared" si="0"/>
        <v>0</v>
      </c>
      <c r="W9" s="2215" t="str">
        <f t="shared" ref="W9:W12" ca="1" si="1">"("&amp;TEXT(T9-V9,"0.##")&amp;")"</f>
        <v>(0.12)</v>
      </c>
      <c r="X9" s="2149" t="s">
        <v>2949</v>
      </c>
      <c r="Y9" s="1467"/>
      <c r="AA9" s="993"/>
      <c r="AB9" s="993"/>
      <c r="AC9" s="1003"/>
      <c r="AE9" s="1004"/>
      <c r="AF9" s="1004"/>
      <c r="AG9" s="1004"/>
      <c r="AH9" s="1004"/>
      <c r="AI9" s="1005"/>
      <c r="AJ9" s="1006"/>
      <c r="AK9" s="1006"/>
      <c r="AL9" s="1006"/>
      <c r="AM9" s="1006"/>
    </row>
    <row r="10" spans="1:39" s="684" customFormat="1" ht="25.5">
      <c r="A10" s="1716" t="s">
        <v>265</v>
      </c>
      <c r="B10" s="1717" t="s">
        <v>250</v>
      </c>
      <c r="C10" s="1717" t="str">
        <f>INDEX(Programs!B:B,MATCH('Summary Program Measures'!B10,Programs!$E:$E,0))</f>
        <v>Heat Pump Water Heaters</v>
      </c>
      <c r="D10" s="1718">
        <v>0.66849884869642728</v>
      </c>
      <c r="E10" s="1718">
        <v>1.0770259228997994</v>
      </c>
      <c r="F10" s="1718">
        <v>0.57108591987664548</v>
      </c>
      <c r="G10" s="1718">
        <v>1.1136175437594587</v>
      </c>
      <c r="H10" s="2420"/>
      <c r="I10" s="1397" t="str">
        <f>INDEX(Programs!B:B,MATCH('Summary Program Measures'!B10,Programs!$E:$E,0))</f>
        <v>Heat Pump Water Heaters</v>
      </c>
      <c r="J10" s="2213" t="s">
        <v>152</v>
      </c>
      <c r="K10" s="1769">
        <f>VALUE(INDEX('AMMO Measures'!H:H,MATCH($B10,'AMMO Measures'!K:K,0)))</f>
        <v>13</v>
      </c>
      <c r="L10" s="2198">
        <f ca="1">SUMIFS(INDIRECT($A10&amp;"!$v:$v"),INDIRECT($A10&amp;"!$f:$f"),N$1,INDIRECT($A10&amp;"!$i:$i"),$C10,INDIRECT($A10&amp;"!$l:$l"),$I$1)</f>
        <v>0.20952198555191934</v>
      </c>
      <c r="M10" s="2196"/>
      <c r="N10" s="1951">
        <f ca="1">SUMIFS(INDIRECT($A10&amp;"!$v:$v"),INDIRECT($A10&amp;"!$f:$f"),AC$1,INDIRECT($A10&amp;"!$i:$i"),$C10,INDIRECT($A10&amp;"!$l:$l"),$J$1)</f>
        <v>0.25886638942295453</v>
      </c>
      <c r="O10" s="2197"/>
      <c r="P10" s="1951">
        <f ca="1">SUMIFS(INDIRECT($A10&amp;"!$v:$v"),INDIRECT($A10&amp;"!$f:$f"),AC$1,INDIRECT($A10&amp;"!$i:$i"),$C10,INDIRECT($A10&amp;"!$l:$l"),$K$1)</f>
        <v>0.3228092009394638</v>
      </c>
      <c r="Q10" s="2197"/>
      <c r="R10" s="1951">
        <f ca="1">SUMIFS(INDIRECT($A10&amp;"!$v:$v"),INDIRECT($A10&amp;"!$f:$f"),N$1,INDIRECT($A10&amp;"!$i:$i"),$C10,INDIRECT($A10&amp;"!$l:$l"),$L$1)</f>
        <v>0.49813813242111971</v>
      </c>
      <c r="S10" s="2197"/>
      <c r="T10" s="1939">
        <f ca="1">L10+N10</f>
        <v>0.46838837497487384</v>
      </c>
      <c r="U10" s="2214"/>
      <c r="V10" s="1959">
        <f t="shared" si="0"/>
        <v>0</v>
      </c>
      <c r="W10" s="2215" t="str">
        <f ca="1">"("&amp;TEXT(T10-V10,"0.##")&amp;")"</f>
        <v>(0.47)</v>
      </c>
      <c r="X10" s="2149" t="s">
        <v>2952</v>
      </c>
      <c r="Y10" s="1467"/>
      <c r="AA10" s="993"/>
      <c r="AB10" s="1003"/>
      <c r="AC10" s="1003"/>
      <c r="AE10" s="1004"/>
      <c r="AF10" s="1004"/>
      <c r="AG10" s="1004"/>
      <c r="AH10" s="1004"/>
      <c r="AI10" s="1005"/>
      <c r="AJ10" s="1006"/>
      <c r="AK10" s="1006"/>
      <c r="AL10" s="1006"/>
      <c r="AM10" s="1006"/>
    </row>
    <row r="11" spans="1:39" s="684" customFormat="1">
      <c r="A11" s="1716" t="s">
        <v>1427</v>
      </c>
      <c r="B11" s="1717" t="s">
        <v>858</v>
      </c>
      <c r="C11" s="1717" t="str">
        <f>INDEX(Programs!B:B,MATCH('Summary Program Measures'!B11,Programs!$E:$E,0))</f>
        <v>Manufactured Homes</v>
      </c>
      <c r="D11" s="1718">
        <v>0.9</v>
      </c>
      <c r="E11" s="1718">
        <v>1.1000000000000001</v>
      </c>
      <c r="F11" s="1718">
        <v>0.9</v>
      </c>
      <c r="G11" s="1718">
        <v>1.1000000000000001</v>
      </c>
      <c r="H11" s="2420"/>
      <c r="I11" s="1397" t="s">
        <v>857</v>
      </c>
      <c r="J11" s="2213" t="s">
        <v>857</v>
      </c>
      <c r="K11" s="1769">
        <f>VALUE(INDEX('AMMO Measures'!H:H,MATCH($B11,'AMMO Measures'!K:K,0)))</f>
        <v>42</v>
      </c>
      <c r="L11" s="2198">
        <f ca="1">SUMIFS(INDIRECT($A11&amp;"!$v:$v"),INDIRECT($A11&amp;"!$f:$f"),N$1,INDIRECT($A11&amp;"!$i:$i"),$C11,INDIRECT($A11&amp;"!$L:$L"),$I$1)</f>
        <v>3.2020783850926486E-2</v>
      </c>
      <c r="M11" s="2196"/>
      <c r="N11" s="1951">
        <f ca="1">SUMIFS(INDIRECT($A11&amp;"!$v:$v"),INDIRECT($A11&amp;"!$f:$f"),AC$1,INDIRECT($A11&amp;"!$i:$i"),$C11,INDIRECT($A11&amp;"!$l:$l"),$J$1)</f>
        <v>3.4478526190641033E-2</v>
      </c>
      <c r="O11" s="2197"/>
      <c r="P11" s="1951">
        <f ca="1">SUMIFS(INDIRECT($A11&amp;"!$v:$v"),INDIRECT($A11&amp;"!$f:$f"),AC$1,INDIRECT($A11&amp;"!$i:$i"),$C11,INDIRECT($A11&amp;"!$l:$l"),$K$1)</f>
        <v>6.6301376142616247E-2</v>
      </c>
      <c r="Q11" s="2197"/>
      <c r="R11" s="1951">
        <f ca="1">SUMIFS(INDIRECT($A11&amp;"!$v:$v"),INDIRECT($A11&amp;"!$f:$f"),N$1,INDIRECT($A11&amp;"!$i:$i"),$C11,INDIRECT($A11&amp;"!$l:$l"),$L$1)</f>
        <v>0.11103801534154836</v>
      </c>
      <c r="S11" s="2197"/>
      <c r="T11" s="1939">
        <f ca="1">L11+N11</f>
        <v>6.6499310041567519E-2</v>
      </c>
      <c r="U11" s="2214"/>
      <c r="V11" s="1959">
        <f t="shared" si="0"/>
        <v>0</v>
      </c>
      <c r="W11" s="2215" t="str">
        <f t="shared" ca="1" si="1"/>
        <v>(0.07)</v>
      </c>
      <c r="X11" s="2149" t="s">
        <v>2949</v>
      </c>
      <c r="Y11" s="1467"/>
      <c r="AA11" s="993"/>
      <c r="AB11" s="1003"/>
      <c r="AC11" s="1003"/>
      <c r="AE11" s="1004"/>
      <c r="AF11" s="1004"/>
      <c r="AG11" s="1004"/>
      <c r="AH11" s="1004"/>
      <c r="AI11" s="1005"/>
      <c r="AJ11" s="1006"/>
      <c r="AK11" s="1006"/>
      <c r="AL11" s="1006"/>
      <c r="AM11" s="1006"/>
    </row>
    <row r="12" spans="1:39" s="684" customFormat="1" hidden="1">
      <c r="A12" s="1716" t="s">
        <v>518</v>
      </c>
      <c r="B12" s="1717" t="s">
        <v>252</v>
      </c>
      <c r="C12" s="1717" t="str">
        <f>INDEX(Programs!B:B,MATCH('Summary Program Measures'!B12,Programs!$E:$E,0))</f>
        <v>Next Step Homes</v>
      </c>
      <c r="D12" s="1718">
        <v>0.5</v>
      </c>
      <c r="E12" s="1718">
        <v>1.1000000000000001</v>
      </c>
      <c r="F12" s="1718">
        <v>0.5</v>
      </c>
      <c r="G12" s="1718">
        <v>1.05</v>
      </c>
      <c r="H12" s="2420"/>
      <c r="I12" s="1397" t="s">
        <v>970</v>
      </c>
      <c r="J12" s="2213" t="s">
        <v>1741</v>
      </c>
      <c r="K12" s="1769">
        <f>VALUE(INDEX('AMMO Measures'!H:H,MATCH($B12,'AMMO Measures'!K:K,0)))</f>
        <v>45</v>
      </c>
      <c r="L12" s="1952" t="s">
        <v>332</v>
      </c>
      <c r="M12" s="2196"/>
      <c r="N12" s="1952" t="s">
        <v>332</v>
      </c>
      <c r="O12" s="2197"/>
      <c r="P12" s="1952" t="s">
        <v>332</v>
      </c>
      <c r="Q12" s="2197"/>
      <c r="R12" s="1952" t="s">
        <v>332</v>
      </c>
      <c r="S12" s="2197"/>
      <c r="T12" s="1952" t="s">
        <v>332</v>
      </c>
      <c r="U12" s="2214"/>
      <c r="V12" s="1959">
        <f t="shared" si="0"/>
        <v>0</v>
      </c>
      <c r="W12" s="2215" t="e">
        <f t="shared" si="1"/>
        <v>#VALUE!</v>
      </c>
      <c r="X12" s="2149" t="s">
        <v>2951</v>
      </c>
      <c r="Y12" s="1467"/>
      <c r="AA12" s="993"/>
      <c r="AB12" s="1003"/>
      <c r="AC12" s="1003"/>
      <c r="AE12" s="1004"/>
      <c r="AF12" s="1004"/>
      <c r="AG12" s="1004"/>
      <c r="AH12" s="1004"/>
      <c r="AI12" s="1005"/>
      <c r="AJ12" s="1006"/>
      <c r="AK12" s="1006"/>
      <c r="AL12" s="1006"/>
      <c r="AM12" s="1006"/>
    </row>
    <row r="13" spans="1:39" s="684" customFormat="1" ht="25.5">
      <c r="A13" s="1716" t="s">
        <v>510</v>
      </c>
      <c r="B13" s="1717" t="s">
        <v>254</v>
      </c>
      <c r="C13" s="1717" t="str">
        <f>INDEX(Programs!B:B,MATCH('Summary Program Measures'!B13,Programs!$E:$E,0))</f>
        <v>Retail Product Portfolio</v>
      </c>
      <c r="D13" s="1718">
        <v>0.8</v>
      </c>
      <c r="E13" s="1718">
        <v>1</v>
      </c>
      <c r="F13" s="1718">
        <v>1</v>
      </c>
      <c r="G13" s="1718">
        <v>1</v>
      </c>
      <c r="H13" s="2420"/>
      <c r="I13" s="2428" t="str">
        <f>INDEX(Programs!B:B,MATCH('Summary Program Measures'!B13,Programs!$E:$E,0))</f>
        <v>Retail Product Portfolio</v>
      </c>
      <c r="J13" s="2213" t="s">
        <v>1742</v>
      </c>
      <c r="K13" s="1769">
        <f>SUMPRODUCT(Frig_Freezers!$L$6:$L$27,Frig_Freezers!$V$6:$V$27)/SUM(Frig_Freezers!$V$6:$V$27)</f>
        <v>16.120260223308076</v>
      </c>
      <c r="L13" s="2198">
        <f ca="1">SUMIFS(INDIRECT($A13&amp;"!$v:$v"),INDIRECT($A13&amp;"!$f:$f"),N$1,INDIRECT($A13&amp;"!$m:$m"),$I$1)</f>
        <v>6.9898906085241783E-2</v>
      </c>
      <c r="M13" s="2434"/>
      <c r="N13" s="1951">
        <f ca="1">SUMIFS(INDIRECT($A13&amp;"!$v:$v"),INDIRECT($A13&amp;"!$f:$f"),AC$1,INDIRECT($A13&amp;"!$i:$i"),$C13,INDIRECT($A13&amp;"!$m:$m"),$J$1)</f>
        <v>9.1244843194068725E-2</v>
      </c>
      <c r="O13" s="2431"/>
      <c r="P13" s="1951">
        <f ca="1">SUMIFS(INDIRECT($A13&amp;"!$v:$v"),INDIRECT($A13&amp;"!$f:$f"),AC$1,INDIRECT($A13&amp;"!$i:$i"),$C13,INDIRECT($A13&amp;"!$m:$m"),$K$1)</f>
        <v>9.1208550857534348E-2</v>
      </c>
      <c r="Q13" s="2199"/>
      <c r="R13" s="1951">
        <f ca="1">SUMIFS(INDIRECT($A13&amp;"!$v:$v"),INDIRECT($A13&amp;"!$f:$f"),N$1,INDIRECT($A13&amp;"!$i:$i"),$C13,INDIRECT($A13&amp;"!$m:$m"),$L$1)</f>
        <v>0.16067711911660693</v>
      </c>
      <c r="S13" s="2199"/>
      <c r="T13" s="1939">
        <f ca="1">IFERROR(L13+N13,0)</f>
        <v>0.16114374927931052</v>
      </c>
      <c r="U13" s="2216"/>
      <c r="V13" s="2437">
        <f t="shared" si="0"/>
        <v>0</v>
      </c>
      <c r="W13" s="2440" t="str">
        <f ca="1">"("&amp;TEXT(SUM(T13:T19)-V13,"0.##")&amp;")"</f>
        <v>(1.26)</v>
      </c>
      <c r="X13" s="2149" t="s">
        <v>2992</v>
      </c>
      <c r="Y13" s="1977"/>
      <c r="AA13" s="993"/>
      <c r="AB13" s="1003"/>
      <c r="AC13" s="1003"/>
      <c r="AE13" s="1004"/>
      <c r="AF13" s="1004"/>
      <c r="AG13" s="1004"/>
      <c r="AH13" s="1004"/>
      <c r="AI13" s="1005"/>
      <c r="AJ13" s="1006"/>
      <c r="AK13" s="1006"/>
      <c r="AL13" s="1006"/>
      <c r="AM13" s="1006"/>
    </row>
    <row r="14" spans="1:39" s="684" customFormat="1">
      <c r="A14" s="1716" t="s">
        <v>509</v>
      </c>
      <c r="B14" s="1717" t="s">
        <v>254</v>
      </c>
      <c r="C14" s="1717" t="str">
        <f>INDEX(Programs!B:B,MATCH('Summary Program Measures'!B14,Programs!$E:$E,0))</f>
        <v>Retail Product Portfolio</v>
      </c>
      <c r="D14" s="1718">
        <v>0.8</v>
      </c>
      <c r="E14" s="1718">
        <v>1</v>
      </c>
      <c r="F14" s="1718">
        <v>1</v>
      </c>
      <c r="G14" s="1718">
        <v>1</v>
      </c>
      <c r="H14" s="2420"/>
      <c r="I14" s="2428"/>
      <c r="J14" s="2213" t="s">
        <v>147</v>
      </c>
      <c r="K14" s="1769">
        <f>VALUE(INDEX('AMMO Measures'!H:H,MATCH("RES_201403_P11T1",'AMMO Measures'!A:A,0)))</f>
        <v>14</v>
      </c>
      <c r="L14" s="2198">
        <f ca="1">SUMIFS(INDIRECT($A14&amp;"!$u:$u"),INDIRECT($A14&amp;"!$f:$f"),N$1,INDIRECT($A14&amp;"!$i:$i"),$C14,INDIRECT($A14&amp;"!$l:$l"),$I$1)</f>
        <v>0.31867569188413813</v>
      </c>
      <c r="M14" s="2435"/>
      <c r="N14" s="1951">
        <f ca="1">SUMIFS(INDIRECT($A14&amp;"!$u:$u"),INDIRECT($A14&amp;"!$f:$f"),AC$1,INDIRECT($A14&amp;"!$i:$i"),$C14,INDIRECT($A14&amp;"!$l:$l"),$J$1)</f>
        <v>0.32576623793646992</v>
      </c>
      <c r="O14" s="2432"/>
      <c r="P14" s="1951">
        <f ca="1">SUMIFS(INDIRECT($A14&amp;"!$u:$u"),INDIRECT($A14&amp;"!$f:$f"),AC$1,INDIRECT($A14&amp;"!$i:$i"),$C14,INDIRECT($A14&amp;"!$l:$l"),$K$1)</f>
        <v>0.32997713843130694</v>
      </c>
      <c r="Q14" s="2200"/>
      <c r="R14" s="1951">
        <f ca="1">SUMIFS(INDIRECT($A14&amp;"!$u:$u"),INDIRECT($A14&amp;"!$f:$f"),N$1,INDIRECT($A14&amp;"!$i:$i"),$C14,INDIRECT($A14&amp;"!$l:$l"),$L$1)</f>
        <v>0.33814806601873371</v>
      </c>
      <c r="S14" s="2200"/>
      <c r="T14" s="1939">
        <f ca="1">L14+N14</f>
        <v>0.64444192982060811</v>
      </c>
      <c r="U14" s="2216"/>
      <c r="V14" s="2438"/>
      <c r="W14" s="2441"/>
      <c r="X14" s="2149" t="s">
        <v>2949</v>
      </c>
      <c r="Y14" s="1977"/>
      <c r="AA14" s="993"/>
      <c r="AB14" s="1003"/>
      <c r="AC14" s="1003"/>
      <c r="AE14" s="1004"/>
      <c r="AF14" s="1004"/>
      <c r="AG14" s="1004"/>
      <c r="AH14" s="1004"/>
      <c r="AI14" s="1005"/>
      <c r="AJ14" s="1006"/>
      <c r="AK14" s="1006"/>
      <c r="AL14" s="1006"/>
      <c r="AM14" s="1006"/>
    </row>
    <row r="15" spans="1:39" s="684" customFormat="1">
      <c r="A15" s="1716" t="s">
        <v>267</v>
      </c>
      <c r="B15" s="1717" t="s">
        <v>255</v>
      </c>
      <c r="C15" s="1717" t="s">
        <v>154</v>
      </c>
      <c r="D15" s="1718">
        <v>0.8</v>
      </c>
      <c r="E15" s="1718">
        <v>1.05</v>
      </c>
      <c r="F15" s="1718">
        <v>0.8</v>
      </c>
      <c r="G15" s="1718">
        <v>1.05</v>
      </c>
      <c r="H15" s="2420"/>
      <c r="I15" s="2428"/>
      <c r="J15" s="2213" t="s">
        <v>283</v>
      </c>
      <c r="K15" s="1769">
        <f>VALUE(INDEX('AMMO Measures'!H:H,MATCH("RES_201403_P14T1",'AMMO Measures'!A:A,0)))</f>
        <v>12</v>
      </c>
      <c r="L15" s="2198">
        <f ca="1">SUMIFS(INDIRECT($A15&amp;"!$u:$u"),INDIRECT($A15&amp;"!$f:$f"),N$1,INDIRECT($A15&amp;"!$l:$l"),$I$1)</f>
        <v>0.13121709491194186</v>
      </c>
      <c r="M15" s="2435"/>
      <c r="N15" s="1951">
        <f ca="1">SUMIFS(INDIRECT($A15&amp;"!$u:$u"),INDIRECT($A15&amp;"!$f:$f"),AC$1,INDIRECT($A15&amp;"!$l:$l"),$J$1)</f>
        <v>0.14937631115222658</v>
      </c>
      <c r="O15" s="2432"/>
      <c r="P15" s="1951">
        <f ca="1">SUMIFS(INDIRECT($A15&amp;"!$u:$u"),INDIRECT($A15&amp;"!$f:$f"),AC$1,INDIRECT($A15&amp;"!$l:$l"),$K$1)</f>
        <v>0.17257593129945006</v>
      </c>
      <c r="Q15" s="2200"/>
      <c r="R15" s="1951">
        <f ca="1">SUMIFS(INDIRECT($A15&amp;"!$u:$u"),INDIRECT($A15&amp;"!$f:$f"),N$1,INDIRECT($A15&amp;"!$l:$l"),$L$1)</f>
        <v>0.21653816928991515</v>
      </c>
      <c r="S15" s="2200"/>
      <c r="T15" s="1939">
        <f ca="1">IFERROR(L15+N15,0)</f>
        <v>0.28059340606416844</v>
      </c>
      <c r="U15" s="2216"/>
      <c r="V15" s="2438"/>
      <c r="W15" s="2441"/>
      <c r="X15" s="2149" t="s">
        <v>2949</v>
      </c>
      <c r="Y15" s="1977"/>
      <c r="AA15" s="993"/>
      <c r="AB15" s="1003"/>
      <c r="AC15" s="1003"/>
      <c r="AE15" s="1004"/>
      <c r="AF15" s="1004"/>
      <c r="AG15" s="1004"/>
      <c r="AH15" s="1004"/>
      <c r="AI15" s="1005"/>
      <c r="AJ15" s="1028"/>
      <c r="AK15" s="1028"/>
      <c r="AL15" s="1006"/>
      <c r="AM15" s="1006"/>
    </row>
    <row r="16" spans="1:39" s="684" customFormat="1" ht="25.5">
      <c r="A16" s="1716" t="s">
        <v>516</v>
      </c>
      <c r="B16" s="1717" t="s">
        <v>254</v>
      </c>
      <c r="C16" s="1717" t="str">
        <f>INDEX(Programs!B:B,MATCH('Summary Program Measures'!B16,Programs!$E:$E,0))</f>
        <v>Retail Product Portfolio</v>
      </c>
      <c r="D16" s="1718">
        <v>0.8</v>
      </c>
      <c r="E16" s="1718">
        <v>1</v>
      </c>
      <c r="F16" s="1718">
        <v>1</v>
      </c>
      <c r="G16" s="1718">
        <v>1</v>
      </c>
      <c r="H16" s="2420"/>
      <c r="I16" s="2428"/>
      <c r="J16" s="2213" t="s">
        <v>534</v>
      </c>
      <c r="K16" s="1769">
        <f>VALUE(INDEX('AMMO Measures'!H:H,MATCH("RES_201403_P3T2",'AMMO Measures'!A:A,0)))</f>
        <v>9</v>
      </c>
      <c r="L16" s="2198">
        <f ca="1">SUMIFS(INDIRECT($A16&amp;"!$u:$u"),INDIRECT($A16&amp;"!$f:$f"),N$1,INDIRECT($A16&amp;"!$i:$i"),$C16,INDIRECT($A16&amp;"!$l:$l"),$I$1)</f>
        <v>8.124086992894344E-3</v>
      </c>
      <c r="M16" s="2435"/>
      <c r="N16" s="1951">
        <f ca="1">SUMIFS(INDIRECT($A16&amp;"!$u:$u"),INDIRECT($A16&amp;"!$f:$f"),AC$1,INDIRECT($A16&amp;"!$i:$i"),$C16,INDIRECT($A16&amp;"!$l:$l"),$J$1)</f>
        <v>9.0296997524992439E-3</v>
      </c>
      <c r="O16" s="2432"/>
      <c r="P16" s="1951">
        <f ca="1">SUMIFS(INDIRECT($A16&amp;"!$u:$u"),INDIRECT($A16&amp;"!$f:$f"),AC$1,INDIRECT($A16&amp;"!$i:$i"),$C16,INDIRECT($A16&amp;"!$l:$l"),$K$1)</f>
        <v>1.3156951216674116E-2</v>
      </c>
      <c r="Q16" s="2200"/>
      <c r="R16" s="1951">
        <f ca="1">SUMIFS(INDIRECT($A16&amp;"!$u:$u"),INDIRECT($A16&amp;"!$f:$f"),N$1,INDIRECT($A16&amp;"!$i:$i"),$C16,INDIRECT($A16&amp;"!$l:$l"),$L$1)</f>
        <v>1.852137640418948E-2</v>
      </c>
      <c r="S16" s="2200"/>
      <c r="T16" s="1939">
        <f ca="1">IFERROR(L16+N16,0)</f>
        <v>1.7153786745393588E-2</v>
      </c>
      <c r="U16" s="2216"/>
      <c r="V16" s="2438"/>
      <c r="W16" s="2441"/>
      <c r="X16" s="2149" t="s">
        <v>2990</v>
      </c>
      <c r="Y16" s="1467"/>
      <c r="AA16" s="993"/>
      <c r="AB16" s="1003"/>
      <c r="AC16" s="1003"/>
      <c r="AE16" s="1004"/>
      <c r="AF16" s="1004"/>
      <c r="AG16" s="1004"/>
      <c r="AH16" s="1004"/>
      <c r="AI16" s="1005"/>
      <c r="AJ16" s="1006"/>
      <c r="AK16" s="1006"/>
      <c r="AL16" s="1006"/>
      <c r="AM16" s="1006"/>
    </row>
    <row r="17" spans="1:39" s="684" customFormat="1">
      <c r="A17" s="1716" t="s">
        <v>3073</v>
      </c>
      <c r="B17" s="1717" t="s">
        <v>254</v>
      </c>
      <c r="C17" s="1717" t="str">
        <f>INDEX(Programs!B:B,MATCH('Summary Program Measures'!B17,Programs!$E:$E,0))</f>
        <v>Retail Product Portfolio</v>
      </c>
      <c r="D17" s="1718"/>
      <c r="E17" s="1718"/>
      <c r="F17" s="1718"/>
      <c r="G17" s="1718"/>
      <c r="H17" s="2420"/>
      <c r="I17" s="2428"/>
      <c r="J17" s="2213" t="s">
        <v>1350</v>
      </c>
      <c r="K17" s="1769">
        <f>VALUE(INDEX('AMMO Measures'!H:H,MATCH("RES_201403_P7T1",'AMMO Measures'!A:A,0)))</f>
        <v>7</v>
      </c>
      <c r="L17" s="2198">
        <f ca="1">SUMIFS(INDIRECT($A17&amp;"!$u:$u"),INDIRECT($A17&amp;"!$f:$f"),N$1,INDIRECT($A17&amp;"!$i:$i"),$C17,INDIRECT($A17&amp;"!$l:$l"),$I$1)</f>
        <v>1.0224876068910538E-3</v>
      </c>
      <c r="M17" s="2435"/>
      <c r="N17" s="1951">
        <f ca="1">SUMIFS(INDIRECT($A17&amp;"!$u:$u"),INDIRECT($A17&amp;"!$f:$f"),AC$1,INDIRECT($A17&amp;"!$i:$i"),$C17,INDIRECT($A17&amp;"!$l:$l"),$J$1)</f>
        <v>9.8613129357924489E-2</v>
      </c>
      <c r="O17" s="2432"/>
      <c r="P17" s="1951">
        <f ca="1">SUMIFS(INDIRECT($A17&amp;"!$u:$u"),INDIRECT($A17&amp;"!$f:$f"),AC$1,INDIRECT($A17&amp;"!$i:$i"),$C17,INDIRECT($A17&amp;"!$l:$l"),$K$1)</f>
        <v>0.3238592492296285</v>
      </c>
      <c r="Q17" s="2200"/>
      <c r="R17" s="1951">
        <f ca="1">SUMIFS(INDIRECT($A17&amp;"!$u:$u"),INDIRECT($A17&amp;"!$f:$f"),N$1,INDIRECT($A17&amp;"!$i:$i"),$C17,INDIRECT($A17&amp;"!$l:$l"),$L$1)</f>
        <v>0.34243418146315929</v>
      </c>
      <c r="S17" s="2200"/>
      <c r="T17" s="1939">
        <f ca="1">IFERROR(L17+N17,0)</f>
        <v>9.9635616964815543E-2</v>
      </c>
      <c r="U17" s="2216"/>
      <c r="V17" s="2438"/>
      <c r="W17" s="2441"/>
      <c r="X17" s="2149" t="s">
        <v>3294</v>
      </c>
      <c r="Y17" s="1467"/>
      <c r="AA17" s="993"/>
      <c r="AB17" s="1003"/>
      <c r="AC17" s="1003"/>
      <c r="AE17" s="1004"/>
      <c r="AF17" s="1004"/>
      <c r="AG17" s="1004"/>
      <c r="AH17" s="1004"/>
      <c r="AI17" s="1005"/>
      <c r="AJ17" s="1006"/>
      <c r="AK17" s="1006"/>
      <c r="AL17" s="1006"/>
      <c r="AM17" s="1006"/>
    </row>
    <row r="18" spans="1:39" s="684" customFormat="1" ht="25.5">
      <c r="A18" s="1716"/>
      <c r="B18" s="1717" t="s">
        <v>254</v>
      </c>
      <c r="C18" s="1717"/>
      <c r="D18" s="1718"/>
      <c r="E18" s="1718"/>
      <c r="F18" s="1718"/>
      <c r="G18" s="1718"/>
      <c r="H18" s="2420"/>
      <c r="I18" s="2428"/>
      <c r="J18" s="2213" t="s">
        <v>1349</v>
      </c>
      <c r="K18" s="1769">
        <v>9</v>
      </c>
      <c r="L18" s="2198">
        <f>Air_Cleaners!U6</f>
        <v>2.2486125377498844E-2</v>
      </c>
      <c r="M18" s="2435"/>
      <c r="N18" s="1951">
        <f>Air_Cleaners!U7</f>
        <v>3.0750807019766804E-2</v>
      </c>
      <c r="O18" s="2432"/>
      <c r="P18" s="1951">
        <f>Air_Cleaners!U8</f>
        <v>5.5520350933237483E-2</v>
      </c>
      <c r="Q18" s="2200"/>
      <c r="R18" s="1951">
        <f>Air_Cleaners!U9</f>
        <v>9.418148930718738E-2</v>
      </c>
      <c r="S18" s="2200"/>
      <c r="T18" s="1939">
        <f>N18+L18</f>
        <v>5.3236932397265652E-2</v>
      </c>
      <c r="U18" s="2216"/>
      <c r="V18" s="2438"/>
      <c r="W18" s="2441"/>
      <c r="X18" s="2149" t="s">
        <v>2991</v>
      </c>
      <c r="Y18" s="1467"/>
      <c r="AA18" s="993"/>
      <c r="AB18" s="1003"/>
      <c r="AC18" s="1003"/>
      <c r="AE18" s="1004"/>
      <c r="AF18" s="1004"/>
      <c r="AG18" s="1004"/>
      <c r="AH18" s="1004"/>
      <c r="AI18" s="1005"/>
      <c r="AJ18" s="1006"/>
      <c r="AK18" s="1006"/>
      <c r="AL18" s="1006"/>
      <c r="AM18" s="1006"/>
    </row>
    <row r="19" spans="1:39" s="684" customFormat="1">
      <c r="A19" s="1716" t="s">
        <v>517</v>
      </c>
      <c r="B19" s="1717" t="s">
        <v>254</v>
      </c>
      <c r="C19" s="1717" t="str">
        <f>INDEX(Programs!B:B,MATCH('Summary Program Measures'!B19,Programs!$E:$E,0))</f>
        <v>Retail Product Portfolio</v>
      </c>
      <c r="D19" s="1718">
        <v>0.8</v>
      </c>
      <c r="E19" s="1718">
        <v>1</v>
      </c>
      <c r="F19" s="1718">
        <v>1</v>
      </c>
      <c r="G19" s="1718">
        <v>1</v>
      </c>
      <c r="H19" s="2421"/>
      <c r="I19" s="2429"/>
      <c r="J19" s="2217" t="s">
        <v>535</v>
      </c>
      <c r="K19" s="1770">
        <v>7</v>
      </c>
      <c r="L19" s="2201" t="s">
        <v>332</v>
      </c>
      <c r="M19" s="2436"/>
      <c r="N19" s="2202" t="s">
        <v>332</v>
      </c>
      <c r="O19" s="2433"/>
      <c r="P19" s="2202" t="s">
        <v>332</v>
      </c>
      <c r="Q19" s="2203"/>
      <c r="R19" s="2202" t="s">
        <v>332</v>
      </c>
      <c r="S19" s="2203"/>
      <c r="T19" s="1940" t="s">
        <v>332</v>
      </c>
      <c r="U19" s="2218"/>
      <c r="V19" s="2439"/>
      <c r="W19" s="2442"/>
      <c r="X19" s="2150" t="s">
        <v>3279</v>
      </c>
      <c r="Y19" s="1467"/>
      <c r="AA19" s="993"/>
      <c r="AB19" s="1003"/>
      <c r="AC19" s="1003"/>
      <c r="AE19" s="1004"/>
      <c r="AF19" s="1004"/>
      <c r="AG19" s="1004"/>
      <c r="AH19" s="1004"/>
      <c r="AI19" s="1005"/>
      <c r="AJ19" s="1006"/>
      <c r="AK19" s="1006"/>
      <c r="AL19" s="1006"/>
      <c r="AM19" s="1006"/>
    </row>
    <row r="20" spans="1:39" ht="25.5">
      <c r="A20" s="1716" t="s">
        <v>1574</v>
      </c>
      <c r="B20" s="80" t="s">
        <v>1563</v>
      </c>
      <c r="C20" s="1717" t="s">
        <v>525</v>
      </c>
      <c r="D20" s="1718">
        <v>0.7</v>
      </c>
      <c r="E20" s="1718">
        <v>1.3</v>
      </c>
      <c r="F20" s="1718">
        <v>0.7</v>
      </c>
      <c r="G20" s="1718">
        <v>1.7</v>
      </c>
      <c r="H20" s="2420" t="s">
        <v>525</v>
      </c>
      <c r="I20" s="1397" t="str">
        <f>INDEX(Programs!B:B,MATCH('Summary Program Measures'!B20,Programs!$E:$E,0))</f>
        <v>Extended Motor Products</v>
      </c>
      <c r="J20" s="2213" t="s">
        <v>1700</v>
      </c>
      <c r="K20" s="1769" cm="1">
        <f t="array" ref="K20">SUMPRODUCT(XMP!L8:L31,XMP!T8:T31,--(XMP!H8:H31="Commercial"))/SUMIFS(XMP!T8:T31,XMP!H8:H31,"Commercial")</f>
        <v>18.398048466483786</v>
      </c>
      <c r="L20" s="2195">
        <f ca="1">SUMIFS(INDIRECT($A20&amp;"!$v:$v"),INDIRECT($A20&amp;"!$f:$f"),N$1,INDIRECT($A20&amp;"!$m:$m"),$I$1,INDIRECT($A20&amp;"!$H:$H"),C20)</f>
        <v>3.9958529161413146E-2</v>
      </c>
      <c r="M20" s="2196"/>
      <c r="N20" s="1951">
        <f ca="1">SUMIFS(INDIRECT($A9&amp;"!$v:$v"),INDIRECT($A9&amp;"!$f:$f"),AC$1,INDIRECT($A9&amp;"!$m:$m"),$J$1,INDIRECT($A20&amp;"!$H:$H"),C20)</f>
        <v>4.0781207816844148E-2</v>
      </c>
      <c r="O20" s="2197"/>
      <c r="P20" s="2204">
        <f ca="1">SUMIFS(INDIRECT($A9&amp;"!$v:$v"),INDIRECT($A9&amp;"!$f:$f"),AC$1,INDIRECT($A9&amp;"!$m:$m"),$K$1,INDIRECT($A20&amp;"!$H:$H"),C20)</f>
        <v>4.1640564717957414E-2</v>
      </c>
      <c r="Q20" s="2197"/>
      <c r="R20" s="2204">
        <f ca="1">SUMIFS(INDIRECT($A9&amp;"!$v:$v"),INDIRECT($A9&amp;"!$f:$f"),N$1,INDIRECT($A9&amp;"!$m:$m"),$L$1,INDIRECT($A20&amp;"!$H:$H"),C20)</f>
        <v>4.2172463599346323E-2</v>
      </c>
      <c r="S20" s="2197"/>
      <c r="T20" s="1941">
        <f ca="1">L20+N20</f>
        <v>8.0739736978257287E-2</v>
      </c>
      <c r="U20" s="2214"/>
      <c r="V20" s="1960">
        <f>M20+O20</f>
        <v>0</v>
      </c>
      <c r="W20" s="2215" t="str">
        <f t="shared" ref="W20:W25" ca="1" si="2">"("&amp;TEXT(T20-V20,"0.##")&amp;")"</f>
        <v>(0.08)</v>
      </c>
      <c r="X20" s="2149" t="s">
        <v>2949</v>
      </c>
      <c r="Y20" s="1467"/>
      <c r="AA20" s="768"/>
      <c r="AB20" s="799"/>
      <c r="AC20" s="799"/>
      <c r="AE20" s="797"/>
      <c r="AF20" s="797"/>
      <c r="AG20" s="797"/>
      <c r="AH20" s="797"/>
      <c r="AI20" s="631"/>
      <c r="AJ20" s="947"/>
      <c r="AK20" s="947"/>
      <c r="AL20" s="947"/>
      <c r="AM20" s="947"/>
    </row>
    <row r="21" spans="1:39" ht="25.5">
      <c r="A21" s="1715" t="s">
        <v>526</v>
      </c>
      <c r="B21" s="80" t="s">
        <v>243</v>
      </c>
      <c r="C21" s="80" t="str">
        <f>INDEX(Programs!B:B,MATCH('Summary Program Measures'!B21,Programs!$E:$E,0))</f>
        <v>Luminaire Level Lighting Controls</v>
      </c>
      <c r="D21" s="87">
        <v>0.8</v>
      </c>
      <c r="E21" s="87">
        <v>1.2861176746007394</v>
      </c>
      <c r="F21" s="87">
        <v>0.8</v>
      </c>
      <c r="G21" s="87">
        <v>1.286117674600739</v>
      </c>
      <c r="H21" s="2420"/>
      <c r="I21" s="1397" t="str">
        <f>INDEX(Programs!B:B,MATCH('Summary Program Measures'!B21,Programs!$E:$E,0))</f>
        <v>Luminaire Level Lighting Controls</v>
      </c>
      <c r="J21" s="2213" t="s">
        <v>486</v>
      </c>
      <c r="K21" s="1398" t="s">
        <v>581</v>
      </c>
      <c r="L21" s="998">
        <f ca="1">SUMIFS(INDIRECT($A21&amp;"!$u:$u"),INDIRECT($A21&amp;"!$f:$f"),N$1,INDIRECT($A21&amp;"!$i:$i"),$C21,INDIRECT($A21&amp;"!$l:$l"),$I$1)</f>
        <v>1.6381250829256754E-2</v>
      </c>
      <c r="M21" s="2196"/>
      <c r="N21" s="1953">
        <f ca="1">SUMIFS(INDIRECT($A21&amp;"!$u:$u"),INDIRECT($A21&amp;"!$f:$f"),AC$1,INDIRECT($A21&amp;"!$i:$i"),$C21,INDIRECT($A21&amp;"!$l:$l"),$J$1)</f>
        <v>2.5381604655160102E-2</v>
      </c>
      <c r="O21" s="2197"/>
      <c r="P21" s="1953">
        <f ca="1">SUMIFS(INDIRECT($A21&amp;"!$u:$u"),INDIRECT($A21&amp;"!$f:$f"),AC$1,INDIRECT($A21&amp;"!$i:$i"),$C21,INDIRECT($A21&amp;"!$l:$l"),$K$1)</f>
        <v>2.7290770618230362E-2</v>
      </c>
      <c r="Q21" s="2197"/>
      <c r="R21" s="1953">
        <f ca="1">SUMIFS(INDIRECT($A21&amp;"!$u:$u"),INDIRECT($A21&amp;"!$f:$f"),N$1,INDIRECT($A21&amp;"!$i:$i"),$C21,INDIRECT($A21&amp;"!$l:$l"),$L$1)</f>
        <v>3.0517152909331019E-2</v>
      </c>
      <c r="S21" s="2197"/>
      <c r="T21" s="1941">
        <f ca="1">L21+N21</f>
        <v>4.1762855484416855E-2</v>
      </c>
      <c r="U21" s="2214"/>
      <c r="V21" s="1960">
        <f>M21+O21</f>
        <v>0</v>
      </c>
      <c r="W21" s="2215" t="str">
        <f t="shared" ca="1" si="2"/>
        <v>(0.04)</v>
      </c>
      <c r="X21" s="2149" t="s">
        <v>2995</v>
      </c>
      <c r="Y21" s="1977"/>
      <c r="AA21" s="768"/>
      <c r="AB21" s="799"/>
      <c r="AC21" s="799"/>
      <c r="AE21" s="797"/>
      <c r="AF21" s="797"/>
      <c r="AG21" s="797"/>
      <c r="AH21" s="797"/>
      <c r="AI21" s="631"/>
      <c r="AJ21" s="947"/>
      <c r="AK21" s="947"/>
      <c r="AL21" s="947"/>
      <c r="AM21" s="947"/>
    </row>
    <row r="22" spans="1:39">
      <c r="A22" s="1715" t="s">
        <v>3047</v>
      </c>
      <c r="B22" s="80"/>
      <c r="C22" s="80" t="s">
        <v>1108</v>
      </c>
      <c r="D22" s="87"/>
      <c r="E22" s="87"/>
      <c r="F22" s="87"/>
      <c r="G22" s="87"/>
      <c r="H22" s="2420"/>
      <c r="I22" s="1397" t="s">
        <v>1108</v>
      </c>
      <c r="J22" s="2213" t="s">
        <v>1353</v>
      </c>
      <c r="K22" s="1398">
        <v>30</v>
      </c>
      <c r="L22" s="998">
        <f ca="1">SUMIFS(INDIRECT($A22&amp;"!$u:$u"),INDIRECT($A22&amp;"!$f:$f"),N$1,INDIRECT($A22&amp;"!$i:$i"),$C22,INDIRECT($A22&amp;"!$l:$l"),$I$1)</f>
        <v>3.9471585760669919E-3</v>
      </c>
      <c r="M22" s="2196"/>
      <c r="N22" s="1953">
        <f ca="1">SUMIFS(INDIRECT($A22&amp;"!$u:$u"),INDIRECT($A22&amp;"!$f:$f"),AC$1,INDIRECT($A22&amp;"!$i:$i"),$C22,INDIRECT($A22&amp;"!$l:$l"),$J$1)</f>
        <v>1.8110004005319428E-2</v>
      </c>
      <c r="O22" s="2197"/>
      <c r="P22" s="1953">
        <f ca="1">SUMIFS(INDIRECT($A22&amp;"!$u:$u"),INDIRECT($A22&amp;"!$f:$f"),AC$1,INDIRECT($A22&amp;"!$i:$i"),$C22,INDIRECT($A22&amp;"!$l:$l"),$K$1)</f>
        <v>6.4555395229813045E-2</v>
      </c>
      <c r="Q22" s="2197"/>
      <c r="R22" s="1953">
        <f ca="1">SUMIFS(INDIRECT($A22&amp;"!$u:$u"),INDIRECT($A22&amp;"!$f:$f"),N$1,INDIRECT($A22&amp;"!$i:$i"),$C22,INDIRECT($A22&amp;"!$l:$l"),$L$1)</f>
        <v>9.9737420700994936E-2</v>
      </c>
      <c r="S22" s="2197"/>
      <c r="T22" s="1941">
        <f ca="1">L22+N22</f>
        <v>2.205716258138642E-2</v>
      </c>
      <c r="U22" s="2214"/>
      <c r="V22" s="1960"/>
      <c r="W22" s="2215"/>
      <c r="X22" s="2149" t="s">
        <v>2949</v>
      </c>
      <c r="Y22" s="1467"/>
      <c r="AA22" s="768"/>
      <c r="AB22" s="799"/>
      <c r="AC22" s="799"/>
      <c r="AE22" s="797"/>
      <c r="AF22" s="797"/>
      <c r="AG22" s="797"/>
      <c r="AH22" s="797"/>
      <c r="AI22" s="631"/>
      <c r="AJ22" s="947"/>
      <c r="AK22" s="947"/>
      <c r="AL22" s="947"/>
      <c r="AM22" s="947"/>
    </row>
    <row r="23" spans="1:39" ht="25.5">
      <c r="B23" s="80"/>
      <c r="C23" s="80"/>
      <c r="D23" s="87"/>
      <c r="E23" s="87"/>
      <c r="F23" s="87"/>
      <c r="G23" s="87"/>
      <c r="H23" s="2420"/>
      <c r="I23" s="2225" t="s">
        <v>2787</v>
      </c>
      <c r="J23" s="2226" t="s">
        <v>1491</v>
      </c>
      <c r="K23" s="2227" t="s">
        <v>332</v>
      </c>
      <c r="L23" s="2228" t="s">
        <v>332</v>
      </c>
      <c r="M23" s="2229"/>
      <c r="N23" s="2230" t="s">
        <v>332</v>
      </c>
      <c r="O23" s="2231"/>
      <c r="P23" s="2230" t="s">
        <v>332</v>
      </c>
      <c r="Q23" s="2231"/>
      <c r="R23" s="2230" t="s">
        <v>332</v>
      </c>
      <c r="S23" s="2231"/>
      <c r="T23" s="2232" t="s">
        <v>332</v>
      </c>
      <c r="U23" s="2219"/>
      <c r="V23" s="1961"/>
      <c r="W23" s="2220"/>
      <c r="X23" s="2149" t="s">
        <v>2951</v>
      </c>
      <c r="Y23" s="1467"/>
      <c r="AA23" s="768"/>
      <c r="AB23" s="799"/>
      <c r="AC23" s="799"/>
      <c r="AE23" s="797"/>
      <c r="AF23" s="797"/>
      <c r="AG23" s="797"/>
      <c r="AH23" s="797"/>
      <c r="AI23" s="631"/>
      <c r="AJ23" s="947"/>
      <c r="AK23" s="947"/>
      <c r="AL23" s="947"/>
      <c r="AM23" s="947"/>
    </row>
    <row r="24" spans="1:39" ht="25.5">
      <c r="A24" s="1715" t="s">
        <v>526</v>
      </c>
      <c r="B24" s="80" t="s">
        <v>245</v>
      </c>
      <c r="C24" s="80" t="str">
        <f>INDEX(Programs!B:B,MATCH('Summary Program Measures'!B24,Programs!$E:$E,0))</f>
        <v>Reduced Wattage Lamp Replacement</v>
      </c>
      <c r="D24" s="87">
        <v>0.4</v>
      </c>
      <c r="E24" s="87">
        <v>1.2</v>
      </c>
      <c r="F24" s="87">
        <v>0.4</v>
      </c>
      <c r="G24" s="87">
        <v>1.2</v>
      </c>
      <c r="H24" s="2421"/>
      <c r="I24" s="1400" t="str">
        <f>INDEX(Programs!B:B,MATCH('Summary Program Measures'!B24,Programs!$E:$E,0))</f>
        <v>Reduced Wattage Lamp Replacement</v>
      </c>
      <c r="J24" s="2217" t="s">
        <v>540</v>
      </c>
      <c r="K24" s="1399" t="s">
        <v>3291</v>
      </c>
      <c r="L24" s="1295">
        <f ca="1">SUMIFS(INDIRECT($A24&amp;"!$u:$u"),INDIRECT($A24&amp;"!$f:$f"),N$1,INDIRECT($A24&amp;"!$i:$i"),$C24,INDIRECT($A24&amp;"!$l:$l"),$I$1)</f>
        <v>0.15990105033425753</v>
      </c>
      <c r="M24" s="2205"/>
      <c r="N24" s="1954">
        <f ca="1">SUMIFS(INDIRECT($A24&amp;"!$u:$u"),INDIRECT($A24&amp;"!$f:$f"),AC$1,INDIRECT($A24&amp;"!$i:$i"),$C24,INDIRECT($A24&amp;"!$l:$l"),$J$1)</f>
        <v>0.15526394903608109</v>
      </c>
      <c r="O24" s="2206"/>
      <c r="P24" s="1954">
        <f ca="1">SUMIFS(INDIRECT($A24&amp;"!$u:$u"),INDIRECT($A24&amp;"!$f:$f"),AC$1,INDIRECT($A24&amp;"!$i:$i"),$C24,INDIRECT($A24&amp;"!$l:$l"),$K$1)</f>
        <v>0.15034148765801894</v>
      </c>
      <c r="Q24" s="2206"/>
      <c r="R24" s="1954">
        <f ca="1">SUMIFS(INDIRECT($A24&amp;"!$u:$u"),INDIRECT($A24&amp;"!$f:$f"),N$1,INDIRECT($A24&amp;"!$i:$i"),$C24,INDIRECT($A24&amp;"!$l:$l"),$L$1)</f>
        <v>0.14618846703131916</v>
      </c>
      <c r="S24" s="2206"/>
      <c r="T24" s="2207">
        <f ca="1">L24+N24</f>
        <v>0.31516499937033859</v>
      </c>
      <c r="U24" s="2221"/>
      <c r="V24" s="1962">
        <f>M24+O24</f>
        <v>0</v>
      </c>
      <c r="W24" s="2222" t="str">
        <f t="shared" ca="1" si="2"/>
        <v>(0.32)</v>
      </c>
      <c r="X24" s="2150" t="s">
        <v>2996</v>
      </c>
      <c r="Y24" s="1977"/>
      <c r="Z24" s="1468"/>
      <c r="AA24" s="768"/>
      <c r="AB24" s="799"/>
      <c r="AC24" s="799"/>
      <c r="AE24" s="797"/>
      <c r="AF24" s="797"/>
      <c r="AG24" s="797"/>
      <c r="AH24" s="797"/>
      <c r="AI24" s="631"/>
      <c r="AJ24" s="948"/>
      <c r="AK24" s="948"/>
      <c r="AL24" s="947"/>
      <c r="AM24" s="947"/>
    </row>
    <row r="25" spans="1:39" ht="25.5">
      <c r="A25" s="1715" t="s">
        <v>527</v>
      </c>
      <c r="B25" s="80" t="s">
        <v>245</v>
      </c>
      <c r="C25" s="80" t="str">
        <f>INDEX(Programs!B:B,MATCH('Summary Program Measures'!B25,Programs!$E:$E,0))</f>
        <v>Reduced Wattage Lamp Replacement</v>
      </c>
      <c r="D25" s="87">
        <v>0.4</v>
      </c>
      <c r="E25" s="87">
        <v>1.2</v>
      </c>
      <c r="F25" s="87">
        <v>0.4</v>
      </c>
      <c r="G25" s="87">
        <v>1.2</v>
      </c>
      <c r="H25" s="2190"/>
      <c r="I25" s="1277" t="str">
        <f>INDEX(Programs!B:B,MATCH('Summary Program Measures'!B25,Programs!$E:$E,0))</f>
        <v>Reduced Wattage Lamp Replacement</v>
      </c>
      <c r="J25" s="2223" t="s">
        <v>540</v>
      </c>
      <c r="K25" s="1279" t="s">
        <v>3291</v>
      </c>
      <c r="L25" s="1451">
        <f ca="1">SUMIFS(INDIRECT($A25&amp;"!$u:$u"),INDIRECT($A25&amp;"!$f:$f"),N$1,INDIRECT($A25&amp;"!$i:$i"),$C25,INDIRECT($A25&amp;"!$l:$l"),$I$1)</f>
        <v>3.7575991580968894E-2</v>
      </c>
      <c r="M25" s="2205"/>
      <c r="N25" s="1955">
        <f ca="1">SUMIFS(INDIRECT($A25&amp;"!$U:$U"),INDIRECT($A25&amp;"!$f:$f"),AC$1,INDIRECT($A25&amp;"!$i:$i"),$C25,INDIRECT($A25&amp;"!$l:$l"),$J$1)</f>
        <v>3.648992226716008E-2</v>
      </c>
      <c r="O25" s="2206"/>
      <c r="P25" s="1955">
        <f ca="1">SUMIFS(INDIRECT($A25&amp;"!$u:$u"),INDIRECT($A25&amp;"!$f:$f"),AC$1,INDIRECT($A25&amp;"!$i:$i"),$C25,INDIRECT($A25&amp;"!$l:$l"),$K$1)</f>
        <v>3.5336999479343253E-2</v>
      </c>
      <c r="Q25" s="2206"/>
      <c r="R25" s="1955">
        <f ca="1">SUMIFS(INDIRECT($A25&amp;"!$u:$u"),INDIRECT($A25&amp;"!$f:$f"),N$1,INDIRECT($A25&amp;"!$i:$i"),$C25,INDIRECT($A25&amp;"!$l:$l"),$L$1)</f>
        <v>3.4230589098500901E-2</v>
      </c>
      <c r="S25" s="2206"/>
      <c r="T25" s="2207">
        <f ca="1">L25+N25</f>
        <v>7.4065913848128967E-2</v>
      </c>
      <c r="U25" s="2224"/>
      <c r="V25" s="1962">
        <f>M25+O25</f>
        <v>0</v>
      </c>
      <c r="W25" s="2222" t="str">
        <f t="shared" ca="1" si="2"/>
        <v>(0.07)</v>
      </c>
      <c r="X25" s="2150" t="s">
        <v>2996</v>
      </c>
      <c r="Y25" s="1977"/>
      <c r="AA25" s="768"/>
      <c r="AB25" s="799"/>
      <c r="AC25" s="799"/>
      <c r="AF25" s="797"/>
      <c r="AG25" s="797"/>
      <c r="AH25" s="797"/>
      <c r="AI25" s="631"/>
      <c r="AJ25" s="947"/>
      <c r="AK25" s="947"/>
      <c r="AL25" s="947"/>
      <c r="AM25" s="947"/>
    </row>
    <row r="26" spans="1:39">
      <c r="J26" s="1460"/>
      <c r="L26" s="797"/>
      <c r="N26" s="797"/>
      <c r="T26" s="797"/>
      <c r="U26" s="797"/>
      <c r="AA26" s="797"/>
      <c r="AL26" s="799"/>
    </row>
    <row r="27" spans="1:39" ht="37.5" customHeight="1">
      <c r="H27" s="2335" t="s">
        <v>2948</v>
      </c>
      <c r="I27" s="2335"/>
      <c r="J27" s="2335"/>
      <c r="K27" s="2335"/>
      <c r="L27" s="2335"/>
      <c r="M27" s="2335"/>
      <c r="N27" s="2335"/>
      <c r="O27" s="2335"/>
      <c r="P27" s="2335"/>
      <c r="Q27" s="2335"/>
      <c r="R27" s="2335"/>
      <c r="S27" s="2335"/>
      <c r="T27" s="2335"/>
      <c r="U27" s="2335"/>
      <c r="V27" s="2335"/>
      <c r="W27" s="2335"/>
      <c r="X27" s="2335"/>
      <c r="Z27" s="1306"/>
      <c r="AA27" s="1306"/>
      <c r="AB27" s="1306"/>
      <c r="AC27" s="1306"/>
      <c r="AD27" s="1306"/>
      <c r="AE27" s="1306"/>
      <c r="AF27" s="1306"/>
      <c r="AG27" s="1306"/>
      <c r="AH27" s="1306"/>
    </row>
    <row r="28" spans="1:39" ht="54.75" customHeight="1">
      <c r="A28" s="177"/>
      <c r="AA28" s="590"/>
      <c r="AB28" s="590"/>
    </row>
    <row r="29" spans="1:39">
      <c r="AA29" s="590"/>
      <c r="AB29" s="590"/>
    </row>
  </sheetData>
  <mergeCells count="19">
    <mergeCell ref="D4:E4"/>
    <mergeCell ref="F4:G4"/>
    <mergeCell ref="AL5:AM5"/>
    <mergeCell ref="P3:Q3"/>
    <mergeCell ref="R3:S3"/>
    <mergeCell ref="L2:T2"/>
    <mergeCell ref="X2:X7"/>
    <mergeCell ref="H27:X27"/>
    <mergeCell ref="H20:H24"/>
    <mergeCell ref="L3:M3"/>
    <mergeCell ref="N3:O3"/>
    <mergeCell ref="V6:W6"/>
    <mergeCell ref="T6:U6"/>
    <mergeCell ref="I13:I19"/>
    <mergeCell ref="H8:H19"/>
    <mergeCell ref="O13:O19"/>
    <mergeCell ref="M13:M19"/>
    <mergeCell ref="V13:V19"/>
    <mergeCell ref="W13:W19"/>
  </mergeCells>
  <conditionalFormatting sqref="AE8:AE25">
    <cfRule type="colorScale" priority="36">
      <colorScale>
        <cfvo type="min"/>
        <cfvo type="percentile" val="50"/>
        <cfvo type="max"/>
        <color rgb="FFF8696B"/>
        <color rgb="FFFFEB84"/>
        <color rgb="FF63BE7B"/>
      </colorScale>
    </cfRule>
  </conditionalFormatting>
  <hyperlinks>
    <hyperlink ref="J8" location="DHP!A1" display="Ductless Heat Pumps" xr:uid="{407D21FF-98B1-4317-8828-04FBBFB07250}"/>
    <hyperlink ref="J10" location="HPWH!A1" display="Heat Pump Water Heaters" xr:uid="{070D2C4D-68E3-445F-A6C2-87F448CB42B2}"/>
    <hyperlink ref="J12" location="Homes_Vol!A1" display="Voluntary Home Certification Programs" xr:uid="{AFE438B1-46A1-474D-8E4B-AE2291C5F7F7}"/>
    <hyperlink ref="J13" location="Frig_Freezers!A1" display="Refrigerators and Freezer" xr:uid="{8972106E-9AD2-4D07-AA6A-3666627316D5}"/>
    <hyperlink ref="J14" location="Clothes_Washers!A1" display="Clothes Washers" xr:uid="{B802760E-CA21-4691-AF8E-A3619BB17AF2}"/>
    <hyperlink ref="J16" location="Room_AC!A1" display="Room Air Conditioners" xr:uid="{C72B1A13-65D2-4267-BA68-1B8EC270E491}"/>
    <hyperlink ref="J21" location="Com_Lighting!A1" display="Lighting Controls" xr:uid="{C7BCE8E2-1201-4B41-823C-E0B795E7E786}"/>
    <hyperlink ref="J24" location="Com_Lighting!A1" display="T25 and T28 Lamps" xr:uid="{C3F97761-D5F1-46D1-83B8-4AFBBCFBE3C6}"/>
    <hyperlink ref="J19" location="Soundbars!A1" display="Sound Bars" xr:uid="{D57397DA-3E66-466C-9119-9F7B8B4C99E6}"/>
    <hyperlink ref="J25" location="Ind_Lighting!A1" display="T25 and T28 Lamps" xr:uid="{C3123C41-C630-44C2-A64D-ACB767823E0C}"/>
    <hyperlink ref="J11" location="Manufactured_Homes!A1" display="Manufactured Homes" xr:uid="{B3C28FD9-E570-4F72-8118-062ED439BBF7}"/>
    <hyperlink ref="J22" location="Window_Attachmts!A1" display="Medium and Large Office" xr:uid="{ADA958BE-DFF2-4692-9C53-52D087252DF0}"/>
    <hyperlink ref="J15" location="Clothes_Dryers!A1" display="Clothes Dryers" xr:uid="{2246904B-7755-459B-82C3-01A2342EEE33}"/>
    <hyperlink ref="J9" location="XMP!A1" display="Residential Pumps &amp; Circulators" xr:uid="{5B472677-E96C-4CAA-ABA5-377799D73CF7}"/>
    <hyperlink ref="J18" location="Air_Cleaners!A1" display="Air Cleaners" xr:uid="{DFA5B9BB-B2B3-48D5-896A-0F88C25962DB}"/>
    <hyperlink ref="J20" location="XMP!A1" display="Commercial Pumps &amp; Circulators" xr:uid="{1D05E06E-CA8A-4DB3-B86B-04741FA5DE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5B2F-1076-4551-80A8-1E00A08B0AB5}">
  <sheetPr>
    <tabColor rgb="FF92D050"/>
  </sheetPr>
  <dimension ref="A1:AR41"/>
  <sheetViews>
    <sheetView showGridLines="0" tabSelected="1" topLeftCell="H2" workbookViewId="0">
      <selection activeCell="T11" sqref="T11"/>
    </sheetView>
  </sheetViews>
  <sheetFormatPr defaultColWidth="9.28515625" defaultRowHeight="12.75" outlineLevelCol="1"/>
  <cols>
    <col min="1" max="1" width="21.140625" style="779" hidden="1" customWidth="1" outlineLevel="1"/>
    <col min="2" max="2" width="20.85546875" style="270" hidden="1" customWidth="1" outlineLevel="1"/>
    <col min="3" max="3" width="27.5703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31.28515625" style="270" customWidth="1"/>
    <col min="10" max="10" width="26.140625" style="270" customWidth="1"/>
    <col min="11" max="11" width="12.140625" style="270" customWidth="1"/>
    <col min="12" max="12" width="9.28515625" style="270" customWidth="1"/>
    <col min="13" max="13" width="9.28515625" style="270" hidden="1" customWidth="1"/>
    <col min="14" max="14" width="9.28515625" style="270" customWidth="1"/>
    <col min="15" max="19" width="9.28515625" style="270" hidden="1" customWidth="1"/>
    <col min="20" max="20" width="13" style="270" customWidth="1"/>
    <col min="21" max="21" width="11.7109375" style="270" hidden="1" customWidth="1"/>
    <col min="22" max="22" width="9.28515625" style="270" hidden="1" customWidth="1"/>
    <col min="23" max="23" width="9.140625" style="270" hidden="1" customWidth="1"/>
    <col min="24" max="24" width="44.140625" style="270" customWidth="1"/>
    <col min="25" max="25" width="33.28515625" style="270" customWidth="1"/>
    <col min="26" max="37" width="14.28515625" style="270" customWidth="1"/>
    <col min="38" max="39" width="14.28515625" style="270" hidden="1" customWidth="1"/>
    <col min="40" max="40" width="32.5703125" style="270" customWidth="1"/>
    <col min="41" max="41" width="9.28515625" style="270" customWidth="1"/>
    <col min="42" max="43" width="9.28515625" style="768" customWidth="1"/>
    <col min="44" max="44" width="9.28515625" style="799" customWidth="1"/>
    <col min="45" max="53" width="9.28515625" style="270" customWidth="1"/>
    <col min="54" max="16384" width="9.28515625" style="270"/>
  </cols>
  <sheetData>
    <row r="1" spans="1:44" s="768" customFormat="1" ht="24" hidden="1" customHeight="1">
      <c r="A1" s="779"/>
      <c r="I1" s="768">
        <v>2022</v>
      </c>
      <c r="J1" s="768">
        <v>2023</v>
      </c>
      <c r="K1" s="768">
        <v>2024</v>
      </c>
      <c r="L1" s="768">
        <v>2025</v>
      </c>
      <c r="T1" s="768">
        <v>2021</v>
      </c>
      <c r="AB1" s="768">
        <v>1</v>
      </c>
      <c r="AD1" s="768">
        <v>3</v>
      </c>
      <c r="AF1" s="768">
        <v>2</v>
      </c>
      <c r="AH1" s="768">
        <v>1</v>
      </c>
      <c r="AJ1" s="768">
        <v>3</v>
      </c>
      <c r="AL1" s="768">
        <v>2</v>
      </c>
      <c r="AR1" s="799"/>
    </row>
    <row r="2" spans="1:44" s="768" customFormat="1" ht="15">
      <c r="A2" s="779"/>
      <c r="L2" s="2444" t="s">
        <v>545</v>
      </c>
      <c r="M2" s="2445"/>
      <c r="N2" s="2445"/>
      <c r="O2" s="2445"/>
      <c r="P2" s="2445"/>
      <c r="Q2" s="2445"/>
      <c r="R2" s="2445"/>
      <c r="S2" s="2445"/>
      <c r="T2" s="2445"/>
      <c r="U2" s="2445"/>
      <c r="V2" s="2010"/>
      <c r="W2" s="2010"/>
      <c r="X2" s="2446" t="s">
        <v>125</v>
      </c>
      <c r="Y2" s="780"/>
      <c r="AC2" s="799"/>
    </row>
    <row r="3" spans="1:44" ht="30">
      <c r="D3" s="270" t="s">
        <v>187</v>
      </c>
      <c r="H3" s="1275" t="str">
        <f>Selection!A2&amp;"'s 2020-2021 Savings Forecast"</f>
        <v>Puget Sound Energy's 2020-2021 Savings Forecast</v>
      </c>
      <c r="I3" s="1275"/>
      <c r="J3" s="1275"/>
      <c r="K3" s="1303"/>
      <c r="L3" s="2449">
        <v>2022</v>
      </c>
      <c r="M3" s="2424"/>
      <c r="N3" s="2424">
        <v>2023</v>
      </c>
      <c r="O3" s="2424"/>
      <c r="P3" s="2424">
        <v>2024</v>
      </c>
      <c r="Q3" s="2424"/>
      <c r="R3" s="2424">
        <v>2025</v>
      </c>
      <c r="S3" s="2424"/>
      <c r="T3" s="2208" t="s">
        <v>1242</v>
      </c>
      <c r="U3" s="2017"/>
      <c r="V3" s="2009"/>
      <c r="W3" s="2009"/>
      <c r="X3" s="2447"/>
      <c r="Y3" s="734"/>
      <c r="AA3" s="768"/>
      <c r="AB3" s="768"/>
      <c r="AC3" s="799"/>
      <c r="AP3" s="270"/>
      <c r="AQ3" s="270"/>
      <c r="AR3" s="270"/>
    </row>
    <row r="4" spans="1:44" ht="15" hidden="1" customHeight="1">
      <c r="D4" s="484">
        <v>2020</v>
      </c>
      <c r="E4" s="484"/>
      <c r="F4" s="484">
        <v>2021</v>
      </c>
      <c r="G4" s="484"/>
      <c r="H4" s="1275"/>
      <c r="I4" s="1275"/>
      <c r="J4" s="1275"/>
      <c r="K4" s="1303"/>
      <c r="L4" s="2018"/>
      <c r="M4" s="2019"/>
      <c r="N4" s="1942"/>
      <c r="O4" s="1942"/>
      <c r="P4" s="1943"/>
      <c r="Q4" s="1943"/>
      <c r="R4" s="1943"/>
      <c r="S4" s="1943"/>
      <c r="T4" s="2020"/>
      <c r="U4" s="2021"/>
      <c r="V4" s="1276"/>
      <c r="W4" s="1276"/>
      <c r="X4" s="2447"/>
      <c r="Y4" s="734"/>
      <c r="AA4" s="768"/>
      <c r="AB4" s="768"/>
      <c r="AC4" s="799"/>
      <c r="AP4" s="270"/>
      <c r="AQ4" s="270"/>
      <c r="AR4" s="270"/>
    </row>
    <row r="5" spans="1:44" ht="12.75" hidden="1" customHeight="1">
      <c r="A5" s="779" t="s">
        <v>529</v>
      </c>
      <c r="B5" s="270" t="s">
        <v>530</v>
      </c>
      <c r="D5" s="270" t="s">
        <v>553</v>
      </c>
      <c r="E5" s="270" t="s">
        <v>554</v>
      </c>
      <c r="F5" s="270" t="s">
        <v>553</v>
      </c>
      <c r="G5" s="270" t="s">
        <v>555</v>
      </c>
      <c r="K5" s="1302"/>
      <c r="L5" s="2022" t="s">
        <v>545</v>
      </c>
      <c r="M5" s="2023"/>
      <c r="N5" s="2023" t="s">
        <v>545</v>
      </c>
      <c r="O5" s="2023"/>
      <c r="P5" s="2023"/>
      <c r="Q5" s="2023"/>
      <c r="R5" s="2023"/>
      <c r="S5" s="2023"/>
      <c r="T5" s="2023" t="s">
        <v>545</v>
      </c>
      <c r="U5" s="2024"/>
      <c r="V5" s="1309"/>
      <c r="W5" s="1309"/>
      <c r="X5" s="2447"/>
      <c r="Y5" s="734"/>
      <c r="AA5" s="768"/>
      <c r="AB5" s="768"/>
      <c r="AC5" s="799"/>
      <c r="AL5" s="484"/>
      <c r="AM5" s="484"/>
      <c r="AP5" s="270"/>
      <c r="AQ5" s="270"/>
      <c r="AR5" s="270"/>
    </row>
    <row r="6" spans="1:44" ht="12.75" hidden="1" customHeight="1">
      <c r="L6" s="2025"/>
      <c r="M6" s="2026"/>
      <c r="N6" s="2026"/>
      <c r="O6" s="2026"/>
      <c r="P6" s="2026"/>
      <c r="Q6" s="2026"/>
      <c r="R6" s="2026"/>
      <c r="S6" s="2026"/>
      <c r="T6" s="2026"/>
      <c r="U6" s="2027"/>
      <c r="V6" s="418"/>
      <c r="W6" s="418"/>
      <c r="X6" s="2447"/>
      <c r="Y6" s="734"/>
      <c r="AA6" s="768"/>
      <c r="AB6" s="799"/>
      <c r="AC6" s="799"/>
      <c r="AI6" s="797"/>
      <c r="AJ6" s="797"/>
      <c r="AK6" s="797"/>
      <c r="AP6" s="270"/>
      <c r="AQ6" s="270"/>
      <c r="AR6" s="270"/>
    </row>
    <row r="7" spans="1:44" ht="60.75" hidden="1" customHeight="1">
      <c r="H7" s="1273" t="s">
        <v>3</v>
      </c>
      <c r="I7" s="1274" t="s">
        <v>528</v>
      </c>
      <c r="J7" s="1281" t="s">
        <v>531</v>
      </c>
      <c r="K7" s="1296" t="s">
        <v>1097</v>
      </c>
      <c r="L7" s="2028" t="s">
        <v>1437</v>
      </c>
      <c r="M7" s="2029" t="s">
        <v>2779</v>
      </c>
      <c r="N7" s="2030" t="s">
        <v>1437</v>
      </c>
      <c r="O7" s="2029" t="s">
        <v>2779</v>
      </c>
      <c r="P7" s="2030" t="s">
        <v>1437</v>
      </c>
      <c r="Q7" s="2029" t="s">
        <v>2779</v>
      </c>
      <c r="R7" s="2030" t="s">
        <v>1437</v>
      </c>
      <c r="S7" s="2029" t="s">
        <v>2779</v>
      </c>
      <c r="T7" s="2452" t="s">
        <v>1488</v>
      </c>
      <c r="U7" s="2453"/>
      <c r="V7" s="2450" t="s">
        <v>1489</v>
      </c>
      <c r="W7" s="2451"/>
      <c r="X7" s="2447"/>
      <c r="Y7" s="1466"/>
      <c r="AA7" s="768"/>
      <c r="AB7" s="768"/>
      <c r="AC7" s="799"/>
      <c r="AP7" s="270"/>
      <c r="AQ7" s="270"/>
      <c r="AR7" s="270"/>
    </row>
    <row r="8" spans="1:44" ht="16.5" customHeight="1">
      <c r="H8" s="790"/>
      <c r="I8" s="1461" t="s">
        <v>542</v>
      </c>
      <c r="J8" s="1462"/>
      <c r="K8" s="1463"/>
      <c r="L8" s="2031">
        <f ca="1">SUM(L9:L14)</f>
        <v>0.45557508118229051</v>
      </c>
      <c r="M8" s="1949"/>
      <c r="N8" s="1948">
        <f ca="1">SUM(N9:N14)</f>
        <v>0.56205154828833537</v>
      </c>
      <c r="O8" s="1949"/>
      <c r="P8" s="1948">
        <f ca="1">SUM(P9:P14)</f>
        <v>1.0877658840349504</v>
      </c>
      <c r="Q8" s="1949"/>
      <c r="R8" s="1948">
        <f ca="1">SUM(R9:R14)</f>
        <v>1.6490416658327902</v>
      </c>
      <c r="S8" s="1949"/>
      <c r="T8" s="1948">
        <f ca="1">SUM(T9:T14)</f>
        <v>1.0176266294706258</v>
      </c>
      <c r="U8" s="2032"/>
      <c r="V8" s="1455">
        <f>SUM(V9:V14)</f>
        <v>0</v>
      </c>
      <c r="W8" s="1464">
        <f ca="1">T8-V8</f>
        <v>1.0176266294706258</v>
      </c>
      <c r="X8" s="2448"/>
      <c r="Y8" s="1466"/>
      <c r="AA8" s="768"/>
      <c r="AB8" s="768"/>
      <c r="AC8" s="799"/>
      <c r="AP8" s="270"/>
      <c r="AQ8" s="270"/>
      <c r="AR8" s="270"/>
    </row>
    <row r="9" spans="1:44" s="684" customFormat="1" ht="47.25" customHeight="1">
      <c r="A9" s="992" t="s">
        <v>538</v>
      </c>
      <c r="B9" s="993" t="s">
        <v>251</v>
      </c>
      <c r="C9" s="993" t="str">
        <f>INDEX(Programs!B:B,MATCH('Summary Codes and Stds'!B9,Programs!$E:$E,0))</f>
        <v>Other Codes (Multifamily)</v>
      </c>
      <c r="D9" s="994">
        <v>0.75</v>
      </c>
      <c r="E9" s="994">
        <v>1.2</v>
      </c>
      <c r="F9" s="994">
        <v>0.75</v>
      </c>
      <c r="G9" s="994">
        <v>1.2</v>
      </c>
      <c r="H9" s="2458" t="s">
        <v>236</v>
      </c>
      <c r="I9" s="1384" t="s">
        <v>1709</v>
      </c>
      <c r="J9" s="1385" t="s">
        <v>2778</v>
      </c>
      <c r="K9" s="1778" t="s">
        <v>3286</v>
      </c>
      <c r="L9" s="2033">
        <f ca="1">SUMIFS(INDIRECT($A9&amp;"!$t:$t"),INDIRECT($A9&amp;"!$f:$f"),AD$1,INDIRECT($A9&amp;"!$i:$i"),$C9,INDIRECT($A9&amp;"!$l:$l"),$I$1)</f>
        <v>6.0277859172592034E-2</v>
      </c>
      <c r="M9" s="2034"/>
      <c r="N9" s="2035">
        <f ca="1">SUMIFS(INDIRECT($A9&amp;"!$t:$t"),INDIRECT($A9&amp;"!$f:$f"),AJ$1,INDIRECT($A9&amp;"!$i:$i"),$C9,INDIRECT($A9&amp;"!$l:$l"),$J$1)</f>
        <v>6.088063776430358E-2</v>
      </c>
      <c r="O9" s="2034"/>
      <c r="P9" s="2035">
        <f ca="1">SUMIFS(INDIRECT($A9&amp;"!$t:$t"),INDIRECT($A9&amp;"!$f:$f"),AJ$1,INDIRECT($A9&amp;"!$i:$i"),$C9,INDIRECT($A9&amp;"!$l:$l"),$K$1)</f>
        <v>0.11951288019451892</v>
      </c>
      <c r="Q9" s="2034"/>
      <c r="R9" s="2035">
        <f ca="1">SUMIFS(INDIRECT($A9&amp;"!$t:$t"),INDIRECT($A9&amp;"!$f:$f"),AJ$1,INDIRECT($A9&amp;"!$i:$i"),$C9,INDIRECT($A9&amp;"!$l:$l"),$L$1)</f>
        <v>0.1373998842065231</v>
      </c>
      <c r="S9" s="2034"/>
      <c r="T9" s="2036">
        <f t="shared" ref="T9:T14" ca="1" si="0">L9+N9</f>
        <v>0.12115849693689562</v>
      </c>
      <c r="U9" s="2037"/>
      <c r="V9" s="2011">
        <f>M9+O9</f>
        <v>0</v>
      </c>
      <c r="W9" s="1285">
        <f ca="1">T9-V9</f>
        <v>0.12115849693689562</v>
      </c>
      <c r="X9" s="2454" t="s">
        <v>2993</v>
      </c>
      <c r="Y9" s="1467"/>
      <c r="AA9" s="993"/>
      <c r="AB9" s="1003"/>
      <c r="AC9" s="1003"/>
      <c r="AE9" s="1004"/>
      <c r="AF9" s="1004"/>
      <c r="AG9" s="1004"/>
      <c r="AH9" s="1004"/>
      <c r="AI9" s="1005"/>
      <c r="AJ9" s="1006"/>
      <c r="AK9" s="1006"/>
      <c r="AL9" s="1006"/>
      <c r="AM9" s="1006"/>
    </row>
    <row r="10" spans="1:44" s="684" customFormat="1" ht="47.25" customHeight="1">
      <c r="A10" s="992" t="s">
        <v>538</v>
      </c>
      <c r="B10" s="993" t="s">
        <v>252</v>
      </c>
      <c r="C10" s="993" t="s">
        <v>2773</v>
      </c>
      <c r="D10" s="994">
        <v>0.5</v>
      </c>
      <c r="E10" s="994">
        <v>1.1000000000000001</v>
      </c>
      <c r="F10" s="994">
        <v>0.5</v>
      </c>
      <c r="G10" s="994">
        <v>1.05</v>
      </c>
      <c r="H10" s="2459"/>
      <c r="I10" s="1386" t="s">
        <v>1708</v>
      </c>
      <c r="J10" s="1297" t="s">
        <v>2777</v>
      </c>
      <c r="K10" s="1779" t="s">
        <v>3286</v>
      </c>
      <c r="L10" s="2038">
        <f ca="1">SUMIFS(INDIRECT($A10&amp;"!$t:$t"),INDIRECT($A10&amp;"!$f:$f"),AD$1,INDIRECT($A10&amp;"!$i:$i"),$C10,INDIRECT($A10&amp;"!$l:$l"),$I$1)</f>
        <v>0.33345791403107894</v>
      </c>
      <c r="M10" s="2039"/>
      <c r="N10" s="1953">
        <f ca="1">SUMIFS(INDIRECT($A10&amp;"!$t:$t"),INDIRECT($A10&amp;"!$f:$f"),AJ$1,INDIRECT($A10&amp;"!$i:$i"),$C10,INDIRECT($A10&amp;"!$l:$l"),$J$1)</f>
        <v>0.37512650768047451</v>
      </c>
      <c r="O10" s="2039"/>
      <c r="P10" s="1953">
        <f ca="1">SUMIFS(INDIRECT($A10&amp;"!$t:$t"),INDIRECT($A10&amp;"!$f:$f"),AJ$1,INDIRECT($A10&amp;"!$i:$i"),$C10,INDIRECT($A10&amp;"!$l:$l"),$K$1)</f>
        <v>0.59980874713030663</v>
      </c>
      <c r="Q10" s="2039"/>
      <c r="R10" s="1953">
        <f ca="1">SUMIFS(INDIRECT($A10&amp;"!$t:$t"),INDIRECT($A10&amp;"!$f:$f"),AJ$1,INDIRECT($A10&amp;"!$i:$i"),$C10,INDIRECT($A10&amp;"!$l:$l"),$L$1)</f>
        <v>0.78015093647216205</v>
      </c>
      <c r="S10" s="2039"/>
      <c r="T10" s="2040">
        <f t="shared" ca="1" si="0"/>
        <v>0.70858442171155345</v>
      </c>
      <c r="U10" s="2041"/>
      <c r="V10" s="2012">
        <f>M10+O10</f>
        <v>0</v>
      </c>
      <c r="W10" s="1286">
        <f t="shared" ref="W10:W14" ca="1" si="1">T10-V10</f>
        <v>0.70858442171155345</v>
      </c>
      <c r="X10" s="2455"/>
      <c r="Y10" s="1467"/>
      <c r="AA10" s="993"/>
      <c r="AB10" s="1003"/>
      <c r="AC10" s="1003"/>
      <c r="AE10" s="1004"/>
      <c r="AF10" s="1004"/>
      <c r="AG10" s="1004"/>
      <c r="AH10" s="1004"/>
      <c r="AI10" s="1005"/>
      <c r="AJ10" s="1006"/>
      <c r="AK10" s="1006"/>
      <c r="AL10" s="1006"/>
      <c r="AM10" s="1006"/>
    </row>
    <row r="11" spans="1:44" s="684" customFormat="1" ht="87.75" customHeight="1">
      <c r="A11" s="779" t="s">
        <v>556</v>
      </c>
      <c r="B11" s="768" t="s">
        <v>1544</v>
      </c>
      <c r="C11" s="768" t="str">
        <f>INDEX(Programs!B:B,MATCH('Summary Codes and Stds'!B11,Programs!$E:$E,0))</f>
        <v>Other Residential Standards</v>
      </c>
      <c r="D11" s="782">
        <v>1</v>
      </c>
      <c r="E11" s="782">
        <v>1.05</v>
      </c>
      <c r="F11" s="782">
        <v>1</v>
      </c>
      <c r="G11" s="782">
        <v>1.05</v>
      </c>
      <c r="H11" s="2459"/>
      <c r="I11" s="1417" t="s">
        <v>556</v>
      </c>
      <c r="J11" s="1768" t="s">
        <v>1933</v>
      </c>
      <c r="K11" s="2103" cm="1">
        <f t="array" ref="K11">SUMPRODUCT(Standards!L:L,Standards!V:V,--(Standards!H:H="Residential"))/SUMIFS(Standards!T:T,Standards!H:H,"Residential")</f>
        <v>6.9955966196621997</v>
      </c>
      <c r="L11" s="2042">
        <f ca="1">SUMIFS(INDIRECT($A11&amp;"!$v:$v"),INDIRECT($A11&amp;"!$f:$f"),AD$1,INDIRECT($A11&amp;"!$i:$i"),$C11,INDIRECT($A11&amp;"!$m:$m"),$I$1)</f>
        <v>2.6419975999897417E-2</v>
      </c>
      <c r="M11" s="2043"/>
      <c r="N11" s="2044">
        <f ca="1">SUMIFS(INDIRECT($A11&amp;"!$v:$v"),INDIRECT($A11&amp;"!$f:$f"),AJ$1,INDIRECT($A11&amp;"!$i:$i"),$C11,INDIRECT($A11&amp;"!$m:$m"),$J$1)</f>
        <v>2.679627714258798E-2</v>
      </c>
      <c r="O11" s="2043"/>
      <c r="P11" s="2044">
        <f ca="1">SUMIFS(INDIRECT($A11&amp;"!$v:$v"),INDIRECT($A11&amp;"!$f:$f"),AJ$1,INDIRECT($A11&amp;"!$i:$i"),$C11,INDIRECT($A11&amp;"!$m:$m"),$K$1)</f>
        <v>2.717257828527855E-2</v>
      </c>
      <c r="Q11" s="2043"/>
      <c r="R11" s="2044">
        <f ca="1">SUMIFS(INDIRECT($A11&amp;"!$v:$v"),INDIRECT($A11&amp;"!$f:$f"),AJ$1,INDIRECT($A11&amp;"!$i:$i"),$C11,INDIRECT($A11&amp;"!$m:$m"),$L$1)</f>
        <v>5.438494209580616E-2</v>
      </c>
      <c r="S11" s="2043"/>
      <c r="T11" s="2045">
        <f t="shared" ca="1" si="0"/>
        <v>5.3216253142485397E-2</v>
      </c>
      <c r="U11" s="2046"/>
      <c r="V11" s="2013"/>
      <c r="W11" s="1287"/>
      <c r="X11" s="1418" t="s">
        <v>3049</v>
      </c>
      <c r="Y11" s="1467"/>
      <c r="Z11" s="1004"/>
      <c r="AA11" s="993"/>
      <c r="AB11" s="1003"/>
      <c r="AC11" s="1003"/>
      <c r="AE11" s="1004"/>
      <c r="AF11" s="1004"/>
      <c r="AG11" s="1004"/>
      <c r="AH11" s="1004"/>
      <c r="AI11" s="1005"/>
      <c r="AJ11" s="1006"/>
      <c r="AK11" s="1006"/>
      <c r="AL11" s="1006"/>
      <c r="AM11" s="1006"/>
    </row>
    <row r="12" spans="1:44" ht="98.25" customHeight="1">
      <c r="A12" s="779" t="s">
        <v>538</v>
      </c>
      <c r="B12" s="768" t="s">
        <v>244</v>
      </c>
      <c r="C12" s="768" t="str">
        <f>INDEX(Programs!B:B,MATCH('Summary Codes and Stds'!B12,Programs!$E:$E,0))</f>
        <v>Other Codes (Commercial)</v>
      </c>
      <c r="D12" s="782">
        <v>0.8</v>
      </c>
      <c r="E12" s="782">
        <v>1</v>
      </c>
      <c r="F12" s="782">
        <v>0.8</v>
      </c>
      <c r="G12" s="782">
        <v>1</v>
      </c>
      <c r="H12" s="2456" t="s">
        <v>525</v>
      </c>
      <c r="I12" s="1419" t="str">
        <f>INDEX(Programs!B:B,MATCH('Summary Codes and Stds'!B12,Programs!$E:$E,0))</f>
        <v>Other Codes (Commercial)</v>
      </c>
      <c r="J12" s="1420" t="s">
        <v>1491</v>
      </c>
      <c r="K12" s="1780" t="s">
        <v>3290</v>
      </c>
      <c r="L12" s="2047">
        <f ca="1">SUMIFS(INDIRECT($A12&amp;"!$t:$t"),INDIRECT($A12&amp;"!$f:$f"),AD$1,INDIRECT($A12&amp;"!$i:$i"),$C12,INDIRECT($A12&amp;"!$l:$l"),$I$1,INDIRECT($A12&amp;"!$h:$h"),"Commercial")</f>
        <v>3.5419331978722088E-2</v>
      </c>
      <c r="M12" s="2048"/>
      <c r="N12" s="2049">
        <f ca="1">SUMIFS(INDIRECT($A12&amp;"!$t:$t"),INDIRECT($A12&amp;"!$f:$f"),AJ$1,INDIRECT($A12&amp;"!$i:$i"),$C12,INDIRECT($A12&amp;"!$l:$l"),$J$1,INDIRECT($A12&amp;"!$h:$h"),"Commercial")</f>
        <v>9.9248125700969331E-2</v>
      </c>
      <c r="O12" s="2048"/>
      <c r="P12" s="2049">
        <f ca="1">SUMIFS(INDIRECT($A12&amp;"!$t:$t"),INDIRECT($A12&amp;"!$f:$f"),AJ$1,INDIRECT($A12&amp;"!$i:$i"),$C12,INDIRECT($A12&amp;"!$l:$l"),$K$1,INDIRECT($A12&amp;"!$h:$h"),"Commercial")</f>
        <v>0.34127167842484646</v>
      </c>
      <c r="Q12" s="2048"/>
      <c r="R12" s="2049">
        <f ca="1">SUMIFS(INDIRECT($A12&amp;"!$t:$t"),INDIRECT($A12&amp;"!$f:$f"),AJ$1,INDIRECT($A12&amp;"!$i:$i"),$C12,INDIRECT($A12&amp;"!$l:$l"),$L$1,INDIRECT($A12&amp;"!$h:$h"),"Commercial")</f>
        <v>0.67710590305829887</v>
      </c>
      <c r="S12" s="2048"/>
      <c r="T12" s="2050">
        <f t="shared" ca="1" si="0"/>
        <v>0.1346674576796914</v>
      </c>
      <c r="U12" s="2051"/>
      <c r="V12" s="2014">
        <f>M12+O12</f>
        <v>0</v>
      </c>
      <c r="W12" s="1421">
        <f t="shared" ca="1" si="1"/>
        <v>0.1346674576796914</v>
      </c>
      <c r="X12" s="1422" t="s">
        <v>2994</v>
      </c>
      <c r="Y12" s="1467"/>
      <c r="Z12" s="797"/>
      <c r="AA12" s="768"/>
      <c r="AB12" s="799"/>
      <c r="AC12" s="799"/>
      <c r="AE12" s="797"/>
      <c r="AF12" s="797"/>
      <c r="AG12" s="797"/>
      <c r="AH12" s="797"/>
      <c r="AI12" s="631"/>
      <c r="AJ12" s="947"/>
      <c r="AK12" s="947"/>
      <c r="AL12" s="947"/>
      <c r="AM12" s="947"/>
      <c r="AP12" s="270"/>
      <c r="AQ12" s="270"/>
      <c r="AR12" s="270"/>
    </row>
    <row r="13" spans="1:44">
      <c r="A13" s="779" t="s">
        <v>556</v>
      </c>
      <c r="B13" s="768" t="s">
        <v>256</v>
      </c>
      <c r="C13" s="768" t="str">
        <f>INDEX(Programs!B:B,MATCH('Summary Codes and Stds'!B13,Programs!$E:$E,0))</f>
        <v>Other Non-Residential Standards</v>
      </c>
      <c r="D13" s="782">
        <v>1</v>
      </c>
      <c r="E13" s="782">
        <v>1.05</v>
      </c>
      <c r="F13" s="782">
        <v>1</v>
      </c>
      <c r="G13" s="782">
        <v>1.05</v>
      </c>
      <c r="H13" s="2457"/>
      <c r="I13" s="1423" t="s">
        <v>556</v>
      </c>
      <c r="J13" s="1424" t="s">
        <v>332</v>
      </c>
      <c r="K13" s="1781" t="s">
        <v>332</v>
      </c>
      <c r="L13" s="2052">
        <f ca="1">SUMIFS(INDIRECT($A13&amp;"!$v:$v"),INDIRECT($A13&amp;"!$f:$f"),AD$1,INDIRECT($A13&amp;"!$i:$i"),$C13,INDIRECT($A13&amp;"!$l:$l"),$I$1,INDIRECT($A13&amp;"!$h:$h"),"Commercial")</f>
        <v>0</v>
      </c>
      <c r="M13" s="2053"/>
      <c r="N13" s="2054">
        <f ca="1">SUMIFS(INDIRECT($A13&amp;"!$v:$v"),INDIRECT($A13&amp;"!$f:$f"),AJ$1,INDIRECT($A13&amp;"!$i:$i"),$C13,INDIRECT($A13&amp;"!$l:$l"),$J$1,INDIRECT($A13&amp;"!$h:$h"),"Commercial")</f>
        <v>0</v>
      </c>
      <c r="O13" s="2053"/>
      <c r="P13" s="2054">
        <f ca="1">SUMIFS(INDIRECT($A13&amp;"!$v:$v"),INDIRECT($A13&amp;"!$f:$f"),AJ$1,INDIRECT($A13&amp;"!$i:$i"),$C13,INDIRECT($A13&amp;"!$l:$l"),$K$1,INDIRECT($A13&amp;"!$h:$h"),"Commercial")</f>
        <v>0</v>
      </c>
      <c r="Q13" s="2053"/>
      <c r="R13" s="2054">
        <f ca="1">SUMIFS(INDIRECT($A13&amp;"!$v:$v"),INDIRECT($A13&amp;"!$f:$f"),AL$1,INDIRECT($A13&amp;"!$i:$i"),$C13,INDIRECT($A13&amp;"!$l:$l"),$K$1,INDIRECT($A13&amp;"!$h:$h"),"Commercial")</f>
        <v>0</v>
      </c>
      <c r="S13" s="2053"/>
      <c r="T13" s="2055">
        <f t="shared" ca="1" si="0"/>
        <v>0</v>
      </c>
      <c r="U13" s="2056"/>
      <c r="V13" s="2015">
        <f>M13+O13</f>
        <v>0</v>
      </c>
      <c r="W13" s="1425">
        <f t="shared" ca="1" si="1"/>
        <v>0</v>
      </c>
      <c r="X13" s="1426"/>
      <c r="Y13" s="1467"/>
      <c r="AA13" s="768"/>
      <c r="AB13" s="799"/>
      <c r="AC13" s="799"/>
      <c r="AE13" s="797"/>
      <c r="AF13" s="797"/>
      <c r="AG13" s="797"/>
      <c r="AH13" s="797"/>
      <c r="AI13" s="631"/>
      <c r="AJ13" s="947"/>
      <c r="AK13" s="947"/>
      <c r="AL13" s="947"/>
      <c r="AM13" s="947"/>
      <c r="AP13" s="270"/>
      <c r="AQ13" s="270"/>
      <c r="AR13" s="270"/>
    </row>
    <row r="14" spans="1:44" ht="46.5">
      <c r="A14" s="779" t="s">
        <v>556</v>
      </c>
      <c r="B14" s="768" t="s">
        <v>256</v>
      </c>
      <c r="C14" s="768" t="str">
        <f>INDEX(Programs!B:B,MATCH('Summary Codes and Stds'!B14,Programs!$E:$E,0))</f>
        <v>Other Non-Residential Standards</v>
      </c>
      <c r="D14" s="782">
        <v>1</v>
      </c>
      <c r="E14" s="782">
        <v>1.05</v>
      </c>
      <c r="F14" s="782">
        <v>1</v>
      </c>
      <c r="G14" s="782">
        <v>1.05</v>
      </c>
      <c r="H14" s="1412" t="s">
        <v>33</v>
      </c>
      <c r="I14" s="1413" t="s">
        <v>556</v>
      </c>
      <c r="J14" s="1414" t="s">
        <v>332</v>
      </c>
      <c r="K14" s="1782" t="s">
        <v>332</v>
      </c>
      <c r="L14" s="2057">
        <f ca="1">SUMIFS(INDIRECT($A14&amp;"!$v:$v"),INDIRECT($A14&amp;"!$f:$f"),AD$1,INDIRECT($A14&amp;"!$i:$i"),$C14,INDIRECT($A14&amp;"!$l:$l"),$I$1,INDIRECT($A14&amp;"!$h:$h"),"&lt;&gt;Commercial")</f>
        <v>0</v>
      </c>
      <c r="M14" s="2058"/>
      <c r="N14" s="2059">
        <f ca="1">SUMIFS(INDIRECT($A14&amp;"!$v:$v"),INDIRECT($A14&amp;"!$f:$f"),AJ$1,INDIRECT($A14&amp;"!$i:$i"),$C14,INDIRECT($A14&amp;"!$l:$l"),$J$1,INDIRECT($A14&amp;"!$h:$h"),"&lt;&gt;Commercial")</f>
        <v>0</v>
      </c>
      <c r="O14" s="2058"/>
      <c r="P14" s="2059">
        <f ca="1">SUMIFS(INDIRECT($A14&amp;"!$v:$v"),INDIRECT($A14&amp;"!$f:$f"),AJ$1,INDIRECT($A14&amp;"!$i:$i"),$C14,INDIRECT($A14&amp;"!$l:$l"),$K$1,INDIRECT($A14&amp;"!$h:$h"),"&lt;&gt;Commercial")</f>
        <v>0</v>
      </c>
      <c r="Q14" s="2058"/>
      <c r="R14" s="2059">
        <f ca="1">SUMIFS(INDIRECT($A14&amp;"!$v:$v"),INDIRECT($A14&amp;"!$f:$f"),AL$1,INDIRECT($A14&amp;"!$i:$i"),$C14,INDIRECT($A14&amp;"!$l:$l"),$K$1,INDIRECT($A14&amp;"!$h:$h"),"&lt;&gt;Commercial")</f>
        <v>0</v>
      </c>
      <c r="S14" s="2058"/>
      <c r="T14" s="2060">
        <f t="shared" ca="1" si="0"/>
        <v>0</v>
      </c>
      <c r="U14" s="2061"/>
      <c r="V14" s="2016">
        <f>M14+O14</f>
        <v>0</v>
      </c>
      <c r="W14" s="1415">
        <f t="shared" ca="1" si="1"/>
        <v>0</v>
      </c>
      <c r="X14" s="1416"/>
      <c r="Y14" s="1467"/>
      <c r="AA14" s="768"/>
      <c r="AB14" s="799"/>
      <c r="AC14" s="799"/>
      <c r="AE14" s="797"/>
      <c r="AF14" s="797"/>
      <c r="AG14" s="797"/>
      <c r="AH14" s="797"/>
      <c r="AI14" s="631"/>
      <c r="AJ14" s="947"/>
      <c r="AK14" s="947"/>
      <c r="AL14" s="947"/>
      <c r="AM14" s="947"/>
      <c r="AP14" s="270"/>
      <c r="AQ14" s="270"/>
      <c r="AR14" s="270"/>
    </row>
    <row r="15" spans="1:44">
      <c r="T15" s="797"/>
      <c r="U15" s="797"/>
      <c r="Y15" s="1467"/>
      <c r="AA15" s="797"/>
      <c r="AK15" s="768"/>
      <c r="AL15" s="799"/>
      <c r="AM15" s="799"/>
      <c r="AP15" s="270"/>
      <c r="AQ15" s="270"/>
      <c r="AR15" s="270"/>
    </row>
    <row r="16" spans="1:44" ht="71.25" customHeight="1">
      <c r="H16" s="2335" t="s">
        <v>3048</v>
      </c>
      <c r="I16" s="2335"/>
      <c r="J16" s="2335"/>
      <c r="K16" s="2335"/>
      <c r="L16" s="2335"/>
      <c r="M16" s="2335"/>
      <c r="N16" s="2335"/>
      <c r="O16" s="2335"/>
      <c r="P16" s="2335"/>
      <c r="Q16" s="2335"/>
      <c r="R16" s="2335"/>
      <c r="S16" s="2335"/>
      <c r="T16" s="2335"/>
      <c r="U16" s="2335"/>
      <c r="V16" s="2335"/>
      <c r="W16" s="2335"/>
      <c r="X16" s="2335"/>
      <c r="Y16" s="1467"/>
      <c r="Z16" s="1306"/>
      <c r="AA16" s="1306"/>
      <c r="AB16" s="1306"/>
      <c r="AC16" s="1306"/>
      <c r="AD16" s="1306"/>
      <c r="AE16" s="1306"/>
      <c r="AF16" s="1306"/>
      <c r="AG16" s="1306"/>
      <c r="AH16" s="1306"/>
      <c r="AI16" s="1306"/>
      <c r="AJ16" s="1306"/>
      <c r="AK16" s="1306"/>
      <c r="AL16" s="1306"/>
      <c r="AM16" s="1306"/>
    </row>
    <row r="17" spans="1:39" ht="12.75" hidden="1" customHeight="1">
      <c r="A17" s="270"/>
      <c r="Y17" s="1467"/>
    </row>
    <row r="18" spans="1:39" ht="12.75" hidden="1" customHeight="1">
      <c r="A18" s="270"/>
      <c r="Y18" s="1467"/>
      <c r="AB18" s="270" t="e">
        <f>#REF!</f>
        <v>#REF!</v>
      </c>
      <c r="AC18" s="270" t="e">
        <f>#REF!</f>
        <v>#REF!</v>
      </c>
      <c r="AD18" s="270" t="str">
        <f>L7</f>
        <v>Current Forecast</v>
      </c>
      <c r="AE18" s="270" t="str">
        <f>M7</f>
        <v>Target TBD
(Sept. 2021)</v>
      </c>
      <c r="AF18" s="1049" t="e">
        <f>#REF!</f>
        <v>#REF!</v>
      </c>
      <c r="AG18" s="1049" t="e">
        <f>#REF!</f>
        <v>#REF!</v>
      </c>
      <c r="AH18" s="270" t="e">
        <f>#REF!</f>
        <v>#REF!</v>
      </c>
      <c r="AI18" s="270" t="e">
        <f>#REF!</f>
        <v>#REF!</v>
      </c>
      <c r="AJ18" s="270" t="str">
        <f>N7</f>
        <v>Current Forecast</v>
      </c>
      <c r="AK18" s="270" t="str">
        <f>O7</f>
        <v>Target TBD
(Sept. 2021)</v>
      </c>
      <c r="AL18" s="1049" t="e">
        <f>#REF!</f>
        <v>#REF!</v>
      </c>
      <c r="AM18" s="1049" t="e">
        <f>#REF!</f>
        <v>#REF!</v>
      </c>
    </row>
    <row r="19" spans="1:39" ht="12.75" hidden="1" customHeight="1">
      <c r="A19" s="270"/>
      <c r="J19" s="270" t="s">
        <v>236</v>
      </c>
      <c r="L19" s="797"/>
      <c r="M19" s="797"/>
      <c r="N19" s="797"/>
      <c r="O19" s="797"/>
      <c r="P19" s="797"/>
      <c r="Q19" s="797"/>
      <c r="R19" s="797"/>
      <c r="S19" s="797"/>
      <c r="T19" s="797"/>
      <c r="U19" s="797"/>
      <c r="V19" s="797"/>
      <c r="W19" s="797"/>
      <c r="X19" s="797"/>
      <c r="Y19" s="1467"/>
      <c r="Z19" s="797"/>
      <c r="AA19" s="797"/>
      <c r="AB19" s="797" t="e">
        <f>SUM(#REF!)</f>
        <v>#REF!</v>
      </c>
      <c r="AC19" s="797" t="e">
        <f>SUM(#REF!)</f>
        <v>#REF!</v>
      </c>
      <c r="AD19" s="797">
        <f ca="1">SUM(L9:L10)</f>
        <v>0.39373577320367098</v>
      </c>
      <c r="AE19" s="797">
        <f>SUM(M9:M10)</f>
        <v>0</v>
      </c>
      <c r="AF19" s="1050" t="e">
        <f>SUM(#REF!)</f>
        <v>#REF!</v>
      </c>
      <c r="AG19" s="1050" t="e">
        <f>SUM(#REF!)</f>
        <v>#REF!</v>
      </c>
      <c r="AH19" s="797" t="e">
        <f>SUM(#REF!)</f>
        <v>#REF!</v>
      </c>
      <c r="AI19" s="797" t="e">
        <f>SUM(#REF!)</f>
        <v>#REF!</v>
      </c>
      <c r="AJ19" s="797">
        <f ca="1">SUM(N9:N10)</f>
        <v>0.43600714544477809</v>
      </c>
      <c r="AK19" s="797">
        <f>SUM(O9:O10)</f>
        <v>0</v>
      </c>
      <c r="AL19" s="1050" t="e">
        <f>SUM(#REF!)</f>
        <v>#REF!</v>
      </c>
      <c r="AM19" s="1050" t="e">
        <f>SUM(#REF!)</f>
        <v>#REF!</v>
      </c>
    </row>
    <row r="20" spans="1:39" ht="12.75" hidden="1" customHeight="1">
      <c r="A20" s="270"/>
      <c r="J20" s="270" t="s">
        <v>525</v>
      </c>
      <c r="Y20" s="1467"/>
      <c r="AB20" s="797" t="e">
        <f>SUM(#REF!)</f>
        <v>#REF!</v>
      </c>
      <c r="AC20" s="797" t="e">
        <f>SUM(#REF!)</f>
        <v>#REF!</v>
      </c>
      <c r="AD20" s="797">
        <f ca="1">SUM(L12:L13)</f>
        <v>3.5419331978722088E-2</v>
      </c>
      <c r="AE20" s="797">
        <f>SUM(M12:M13)</f>
        <v>0</v>
      </c>
      <c r="AF20" s="1050" t="e">
        <f>SUM(#REF!)</f>
        <v>#REF!</v>
      </c>
      <c r="AG20" s="1050" t="e">
        <f>SUM(#REF!)</f>
        <v>#REF!</v>
      </c>
      <c r="AH20" s="797" t="e">
        <f>SUM(#REF!)</f>
        <v>#REF!</v>
      </c>
      <c r="AI20" s="797" t="e">
        <f>SUM(#REF!)</f>
        <v>#REF!</v>
      </c>
      <c r="AJ20" s="797">
        <f ca="1">SUM(N12:N13)</f>
        <v>9.9248125700969331E-2</v>
      </c>
      <c r="AK20" s="797">
        <f>SUM(O12:O13)</f>
        <v>0</v>
      </c>
      <c r="AL20" s="1050" t="e">
        <f>SUM(#REF!)</f>
        <v>#REF!</v>
      </c>
      <c r="AM20" s="1050" t="e">
        <f>SUM(#REF!)</f>
        <v>#REF!</v>
      </c>
    </row>
    <row r="21" spans="1:39" ht="12.75" hidden="1" customHeight="1">
      <c r="A21" s="270"/>
      <c r="J21" s="270" t="s">
        <v>33</v>
      </c>
      <c r="M21" s="797"/>
      <c r="Y21" s="1467"/>
      <c r="AB21" s="797" t="e">
        <f>SUM(#REF!)</f>
        <v>#REF!</v>
      </c>
      <c r="AC21" s="797" t="e">
        <f>SUM(#REF!)</f>
        <v>#REF!</v>
      </c>
      <c r="AD21" s="797">
        <f ca="1">SUM(L14:L14)</f>
        <v>0</v>
      </c>
      <c r="AE21" s="797">
        <f>SUM(M14:M14)</f>
        <v>0</v>
      </c>
      <c r="AF21" s="1050" t="e">
        <f>SUM(#REF!)</f>
        <v>#REF!</v>
      </c>
      <c r="AG21" s="1050" t="e">
        <f>SUM(#REF!)</f>
        <v>#REF!</v>
      </c>
      <c r="AH21" s="797" t="e">
        <f>SUM(#REF!)</f>
        <v>#REF!</v>
      </c>
      <c r="AI21" s="797" t="e">
        <f>SUM(#REF!)</f>
        <v>#REF!</v>
      </c>
      <c r="AJ21" s="797">
        <f ca="1">SUM(N14:N14)</f>
        <v>0</v>
      </c>
      <c r="AK21" s="797">
        <f>SUM(O14:O14)</f>
        <v>0</v>
      </c>
      <c r="AL21" s="1050" t="e">
        <f>SUM(#REF!)</f>
        <v>#REF!</v>
      </c>
      <c r="AM21" s="1050" t="e">
        <f>SUM(#REF!)</f>
        <v>#REF!</v>
      </c>
    </row>
    <row r="22" spans="1:39" ht="12.75" hidden="1" customHeight="1">
      <c r="A22" s="270"/>
      <c r="Y22" s="1467"/>
    </row>
    <row r="23" spans="1:39" ht="12.75" hidden="1" customHeight="1">
      <c r="A23" s="270"/>
      <c r="Y23" s="1467"/>
      <c r="AB23" s="484">
        <v>2020</v>
      </c>
      <c r="AC23" s="484"/>
      <c r="AD23" s="484">
        <v>2021</v>
      </c>
      <c r="AE23" s="484"/>
    </row>
    <row r="24" spans="1:39" ht="12.75" hidden="1" customHeight="1">
      <c r="A24" s="270"/>
      <c r="J24" s="270" t="s">
        <v>236</v>
      </c>
      <c r="Y24" s="1467"/>
      <c r="AB24" s="797" t="e">
        <f>SUM(AB19,AD19)</f>
        <v>#REF!</v>
      </c>
      <c r="AC24" s="797" t="e">
        <f>SUM(AC19,AE19)</f>
        <v>#REF!</v>
      </c>
      <c r="AD24" s="797" t="e">
        <f>SUM(AH19,AJ19)</f>
        <v>#REF!</v>
      </c>
      <c r="AE24" s="797" t="e">
        <f>SUM(AI19,AK19)</f>
        <v>#REF!</v>
      </c>
    </row>
    <row r="25" spans="1:39" ht="12.75" hidden="1" customHeight="1">
      <c r="A25" s="270"/>
      <c r="J25" s="270" t="s">
        <v>525</v>
      </c>
      <c r="Y25" s="1467"/>
      <c r="AB25" s="797" t="e">
        <f t="shared" ref="AB25:AC26" si="2">SUM(AB20,AD20)</f>
        <v>#REF!</v>
      </c>
      <c r="AC25" s="797" t="e">
        <f t="shared" si="2"/>
        <v>#REF!</v>
      </c>
      <c r="AD25" s="797" t="e">
        <f>SUM(AH20,AJ20)</f>
        <v>#REF!</v>
      </c>
      <c r="AE25" s="797" t="e">
        <f t="shared" ref="AE25:AE26" si="3">SUM(AI20,AK20)</f>
        <v>#REF!</v>
      </c>
    </row>
    <row r="26" spans="1:39" ht="12.75" hidden="1" customHeight="1">
      <c r="A26" s="270"/>
      <c r="J26" s="270" t="s">
        <v>33</v>
      </c>
      <c r="Y26" s="1467"/>
      <c r="AB26" s="797" t="e">
        <f t="shared" si="2"/>
        <v>#REF!</v>
      </c>
      <c r="AC26" s="1179" t="e">
        <f>SUM(AC21,AE21)</f>
        <v>#REF!</v>
      </c>
      <c r="AD26" s="797" t="e">
        <f>SUM(AH21,AJ21)</f>
        <v>#REF!</v>
      </c>
      <c r="AE26" s="797" t="e">
        <f t="shared" si="3"/>
        <v>#REF!</v>
      </c>
    </row>
    <row r="27" spans="1:39" ht="12.75" hidden="1" customHeight="1">
      <c r="A27" s="270"/>
      <c r="Y27" s="1467"/>
    </row>
    <row r="28" spans="1:39" ht="12.75" hidden="1" customHeight="1">
      <c r="A28" s="270"/>
      <c r="Y28" s="1467"/>
      <c r="AB28" s="484">
        <v>2020</v>
      </c>
      <c r="AC28" s="484"/>
      <c r="AD28" s="484">
        <v>2021</v>
      </c>
      <c r="AE28" s="484"/>
    </row>
    <row r="29" spans="1:39" ht="12.75" hidden="1" customHeight="1">
      <c r="A29" s="270"/>
      <c r="J29" s="270" t="s">
        <v>236</v>
      </c>
      <c r="Y29" s="1467"/>
      <c r="AB29" s="797" t="e">
        <f>AB19</f>
        <v>#REF!</v>
      </c>
      <c r="AC29" s="797" t="e">
        <f>AC19</f>
        <v>#REF!</v>
      </c>
      <c r="AD29" s="797" t="e">
        <f>AH19</f>
        <v>#REF!</v>
      </c>
      <c r="AE29" s="797" t="e">
        <f>AI19</f>
        <v>#REF!</v>
      </c>
    </row>
    <row r="30" spans="1:39" ht="12.75" hidden="1" customHeight="1">
      <c r="A30" s="270"/>
      <c r="J30" s="270" t="s">
        <v>525</v>
      </c>
      <c r="Y30" s="1467"/>
      <c r="AB30" s="797" t="e">
        <f t="shared" ref="AB30:AC31" si="4">AB20</f>
        <v>#REF!</v>
      </c>
      <c r="AC30" s="797" t="e">
        <f t="shared" si="4"/>
        <v>#REF!</v>
      </c>
      <c r="AD30" s="797" t="e">
        <f t="shared" ref="AD30:AE31" si="5">AH20</f>
        <v>#REF!</v>
      </c>
      <c r="AE30" s="797" t="e">
        <f t="shared" si="5"/>
        <v>#REF!</v>
      </c>
    </row>
    <row r="31" spans="1:39" ht="12.75" hidden="1" customHeight="1">
      <c r="A31" s="270"/>
      <c r="J31" s="270" t="s">
        <v>33</v>
      </c>
      <c r="AB31" s="797" t="e">
        <f t="shared" si="4"/>
        <v>#REF!</v>
      </c>
      <c r="AC31" s="797" t="e">
        <f t="shared" si="4"/>
        <v>#REF!</v>
      </c>
      <c r="AD31" s="797" t="e">
        <f t="shared" si="5"/>
        <v>#REF!</v>
      </c>
      <c r="AE31" s="797" t="e">
        <f t="shared" si="5"/>
        <v>#REF!</v>
      </c>
    </row>
    <row r="32" spans="1:39" ht="12.75" hidden="1" customHeight="1">
      <c r="A32" s="270"/>
      <c r="AC32" s="270">
        <v>2020</v>
      </c>
    </row>
    <row r="33" spans="1:30" ht="12.75" hidden="1" customHeight="1">
      <c r="A33" s="270"/>
      <c r="AB33" s="270" t="s">
        <v>1485</v>
      </c>
      <c r="AC33" s="270">
        <v>0.36709375000000005</v>
      </c>
      <c r="AD33" s="1190">
        <v>0.53685438461667268</v>
      </c>
    </row>
    <row r="34" spans="1:30" ht="12.75" hidden="1" customHeight="1">
      <c r="A34" s="270"/>
      <c r="AB34" s="270" t="s">
        <v>1486</v>
      </c>
      <c r="AC34" s="270">
        <v>0.29764488833773928</v>
      </c>
      <c r="AD34" s="1190">
        <v>3.8473767243272734E-2</v>
      </c>
    </row>
    <row r="35" spans="1:30" ht="12.75" hidden="1" customHeight="1">
      <c r="A35" s="270"/>
      <c r="AB35" s="270" t="s">
        <v>1485</v>
      </c>
      <c r="AC35" s="270">
        <v>0.40314546999999995</v>
      </c>
    </row>
    <row r="36" spans="1:30" ht="12.75" hidden="1" customHeight="1">
      <c r="A36" s="270"/>
      <c r="AB36" s="270" t="s">
        <v>1486</v>
      </c>
      <c r="AC36" s="270">
        <v>0.33204315621373687</v>
      </c>
    </row>
    <row r="37" spans="1:30" hidden="1">
      <c r="A37" s="270"/>
    </row>
    <row r="38" spans="1:30">
      <c r="A38" s="270"/>
      <c r="T38" s="797"/>
    </row>
    <row r="39" spans="1:30">
      <c r="A39" s="270"/>
      <c r="T39" s="797"/>
    </row>
    <row r="40" spans="1:30">
      <c r="A40" s="270"/>
    </row>
    <row r="41" spans="1:30">
      <c r="A41" s="270"/>
    </row>
  </sheetData>
  <mergeCells count="12">
    <mergeCell ref="L2:U2"/>
    <mergeCell ref="X2:X8"/>
    <mergeCell ref="H16:X16"/>
    <mergeCell ref="L3:M3"/>
    <mergeCell ref="N3:O3"/>
    <mergeCell ref="V7:W7"/>
    <mergeCell ref="T7:U7"/>
    <mergeCell ref="X9:X10"/>
    <mergeCell ref="H12:H13"/>
    <mergeCell ref="H9:H11"/>
    <mergeCell ref="P3:Q3"/>
    <mergeCell ref="R3:S3"/>
  </mergeCells>
  <conditionalFormatting sqref="AE9:AE14">
    <cfRule type="colorScale" priority="18">
      <colorScale>
        <cfvo type="min"/>
        <cfvo type="percentile" val="50"/>
        <cfvo type="max"/>
        <color rgb="FFF8696B"/>
        <color rgb="FFFFEB84"/>
        <color rgb="FF63BE7B"/>
      </colorScale>
    </cfRule>
  </conditionalFormatting>
  <hyperlinks>
    <hyperlink ref="J9" location="Codes!A1" display="New Low-rise, Code-compliant Multifamily Homes" xr:uid="{CD1287F1-A99D-425B-8C69-847BF1A93D62}"/>
    <hyperlink ref="J10" location="Codes!A1" display="New, Single-family, Site-Built Code-compliant Homes" xr:uid="{E905B94B-5B01-4D8C-B5F5-9EEBC12DC83E}"/>
    <hyperlink ref="J12" location="Codes!A1" display="Commercial Buildings" xr:uid="{3B2E1C22-A229-448C-80C9-D5FD557876FF}"/>
    <hyperlink ref="J13" location="Standards!A1" display="Beverage Machines, Roof Top Units, Pre-rinse Spray Valves" xr:uid="{20EEF72F-6D1D-455A-846E-094E0D2E9873}"/>
    <hyperlink ref="J14" location="Standards!A1" display="Pumps (Ag and Industrial)" xr:uid="{965A27F1-D88A-4F63-B00C-73DFC6906D9F}"/>
    <hyperlink ref="J11" location="Standards!A1" display="Uninterruptible Power Supplies" xr:uid="{781A682B-4C73-47F3-83F3-C41FCE84778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tint="-0.499984740745262"/>
  </sheetPr>
  <dimension ref="A1:F15"/>
  <sheetViews>
    <sheetView showGridLines="0" workbookViewId="0">
      <selection activeCell="G5" sqref="G5"/>
    </sheetView>
  </sheetViews>
  <sheetFormatPr defaultColWidth="9.28515625" defaultRowHeight="15"/>
  <cols>
    <col min="1" max="1" width="22.5703125" style="895" customWidth="1"/>
    <col min="2" max="2" width="17.85546875" style="895" customWidth="1"/>
    <col min="3" max="3" width="62.7109375" style="895" customWidth="1"/>
    <col min="4" max="6" width="22.5703125" style="895" customWidth="1"/>
    <col min="7" max="7" width="29.42578125" style="895" customWidth="1"/>
    <col min="8" max="8" width="26" style="895" customWidth="1"/>
    <col min="9" max="16384" width="9.28515625" style="895"/>
  </cols>
  <sheetData>
    <row r="1" spans="1:6">
      <c r="A1" s="2062" t="s">
        <v>1243</v>
      </c>
      <c r="B1" s="2063" t="s">
        <v>1244</v>
      </c>
      <c r="C1" s="2063" t="s">
        <v>1245</v>
      </c>
      <c r="D1" s="2472" t="s">
        <v>831</v>
      </c>
      <c r="E1" s="2473"/>
      <c r="F1" s="2474"/>
    </row>
    <row r="2" spans="1:6">
      <c r="A2" s="2475" t="s">
        <v>1719</v>
      </c>
      <c r="B2" s="2498" t="s">
        <v>1</v>
      </c>
      <c r="C2" s="932" t="s">
        <v>2999</v>
      </c>
      <c r="D2" s="2478" t="s">
        <v>1720</v>
      </c>
      <c r="E2" s="2479"/>
      <c r="F2" s="2480"/>
    </row>
    <row r="3" spans="1:6">
      <c r="A3" s="2476"/>
      <c r="B3" s="2499"/>
      <c r="C3" s="933" t="s">
        <v>2997</v>
      </c>
      <c r="D3" s="2481"/>
      <c r="E3" s="2482"/>
      <c r="F3" s="2483"/>
    </row>
    <row r="4" spans="1:6">
      <c r="A4" s="2476"/>
      <c r="B4" s="2499"/>
      <c r="C4" s="933" t="s">
        <v>2998</v>
      </c>
      <c r="D4" s="2481"/>
      <c r="E4" s="2482"/>
      <c r="F4" s="2483"/>
    </row>
    <row r="5" spans="1:6" ht="77.25" customHeight="1">
      <c r="A5" s="2477"/>
      <c r="B5" s="2500"/>
      <c r="C5" s="934" t="s">
        <v>3000</v>
      </c>
      <c r="D5" s="2484"/>
      <c r="E5" s="2485"/>
      <c r="F5" s="2486"/>
    </row>
    <row r="6" spans="1:6" ht="25.5">
      <c r="A6" s="2487" t="s">
        <v>1254</v>
      </c>
      <c r="B6" s="2496" t="s">
        <v>2</v>
      </c>
      <c r="C6" s="1348" t="s">
        <v>2190</v>
      </c>
      <c r="D6" s="2490" t="s">
        <v>1248</v>
      </c>
      <c r="E6" s="2491"/>
      <c r="F6" s="2492"/>
    </row>
    <row r="7" spans="1:6" ht="25.5">
      <c r="A7" s="2488"/>
      <c r="B7" s="2497"/>
      <c r="C7" s="1349" t="s">
        <v>2176</v>
      </c>
      <c r="D7" s="2490"/>
      <c r="E7" s="2491"/>
      <c r="F7" s="2492"/>
    </row>
    <row r="8" spans="1:6" ht="25.5">
      <c r="A8" s="2488"/>
      <c r="B8" s="2497"/>
      <c r="C8" s="1349" t="s">
        <v>2167</v>
      </c>
      <c r="D8" s="2490"/>
      <c r="E8" s="2491"/>
      <c r="F8" s="2492"/>
    </row>
    <row r="9" spans="1:6" hidden="1">
      <c r="A9" s="2488"/>
      <c r="B9" s="935"/>
      <c r="C9" s="1346"/>
      <c r="D9" s="2490"/>
      <c r="E9" s="2491"/>
      <c r="F9" s="2492"/>
    </row>
    <row r="10" spans="1:6" hidden="1">
      <c r="A10" s="2488"/>
      <c r="B10" s="935"/>
      <c r="C10" s="1349"/>
      <c r="D10" s="2490"/>
      <c r="E10" s="2491"/>
      <c r="F10" s="2492"/>
    </row>
    <row r="11" spans="1:6" hidden="1">
      <c r="A11" s="2489"/>
      <c r="B11" s="935"/>
      <c r="C11" s="1347"/>
      <c r="D11" s="2493"/>
      <c r="E11" s="2494"/>
      <c r="F11" s="2495"/>
    </row>
    <row r="12" spans="1:6" ht="24" customHeight="1">
      <c r="A12" s="2460" t="s">
        <v>1612</v>
      </c>
      <c r="B12" s="2498" t="s">
        <v>1</v>
      </c>
      <c r="C12" s="983" t="s">
        <v>885</v>
      </c>
      <c r="D12" s="2463" t="s">
        <v>1613</v>
      </c>
      <c r="E12" s="2464"/>
      <c r="F12" s="2465"/>
    </row>
    <row r="13" spans="1:6" ht="24" customHeight="1">
      <c r="A13" s="2461"/>
      <c r="B13" s="2499"/>
      <c r="C13" s="934" t="s">
        <v>1364</v>
      </c>
      <c r="D13" s="2466"/>
      <c r="E13" s="2467"/>
      <c r="F13" s="2468"/>
    </row>
    <row r="14" spans="1:6" ht="24" customHeight="1">
      <c r="A14" s="2461"/>
      <c r="B14" s="2499"/>
      <c r="C14" s="934" t="s">
        <v>1368</v>
      </c>
      <c r="D14" s="2466"/>
      <c r="E14" s="2467"/>
      <c r="F14" s="2468"/>
    </row>
    <row r="15" spans="1:6" ht="42" customHeight="1">
      <c r="A15" s="2462"/>
      <c r="B15" s="2501"/>
      <c r="C15" s="2064" t="s">
        <v>1512</v>
      </c>
      <c r="D15" s="2469"/>
      <c r="E15" s="2470"/>
      <c r="F15" s="2471"/>
    </row>
  </sheetData>
  <mergeCells count="10">
    <mergeCell ref="A12:A15"/>
    <mergeCell ref="D12:F15"/>
    <mergeCell ref="D1:F1"/>
    <mergeCell ref="A2:A5"/>
    <mergeCell ref="D2:F5"/>
    <mergeCell ref="A6:A11"/>
    <mergeCell ref="D6:F11"/>
    <mergeCell ref="B6:B8"/>
    <mergeCell ref="B2:B5"/>
    <mergeCell ref="B12:B15"/>
  </mergeCells>
  <hyperlinks>
    <hyperlink ref="A2:A5" location="Codes!A1" display="Next Step Homes/Efficient Homes" xr:uid="{00000000-0004-0000-1000-000000000000}"/>
    <hyperlink ref="A6:A11" location="Standards!A1" display="Other Standards" xr:uid="{00000000-0004-0000-1000-000001000000}"/>
    <hyperlink ref="A13:A15" location="Codes!A1" display="Commercial Code Enhancement" xr:uid="{00000000-0004-0000-1000-000002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1" tint="0.499984740745262"/>
  </sheetPr>
  <dimension ref="A1:P11"/>
  <sheetViews>
    <sheetView workbookViewId="0">
      <selection activeCell="I25" sqref="I25"/>
    </sheetView>
  </sheetViews>
  <sheetFormatPr defaultColWidth="18.7109375" defaultRowHeight="12.75" customHeight="1"/>
  <cols>
    <col min="1" max="1" width="9.28515625" style="1" customWidth="1"/>
    <col min="2" max="7" width="13.28515625" style="1" customWidth="1"/>
    <col min="8" max="15" width="18.7109375" style="1"/>
    <col min="16" max="16" width="0" style="1" hidden="1" customWidth="1"/>
    <col min="17" max="16384" width="18.7109375" style="1"/>
  </cols>
  <sheetData>
    <row r="1" spans="1:16" ht="15">
      <c r="A1" s="127" t="s">
        <v>563</v>
      </c>
      <c r="P1" s="128" t="s">
        <v>564</v>
      </c>
    </row>
    <row r="2" spans="1:16" ht="15">
      <c r="A2" s="129" t="str">
        <f>Selection!A2</f>
        <v>Puget Sound Energy</v>
      </c>
    </row>
    <row r="3" spans="1:16" ht="15">
      <c r="A3" s="128" t="str" cm="1">
        <f t="array" ref="A3">_xlfn.SWITCH(Selection!A3,"Idaho","id_allocation","Montana","mt_allocation","Oregon","or_allocation","Washington","wa_allocation")</f>
        <v>wa_allocation</v>
      </c>
    </row>
    <row r="4" spans="1:16" ht="30">
      <c r="A4" s="2079" t="s">
        <v>561</v>
      </c>
      <c r="B4" s="130" t="s">
        <v>565</v>
      </c>
      <c r="C4" s="130" t="s">
        <v>566</v>
      </c>
      <c r="D4" s="130" t="s">
        <v>559</v>
      </c>
      <c r="E4" s="130" t="s">
        <v>560</v>
      </c>
      <c r="F4" s="130" t="s">
        <v>1722</v>
      </c>
      <c r="G4" s="130" t="s">
        <v>3041</v>
      </c>
    </row>
    <row r="5" spans="1:16" ht="15">
      <c r="A5" s="131" t="s">
        <v>8</v>
      </c>
      <c r="B5" s="131" t="s">
        <v>567</v>
      </c>
      <c r="C5" s="131" t="s">
        <v>568</v>
      </c>
      <c r="D5" s="131" t="s">
        <v>569</v>
      </c>
      <c r="E5" s="131" t="s">
        <v>570</v>
      </c>
      <c r="F5" s="131" t="s">
        <v>571</v>
      </c>
      <c r="G5" s="131" t="s">
        <v>3036</v>
      </c>
    </row>
    <row r="6" spans="1:16" ht="15">
      <c r="A6" s="132">
        <v>2022</v>
      </c>
      <c r="B6" s="133">
        <f>IF($A6&gt;=_xlfn.NUMBERVALUE(LEFT(B$4,4)),INDEX('AMMO Funder Share'!$E:$H,MATCH($A$2&amp;RIGHT(B$4,4),'AMMO Funder Share'!$J:$J,0),MATCH($A$3,'AMMO Funder Share'!$E$2:$H$2,0)),0)</f>
        <v>0.1037</v>
      </c>
      <c r="C6" s="133">
        <f>IF($A6&gt;=_xlfn.NUMBERVALUE(LEFT(C$4,4)),INDEX('AMMO Funder Share'!$E:$H,MATCH($A$2&amp;RIGHT(C$4,4),'AMMO Funder Share'!$J:$J,0),MATCH($A$3,'AMMO Funder Share'!$E$2:$H$2,0)),0)</f>
        <v>0.1037</v>
      </c>
      <c r="D6" s="133">
        <f>IF($A6&gt;=_xlfn.NUMBERVALUE(LEFT(D$4,4)),INDEX('AMMO Funder Share'!$E:$H,MATCH($A$2&amp;RIGHT(D$4,4),'AMMO Funder Share'!$J:$J,0),MATCH($A$3,'AMMO Funder Share'!$E$2:$H$2,0)),0)</f>
        <v>0.13800000000000001</v>
      </c>
      <c r="E6" s="133">
        <f>IF($A6&gt;=_xlfn.NUMBERVALUE(LEFT(E$4,4)),INDEX('AMMO Funder Share'!$E:$H,MATCH($A$2&amp;RIGHT(E$4,4),'AMMO Funder Share'!$J:$J,0),MATCH($A$3,'AMMO Funder Share'!$E$2:$H$2,0)),0)</f>
        <v>0.14199999999999999</v>
      </c>
      <c r="F6" s="133">
        <f>IF($A6&gt;=_xlfn.NUMBERVALUE(LEFT(F$4,4)),INDEX('AMMO Funder Share'!$E:$H,MATCH($A$2&amp;RIGHT(F$4,4),'AMMO Funder Share'!$J:$J,0),MATCH($A$3,'AMMO Funder Share'!$E$2:$H$2,0)),0)</f>
        <v>0.13985600000000001</v>
      </c>
      <c r="G6" s="133">
        <f>IF($A6&gt;=_xlfn.NUMBERVALUE(LEFT(G$4,4)),INDEX('AMMO Funder Share'!$E:$H,MATCH($A$2&amp;LEFT(G$4,4),'AMMO Funder Share'!$J:$J,0),MATCH($A$3,'AMMO Funder Share'!$E$2:$H$2,0)),0)</f>
        <v>0</v>
      </c>
    </row>
    <row r="7" spans="1:16" ht="15">
      <c r="A7" s="132">
        <f>A6+1</f>
        <v>2023</v>
      </c>
      <c r="B7" s="133">
        <f>IF($A7&gt;=_xlfn.NUMBERVALUE(LEFT(B$4,4)),INDEX('AMMO Funder Share'!$E:$H,MATCH($A$2&amp;RIGHT(B$4,4),'AMMO Funder Share'!$J:$J,0),MATCH($A$3,'AMMO Funder Share'!$E$2:$H$2,0)),0)</f>
        <v>0.1037</v>
      </c>
      <c r="C7" s="133">
        <f>IF($A7&gt;=_xlfn.NUMBERVALUE(LEFT(C$4,4)),INDEX('AMMO Funder Share'!$E:$H,MATCH($A$2&amp;RIGHT(C$4,4),'AMMO Funder Share'!$J:$J,0),MATCH($A$3,'AMMO Funder Share'!$E$2:$H$2,0)),0)</f>
        <v>0.1037</v>
      </c>
      <c r="D7" s="133">
        <f>IF($A7&gt;=_xlfn.NUMBERVALUE(LEFT(D$4,4)),INDEX('AMMO Funder Share'!$E:$H,MATCH($A$2&amp;RIGHT(D$4,4),'AMMO Funder Share'!$J:$J,0),MATCH($A$3,'AMMO Funder Share'!$E$2:$H$2,0)),0)</f>
        <v>0.13800000000000001</v>
      </c>
      <c r="E7" s="133">
        <f>IF($A7&gt;=_xlfn.NUMBERVALUE(LEFT(E$4,4)),INDEX('AMMO Funder Share'!$E:$H,MATCH($A$2&amp;RIGHT(E$4,4),'AMMO Funder Share'!$J:$J,0),MATCH($A$3,'AMMO Funder Share'!$E$2:$H$2,0)),0)</f>
        <v>0.14199999999999999</v>
      </c>
      <c r="F7" s="133">
        <f>IF($A7&gt;=_xlfn.NUMBERVALUE(LEFT(F$4,4)),INDEX('AMMO Funder Share'!$E:$H,MATCH($A$2&amp;RIGHT(F$4,4),'AMMO Funder Share'!$J:$J,0),MATCH($A$3,'AMMO Funder Share'!$E$2:$H$2,0)),0)</f>
        <v>0.13985600000000001</v>
      </c>
      <c r="G7" s="133">
        <f>IF($A7&gt;=_xlfn.NUMBERVALUE(LEFT(G$4,4)),INDEX('AMMO Funder Share'!$E:$H,MATCH($A$2&amp;LEFT(G$4,4),'AMMO Funder Share'!$J:$J,0),MATCH($A$3,'AMMO Funder Share'!$E$2:$H$2,0)),0)</f>
        <v>0</v>
      </c>
    </row>
    <row r="8" spans="1:16" ht="15">
      <c r="A8" s="132">
        <f t="shared" ref="A8:A9" si="0">A7+1</f>
        <v>2024</v>
      </c>
      <c r="B8" s="133">
        <f>IF($A8&gt;=_xlfn.NUMBERVALUE(LEFT(B$4,4)),INDEX('AMMO Funder Share'!$E:$H,MATCH($A$2&amp;RIGHT(B$4,4),'AMMO Funder Share'!$J:$J,0),MATCH($A$3,'AMMO Funder Share'!$E$2:$H$2,0)),0)</f>
        <v>0.1037</v>
      </c>
      <c r="C8" s="133">
        <f>IF($A8&gt;=_xlfn.NUMBERVALUE(LEFT(C$4,4)),INDEX('AMMO Funder Share'!$E:$H,MATCH($A$2&amp;RIGHT(C$4,4),'AMMO Funder Share'!$J:$J,0),MATCH($A$3,'AMMO Funder Share'!$E$2:$H$2,0)),0)</f>
        <v>0.1037</v>
      </c>
      <c r="D8" s="133">
        <f>IF($A8&gt;=_xlfn.NUMBERVALUE(LEFT(D$4,4)),INDEX('AMMO Funder Share'!$E:$H,MATCH($A$2&amp;RIGHT(D$4,4),'AMMO Funder Share'!$J:$J,0),MATCH($A$3,'AMMO Funder Share'!$E$2:$H$2,0)),0)</f>
        <v>0.13800000000000001</v>
      </c>
      <c r="E8" s="133">
        <f>IF($A8&gt;=_xlfn.NUMBERVALUE(LEFT(E$4,4)),INDEX('AMMO Funder Share'!$E:$H,MATCH($A$2&amp;RIGHT(E$4,4),'AMMO Funder Share'!$J:$J,0),MATCH($A$3,'AMMO Funder Share'!$E$2:$H$2,0)),0)</f>
        <v>0.14199999999999999</v>
      </c>
      <c r="F8" s="133">
        <f>IF($A8&gt;=_xlfn.NUMBERVALUE(LEFT(F$4,4)),INDEX('AMMO Funder Share'!$E:$H,MATCH($A$2&amp;RIGHT(F$4,4),'AMMO Funder Share'!$J:$J,0),MATCH($A$3,'AMMO Funder Share'!$E$2:$H$2,0)),0)</f>
        <v>0.13985600000000001</v>
      </c>
      <c r="G8" s="133">
        <f>IF($A8&gt;=_xlfn.NUMBERVALUE(LEFT(G$4,4)),INDEX('AMMO Funder Share'!$E:$H,MATCH($A$2&amp;LEFT(G$4,4),'AMMO Funder Share'!$J:$J,0),MATCH($A$3,'AMMO Funder Share'!$E$2:$H$2,0)),0)</f>
        <v>0</v>
      </c>
    </row>
    <row r="9" spans="1:16" ht="15">
      <c r="A9" s="132">
        <f t="shared" si="0"/>
        <v>2025</v>
      </c>
      <c r="B9" s="133">
        <f>IF($A9&gt;=_xlfn.NUMBERVALUE(LEFT(B$4,4)),INDEX('AMMO Funder Share'!$E:$H,MATCH($A$2&amp;RIGHT(B$4,4),'AMMO Funder Share'!$J:$J,0),MATCH($A$3,'AMMO Funder Share'!$E$2:$H$2,0)),0)</f>
        <v>0.1037</v>
      </c>
      <c r="C9" s="133">
        <f>IF($A9&gt;=_xlfn.NUMBERVALUE(LEFT(C$4,4)),INDEX('AMMO Funder Share'!$E:$H,MATCH($A$2&amp;RIGHT(C$4,4),'AMMO Funder Share'!$J:$J,0),MATCH($A$3,'AMMO Funder Share'!$E$2:$H$2,0)),0)</f>
        <v>0.1037</v>
      </c>
      <c r="D9" s="133">
        <f>IF($A9&gt;=_xlfn.NUMBERVALUE(LEFT(D$4,4)),INDEX('AMMO Funder Share'!$E:$H,MATCH($A$2&amp;RIGHT(D$4,4),'AMMO Funder Share'!$J:$J,0),MATCH($A$3,'AMMO Funder Share'!$E$2:$H$2,0)),0)</f>
        <v>0.13800000000000001</v>
      </c>
      <c r="E9" s="133">
        <f>IF($A9&gt;=_xlfn.NUMBERVALUE(LEFT(E$4,4)),INDEX('AMMO Funder Share'!$E:$H,MATCH($A$2&amp;RIGHT(E$4,4),'AMMO Funder Share'!$J:$J,0),MATCH($A$3,'AMMO Funder Share'!$E$2:$H$2,0)),0)</f>
        <v>0.14199999999999999</v>
      </c>
      <c r="F9" s="133">
        <f>IF($A9&gt;=_xlfn.NUMBERVALUE(LEFT(F$4,4)),INDEX('AMMO Funder Share'!$E:$H,MATCH($A$2&amp;RIGHT(F$4,4),'AMMO Funder Share'!$J:$J,0),MATCH($A$3,'AMMO Funder Share'!$E$2:$H$2,0)),0)</f>
        <v>0.13985600000000001</v>
      </c>
      <c r="G9" s="133">
        <f>IF($A9&gt;=_xlfn.NUMBERVALUE(LEFT(G$4,4)),INDEX('AMMO Funder Share'!$E:$H,MATCH($A$2&amp;LEFT(G$4,4),'AMMO Funder Share'!$J:$J,0),MATCH($A$3,'AMMO Funder Share'!$E$2:$H$2,0)),0)</f>
        <v>0.13985600000000001</v>
      </c>
    </row>
    <row r="11" spans="1:16" ht="12.75" customHeight="1">
      <c r="A11" s="78"/>
      <c r="B11" s="78"/>
      <c r="C11" s="78"/>
      <c r="D11" s="78"/>
      <c r="E11" s="78"/>
      <c r="F11" s="7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0.499984740745262"/>
  </sheetPr>
  <dimension ref="A1:P28"/>
  <sheetViews>
    <sheetView showGridLines="0" workbookViewId="0">
      <selection activeCell="U12" sqref="U12"/>
    </sheetView>
  </sheetViews>
  <sheetFormatPr defaultColWidth="9.28515625" defaultRowHeight="12.75"/>
  <cols>
    <col min="1" max="1" width="11.7109375" style="270" customWidth="1"/>
    <col min="2" max="16384" width="9.28515625" style="270"/>
  </cols>
  <sheetData>
    <row r="1" spans="1:16">
      <c r="A1" s="936" t="s">
        <v>3052</v>
      </c>
    </row>
    <row r="2" spans="1:16" ht="15">
      <c r="A2" s="2506" t="s">
        <v>855</v>
      </c>
      <c r="B2" s="2506"/>
      <c r="C2" s="2506"/>
      <c r="D2" s="2506"/>
      <c r="E2" s="2506"/>
      <c r="F2" s="2506"/>
      <c r="G2" s="2506"/>
      <c r="H2" s="2506"/>
      <c r="I2" s="2506"/>
      <c r="J2" s="2506"/>
      <c r="K2" s="2506"/>
      <c r="L2" s="2506"/>
      <c r="M2" s="2506"/>
      <c r="N2" s="2506"/>
      <c r="O2" s="2506"/>
      <c r="P2" s="2506"/>
    </row>
    <row r="3" spans="1:16" customFormat="1" ht="15">
      <c r="A3" s="1353" t="s">
        <v>1547</v>
      </c>
    </row>
    <row r="4" spans="1:16">
      <c r="A4" s="1352" t="s">
        <v>1545</v>
      </c>
      <c r="B4" s="1350"/>
      <c r="C4" s="1350"/>
      <c r="D4" s="1350"/>
      <c r="E4" s="1350"/>
      <c r="F4" s="1350"/>
      <c r="G4" s="1350"/>
      <c r="H4" s="1350"/>
      <c r="I4" s="1350"/>
      <c r="J4" s="1350"/>
      <c r="K4" s="1350"/>
      <c r="L4" s="1350"/>
      <c r="M4" s="1350"/>
      <c r="N4" s="1350"/>
      <c r="O4" s="1350"/>
      <c r="P4" s="1350"/>
    </row>
    <row r="5" spans="1:16" ht="47.25" customHeight="1">
      <c r="A5" s="2502" t="s">
        <v>3284</v>
      </c>
      <c r="B5" s="2503"/>
      <c r="C5" s="2503"/>
      <c r="D5" s="2503"/>
      <c r="E5" s="2503"/>
      <c r="F5" s="2503"/>
      <c r="G5" s="2503"/>
      <c r="H5" s="2503"/>
      <c r="I5" s="2503"/>
      <c r="J5" s="2503"/>
      <c r="K5" s="2503"/>
      <c r="L5" s="2503"/>
      <c r="M5" s="2503"/>
      <c r="N5" s="2503"/>
      <c r="O5" s="2503"/>
      <c r="P5" s="2503"/>
    </row>
    <row r="6" spans="1:16">
      <c r="A6" s="1352" t="s">
        <v>1546</v>
      </c>
      <c r="B6" s="1350"/>
      <c r="C6" s="1350"/>
      <c r="D6" s="1350"/>
      <c r="E6" s="1350"/>
      <c r="F6" s="1350"/>
      <c r="G6" s="1350"/>
      <c r="H6" s="1350"/>
      <c r="I6" s="1350"/>
      <c r="J6" s="1350"/>
      <c r="K6" s="1350"/>
      <c r="L6" s="1350"/>
      <c r="M6" s="1350"/>
      <c r="N6" s="1350"/>
      <c r="O6" s="1350"/>
      <c r="P6" s="1350"/>
    </row>
    <row r="7" spans="1:16" ht="78" customHeight="1">
      <c r="A7" s="2502" t="s">
        <v>3051</v>
      </c>
      <c r="B7" s="2503"/>
      <c r="C7" s="2503"/>
      <c r="D7" s="2503"/>
      <c r="E7" s="2503"/>
      <c r="F7" s="2503"/>
      <c r="G7" s="2503"/>
      <c r="H7" s="2503"/>
      <c r="I7" s="2503"/>
      <c r="J7" s="2503"/>
      <c r="K7" s="2503"/>
      <c r="L7" s="2503"/>
      <c r="M7" s="2503"/>
      <c r="N7" s="2503"/>
      <c r="O7" s="2503"/>
      <c r="P7" s="2503"/>
    </row>
    <row r="8" spans="1:16">
      <c r="A8" s="1355" t="s">
        <v>1548</v>
      </c>
      <c r="B8" s="1354"/>
      <c r="C8" s="1354"/>
      <c r="D8" s="1354"/>
      <c r="E8" s="1354"/>
      <c r="F8" s="1354"/>
      <c r="G8" s="1354"/>
      <c r="H8" s="1354"/>
      <c r="I8" s="1354"/>
      <c r="J8" s="1354"/>
      <c r="K8" s="1354"/>
      <c r="L8" s="1354"/>
      <c r="M8" s="1354"/>
      <c r="N8" s="1354"/>
      <c r="O8" s="1354"/>
      <c r="P8" s="1354"/>
    </row>
    <row r="9" spans="1:16" ht="28.5" customHeight="1">
      <c r="A9" s="2270" t="s">
        <v>680</v>
      </c>
      <c r="B9" s="274"/>
      <c r="C9" s="274"/>
      <c r="D9" s="274"/>
      <c r="E9" s="274"/>
      <c r="F9" s="274"/>
      <c r="G9" s="274"/>
      <c r="H9" s="274"/>
      <c r="I9" s="274"/>
      <c r="J9" s="274"/>
      <c r="K9" s="274"/>
      <c r="L9" s="274"/>
      <c r="M9" s="274"/>
      <c r="N9" s="274"/>
      <c r="O9" s="274"/>
      <c r="P9" s="274"/>
    </row>
    <row r="10" spans="1:16">
      <c r="A10" s="274"/>
      <c r="B10" s="274"/>
      <c r="C10" s="274"/>
      <c r="D10" s="274"/>
      <c r="E10" s="274"/>
      <c r="F10" s="274"/>
      <c r="G10" s="274"/>
      <c r="H10" s="274"/>
      <c r="I10" s="274"/>
      <c r="J10" s="274"/>
      <c r="K10" s="274"/>
      <c r="L10" s="274"/>
      <c r="M10" s="274"/>
      <c r="N10" s="274"/>
      <c r="O10" s="274"/>
      <c r="P10" s="274"/>
    </row>
    <row r="11" spans="1:16">
      <c r="A11" s="2508" t="s">
        <v>548</v>
      </c>
      <c r="B11" s="2508"/>
      <c r="C11" s="2508"/>
      <c r="D11" s="2508"/>
      <c r="E11" s="2508"/>
      <c r="F11" s="2508"/>
      <c r="G11" s="2508"/>
      <c r="H11" s="2508"/>
      <c r="I11" s="2508"/>
      <c r="J11" s="2508"/>
      <c r="K11" s="2508"/>
      <c r="L11" s="2508"/>
      <c r="M11" s="2508"/>
      <c r="N11" s="2508"/>
      <c r="O11" s="2508"/>
      <c r="P11" s="2508"/>
    </row>
    <row r="12" spans="1:16" ht="45.75" customHeight="1">
      <c r="A12" s="2509" t="s">
        <v>547</v>
      </c>
      <c r="B12" s="2509"/>
      <c r="C12" s="2509"/>
      <c r="D12" s="2509"/>
      <c r="E12" s="2509"/>
      <c r="F12" s="2509"/>
      <c r="G12" s="2509"/>
      <c r="H12" s="2509"/>
      <c r="I12" s="2509"/>
      <c r="J12" s="2509"/>
      <c r="K12" s="2509"/>
      <c r="L12" s="2509"/>
      <c r="M12" s="2509"/>
      <c r="N12" s="2509"/>
      <c r="O12" s="2509"/>
      <c r="P12" s="2509"/>
    </row>
    <row r="13" spans="1:16">
      <c r="A13" s="2510" t="s">
        <v>561</v>
      </c>
      <c r="B13" s="2510"/>
      <c r="C13" s="2510" t="s">
        <v>562</v>
      </c>
      <c r="D13" s="2510"/>
      <c r="E13" s="931"/>
      <c r="F13" s="931"/>
      <c r="G13" s="931"/>
      <c r="H13" s="931"/>
      <c r="I13" s="931"/>
      <c r="J13" s="931"/>
      <c r="K13" s="931"/>
      <c r="L13" s="931"/>
      <c r="M13" s="931"/>
      <c r="N13" s="931"/>
      <c r="O13" s="931"/>
      <c r="P13" s="931"/>
    </row>
    <row r="14" spans="1:16">
      <c r="A14" s="2504" t="s">
        <v>1722</v>
      </c>
      <c r="B14" s="2504"/>
      <c r="C14" s="2505">
        <f>Frig_Freezers!Q9</f>
        <v>0.13985600000000001</v>
      </c>
      <c r="D14" s="2505"/>
      <c r="E14" s="931"/>
      <c r="F14" s="931"/>
      <c r="G14" s="931"/>
      <c r="H14" s="931"/>
      <c r="I14" s="931"/>
      <c r="J14" s="931"/>
      <c r="K14" s="931"/>
      <c r="L14" s="931"/>
      <c r="M14" s="931"/>
      <c r="N14" s="931"/>
      <c r="O14" s="931"/>
      <c r="P14" s="931"/>
    </row>
    <row r="15" spans="1:16">
      <c r="A15" s="2504" t="s">
        <v>560</v>
      </c>
      <c r="B15" s="2504"/>
      <c r="C15" s="2505">
        <f>DHP!P7</f>
        <v>0.14199999999999999</v>
      </c>
      <c r="D15" s="2505"/>
      <c r="E15" s="931"/>
      <c r="F15" s="931"/>
      <c r="G15" s="931"/>
      <c r="H15" s="931"/>
      <c r="I15" s="931"/>
      <c r="J15" s="931"/>
      <c r="K15" s="931"/>
      <c r="L15" s="931"/>
      <c r="M15" s="931"/>
      <c r="N15" s="931"/>
      <c r="O15" s="931"/>
      <c r="P15" s="931"/>
    </row>
    <row r="16" spans="1:16">
      <c r="A16" s="937"/>
      <c r="B16" s="274"/>
      <c r="C16" s="274"/>
      <c r="D16" s="274"/>
      <c r="E16" s="274"/>
      <c r="F16" s="274"/>
      <c r="G16" s="274"/>
      <c r="H16" s="274"/>
      <c r="I16" s="274"/>
      <c r="J16" s="274"/>
      <c r="K16" s="274"/>
      <c r="L16" s="274"/>
      <c r="M16" s="274"/>
      <c r="N16" s="274"/>
      <c r="O16" s="274"/>
      <c r="P16" s="274"/>
    </row>
    <row r="17" spans="1:16">
      <c r="A17" s="2508" t="s">
        <v>549</v>
      </c>
      <c r="B17" s="2508"/>
      <c r="C17" s="2508"/>
      <c r="D17" s="2508"/>
      <c r="E17" s="2508"/>
      <c r="F17" s="2508"/>
      <c r="G17" s="2508"/>
      <c r="H17" s="2508"/>
      <c r="I17" s="2508"/>
      <c r="J17" s="2508"/>
      <c r="K17" s="2508"/>
      <c r="L17" s="2508"/>
      <c r="M17" s="2508"/>
      <c r="N17" s="2508"/>
      <c r="O17" s="2508"/>
      <c r="P17" s="2508"/>
    </row>
    <row r="18" spans="1:16" ht="54" customHeight="1">
      <c r="A18" s="2507" t="s">
        <v>675</v>
      </c>
      <c r="B18" s="2507"/>
      <c r="C18" s="2507"/>
      <c r="D18" s="2507"/>
      <c r="E18" s="2507"/>
      <c r="F18" s="2507"/>
      <c r="G18" s="2507"/>
      <c r="H18" s="2507"/>
      <c r="I18" s="2507"/>
      <c r="J18" s="2507"/>
      <c r="K18" s="2507"/>
      <c r="L18" s="2507"/>
      <c r="M18" s="2507"/>
      <c r="N18" s="2507"/>
      <c r="O18" s="2507"/>
      <c r="P18" s="2507"/>
    </row>
    <row r="28" spans="1:16">
      <c r="F28" s="274"/>
    </row>
  </sheetData>
  <mergeCells count="13">
    <mergeCell ref="A18:P18"/>
    <mergeCell ref="A11:P11"/>
    <mergeCell ref="A12:P12"/>
    <mergeCell ref="A17:P17"/>
    <mergeCell ref="A13:B13"/>
    <mergeCell ref="C13:D13"/>
    <mergeCell ref="A15:B15"/>
    <mergeCell ref="C15:D15"/>
    <mergeCell ref="A7:P7"/>
    <mergeCell ref="A14:B14"/>
    <mergeCell ref="C14:D14"/>
    <mergeCell ref="A2:P2"/>
    <mergeCell ref="A5:P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theme="0" tint="-0.499984740745262"/>
  </sheetPr>
  <dimension ref="A1:XFD34"/>
  <sheetViews>
    <sheetView showGridLines="0" topLeftCell="A22" workbookViewId="0">
      <selection activeCell="A21" sqref="A21:Q21"/>
    </sheetView>
  </sheetViews>
  <sheetFormatPr defaultColWidth="8.7109375" defaultRowHeight="12.75"/>
  <cols>
    <col min="1" max="1" width="21.28515625" style="270" customWidth="1"/>
    <col min="2" max="16384" width="8.7109375" style="270"/>
  </cols>
  <sheetData>
    <row r="1" spans="1:19" ht="15">
      <c r="A1" s="882" t="s">
        <v>1724</v>
      </c>
    </row>
    <row r="2" spans="1:19">
      <c r="A2" s="2512" t="s">
        <v>1331</v>
      </c>
      <c r="B2" s="2512"/>
      <c r="C2" s="2512"/>
      <c r="D2" s="2512"/>
      <c r="E2" s="2512"/>
      <c r="F2" s="2512"/>
      <c r="G2" s="2512"/>
      <c r="H2" s="2512"/>
      <c r="I2" s="2512"/>
      <c r="J2" s="2512"/>
      <c r="K2" s="2512"/>
      <c r="L2" s="2512"/>
      <c r="M2" s="2512"/>
      <c r="N2" s="2512"/>
      <c r="O2" s="2512"/>
      <c r="P2" s="2512"/>
      <c r="Q2" s="2512"/>
    </row>
    <row r="3" spans="1:19" s="723" customFormat="1">
      <c r="A3" s="1351" t="s">
        <v>1501</v>
      </c>
    </row>
    <row r="4" spans="1:19" s="723" customFormat="1">
      <c r="A4" s="914" t="s">
        <v>1504</v>
      </c>
    </row>
    <row r="5" spans="1:19" s="723" customFormat="1" ht="13.5" customHeight="1">
      <c r="A5" s="1351" t="s">
        <v>1502</v>
      </c>
    </row>
    <row r="6" spans="1:19" s="723" customFormat="1">
      <c r="A6" s="914" t="s">
        <v>1505</v>
      </c>
    </row>
    <row r="7" spans="1:19" s="723" customFormat="1">
      <c r="A7" s="1351" t="s">
        <v>1503</v>
      </c>
    </row>
    <row r="8" spans="1:19" s="723" customFormat="1">
      <c r="A8" s="914" t="s">
        <v>1506</v>
      </c>
    </row>
    <row r="9" spans="1:19" s="723" customFormat="1">
      <c r="A9" s="1351" t="s">
        <v>1507</v>
      </c>
    </row>
    <row r="10" spans="1:19" s="723" customFormat="1" ht="12.75" customHeight="1">
      <c r="A10" s="914" t="s">
        <v>1508</v>
      </c>
    </row>
    <row r="11" spans="1:19" s="723" customFormat="1">
      <c r="A11" s="915"/>
    </row>
    <row r="12" spans="1:19">
      <c r="A12" s="723"/>
      <c r="B12" s="723"/>
      <c r="C12" s="723"/>
      <c r="D12" s="723"/>
      <c r="E12" s="723"/>
      <c r="F12" s="723"/>
      <c r="G12" s="723"/>
      <c r="H12" s="723"/>
      <c r="I12" s="723"/>
      <c r="J12" s="723"/>
      <c r="K12" s="723"/>
      <c r="L12" s="723"/>
      <c r="M12" s="723"/>
      <c r="N12" s="723"/>
      <c r="O12" s="723"/>
      <c r="P12" s="723"/>
      <c r="Q12" s="723"/>
    </row>
    <row r="13" spans="1:19" ht="28.15" customHeight="1">
      <c r="A13" s="2512" t="s">
        <v>1272</v>
      </c>
      <c r="B13" s="2512"/>
      <c r="C13" s="2512"/>
      <c r="D13" s="2512"/>
      <c r="E13" s="2512"/>
      <c r="F13" s="2512"/>
      <c r="G13" s="2512"/>
      <c r="H13" s="2512"/>
      <c r="I13" s="2512"/>
      <c r="J13" s="2512"/>
      <c r="K13" s="2512"/>
      <c r="L13" s="2512"/>
      <c r="M13" s="2512"/>
      <c r="N13" s="2512"/>
      <c r="O13" s="2512"/>
      <c r="P13" s="2512"/>
      <c r="Q13" s="2512"/>
      <c r="S13" s="428"/>
    </row>
    <row r="14" spans="1:19" ht="56.65" customHeight="1">
      <c r="A14" s="2511" t="s">
        <v>1733</v>
      </c>
      <c r="B14" s="2511"/>
      <c r="C14" s="2511"/>
      <c r="D14" s="2511"/>
      <c r="E14" s="2511"/>
      <c r="F14" s="2511"/>
      <c r="G14" s="2511"/>
      <c r="H14" s="2511"/>
      <c r="I14" s="2511"/>
      <c r="J14" s="2511"/>
      <c r="K14" s="2511"/>
      <c r="L14" s="2511"/>
      <c r="M14" s="2511"/>
      <c r="N14" s="2511"/>
      <c r="O14" s="2511"/>
      <c r="P14" s="2511"/>
      <c r="Q14" s="2511"/>
    </row>
    <row r="15" spans="1:19" ht="15.4" customHeight="1">
      <c r="A15" s="2512" t="s">
        <v>1273</v>
      </c>
      <c r="B15" s="2512"/>
      <c r="C15" s="2512"/>
      <c r="D15" s="2512"/>
      <c r="E15" s="2512"/>
      <c r="F15" s="2512"/>
      <c r="G15" s="2512"/>
      <c r="H15" s="2512"/>
      <c r="I15" s="2512"/>
      <c r="J15" s="2512"/>
      <c r="K15" s="2512"/>
      <c r="L15" s="2512"/>
      <c r="M15" s="2512"/>
      <c r="N15" s="2512"/>
      <c r="O15" s="2512"/>
      <c r="P15" s="2512"/>
      <c r="Q15" s="2512"/>
      <c r="S15" s="428"/>
    </row>
    <row r="16" spans="1:19" ht="49.15" customHeight="1">
      <c r="A16" s="2511" t="s">
        <v>1500</v>
      </c>
      <c r="B16" s="2511"/>
      <c r="C16" s="2511"/>
      <c r="D16" s="2511"/>
      <c r="E16" s="2511"/>
      <c r="F16" s="2511"/>
      <c r="G16" s="2511"/>
      <c r="H16" s="2511"/>
      <c r="I16" s="2511"/>
      <c r="J16" s="2511"/>
      <c r="K16" s="2511"/>
      <c r="L16" s="2511"/>
      <c r="M16" s="2511"/>
      <c r="N16" s="2511"/>
      <c r="O16" s="2511"/>
      <c r="P16" s="2511"/>
      <c r="Q16" s="2511"/>
    </row>
    <row r="17" spans="1:16384" ht="74.650000000000006" customHeight="1">
      <c r="A17" s="2512" t="s">
        <v>1274</v>
      </c>
      <c r="B17" s="2512"/>
      <c r="C17" s="2512"/>
      <c r="D17" s="2512"/>
      <c r="E17" s="2512"/>
      <c r="F17" s="2512"/>
      <c r="G17" s="2512"/>
      <c r="H17" s="2512"/>
      <c r="I17" s="2512"/>
      <c r="J17" s="2512"/>
      <c r="K17" s="2512"/>
      <c r="L17" s="2512"/>
      <c r="M17" s="2512"/>
      <c r="N17" s="2512"/>
      <c r="O17" s="2512"/>
      <c r="P17" s="2512"/>
      <c r="Q17" s="2512"/>
      <c r="S17" s="428"/>
    </row>
    <row r="18" spans="1:16384" ht="93" customHeight="1">
      <c r="A18" s="2511" t="s">
        <v>1734</v>
      </c>
      <c r="B18" s="2511"/>
      <c r="C18" s="2511"/>
      <c r="D18" s="2511"/>
      <c r="E18" s="2511"/>
      <c r="F18" s="2511"/>
      <c r="G18" s="2511"/>
      <c r="H18" s="2511"/>
      <c r="I18" s="2511"/>
      <c r="J18" s="2511"/>
      <c r="K18" s="2511"/>
      <c r="L18" s="2511"/>
      <c r="M18" s="2511"/>
      <c r="N18" s="2511"/>
      <c r="O18" s="2511"/>
      <c r="P18" s="2511"/>
      <c r="Q18" s="2511"/>
    </row>
    <row r="19" spans="1:16384" ht="36.4" customHeight="1">
      <c r="A19" s="2512" t="s">
        <v>1275</v>
      </c>
      <c r="B19" s="2512"/>
      <c r="C19" s="2512"/>
      <c r="D19" s="2512"/>
      <c r="E19" s="2512"/>
      <c r="F19" s="2512"/>
      <c r="G19" s="2512"/>
      <c r="H19" s="2512"/>
      <c r="I19" s="2512"/>
      <c r="J19" s="2512"/>
      <c r="K19" s="2512"/>
      <c r="L19" s="2512"/>
      <c r="M19" s="2512"/>
      <c r="N19" s="2512"/>
      <c r="O19" s="2512"/>
      <c r="P19" s="2512"/>
      <c r="Q19" s="2512"/>
      <c r="S19" s="428"/>
    </row>
    <row r="20" spans="1:16384" ht="103.5" customHeight="1">
      <c r="A20" s="2511" t="s">
        <v>1723</v>
      </c>
      <c r="B20" s="2511"/>
      <c r="C20" s="2511"/>
      <c r="D20" s="2511"/>
      <c r="E20" s="2511"/>
      <c r="F20" s="2511"/>
      <c r="G20" s="2511"/>
      <c r="H20" s="2511"/>
      <c r="I20" s="2511"/>
      <c r="J20" s="2511"/>
      <c r="K20" s="2511"/>
      <c r="L20" s="2511"/>
      <c r="M20" s="2511"/>
      <c r="N20" s="2511"/>
      <c r="O20" s="2511"/>
      <c r="P20" s="2511"/>
      <c r="Q20" s="2511"/>
    </row>
    <row r="21" spans="1:16384" ht="49.15" customHeight="1">
      <c r="A21" s="2512" t="s">
        <v>1276</v>
      </c>
      <c r="B21" s="2512"/>
      <c r="C21" s="2512"/>
      <c r="D21" s="2512"/>
      <c r="E21" s="2512"/>
      <c r="F21" s="2512"/>
      <c r="G21" s="2512"/>
      <c r="H21" s="2512"/>
      <c r="I21" s="2512"/>
      <c r="J21" s="2512"/>
      <c r="K21" s="2512"/>
      <c r="L21" s="2512"/>
      <c r="M21" s="2512"/>
      <c r="N21" s="2512"/>
      <c r="O21" s="2512"/>
      <c r="P21" s="2512"/>
      <c r="Q21" s="2512"/>
      <c r="S21" s="428"/>
    </row>
    <row r="22" spans="1:16384" ht="75" customHeight="1">
      <c r="A22" s="2511" t="s">
        <v>1725</v>
      </c>
      <c r="B22" s="2511"/>
      <c r="C22" s="2511"/>
      <c r="D22" s="2511"/>
      <c r="E22" s="2511"/>
      <c r="F22" s="2511"/>
      <c r="G22" s="2511"/>
      <c r="H22" s="2511"/>
      <c r="I22" s="2511"/>
      <c r="J22" s="2511"/>
      <c r="K22" s="2511"/>
      <c r="L22" s="2511"/>
      <c r="M22" s="2511"/>
      <c r="N22" s="2511"/>
      <c r="O22" s="2511"/>
      <c r="P22" s="2511"/>
      <c r="Q22" s="2511"/>
    </row>
    <row r="23" spans="1:16384" ht="49.15" customHeight="1">
      <c r="A23" s="2512" t="s">
        <v>1277</v>
      </c>
      <c r="B23" s="2512"/>
      <c r="C23" s="2512"/>
      <c r="D23" s="2512"/>
      <c r="E23" s="2512"/>
      <c r="F23" s="2512"/>
      <c r="G23" s="2512"/>
      <c r="H23" s="2512"/>
      <c r="I23" s="2512"/>
      <c r="J23" s="2512"/>
      <c r="K23" s="2512"/>
      <c r="L23" s="2512"/>
      <c r="M23" s="2512"/>
      <c r="N23" s="2512"/>
      <c r="O23" s="2512"/>
      <c r="P23" s="2512"/>
      <c r="Q23" s="2512"/>
      <c r="S23" s="428"/>
    </row>
    <row r="24" spans="1:16384" ht="63.75" customHeight="1">
      <c r="A24" s="2511" t="s">
        <v>1726</v>
      </c>
      <c r="B24" s="2511"/>
      <c r="C24" s="2511"/>
      <c r="D24" s="2511"/>
      <c r="E24" s="2511"/>
      <c r="F24" s="2511"/>
      <c r="G24" s="2511"/>
      <c r="H24" s="2511"/>
      <c r="I24" s="2511"/>
      <c r="J24" s="2511"/>
      <c r="K24" s="2511"/>
      <c r="L24" s="2511"/>
      <c r="M24" s="2511"/>
      <c r="N24" s="2511"/>
      <c r="O24" s="2511"/>
      <c r="P24" s="2511"/>
      <c r="Q24" s="2511"/>
    </row>
    <row r="25" spans="1:16384" ht="49.15" customHeight="1">
      <c r="A25" s="2512" t="s">
        <v>1278</v>
      </c>
      <c r="B25" s="2512"/>
      <c r="C25" s="2512"/>
      <c r="D25" s="2512"/>
      <c r="E25" s="2512"/>
      <c r="F25" s="2513"/>
      <c r="G25" s="2512"/>
      <c r="H25" s="2512"/>
      <c r="I25" s="2512"/>
      <c r="J25" s="2512"/>
      <c r="K25" s="2512"/>
      <c r="L25" s="2512"/>
      <c r="M25" s="2512"/>
      <c r="N25" s="2512"/>
      <c r="O25" s="2512"/>
      <c r="P25" s="2512"/>
      <c r="Q25" s="2512"/>
      <c r="S25" s="428"/>
    </row>
    <row r="26" spans="1:16384" ht="49.15" customHeight="1">
      <c r="A26" s="2511" t="s">
        <v>1279</v>
      </c>
      <c r="B26" s="2511"/>
      <c r="C26" s="2511"/>
      <c r="D26" s="2511"/>
      <c r="E26" s="2511"/>
      <c r="F26" s="2511"/>
      <c r="G26" s="2511"/>
      <c r="H26" s="2511"/>
      <c r="I26" s="2511"/>
      <c r="J26" s="2511"/>
      <c r="K26" s="2511"/>
      <c r="L26" s="2511"/>
      <c r="M26" s="2511"/>
      <c r="N26" s="2511"/>
      <c r="O26" s="2511"/>
      <c r="P26" s="2511"/>
      <c r="Q26" s="2511"/>
    </row>
    <row r="27" spans="1:16384" ht="49.15" customHeight="1">
      <c r="A27" s="2512" t="s">
        <v>1280</v>
      </c>
      <c r="B27" s="2512"/>
      <c r="C27" s="2512"/>
      <c r="D27" s="2512"/>
      <c r="E27" s="2512"/>
      <c r="F27" s="2512"/>
      <c r="G27" s="2512"/>
      <c r="H27" s="2512"/>
      <c r="I27" s="2512"/>
      <c r="J27" s="2512"/>
      <c r="K27" s="2512"/>
      <c r="L27" s="2512"/>
      <c r="M27" s="2512"/>
      <c r="N27" s="2512"/>
      <c r="O27" s="2512"/>
      <c r="P27" s="2512"/>
      <c r="Q27" s="2512"/>
      <c r="S27" s="428"/>
    </row>
    <row r="28" spans="1:16384" ht="41.25" customHeight="1">
      <c r="A28" s="2511" t="s">
        <v>1509</v>
      </c>
      <c r="B28" s="2511"/>
      <c r="C28" s="2511"/>
      <c r="D28" s="2511"/>
      <c r="E28" s="2511"/>
      <c r="F28" s="2511"/>
      <c r="G28" s="2511"/>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c r="DT28" s="2511"/>
      <c r="DU28" s="2511"/>
      <c r="DV28" s="2511"/>
      <c r="DW28" s="2511"/>
      <c r="DX28" s="2511"/>
      <c r="DY28" s="2511"/>
      <c r="DZ28" s="2511"/>
      <c r="EA28" s="2511"/>
      <c r="EB28" s="2511"/>
      <c r="EC28" s="2511"/>
      <c r="ED28" s="2511"/>
      <c r="EE28" s="2511"/>
      <c r="EF28" s="2511"/>
      <c r="EG28" s="2511"/>
      <c r="EH28" s="2511"/>
      <c r="EI28" s="2511"/>
      <c r="EJ28" s="2511"/>
      <c r="EK28" s="2511"/>
      <c r="EL28" s="2511"/>
      <c r="EM28" s="2511"/>
      <c r="EN28" s="2511"/>
      <c r="EO28" s="2511"/>
      <c r="EP28" s="2511"/>
      <c r="EQ28" s="2511"/>
      <c r="ER28" s="2511"/>
      <c r="ES28" s="2511"/>
      <c r="ET28" s="2511"/>
      <c r="EU28" s="2511"/>
      <c r="EV28" s="2511"/>
      <c r="EW28" s="2511"/>
      <c r="EX28" s="2511"/>
      <c r="EY28" s="2511"/>
      <c r="EZ28" s="2511"/>
      <c r="FA28" s="2511"/>
      <c r="FB28" s="2511"/>
      <c r="FC28" s="2511"/>
      <c r="FD28" s="2511"/>
      <c r="FE28" s="2511"/>
      <c r="FF28" s="2511"/>
      <c r="FG28" s="2511"/>
      <c r="FH28" s="2511"/>
      <c r="FI28" s="2511"/>
      <c r="FJ28" s="2511"/>
      <c r="FK28" s="2511"/>
      <c r="FL28" s="2511"/>
      <c r="FM28" s="2511"/>
      <c r="FN28" s="2511"/>
      <c r="FO28" s="2511"/>
      <c r="FP28" s="2511"/>
      <c r="FQ28" s="2511"/>
      <c r="FR28" s="2511"/>
      <c r="FS28" s="2511"/>
      <c r="FT28" s="2511"/>
      <c r="FU28" s="2511"/>
      <c r="FV28" s="2511"/>
      <c r="FW28" s="2511"/>
      <c r="FX28" s="2511"/>
      <c r="FY28" s="2511"/>
      <c r="FZ28" s="2511"/>
      <c r="GA28" s="2511"/>
      <c r="GB28" s="2511"/>
      <c r="GC28" s="2511"/>
      <c r="GD28" s="2511"/>
      <c r="GE28" s="2511"/>
      <c r="GF28" s="2511"/>
      <c r="GG28" s="2511"/>
      <c r="GH28" s="2511"/>
      <c r="GI28" s="2511"/>
      <c r="GJ28" s="2511"/>
      <c r="GK28" s="2511"/>
      <c r="GL28" s="2511"/>
      <c r="GM28" s="2511"/>
      <c r="GN28" s="2511"/>
      <c r="GO28" s="2511"/>
      <c r="GP28" s="2511"/>
      <c r="GQ28" s="2511"/>
      <c r="GR28" s="2511"/>
      <c r="GS28" s="2511"/>
      <c r="GT28" s="2511"/>
      <c r="GU28" s="2511"/>
      <c r="GV28" s="2511"/>
      <c r="GW28" s="2511"/>
      <c r="GX28" s="2511"/>
      <c r="GY28" s="2511"/>
      <c r="GZ28" s="2511"/>
      <c r="HA28" s="2511"/>
      <c r="HB28" s="2511"/>
      <c r="HC28" s="2511"/>
      <c r="HD28" s="2511"/>
      <c r="HE28" s="2511"/>
      <c r="HF28" s="2511"/>
      <c r="HG28" s="2511"/>
      <c r="HH28" s="2511"/>
      <c r="HI28" s="2511"/>
      <c r="HJ28" s="2511"/>
      <c r="HK28" s="2511"/>
      <c r="HL28" s="2511"/>
      <c r="HM28" s="2511"/>
      <c r="HN28" s="2511"/>
      <c r="HO28" s="2511"/>
      <c r="HP28" s="2511"/>
      <c r="HQ28" s="2511"/>
      <c r="HR28" s="2511"/>
      <c r="HS28" s="2511"/>
      <c r="HT28" s="2511"/>
      <c r="HU28" s="2511"/>
      <c r="HV28" s="2511"/>
      <c r="HW28" s="2511"/>
      <c r="HX28" s="2511"/>
      <c r="HY28" s="2511"/>
      <c r="HZ28" s="2511"/>
      <c r="IA28" s="2511"/>
      <c r="IB28" s="2511"/>
      <c r="IC28" s="2511"/>
      <c r="ID28" s="2511"/>
      <c r="IE28" s="2511"/>
      <c r="IF28" s="2511"/>
      <c r="IG28" s="2511"/>
      <c r="IH28" s="2511"/>
      <c r="II28" s="2511"/>
      <c r="IJ28" s="2511"/>
      <c r="IK28" s="2511"/>
      <c r="IL28" s="2511"/>
      <c r="IM28" s="2511"/>
      <c r="IN28" s="2511"/>
      <c r="IO28" s="2511"/>
      <c r="IP28" s="2511"/>
      <c r="IQ28" s="2511"/>
      <c r="IR28" s="2511"/>
      <c r="IS28" s="2511"/>
      <c r="IT28" s="2511"/>
      <c r="IU28" s="2511"/>
      <c r="IV28" s="2511"/>
      <c r="IW28" s="2511"/>
      <c r="IX28" s="2511"/>
      <c r="IY28" s="2511"/>
      <c r="IZ28" s="2511"/>
      <c r="JA28" s="2511"/>
      <c r="JB28" s="2511"/>
      <c r="JC28" s="2511"/>
      <c r="JD28" s="2511"/>
      <c r="JE28" s="2511"/>
      <c r="JF28" s="2511"/>
      <c r="JG28" s="2511"/>
      <c r="JH28" s="2511"/>
      <c r="JI28" s="2511"/>
      <c r="JJ28" s="2511"/>
      <c r="JK28" s="2511"/>
      <c r="JL28" s="2511"/>
      <c r="JM28" s="2511"/>
      <c r="JN28" s="2511"/>
      <c r="JO28" s="2511"/>
      <c r="JP28" s="2511"/>
      <c r="JQ28" s="2511"/>
      <c r="JR28" s="2511"/>
      <c r="JS28" s="2511"/>
      <c r="JT28" s="2511"/>
      <c r="JU28" s="2511"/>
      <c r="JV28" s="2511"/>
      <c r="JW28" s="2511"/>
      <c r="JX28" s="2511"/>
      <c r="JY28" s="2511"/>
      <c r="JZ28" s="2511"/>
      <c r="KA28" s="2511"/>
      <c r="KB28" s="2511"/>
      <c r="KC28" s="2511"/>
      <c r="KD28" s="2511"/>
      <c r="KE28" s="2511"/>
      <c r="KF28" s="2511"/>
      <c r="KG28" s="2511"/>
      <c r="KH28" s="2511"/>
      <c r="KI28" s="2511"/>
      <c r="KJ28" s="2511"/>
      <c r="KK28" s="2511"/>
      <c r="KL28" s="2511"/>
      <c r="KM28" s="2511"/>
      <c r="KN28" s="2511"/>
      <c r="KO28" s="2511"/>
      <c r="KP28" s="2511"/>
      <c r="KQ28" s="2511"/>
      <c r="KR28" s="2511"/>
      <c r="KS28" s="2511"/>
      <c r="KT28" s="2511"/>
      <c r="KU28" s="2511"/>
      <c r="KV28" s="2511"/>
      <c r="KW28" s="2511"/>
      <c r="KX28" s="2511"/>
      <c r="KY28" s="2511"/>
      <c r="KZ28" s="2511"/>
      <c r="LA28" s="2511"/>
      <c r="LB28" s="2511"/>
      <c r="LC28" s="2511"/>
      <c r="LD28" s="2511"/>
      <c r="LE28" s="2511"/>
      <c r="LF28" s="2511"/>
      <c r="LG28" s="2511"/>
      <c r="LH28" s="2511"/>
      <c r="LI28" s="2511"/>
      <c r="LJ28" s="2511"/>
      <c r="LK28" s="2511"/>
      <c r="LL28" s="2511"/>
      <c r="LM28" s="2511"/>
      <c r="LN28" s="2511"/>
      <c r="LO28" s="2511"/>
      <c r="LP28" s="2511"/>
      <c r="LQ28" s="2511"/>
      <c r="LR28" s="2511"/>
      <c r="LS28" s="2511"/>
      <c r="LT28" s="2511"/>
      <c r="LU28" s="2511"/>
      <c r="LV28" s="2511"/>
      <c r="LW28" s="2511"/>
      <c r="LX28" s="2511"/>
      <c r="LY28" s="2511"/>
      <c r="LZ28" s="2511"/>
      <c r="MA28" s="2511"/>
      <c r="MB28" s="2511"/>
      <c r="MC28" s="2511"/>
      <c r="MD28" s="2511"/>
      <c r="ME28" s="2511"/>
      <c r="MF28" s="2511"/>
      <c r="MG28" s="2511"/>
      <c r="MH28" s="2511"/>
      <c r="MI28" s="2511"/>
      <c r="MJ28" s="2511"/>
      <c r="MK28" s="2511"/>
      <c r="ML28" s="2511"/>
      <c r="MM28" s="2511"/>
      <c r="MN28" s="2511"/>
      <c r="MO28" s="2511"/>
      <c r="MP28" s="2511"/>
      <c r="MQ28" s="2511"/>
      <c r="MR28" s="2511"/>
      <c r="MS28" s="2511"/>
      <c r="MT28" s="2511"/>
      <c r="MU28" s="2511"/>
      <c r="MV28" s="2511"/>
      <c r="MW28" s="2511"/>
      <c r="MX28" s="2511"/>
      <c r="MY28" s="2511"/>
      <c r="MZ28" s="2511"/>
      <c r="NA28" s="2511"/>
      <c r="NB28" s="2511"/>
      <c r="NC28" s="2511"/>
      <c r="ND28" s="2511"/>
      <c r="NE28" s="2511"/>
      <c r="NF28" s="2511"/>
      <c r="NG28" s="2511"/>
      <c r="NH28" s="2511"/>
      <c r="NI28" s="2511"/>
      <c r="NJ28" s="2511"/>
      <c r="NK28" s="2511"/>
      <c r="NL28" s="2511"/>
      <c r="NM28" s="2511"/>
      <c r="NN28" s="2511"/>
      <c r="NO28" s="2511"/>
      <c r="NP28" s="2511"/>
      <c r="NQ28" s="2511"/>
      <c r="NR28" s="2511"/>
      <c r="NS28" s="2511"/>
      <c r="NT28" s="2511"/>
      <c r="NU28" s="2511"/>
      <c r="NV28" s="2511"/>
      <c r="NW28" s="2511"/>
      <c r="NX28" s="2511"/>
      <c r="NY28" s="2511"/>
      <c r="NZ28" s="2511"/>
      <c r="OA28" s="2511"/>
      <c r="OB28" s="2511"/>
      <c r="OC28" s="2511"/>
      <c r="OD28" s="2511"/>
      <c r="OE28" s="2511"/>
      <c r="OF28" s="2511"/>
      <c r="OG28" s="2511"/>
      <c r="OH28" s="2511"/>
      <c r="OI28" s="2511"/>
      <c r="OJ28" s="2511"/>
      <c r="OK28" s="2511"/>
      <c r="OL28" s="2511"/>
      <c r="OM28" s="2511"/>
      <c r="ON28" s="2511"/>
      <c r="OO28" s="2511"/>
      <c r="OP28" s="2511"/>
      <c r="OQ28" s="2511"/>
      <c r="OR28" s="2511"/>
      <c r="OS28" s="2511"/>
      <c r="OT28" s="2511"/>
      <c r="OU28" s="2511"/>
      <c r="OV28" s="2511"/>
      <c r="OW28" s="2511"/>
      <c r="OX28" s="2511"/>
      <c r="OY28" s="2511"/>
      <c r="OZ28" s="2511"/>
      <c r="PA28" s="2511"/>
      <c r="PB28" s="2511"/>
      <c r="PC28" s="2511"/>
      <c r="PD28" s="2511"/>
      <c r="PE28" s="2511"/>
      <c r="PF28" s="2511"/>
      <c r="PG28" s="2511"/>
      <c r="PH28" s="2511"/>
      <c r="PI28" s="2511"/>
      <c r="PJ28" s="2511"/>
      <c r="PK28" s="2511"/>
      <c r="PL28" s="2511"/>
      <c r="PM28" s="2511"/>
      <c r="PN28" s="2511"/>
      <c r="PO28" s="2511"/>
      <c r="PP28" s="2511"/>
      <c r="PQ28" s="2511"/>
      <c r="PR28" s="2511"/>
      <c r="PS28" s="2511"/>
      <c r="PT28" s="2511"/>
      <c r="PU28" s="2511"/>
      <c r="PV28" s="2511"/>
      <c r="PW28" s="2511"/>
      <c r="PX28" s="2511"/>
      <c r="PY28" s="2511"/>
      <c r="PZ28" s="2511"/>
      <c r="QA28" s="2511"/>
      <c r="QB28" s="2511"/>
      <c r="QC28" s="2511"/>
      <c r="QD28" s="2511"/>
      <c r="QE28" s="2511"/>
      <c r="QF28" s="2511"/>
      <c r="QG28" s="2511"/>
      <c r="QH28" s="2511"/>
      <c r="QI28" s="2511"/>
      <c r="QJ28" s="2511"/>
      <c r="QK28" s="2511"/>
      <c r="QL28" s="2511"/>
      <c r="QM28" s="2511"/>
      <c r="QN28" s="2511"/>
      <c r="QO28" s="2511"/>
      <c r="QP28" s="2511"/>
      <c r="QQ28" s="2511"/>
      <c r="QR28" s="2511"/>
      <c r="QS28" s="2511"/>
      <c r="QT28" s="2511"/>
      <c r="QU28" s="2511"/>
      <c r="QV28" s="2511"/>
      <c r="QW28" s="2511"/>
      <c r="QX28" s="2511"/>
      <c r="QY28" s="2511"/>
      <c r="QZ28" s="2511"/>
      <c r="RA28" s="2511"/>
      <c r="RB28" s="2511"/>
      <c r="RC28" s="2511"/>
      <c r="RD28" s="2511"/>
      <c r="RE28" s="2511"/>
      <c r="RF28" s="2511"/>
      <c r="RG28" s="2511"/>
      <c r="RH28" s="2511"/>
      <c r="RI28" s="2511"/>
      <c r="RJ28" s="2511"/>
      <c r="RK28" s="2511"/>
      <c r="RL28" s="2511"/>
      <c r="RM28" s="2511"/>
      <c r="RN28" s="2511"/>
      <c r="RO28" s="2511"/>
      <c r="RP28" s="2511"/>
      <c r="RQ28" s="2511"/>
      <c r="RR28" s="2511"/>
      <c r="RS28" s="2511"/>
      <c r="RT28" s="2511"/>
      <c r="RU28" s="2511"/>
      <c r="RV28" s="2511"/>
      <c r="RW28" s="2511"/>
      <c r="RX28" s="2511"/>
      <c r="RY28" s="2511"/>
      <c r="RZ28" s="2511"/>
      <c r="SA28" s="2511"/>
      <c r="SB28" s="2511"/>
      <c r="SC28" s="2511"/>
      <c r="SD28" s="2511"/>
      <c r="SE28" s="2511"/>
      <c r="SF28" s="2511"/>
      <c r="SG28" s="2511"/>
      <c r="SH28" s="2511"/>
      <c r="SI28" s="2511"/>
      <c r="SJ28" s="2511"/>
      <c r="SK28" s="2511"/>
      <c r="SL28" s="2511"/>
      <c r="SM28" s="2511"/>
      <c r="SN28" s="2511"/>
      <c r="SO28" s="2511"/>
      <c r="SP28" s="2511"/>
      <c r="SQ28" s="2511"/>
      <c r="SR28" s="2511"/>
      <c r="SS28" s="2511"/>
      <c r="ST28" s="2511"/>
      <c r="SU28" s="2511"/>
      <c r="SV28" s="2511"/>
      <c r="SW28" s="2511"/>
      <c r="SX28" s="2511"/>
      <c r="SY28" s="2511"/>
      <c r="SZ28" s="2511"/>
      <c r="TA28" s="2511"/>
      <c r="TB28" s="2511"/>
      <c r="TC28" s="2511"/>
      <c r="TD28" s="2511"/>
      <c r="TE28" s="2511"/>
      <c r="TF28" s="2511"/>
      <c r="TG28" s="2511"/>
      <c r="TH28" s="2511"/>
      <c r="TI28" s="2511"/>
      <c r="TJ28" s="2511"/>
      <c r="TK28" s="2511"/>
      <c r="TL28" s="2511"/>
      <c r="TM28" s="2511"/>
      <c r="TN28" s="2511"/>
      <c r="TO28" s="2511"/>
      <c r="TP28" s="2511"/>
      <c r="TQ28" s="2511"/>
      <c r="TR28" s="2511"/>
      <c r="TS28" s="2511"/>
      <c r="TT28" s="2511"/>
      <c r="TU28" s="2511"/>
      <c r="TV28" s="2511"/>
      <c r="TW28" s="2511"/>
      <c r="TX28" s="2511"/>
      <c r="TY28" s="2511"/>
      <c r="TZ28" s="2511"/>
      <c r="UA28" s="2511"/>
      <c r="UB28" s="2511"/>
      <c r="UC28" s="2511"/>
      <c r="UD28" s="2511"/>
      <c r="UE28" s="2511"/>
      <c r="UF28" s="2511"/>
      <c r="UG28" s="2511"/>
      <c r="UH28" s="2511"/>
      <c r="UI28" s="2511"/>
      <c r="UJ28" s="2511"/>
      <c r="UK28" s="2511"/>
      <c r="UL28" s="2511"/>
      <c r="UM28" s="2511"/>
      <c r="UN28" s="2511"/>
      <c r="UO28" s="2511"/>
      <c r="UP28" s="2511"/>
      <c r="UQ28" s="2511"/>
      <c r="UR28" s="2511"/>
      <c r="US28" s="2511"/>
      <c r="UT28" s="2511"/>
      <c r="UU28" s="2511"/>
      <c r="UV28" s="2511"/>
      <c r="UW28" s="2511"/>
      <c r="UX28" s="2511"/>
      <c r="UY28" s="2511"/>
      <c r="UZ28" s="2511"/>
      <c r="VA28" s="2511"/>
      <c r="VB28" s="2511"/>
      <c r="VC28" s="2511"/>
      <c r="VD28" s="2511"/>
      <c r="VE28" s="2511"/>
      <c r="VF28" s="2511"/>
      <c r="VG28" s="2511"/>
      <c r="VH28" s="2511"/>
      <c r="VI28" s="2511"/>
      <c r="VJ28" s="2511"/>
      <c r="VK28" s="2511"/>
      <c r="VL28" s="2511"/>
      <c r="VM28" s="2511"/>
      <c r="VN28" s="2511"/>
      <c r="VO28" s="2511"/>
      <c r="VP28" s="2511"/>
      <c r="VQ28" s="2511"/>
      <c r="VR28" s="2511"/>
      <c r="VS28" s="2511"/>
      <c r="VT28" s="2511"/>
      <c r="VU28" s="2511"/>
      <c r="VV28" s="2511"/>
      <c r="VW28" s="2511"/>
      <c r="VX28" s="2511"/>
      <c r="VY28" s="2511"/>
      <c r="VZ28" s="2511"/>
      <c r="WA28" s="2511"/>
      <c r="WB28" s="2511"/>
      <c r="WC28" s="2511"/>
      <c r="WD28" s="2511"/>
      <c r="WE28" s="2511"/>
      <c r="WF28" s="2511"/>
      <c r="WG28" s="2511"/>
      <c r="WH28" s="2511"/>
      <c r="WI28" s="2511"/>
      <c r="WJ28" s="2511"/>
      <c r="WK28" s="2511"/>
      <c r="WL28" s="2511"/>
      <c r="WM28" s="2511"/>
      <c r="WN28" s="2511"/>
      <c r="WO28" s="2511"/>
      <c r="WP28" s="2511"/>
      <c r="WQ28" s="2511"/>
      <c r="WR28" s="2511"/>
      <c r="WS28" s="2511"/>
      <c r="WT28" s="2511"/>
      <c r="WU28" s="2511"/>
      <c r="WV28" s="2511"/>
      <c r="WW28" s="2511"/>
      <c r="WX28" s="2511"/>
      <c r="WY28" s="2511"/>
      <c r="WZ28" s="2511"/>
      <c r="XA28" s="2511"/>
      <c r="XB28" s="2511"/>
      <c r="XC28" s="2511"/>
      <c r="XD28" s="2511"/>
      <c r="XE28" s="2511"/>
      <c r="XF28" s="2511"/>
      <c r="XG28" s="2511"/>
      <c r="XH28" s="2511"/>
      <c r="XI28" s="2511"/>
      <c r="XJ28" s="2511"/>
      <c r="XK28" s="2511"/>
      <c r="XL28" s="2511"/>
      <c r="XM28" s="2511"/>
      <c r="XN28" s="2511"/>
      <c r="XO28" s="2511"/>
      <c r="XP28" s="2511"/>
      <c r="XQ28" s="2511"/>
      <c r="XR28" s="2511"/>
      <c r="XS28" s="2511"/>
      <c r="XT28" s="2511"/>
      <c r="XU28" s="2511"/>
      <c r="XV28" s="2511"/>
      <c r="XW28" s="2511"/>
      <c r="XX28" s="2511"/>
      <c r="XY28" s="2511"/>
      <c r="XZ28" s="2511"/>
      <c r="YA28" s="2511"/>
      <c r="YB28" s="2511"/>
      <c r="YC28" s="2511"/>
      <c r="YD28" s="2511"/>
      <c r="YE28" s="2511"/>
      <c r="YF28" s="2511"/>
      <c r="YG28" s="2511"/>
      <c r="YH28" s="2511"/>
      <c r="YI28" s="2511"/>
      <c r="YJ28" s="2511"/>
      <c r="YK28" s="2511"/>
      <c r="YL28" s="2511"/>
      <c r="YM28" s="2511"/>
      <c r="YN28" s="2511"/>
      <c r="YO28" s="2511"/>
      <c r="YP28" s="2511"/>
      <c r="YQ28" s="2511"/>
      <c r="YR28" s="2511"/>
      <c r="YS28" s="2511"/>
      <c r="YT28" s="2511"/>
      <c r="YU28" s="2511"/>
      <c r="YV28" s="2511"/>
      <c r="YW28" s="2511"/>
      <c r="YX28" s="2511"/>
      <c r="YY28" s="2511"/>
      <c r="YZ28" s="2511"/>
      <c r="ZA28" s="2511"/>
      <c r="ZB28" s="2511"/>
      <c r="ZC28" s="2511"/>
      <c r="ZD28" s="2511"/>
      <c r="ZE28" s="2511"/>
      <c r="ZF28" s="2511"/>
      <c r="ZG28" s="2511"/>
      <c r="ZH28" s="2511"/>
      <c r="ZI28" s="2511"/>
      <c r="ZJ28" s="2511"/>
      <c r="ZK28" s="2511"/>
      <c r="ZL28" s="2511"/>
      <c r="ZM28" s="2511"/>
      <c r="ZN28" s="2511"/>
      <c r="ZO28" s="2511"/>
      <c r="ZP28" s="2511"/>
      <c r="ZQ28" s="2511"/>
      <c r="ZR28" s="2511"/>
      <c r="ZS28" s="2511"/>
      <c r="ZT28" s="2511"/>
      <c r="ZU28" s="2511"/>
      <c r="ZV28" s="2511"/>
      <c r="ZW28" s="2511"/>
      <c r="ZX28" s="2511"/>
      <c r="ZY28" s="2511"/>
      <c r="ZZ28" s="2511"/>
      <c r="AAA28" s="2511"/>
      <c r="AAB28" s="2511"/>
      <c r="AAC28" s="2511"/>
      <c r="AAD28" s="2511"/>
      <c r="AAE28" s="2511"/>
      <c r="AAF28" s="2511"/>
      <c r="AAG28" s="2511"/>
      <c r="AAH28" s="2511"/>
      <c r="AAI28" s="2511"/>
      <c r="AAJ28" s="2511"/>
      <c r="AAK28" s="2511"/>
      <c r="AAL28" s="2511"/>
      <c r="AAM28" s="2511"/>
      <c r="AAN28" s="2511"/>
      <c r="AAO28" s="2511"/>
      <c r="AAP28" s="2511"/>
      <c r="AAQ28" s="2511"/>
      <c r="AAR28" s="2511"/>
      <c r="AAS28" s="2511"/>
      <c r="AAT28" s="2511"/>
      <c r="AAU28" s="2511"/>
      <c r="AAV28" s="2511"/>
      <c r="AAW28" s="2511"/>
      <c r="AAX28" s="2511"/>
      <c r="AAY28" s="2511"/>
      <c r="AAZ28" s="2511"/>
      <c r="ABA28" s="2511"/>
      <c r="ABB28" s="2511"/>
      <c r="ABC28" s="2511"/>
      <c r="ABD28" s="2511"/>
      <c r="ABE28" s="2511"/>
      <c r="ABF28" s="2511"/>
      <c r="ABG28" s="2511"/>
      <c r="ABH28" s="2511"/>
      <c r="ABI28" s="2511"/>
      <c r="ABJ28" s="2511"/>
      <c r="ABK28" s="2511"/>
      <c r="ABL28" s="2511"/>
      <c r="ABM28" s="2511"/>
      <c r="ABN28" s="2511"/>
      <c r="ABO28" s="2511"/>
      <c r="ABP28" s="2511"/>
      <c r="ABQ28" s="2511"/>
      <c r="ABR28" s="2511"/>
      <c r="ABS28" s="2511"/>
      <c r="ABT28" s="2511"/>
      <c r="ABU28" s="2511"/>
      <c r="ABV28" s="2511"/>
      <c r="ABW28" s="2511"/>
      <c r="ABX28" s="2511"/>
      <c r="ABY28" s="2511"/>
      <c r="ABZ28" s="2511"/>
      <c r="ACA28" s="2511"/>
      <c r="ACB28" s="2511"/>
      <c r="ACC28" s="2511"/>
      <c r="ACD28" s="2511"/>
      <c r="ACE28" s="2511"/>
      <c r="ACF28" s="2511"/>
      <c r="ACG28" s="2511"/>
      <c r="ACH28" s="2511"/>
      <c r="ACI28" s="2511"/>
      <c r="ACJ28" s="2511"/>
      <c r="ACK28" s="2511"/>
      <c r="ACL28" s="2511"/>
      <c r="ACM28" s="2511"/>
      <c r="ACN28" s="2511"/>
      <c r="ACO28" s="2511"/>
      <c r="ACP28" s="2511"/>
      <c r="ACQ28" s="2511"/>
      <c r="ACR28" s="2511"/>
      <c r="ACS28" s="2511"/>
      <c r="ACT28" s="2511"/>
      <c r="ACU28" s="2511"/>
      <c r="ACV28" s="2511"/>
      <c r="ACW28" s="2511"/>
      <c r="ACX28" s="2511"/>
      <c r="ACY28" s="2511"/>
      <c r="ACZ28" s="2511"/>
      <c r="ADA28" s="2511"/>
      <c r="ADB28" s="2511"/>
      <c r="ADC28" s="2511"/>
      <c r="ADD28" s="2511"/>
      <c r="ADE28" s="2511"/>
      <c r="ADF28" s="2511"/>
      <c r="ADG28" s="2511"/>
      <c r="ADH28" s="2511"/>
      <c r="ADI28" s="2511"/>
      <c r="ADJ28" s="2511"/>
      <c r="ADK28" s="2511"/>
      <c r="ADL28" s="2511"/>
      <c r="ADM28" s="2511"/>
      <c r="ADN28" s="2511"/>
      <c r="ADO28" s="2511"/>
      <c r="ADP28" s="2511"/>
      <c r="ADQ28" s="2511"/>
      <c r="ADR28" s="2511"/>
      <c r="ADS28" s="2511"/>
      <c r="ADT28" s="2511"/>
      <c r="ADU28" s="2511"/>
      <c r="ADV28" s="2511"/>
      <c r="ADW28" s="2511"/>
      <c r="ADX28" s="2511"/>
      <c r="ADY28" s="2511"/>
      <c r="ADZ28" s="2511"/>
      <c r="AEA28" s="2511"/>
      <c r="AEB28" s="2511"/>
      <c r="AEC28" s="2511"/>
      <c r="AED28" s="2511"/>
      <c r="AEE28" s="2511"/>
      <c r="AEF28" s="2511"/>
      <c r="AEG28" s="2511"/>
      <c r="AEH28" s="2511"/>
      <c r="AEI28" s="2511"/>
      <c r="AEJ28" s="2511"/>
      <c r="AEK28" s="2511"/>
      <c r="AEL28" s="2511"/>
      <c r="AEM28" s="2511"/>
      <c r="AEN28" s="2511"/>
      <c r="AEO28" s="2511"/>
      <c r="AEP28" s="2511"/>
      <c r="AEQ28" s="2511"/>
      <c r="AER28" s="2511"/>
      <c r="AES28" s="2511"/>
      <c r="AET28" s="2511"/>
      <c r="AEU28" s="2511"/>
      <c r="AEV28" s="2511"/>
      <c r="AEW28" s="2511"/>
      <c r="AEX28" s="2511"/>
      <c r="AEY28" s="2511"/>
      <c r="AEZ28" s="2511"/>
      <c r="AFA28" s="2511"/>
      <c r="AFB28" s="2511"/>
      <c r="AFC28" s="2511"/>
      <c r="AFD28" s="2511"/>
      <c r="AFE28" s="2511"/>
      <c r="AFF28" s="2511"/>
      <c r="AFG28" s="2511"/>
      <c r="AFH28" s="2511"/>
      <c r="AFI28" s="2511"/>
      <c r="AFJ28" s="2511"/>
      <c r="AFK28" s="2511"/>
      <c r="AFL28" s="2511"/>
      <c r="AFM28" s="2511"/>
      <c r="AFN28" s="2511"/>
      <c r="AFO28" s="2511"/>
      <c r="AFP28" s="2511"/>
      <c r="AFQ28" s="2511"/>
      <c r="AFR28" s="2511"/>
      <c r="AFS28" s="2511"/>
      <c r="AFT28" s="2511"/>
      <c r="AFU28" s="2511"/>
      <c r="AFV28" s="2511"/>
      <c r="AFW28" s="2511"/>
      <c r="AFX28" s="2511"/>
      <c r="AFY28" s="2511"/>
      <c r="AFZ28" s="2511"/>
      <c r="AGA28" s="2511"/>
      <c r="AGB28" s="2511"/>
      <c r="AGC28" s="2511"/>
      <c r="AGD28" s="2511"/>
      <c r="AGE28" s="2511"/>
      <c r="AGF28" s="2511"/>
      <c r="AGG28" s="2511"/>
      <c r="AGH28" s="2511"/>
      <c r="AGI28" s="2511"/>
      <c r="AGJ28" s="2511"/>
      <c r="AGK28" s="2511"/>
      <c r="AGL28" s="2511"/>
      <c r="AGM28" s="2511"/>
      <c r="AGN28" s="2511"/>
      <c r="AGO28" s="2511"/>
      <c r="AGP28" s="2511"/>
      <c r="AGQ28" s="2511"/>
      <c r="AGR28" s="2511"/>
      <c r="AGS28" s="2511"/>
      <c r="AGT28" s="2511"/>
      <c r="AGU28" s="2511"/>
      <c r="AGV28" s="2511"/>
      <c r="AGW28" s="2511"/>
      <c r="AGX28" s="2511"/>
      <c r="AGY28" s="2511"/>
      <c r="AGZ28" s="2511"/>
      <c r="AHA28" s="2511"/>
      <c r="AHB28" s="2511"/>
      <c r="AHC28" s="2511"/>
      <c r="AHD28" s="2511"/>
      <c r="AHE28" s="2511"/>
      <c r="AHF28" s="2511"/>
      <c r="AHG28" s="2511"/>
      <c r="AHH28" s="2511"/>
      <c r="AHI28" s="2511"/>
      <c r="AHJ28" s="2511"/>
      <c r="AHK28" s="2511"/>
      <c r="AHL28" s="2511"/>
      <c r="AHM28" s="2511"/>
      <c r="AHN28" s="2511"/>
      <c r="AHO28" s="2511"/>
      <c r="AHP28" s="2511"/>
      <c r="AHQ28" s="2511"/>
      <c r="AHR28" s="2511"/>
      <c r="AHS28" s="2511"/>
      <c r="AHT28" s="2511"/>
      <c r="AHU28" s="2511"/>
      <c r="AHV28" s="2511"/>
      <c r="AHW28" s="2511"/>
      <c r="AHX28" s="2511"/>
      <c r="AHY28" s="2511"/>
      <c r="AHZ28" s="2511"/>
      <c r="AIA28" s="2511"/>
      <c r="AIB28" s="2511"/>
      <c r="AIC28" s="2511"/>
      <c r="AID28" s="2511"/>
      <c r="AIE28" s="2511"/>
      <c r="AIF28" s="2511"/>
      <c r="AIG28" s="2511"/>
      <c r="AIH28" s="2511"/>
      <c r="AII28" s="2511"/>
      <c r="AIJ28" s="2511"/>
      <c r="AIK28" s="2511"/>
      <c r="AIL28" s="2511"/>
      <c r="AIM28" s="2511"/>
      <c r="AIN28" s="2511"/>
      <c r="AIO28" s="2511"/>
      <c r="AIP28" s="2511"/>
      <c r="AIQ28" s="2511"/>
      <c r="AIR28" s="2511"/>
      <c r="AIS28" s="2511"/>
      <c r="AIT28" s="2511"/>
      <c r="AIU28" s="2511"/>
      <c r="AIV28" s="2511"/>
      <c r="AIW28" s="2511"/>
      <c r="AIX28" s="2511"/>
      <c r="AIY28" s="2511"/>
      <c r="AIZ28" s="2511"/>
      <c r="AJA28" s="2511"/>
      <c r="AJB28" s="2511"/>
      <c r="AJC28" s="2511"/>
      <c r="AJD28" s="2511"/>
      <c r="AJE28" s="2511"/>
      <c r="AJF28" s="2511"/>
      <c r="AJG28" s="2511"/>
      <c r="AJH28" s="2511"/>
      <c r="AJI28" s="2511"/>
      <c r="AJJ28" s="2511"/>
      <c r="AJK28" s="2511"/>
      <c r="AJL28" s="2511"/>
      <c r="AJM28" s="2511"/>
      <c r="AJN28" s="2511"/>
      <c r="AJO28" s="2511"/>
      <c r="AJP28" s="2511"/>
      <c r="AJQ28" s="2511"/>
      <c r="AJR28" s="2511"/>
      <c r="AJS28" s="2511"/>
      <c r="AJT28" s="2511"/>
      <c r="AJU28" s="2511"/>
      <c r="AJV28" s="2511"/>
      <c r="AJW28" s="2511"/>
      <c r="AJX28" s="2511"/>
      <c r="AJY28" s="2511"/>
      <c r="AJZ28" s="2511"/>
      <c r="AKA28" s="2511"/>
      <c r="AKB28" s="2511"/>
      <c r="AKC28" s="2511"/>
      <c r="AKD28" s="2511"/>
      <c r="AKE28" s="2511"/>
      <c r="AKF28" s="2511"/>
      <c r="AKG28" s="2511"/>
      <c r="AKH28" s="2511"/>
      <c r="AKI28" s="2511"/>
      <c r="AKJ28" s="2511"/>
      <c r="AKK28" s="2511"/>
      <c r="AKL28" s="2511"/>
      <c r="AKM28" s="2511"/>
      <c r="AKN28" s="2511"/>
      <c r="AKO28" s="2511"/>
      <c r="AKP28" s="2511"/>
      <c r="AKQ28" s="2511"/>
      <c r="AKR28" s="2511"/>
      <c r="AKS28" s="2511"/>
      <c r="AKT28" s="2511"/>
      <c r="AKU28" s="2511"/>
      <c r="AKV28" s="2511"/>
      <c r="AKW28" s="2511"/>
      <c r="AKX28" s="2511"/>
      <c r="AKY28" s="2511"/>
      <c r="AKZ28" s="2511"/>
      <c r="ALA28" s="2511"/>
      <c r="ALB28" s="2511"/>
      <c r="ALC28" s="2511"/>
      <c r="ALD28" s="2511"/>
      <c r="ALE28" s="2511"/>
      <c r="ALF28" s="2511"/>
      <c r="ALG28" s="2511"/>
      <c r="ALH28" s="2511"/>
      <c r="ALI28" s="2511"/>
      <c r="ALJ28" s="2511"/>
      <c r="ALK28" s="2511"/>
      <c r="ALL28" s="2511"/>
      <c r="ALM28" s="2511"/>
      <c r="ALN28" s="2511"/>
      <c r="ALO28" s="2511"/>
      <c r="ALP28" s="2511"/>
      <c r="ALQ28" s="2511"/>
      <c r="ALR28" s="2511"/>
      <c r="ALS28" s="2511"/>
      <c r="ALT28" s="2511"/>
      <c r="ALU28" s="2511"/>
      <c r="ALV28" s="2511"/>
      <c r="ALW28" s="2511"/>
      <c r="ALX28" s="2511"/>
      <c r="ALY28" s="2511"/>
      <c r="ALZ28" s="2511"/>
      <c r="AMA28" s="2511"/>
      <c r="AMB28" s="2511"/>
      <c r="AMC28" s="2511"/>
      <c r="AMD28" s="2511"/>
      <c r="AME28" s="2511"/>
      <c r="AMF28" s="2511"/>
      <c r="AMG28" s="2511"/>
      <c r="AMH28" s="2511"/>
      <c r="AMI28" s="2511"/>
      <c r="AMJ28" s="2511"/>
      <c r="AMK28" s="2511"/>
      <c r="AML28" s="2511"/>
      <c r="AMM28" s="2511"/>
      <c r="AMN28" s="2511"/>
      <c r="AMO28" s="2511"/>
      <c r="AMP28" s="2511"/>
      <c r="AMQ28" s="2511"/>
      <c r="AMR28" s="2511"/>
      <c r="AMS28" s="2511"/>
      <c r="AMT28" s="2511"/>
      <c r="AMU28" s="2511"/>
      <c r="AMV28" s="2511"/>
      <c r="AMW28" s="2511"/>
      <c r="AMX28" s="2511"/>
      <c r="AMY28" s="2511"/>
      <c r="AMZ28" s="2511"/>
      <c r="ANA28" s="2511"/>
      <c r="ANB28" s="2511"/>
      <c r="ANC28" s="2511"/>
      <c r="AND28" s="2511"/>
      <c r="ANE28" s="2511"/>
      <c r="ANF28" s="2511"/>
      <c r="ANG28" s="2511"/>
      <c r="ANH28" s="2511"/>
      <c r="ANI28" s="2511"/>
      <c r="ANJ28" s="2511"/>
      <c r="ANK28" s="2511"/>
      <c r="ANL28" s="2511"/>
      <c r="ANM28" s="2511"/>
      <c r="ANN28" s="2511"/>
      <c r="ANO28" s="2511"/>
      <c r="ANP28" s="2511"/>
      <c r="ANQ28" s="2511"/>
      <c r="ANR28" s="2511"/>
      <c r="ANS28" s="2511"/>
      <c r="ANT28" s="2511"/>
      <c r="ANU28" s="2511"/>
      <c r="ANV28" s="2511"/>
      <c r="ANW28" s="2511"/>
      <c r="ANX28" s="2511"/>
      <c r="ANY28" s="2511"/>
      <c r="ANZ28" s="2511"/>
      <c r="AOA28" s="2511"/>
      <c r="AOB28" s="2511"/>
      <c r="AOC28" s="2511"/>
      <c r="AOD28" s="2511"/>
      <c r="AOE28" s="2511"/>
      <c r="AOF28" s="2511"/>
      <c r="AOG28" s="2511"/>
      <c r="AOH28" s="2511"/>
      <c r="AOI28" s="2511"/>
      <c r="AOJ28" s="2511"/>
      <c r="AOK28" s="2511"/>
      <c r="AOL28" s="2511"/>
      <c r="AOM28" s="2511"/>
      <c r="AON28" s="2511"/>
      <c r="AOO28" s="2511"/>
      <c r="AOP28" s="2511"/>
      <c r="AOQ28" s="2511"/>
      <c r="AOR28" s="2511"/>
      <c r="AOS28" s="2511"/>
      <c r="AOT28" s="2511"/>
      <c r="AOU28" s="2511"/>
      <c r="AOV28" s="2511"/>
      <c r="AOW28" s="2511"/>
      <c r="AOX28" s="2511"/>
      <c r="AOY28" s="2511"/>
      <c r="AOZ28" s="2511"/>
      <c r="APA28" s="2511"/>
      <c r="APB28" s="2511"/>
      <c r="APC28" s="2511"/>
      <c r="APD28" s="2511"/>
      <c r="APE28" s="2511"/>
      <c r="APF28" s="2511"/>
      <c r="APG28" s="2511"/>
      <c r="APH28" s="2511"/>
      <c r="API28" s="2511"/>
      <c r="APJ28" s="2511"/>
      <c r="APK28" s="2511"/>
      <c r="APL28" s="2511"/>
      <c r="APM28" s="2511"/>
      <c r="APN28" s="2511"/>
      <c r="APO28" s="2511"/>
      <c r="APP28" s="2511"/>
      <c r="APQ28" s="2511"/>
      <c r="APR28" s="2511"/>
      <c r="APS28" s="2511"/>
      <c r="APT28" s="2511"/>
      <c r="APU28" s="2511"/>
      <c r="APV28" s="2511"/>
      <c r="APW28" s="2511"/>
      <c r="APX28" s="2511"/>
      <c r="APY28" s="2511"/>
      <c r="APZ28" s="2511"/>
      <c r="AQA28" s="2511"/>
      <c r="AQB28" s="2511"/>
      <c r="AQC28" s="2511"/>
      <c r="AQD28" s="2511"/>
      <c r="AQE28" s="2511"/>
      <c r="AQF28" s="2511"/>
      <c r="AQG28" s="2511"/>
      <c r="AQH28" s="2511"/>
      <c r="AQI28" s="2511"/>
      <c r="AQJ28" s="2511"/>
      <c r="AQK28" s="2511"/>
      <c r="AQL28" s="2511"/>
      <c r="AQM28" s="2511"/>
      <c r="AQN28" s="2511"/>
      <c r="AQO28" s="2511"/>
      <c r="AQP28" s="2511"/>
      <c r="AQQ28" s="2511"/>
      <c r="AQR28" s="2511"/>
      <c r="AQS28" s="2511"/>
      <c r="AQT28" s="2511"/>
      <c r="AQU28" s="2511"/>
      <c r="AQV28" s="2511"/>
      <c r="AQW28" s="2511"/>
      <c r="AQX28" s="2511"/>
      <c r="AQY28" s="2511"/>
      <c r="AQZ28" s="2511"/>
      <c r="ARA28" s="2511"/>
      <c r="ARB28" s="2511"/>
      <c r="ARC28" s="2511"/>
      <c r="ARD28" s="2511"/>
      <c r="ARE28" s="2511"/>
      <c r="ARF28" s="2511"/>
      <c r="ARG28" s="2511"/>
      <c r="ARH28" s="2511"/>
      <c r="ARI28" s="2511"/>
      <c r="ARJ28" s="2511"/>
      <c r="ARK28" s="2511"/>
      <c r="ARL28" s="2511"/>
      <c r="ARM28" s="2511"/>
      <c r="ARN28" s="2511"/>
      <c r="ARO28" s="2511"/>
      <c r="ARP28" s="2511"/>
      <c r="ARQ28" s="2511"/>
      <c r="ARR28" s="2511"/>
      <c r="ARS28" s="2511"/>
      <c r="ART28" s="2511"/>
      <c r="ARU28" s="2511"/>
      <c r="ARV28" s="2511"/>
      <c r="ARW28" s="2511"/>
      <c r="ARX28" s="2511"/>
      <c r="ARY28" s="2511"/>
      <c r="ARZ28" s="2511"/>
      <c r="ASA28" s="2511"/>
      <c r="ASB28" s="2511"/>
      <c r="ASC28" s="2511"/>
      <c r="ASD28" s="2511"/>
      <c r="ASE28" s="2511"/>
      <c r="ASF28" s="2511"/>
      <c r="ASG28" s="2511"/>
      <c r="ASH28" s="2511"/>
      <c r="ASI28" s="2511"/>
      <c r="ASJ28" s="2511"/>
      <c r="ASK28" s="2511"/>
      <c r="ASL28" s="2511"/>
      <c r="ASM28" s="2511"/>
      <c r="ASN28" s="2511"/>
      <c r="ASO28" s="2511"/>
      <c r="ASP28" s="2511"/>
      <c r="ASQ28" s="2511"/>
      <c r="ASR28" s="2511"/>
      <c r="ASS28" s="2511"/>
      <c r="AST28" s="2511"/>
      <c r="ASU28" s="2511"/>
      <c r="ASV28" s="2511"/>
      <c r="ASW28" s="2511"/>
      <c r="ASX28" s="2511"/>
      <c r="ASY28" s="2511"/>
      <c r="ASZ28" s="2511"/>
      <c r="ATA28" s="2511"/>
      <c r="ATB28" s="2511"/>
      <c r="ATC28" s="2511"/>
      <c r="ATD28" s="2511"/>
      <c r="ATE28" s="2511"/>
      <c r="ATF28" s="2511"/>
      <c r="ATG28" s="2511"/>
      <c r="ATH28" s="2511"/>
      <c r="ATI28" s="2511"/>
      <c r="ATJ28" s="2511"/>
      <c r="ATK28" s="2511"/>
      <c r="ATL28" s="2511"/>
      <c r="ATM28" s="2511"/>
      <c r="ATN28" s="2511"/>
      <c r="ATO28" s="2511"/>
      <c r="ATP28" s="2511"/>
      <c r="ATQ28" s="2511"/>
      <c r="ATR28" s="2511"/>
      <c r="ATS28" s="2511"/>
      <c r="ATT28" s="2511"/>
      <c r="ATU28" s="2511"/>
      <c r="ATV28" s="2511"/>
      <c r="ATW28" s="2511"/>
      <c r="ATX28" s="2511"/>
      <c r="ATY28" s="2511"/>
      <c r="ATZ28" s="2511"/>
      <c r="AUA28" s="2511"/>
      <c r="AUB28" s="2511"/>
      <c r="AUC28" s="2511"/>
      <c r="AUD28" s="2511"/>
      <c r="AUE28" s="2511"/>
      <c r="AUF28" s="2511"/>
      <c r="AUG28" s="2511"/>
      <c r="AUH28" s="2511"/>
      <c r="AUI28" s="2511"/>
      <c r="AUJ28" s="2511"/>
      <c r="AUK28" s="2511"/>
      <c r="AUL28" s="2511"/>
      <c r="AUM28" s="2511"/>
      <c r="AUN28" s="2511"/>
      <c r="AUO28" s="2511"/>
      <c r="AUP28" s="2511"/>
      <c r="AUQ28" s="2511"/>
      <c r="AUR28" s="2511"/>
      <c r="AUS28" s="2511"/>
      <c r="AUT28" s="2511"/>
      <c r="AUU28" s="2511"/>
      <c r="AUV28" s="2511"/>
      <c r="AUW28" s="2511"/>
      <c r="AUX28" s="2511"/>
      <c r="AUY28" s="2511"/>
      <c r="AUZ28" s="2511"/>
      <c r="AVA28" s="2511"/>
      <c r="AVB28" s="2511"/>
      <c r="AVC28" s="2511"/>
      <c r="AVD28" s="2511"/>
      <c r="AVE28" s="2511"/>
      <c r="AVF28" s="2511"/>
      <c r="AVG28" s="2511"/>
      <c r="AVH28" s="2511"/>
      <c r="AVI28" s="2511"/>
      <c r="AVJ28" s="2511"/>
      <c r="AVK28" s="2511"/>
      <c r="AVL28" s="2511"/>
      <c r="AVM28" s="2511"/>
      <c r="AVN28" s="2511"/>
      <c r="AVO28" s="2511"/>
      <c r="AVP28" s="2511"/>
      <c r="AVQ28" s="2511"/>
      <c r="AVR28" s="2511"/>
      <c r="AVS28" s="2511"/>
      <c r="AVT28" s="2511"/>
      <c r="AVU28" s="2511"/>
      <c r="AVV28" s="2511"/>
      <c r="AVW28" s="2511"/>
      <c r="AVX28" s="2511"/>
      <c r="AVY28" s="2511"/>
      <c r="AVZ28" s="2511"/>
      <c r="AWA28" s="2511"/>
      <c r="AWB28" s="2511"/>
      <c r="AWC28" s="2511"/>
      <c r="AWD28" s="2511"/>
      <c r="AWE28" s="2511"/>
      <c r="AWF28" s="2511"/>
      <c r="AWG28" s="2511"/>
      <c r="AWH28" s="2511"/>
      <c r="AWI28" s="2511"/>
      <c r="AWJ28" s="2511"/>
      <c r="AWK28" s="2511"/>
      <c r="AWL28" s="2511"/>
      <c r="AWM28" s="2511"/>
      <c r="AWN28" s="2511"/>
      <c r="AWO28" s="2511"/>
      <c r="AWP28" s="2511"/>
      <c r="AWQ28" s="2511"/>
      <c r="AWR28" s="2511"/>
      <c r="AWS28" s="2511"/>
      <c r="AWT28" s="2511"/>
      <c r="AWU28" s="2511"/>
      <c r="AWV28" s="2511"/>
      <c r="AWW28" s="2511"/>
      <c r="AWX28" s="2511"/>
      <c r="AWY28" s="2511"/>
      <c r="AWZ28" s="2511"/>
      <c r="AXA28" s="2511"/>
      <c r="AXB28" s="2511"/>
      <c r="AXC28" s="2511"/>
      <c r="AXD28" s="2511"/>
      <c r="AXE28" s="2511"/>
      <c r="AXF28" s="2511"/>
      <c r="AXG28" s="2511"/>
      <c r="AXH28" s="2511"/>
      <c r="AXI28" s="2511"/>
      <c r="AXJ28" s="2511"/>
      <c r="AXK28" s="2511"/>
      <c r="AXL28" s="2511"/>
      <c r="AXM28" s="2511"/>
      <c r="AXN28" s="2511"/>
      <c r="AXO28" s="2511"/>
      <c r="AXP28" s="2511"/>
      <c r="AXQ28" s="2511"/>
      <c r="AXR28" s="2511"/>
      <c r="AXS28" s="2511"/>
      <c r="AXT28" s="2511"/>
      <c r="AXU28" s="2511"/>
      <c r="AXV28" s="2511"/>
      <c r="AXW28" s="2511"/>
      <c r="AXX28" s="2511"/>
      <c r="AXY28" s="2511"/>
      <c r="AXZ28" s="2511"/>
      <c r="AYA28" s="2511"/>
      <c r="AYB28" s="2511"/>
      <c r="AYC28" s="2511"/>
      <c r="AYD28" s="2511"/>
      <c r="AYE28" s="2511"/>
      <c r="AYF28" s="2511"/>
      <c r="AYG28" s="2511"/>
      <c r="AYH28" s="2511"/>
      <c r="AYI28" s="2511"/>
      <c r="AYJ28" s="2511"/>
      <c r="AYK28" s="2511"/>
      <c r="AYL28" s="2511"/>
      <c r="AYM28" s="2511"/>
      <c r="AYN28" s="2511"/>
      <c r="AYO28" s="2511"/>
      <c r="AYP28" s="2511"/>
      <c r="AYQ28" s="2511"/>
      <c r="AYR28" s="2511"/>
      <c r="AYS28" s="2511"/>
      <c r="AYT28" s="2511"/>
      <c r="AYU28" s="2511"/>
      <c r="AYV28" s="2511"/>
      <c r="AYW28" s="2511"/>
      <c r="AYX28" s="2511"/>
      <c r="AYY28" s="2511"/>
      <c r="AYZ28" s="2511"/>
      <c r="AZA28" s="2511"/>
      <c r="AZB28" s="2511"/>
      <c r="AZC28" s="2511"/>
      <c r="AZD28" s="2511"/>
      <c r="AZE28" s="2511"/>
      <c r="AZF28" s="2511"/>
      <c r="AZG28" s="2511"/>
      <c r="AZH28" s="2511"/>
      <c r="AZI28" s="2511"/>
      <c r="AZJ28" s="2511"/>
      <c r="AZK28" s="2511"/>
      <c r="AZL28" s="2511"/>
      <c r="AZM28" s="2511"/>
      <c r="AZN28" s="2511"/>
      <c r="AZO28" s="2511"/>
      <c r="AZP28" s="2511"/>
      <c r="AZQ28" s="2511"/>
      <c r="AZR28" s="2511"/>
      <c r="AZS28" s="2511"/>
      <c r="AZT28" s="2511"/>
      <c r="AZU28" s="2511"/>
      <c r="AZV28" s="2511"/>
      <c r="AZW28" s="2511"/>
      <c r="AZX28" s="2511"/>
      <c r="AZY28" s="2511"/>
      <c r="AZZ28" s="2511"/>
      <c r="BAA28" s="2511"/>
      <c r="BAB28" s="2511"/>
      <c r="BAC28" s="2511"/>
      <c r="BAD28" s="2511"/>
      <c r="BAE28" s="2511"/>
      <c r="BAF28" s="2511"/>
      <c r="BAG28" s="2511"/>
      <c r="BAH28" s="2511"/>
      <c r="BAI28" s="2511"/>
      <c r="BAJ28" s="2511"/>
      <c r="BAK28" s="2511"/>
      <c r="BAL28" s="2511"/>
      <c r="BAM28" s="2511"/>
      <c r="BAN28" s="2511"/>
      <c r="BAO28" s="2511"/>
      <c r="BAP28" s="2511"/>
      <c r="BAQ28" s="2511"/>
      <c r="BAR28" s="2511"/>
      <c r="BAS28" s="2511"/>
      <c r="BAT28" s="2511"/>
      <c r="BAU28" s="2511"/>
      <c r="BAV28" s="2511"/>
      <c r="BAW28" s="2511"/>
      <c r="BAX28" s="2511"/>
      <c r="BAY28" s="2511"/>
      <c r="BAZ28" s="2511"/>
      <c r="BBA28" s="2511"/>
      <c r="BBB28" s="2511"/>
      <c r="BBC28" s="2511"/>
      <c r="BBD28" s="2511"/>
      <c r="BBE28" s="2511"/>
      <c r="BBF28" s="2511"/>
      <c r="BBG28" s="2511"/>
      <c r="BBH28" s="2511"/>
      <c r="BBI28" s="2511"/>
      <c r="BBJ28" s="2511"/>
      <c r="BBK28" s="2511"/>
      <c r="BBL28" s="2511"/>
      <c r="BBM28" s="2511"/>
      <c r="BBN28" s="2511"/>
      <c r="BBO28" s="2511"/>
      <c r="BBP28" s="2511"/>
      <c r="BBQ28" s="2511"/>
      <c r="BBR28" s="2511"/>
      <c r="BBS28" s="2511"/>
      <c r="BBT28" s="2511"/>
      <c r="BBU28" s="2511"/>
      <c r="BBV28" s="2511"/>
      <c r="BBW28" s="2511"/>
      <c r="BBX28" s="2511"/>
      <c r="BBY28" s="2511"/>
      <c r="BBZ28" s="2511"/>
      <c r="BCA28" s="2511"/>
      <c r="BCB28" s="2511"/>
      <c r="BCC28" s="2511"/>
      <c r="BCD28" s="2511"/>
      <c r="BCE28" s="2511"/>
      <c r="BCF28" s="2511"/>
      <c r="BCG28" s="2511"/>
      <c r="BCH28" s="2511"/>
      <c r="BCI28" s="2511"/>
      <c r="BCJ28" s="2511"/>
      <c r="BCK28" s="2511"/>
      <c r="BCL28" s="2511"/>
      <c r="BCM28" s="2511"/>
      <c r="BCN28" s="2511"/>
      <c r="BCO28" s="2511"/>
      <c r="BCP28" s="2511"/>
      <c r="BCQ28" s="2511"/>
      <c r="BCR28" s="2511"/>
      <c r="BCS28" s="2511"/>
      <c r="BCT28" s="2511"/>
      <c r="BCU28" s="2511"/>
      <c r="BCV28" s="2511"/>
      <c r="BCW28" s="2511"/>
      <c r="BCX28" s="2511"/>
      <c r="BCY28" s="2511"/>
      <c r="BCZ28" s="2511"/>
      <c r="BDA28" s="2511"/>
      <c r="BDB28" s="2511"/>
      <c r="BDC28" s="2511"/>
      <c r="BDD28" s="2511"/>
      <c r="BDE28" s="2511"/>
      <c r="BDF28" s="2511"/>
      <c r="BDG28" s="2511"/>
      <c r="BDH28" s="2511"/>
      <c r="BDI28" s="2511"/>
      <c r="BDJ28" s="2511"/>
      <c r="BDK28" s="2511"/>
      <c r="BDL28" s="2511"/>
      <c r="BDM28" s="2511"/>
      <c r="BDN28" s="2511"/>
      <c r="BDO28" s="2511"/>
      <c r="BDP28" s="2511"/>
      <c r="BDQ28" s="2511"/>
      <c r="BDR28" s="2511"/>
      <c r="BDS28" s="2511"/>
      <c r="BDT28" s="2511"/>
      <c r="BDU28" s="2511"/>
      <c r="BDV28" s="2511"/>
      <c r="BDW28" s="2511"/>
      <c r="BDX28" s="2511"/>
      <c r="BDY28" s="2511"/>
      <c r="BDZ28" s="2511"/>
      <c r="BEA28" s="2511"/>
      <c r="BEB28" s="2511"/>
      <c r="BEC28" s="2511"/>
      <c r="BED28" s="2511"/>
      <c r="BEE28" s="2511"/>
      <c r="BEF28" s="2511"/>
      <c r="BEG28" s="2511"/>
      <c r="BEH28" s="2511"/>
      <c r="BEI28" s="2511"/>
      <c r="BEJ28" s="2511"/>
      <c r="BEK28" s="2511"/>
      <c r="BEL28" s="2511"/>
      <c r="BEM28" s="2511"/>
      <c r="BEN28" s="2511"/>
      <c r="BEO28" s="2511"/>
      <c r="BEP28" s="2511"/>
      <c r="BEQ28" s="2511"/>
      <c r="BER28" s="2511"/>
      <c r="BES28" s="2511"/>
      <c r="BET28" s="2511"/>
      <c r="BEU28" s="2511"/>
      <c r="BEV28" s="2511"/>
      <c r="BEW28" s="2511"/>
      <c r="BEX28" s="2511"/>
      <c r="BEY28" s="2511"/>
      <c r="BEZ28" s="2511"/>
      <c r="BFA28" s="2511"/>
      <c r="BFB28" s="2511"/>
      <c r="BFC28" s="2511"/>
      <c r="BFD28" s="2511"/>
      <c r="BFE28" s="2511"/>
      <c r="BFF28" s="2511"/>
      <c r="BFG28" s="2511"/>
      <c r="BFH28" s="2511"/>
      <c r="BFI28" s="2511"/>
      <c r="BFJ28" s="2511"/>
      <c r="BFK28" s="2511"/>
      <c r="BFL28" s="2511"/>
      <c r="BFM28" s="2511"/>
      <c r="BFN28" s="2511"/>
      <c r="BFO28" s="2511"/>
      <c r="BFP28" s="2511"/>
      <c r="BFQ28" s="2511"/>
      <c r="BFR28" s="2511"/>
      <c r="BFS28" s="2511"/>
      <c r="BFT28" s="2511"/>
      <c r="BFU28" s="2511"/>
      <c r="BFV28" s="2511"/>
      <c r="BFW28" s="2511"/>
      <c r="BFX28" s="2511"/>
      <c r="BFY28" s="2511"/>
      <c r="BFZ28" s="2511"/>
      <c r="BGA28" s="2511"/>
      <c r="BGB28" s="2511"/>
      <c r="BGC28" s="2511"/>
      <c r="BGD28" s="2511"/>
      <c r="BGE28" s="2511"/>
      <c r="BGF28" s="2511"/>
      <c r="BGG28" s="2511"/>
      <c r="BGH28" s="2511"/>
      <c r="BGI28" s="2511"/>
      <c r="BGJ28" s="2511"/>
      <c r="BGK28" s="2511"/>
      <c r="BGL28" s="2511"/>
      <c r="BGM28" s="2511"/>
      <c r="BGN28" s="2511"/>
      <c r="BGO28" s="2511"/>
      <c r="BGP28" s="2511"/>
      <c r="BGQ28" s="2511"/>
      <c r="BGR28" s="2511"/>
      <c r="BGS28" s="2511"/>
      <c r="BGT28" s="2511"/>
      <c r="BGU28" s="2511"/>
      <c r="BGV28" s="2511"/>
      <c r="BGW28" s="2511"/>
      <c r="BGX28" s="2511"/>
      <c r="BGY28" s="2511"/>
      <c r="BGZ28" s="2511"/>
      <c r="BHA28" s="2511"/>
      <c r="BHB28" s="2511"/>
      <c r="BHC28" s="2511"/>
      <c r="BHD28" s="2511"/>
      <c r="BHE28" s="2511"/>
      <c r="BHF28" s="2511"/>
      <c r="BHG28" s="2511"/>
      <c r="BHH28" s="2511"/>
      <c r="BHI28" s="2511"/>
      <c r="BHJ28" s="2511"/>
      <c r="BHK28" s="2511"/>
      <c r="BHL28" s="2511"/>
      <c r="BHM28" s="2511"/>
      <c r="BHN28" s="2511"/>
      <c r="BHO28" s="2511"/>
      <c r="BHP28" s="2511"/>
      <c r="BHQ28" s="2511"/>
      <c r="BHR28" s="2511"/>
      <c r="BHS28" s="2511"/>
      <c r="BHT28" s="2511"/>
      <c r="BHU28" s="2511"/>
      <c r="BHV28" s="2511"/>
      <c r="BHW28" s="2511"/>
      <c r="BHX28" s="2511"/>
      <c r="BHY28" s="2511"/>
      <c r="BHZ28" s="2511"/>
      <c r="BIA28" s="2511"/>
      <c r="BIB28" s="2511"/>
      <c r="BIC28" s="2511"/>
      <c r="BID28" s="2511"/>
      <c r="BIE28" s="2511"/>
      <c r="BIF28" s="2511"/>
      <c r="BIG28" s="2511"/>
      <c r="BIH28" s="2511"/>
      <c r="BII28" s="2511"/>
      <c r="BIJ28" s="2511"/>
      <c r="BIK28" s="2511"/>
      <c r="BIL28" s="2511"/>
      <c r="BIM28" s="2511"/>
      <c r="BIN28" s="2511"/>
      <c r="BIO28" s="2511"/>
      <c r="BIP28" s="2511"/>
      <c r="BIQ28" s="2511"/>
      <c r="BIR28" s="2511"/>
      <c r="BIS28" s="2511"/>
      <c r="BIT28" s="2511"/>
      <c r="BIU28" s="2511"/>
      <c r="BIV28" s="2511"/>
      <c r="BIW28" s="2511"/>
      <c r="BIX28" s="2511"/>
      <c r="BIY28" s="2511"/>
      <c r="BIZ28" s="2511"/>
      <c r="BJA28" s="2511"/>
      <c r="BJB28" s="2511"/>
      <c r="BJC28" s="2511"/>
      <c r="BJD28" s="2511"/>
      <c r="BJE28" s="2511"/>
      <c r="BJF28" s="2511"/>
      <c r="BJG28" s="2511"/>
      <c r="BJH28" s="2511"/>
      <c r="BJI28" s="2511"/>
      <c r="BJJ28" s="2511"/>
      <c r="BJK28" s="2511"/>
      <c r="BJL28" s="2511"/>
      <c r="BJM28" s="2511"/>
      <c r="BJN28" s="2511"/>
      <c r="BJO28" s="2511"/>
      <c r="BJP28" s="2511"/>
      <c r="BJQ28" s="2511"/>
      <c r="BJR28" s="2511"/>
      <c r="BJS28" s="2511"/>
      <c r="BJT28" s="2511"/>
      <c r="BJU28" s="2511"/>
      <c r="BJV28" s="2511"/>
      <c r="BJW28" s="2511"/>
      <c r="BJX28" s="2511"/>
      <c r="BJY28" s="2511"/>
      <c r="BJZ28" s="2511"/>
      <c r="BKA28" s="2511"/>
      <c r="BKB28" s="2511"/>
      <c r="BKC28" s="2511"/>
      <c r="BKD28" s="2511"/>
      <c r="BKE28" s="2511"/>
      <c r="BKF28" s="2511"/>
      <c r="BKG28" s="2511"/>
      <c r="BKH28" s="2511"/>
      <c r="BKI28" s="2511"/>
      <c r="BKJ28" s="2511"/>
      <c r="BKK28" s="2511"/>
      <c r="BKL28" s="2511"/>
      <c r="BKM28" s="2511"/>
      <c r="BKN28" s="2511"/>
      <c r="BKO28" s="2511"/>
      <c r="BKP28" s="2511"/>
      <c r="BKQ28" s="2511"/>
      <c r="BKR28" s="2511"/>
      <c r="BKS28" s="2511"/>
      <c r="BKT28" s="2511"/>
      <c r="BKU28" s="2511"/>
      <c r="BKV28" s="2511"/>
      <c r="BKW28" s="2511"/>
      <c r="BKX28" s="2511"/>
      <c r="BKY28" s="2511"/>
      <c r="BKZ28" s="2511"/>
      <c r="BLA28" s="2511"/>
      <c r="BLB28" s="2511"/>
      <c r="BLC28" s="2511"/>
      <c r="BLD28" s="2511"/>
      <c r="BLE28" s="2511"/>
      <c r="BLF28" s="2511"/>
      <c r="BLG28" s="2511"/>
      <c r="BLH28" s="2511"/>
      <c r="BLI28" s="2511"/>
      <c r="BLJ28" s="2511"/>
      <c r="BLK28" s="2511"/>
      <c r="BLL28" s="2511"/>
      <c r="BLM28" s="2511"/>
      <c r="BLN28" s="2511"/>
      <c r="BLO28" s="2511"/>
      <c r="BLP28" s="2511"/>
      <c r="BLQ28" s="2511"/>
      <c r="BLR28" s="2511"/>
      <c r="BLS28" s="2511"/>
      <c r="BLT28" s="2511"/>
      <c r="BLU28" s="2511"/>
      <c r="BLV28" s="2511"/>
      <c r="BLW28" s="2511"/>
      <c r="BLX28" s="2511"/>
      <c r="BLY28" s="2511"/>
      <c r="BLZ28" s="2511"/>
      <c r="BMA28" s="2511"/>
      <c r="BMB28" s="2511"/>
      <c r="BMC28" s="2511"/>
      <c r="BMD28" s="2511"/>
      <c r="BME28" s="2511"/>
      <c r="BMF28" s="2511"/>
      <c r="BMG28" s="2511"/>
      <c r="BMH28" s="2511"/>
      <c r="BMI28" s="2511"/>
      <c r="BMJ28" s="2511"/>
      <c r="BMK28" s="2511"/>
      <c r="BML28" s="2511"/>
      <c r="BMM28" s="2511"/>
      <c r="BMN28" s="2511"/>
      <c r="BMO28" s="2511"/>
      <c r="BMP28" s="2511"/>
      <c r="BMQ28" s="2511"/>
      <c r="BMR28" s="2511"/>
      <c r="BMS28" s="2511"/>
      <c r="BMT28" s="2511"/>
      <c r="BMU28" s="2511"/>
      <c r="BMV28" s="2511"/>
      <c r="BMW28" s="2511"/>
      <c r="BMX28" s="2511"/>
      <c r="BMY28" s="2511"/>
      <c r="BMZ28" s="2511"/>
      <c r="BNA28" s="2511"/>
      <c r="BNB28" s="2511"/>
      <c r="BNC28" s="2511"/>
      <c r="BND28" s="2511"/>
      <c r="BNE28" s="2511"/>
      <c r="BNF28" s="2511"/>
      <c r="BNG28" s="2511"/>
      <c r="BNH28" s="2511"/>
      <c r="BNI28" s="2511"/>
      <c r="BNJ28" s="2511"/>
      <c r="BNK28" s="2511"/>
      <c r="BNL28" s="2511"/>
      <c r="BNM28" s="2511"/>
      <c r="BNN28" s="2511"/>
      <c r="BNO28" s="2511"/>
      <c r="BNP28" s="2511"/>
      <c r="BNQ28" s="2511"/>
      <c r="BNR28" s="2511"/>
      <c r="BNS28" s="2511"/>
      <c r="BNT28" s="2511"/>
      <c r="BNU28" s="2511"/>
      <c r="BNV28" s="2511"/>
      <c r="BNW28" s="2511"/>
      <c r="BNX28" s="2511"/>
      <c r="BNY28" s="2511"/>
      <c r="BNZ28" s="2511"/>
      <c r="BOA28" s="2511"/>
      <c r="BOB28" s="2511"/>
      <c r="BOC28" s="2511"/>
      <c r="BOD28" s="2511"/>
      <c r="BOE28" s="2511"/>
      <c r="BOF28" s="2511"/>
      <c r="BOG28" s="2511"/>
      <c r="BOH28" s="2511"/>
      <c r="BOI28" s="2511"/>
      <c r="BOJ28" s="2511"/>
      <c r="BOK28" s="2511"/>
      <c r="BOL28" s="2511"/>
      <c r="BOM28" s="2511"/>
      <c r="BON28" s="2511"/>
      <c r="BOO28" s="2511"/>
      <c r="BOP28" s="2511"/>
      <c r="BOQ28" s="2511"/>
      <c r="BOR28" s="2511"/>
      <c r="BOS28" s="2511"/>
      <c r="BOT28" s="2511"/>
      <c r="BOU28" s="2511"/>
      <c r="BOV28" s="2511"/>
      <c r="BOW28" s="2511"/>
      <c r="BOX28" s="2511"/>
      <c r="BOY28" s="2511"/>
      <c r="BOZ28" s="2511"/>
      <c r="BPA28" s="2511"/>
      <c r="BPB28" s="2511"/>
      <c r="BPC28" s="2511"/>
      <c r="BPD28" s="2511"/>
      <c r="BPE28" s="2511"/>
      <c r="BPF28" s="2511"/>
      <c r="BPG28" s="2511"/>
      <c r="BPH28" s="2511"/>
      <c r="BPI28" s="2511"/>
      <c r="BPJ28" s="2511"/>
      <c r="BPK28" s="2511"/>
      <c r="BPL28" s="2511"/>
      <c r="BPM28" s="2511"/>
      <c r="BPN28" s="2511"/>
      <c r="BPO28" s="2511"/>
      <c r="BPP28" s="2511"/>
      <c r="BPQ28" s="2511"/>
      <c r="BPR28" s="2511"/>
      <c r="BPS28" s="2511"/>
      <c r="BPT28" s="2511"/>
      <c r="BPU28" s="2511"/>
      <c r="BPV28" s="2511"/>
      <c r="BPW28" s="2511"/>
      <c r="BPX28" s="2511"/>
      <c r="BPY28" s="2511"/>
      <c r="BPZ28" s="2511"/>
      <c r="BQA28" s="2511"/>
      <c r="BQB28" s="2511"/>
      <c r="BQC28" s="2511"/>
      <c r="BQD28" s="2511"/>
      <c r="BQE28" s="2511"/>
      <c r="BQF28" s="2511"/>
      <c r="BQG28" s="2511"/>
      <c r="BQH28" s="2511"/>
      <c r="BQI28" s="2511"/>
      <c r="BQJ28" s="2511"/>
      <c r="BQK28" s="2511"/>
      <c r="BQL28" s="2511"/>
      <c r="BQM28" s="2511"/>
      <c r="BQN28" s="2511"/>
      <c r="BQO28" s="2511"/>
      <c r="BQP28" s="2511"/>
      <c r="BQQ28" s="2511"/>
      <c r="BQR28" s="2511"/>
      <c r="BQS28" s="2511"/>
      <c r="BQT28" s="2511"/>
      <c r="BQU28" s="2511"/>
      <c r="BQV28" s="2511"/>
      <c r="BQW28" s="2511"/>
      <c r="BQX28" s="2511"/>
      <c r="BQY28" s="2511"/>
      <c r="BQZ28" s="2511"/>
      <c r="BRA28" s="2511"/>
      <c r="BRB28" s="2511"/>
      <c r="BRC28" s="2511"/>
      <c r="BRD28" s="2511"/>
      <c r="BRE28" s="2511"/>
      <c r="BRF28" s="2511"/>
      <c r="BRG28" s="2511"/>
      <c r="BRH28" s="2511"/>
      <c r="BRI28" s="2511"/>
      <c r="BRJ28" s="2511"/>
      <c r="BRK28" s="2511"/>
      <c r="BRL28" s="2511"/>
      <c r="BRM28" s="2511"/>
      <c r="BRN28" s="2511"/>
      <c r="BRO28" s="2511"/>
      <c r="BRP28" s="2511"/>
      <c r="BRQ28" s="2511"/>
      <c r="BRR28" s="2511"/>
      <c r="BRS28" s="2511"/>
      <c r="BRT28" s="2511"/>
      <c r="BRU28" s="2511"/>
      <c r="BRV28" s="2511"/>
      <c r="BRW28" s="2511"/>
      <c r="BRX28" s="2511"/>
      <c r="BRY28" s="2511"/>
      <c r="BRZ28" s="2511"/>
      <c r="BSA28" s="2511"/>
      <c r="BSB28" s="2511"/>
      <c r="BSC28" s="2511"/>
      <c r="BSD28" s="2511"/>
      <c r="BSE28" s="2511"/>
      <c r="BSF28" s="2511"/>
      <c r="BSG28" s="2511"/>
      <c r="BSH28" s="2511"/>
      <c r="BSI28" s="2511"/>
      <c r="BSJ28" s="2511"/>
      <c r="BSK28" s="2511"/>
      <c r="BSL28" s="2511"/>
      <c r="BSM28" s="2511"/>
      <c r="BSN28" s="2511"/>
      <c r="BSO28" s="2511"/>
      <c r="BSP28" s="2511"/>
      <c r="BSQ28" s="2511"/>
      <c r="BSR28" s="2511"/>
      <c r="BSS28" s="2511"/>
      <c r="BST28" s="2511"/>
      <c r="BSU28" s="2511"/>
      <c r="BSV28" s="2511"/>
      <c r="BSW28" s="2511"/>
      <c r="BSX28" s="2511"/>
      <c r="BSY28" s="2511"/>
      <c r="BSZ28" s="2511"/>
      <c r="BTA28" s="2511"/>
      <c r="BTB28" s="2511"/>
      <c r="BTC28" s="2511"/>
      <c r="BTD28" s="2511"/>
      <c r="BTE28" s="2511"/>
      <c r="BTF28" s="2511"/>
      <c r="BTG28" s="2511"/>
      <c r="BTH28" s="2511"/>
      <c r="BTI28" s="2511"/>
      <c r="BTJ28" s="2511"/>
      <c r="BTK28" s="2511"/>
      <c r="BTL28" s="2511"/>
      <c r="BTM28" s="2511"/>
      <c r="BTN28" s="2511"/>
      <c r="BTO28" s="2511"/>
      <c r="BTP28" s="2511"/>
      <c r="BTQ28" s="2511"/>
      <c r="BTR28" s="2511"/>
      <c r="BTS28" s="2511"/>
      <c r="BTT28" s="2511"/>
      <c r="BTU28" s="2511"/>
      <c r="BTV28" s="2511"/>
      <c r="BTW28" s="2511"/>
      <c r="BTX28" s="2511"/>
      <c r="BTY28" s="2511"/>
      <c r="BTZ28" s="2511"/>
      <c r="BUA28" s="2511"/>
      <c r="BUB28" s="2511"/>
      <c r="BUC28" s="2511"/>
      <c r="BUD28" s="2511"/>
      <c r="BUE28" s="2511"/>
      <c r="BUF28" s="2511"/>
      <c r="BUG28" s="2511"/>
      <c r="BUH28" s="2511"/>
      <c r="BUI28" s="2511"/>
      <c r="BUJ28" s="2511"/>
      <c r="BUK28" s="2511"/>
      <c r="BUL28" s="2511"/>
      <c r="BUM28" s="2511"/>
      <c r="BUN28" s="2511"/>
      <c r="BUO28" s="2511"/>
      <c r="BUP28" s="2511"/>
      <c r="BUQ28" s="2511"/>
      <c r="BUR28" s="2511"/>
      <c r="BUS28" s="2511"/>
      <c r="BUT28" s="2511"/>
      <c r="BUU28" s="2511"/>
      <c r="BUV28" s="2511"/>
      <c r="BUW28" s="2511"/>
      <c r="BUX28" s="2511"/>
      <c r="BUY28" s="2511"/>
      <c r="BUZ28" s="2511"/>
      <c r="BVA28" s="2511"/>
      <c r="BVB28" s="2511"/>
      <c r="BVC28" s="2511"/>
      <c r="BVD28" s="2511"/>
      <c r="BVE28" s="2511"/>
      <c r="BVF28" s="2511"/>
      <c r="BVG28" s="2511"/>
      <c r="BVH28" s="2511"/>
      <c r="BVI28" s="2511"/>
      <c r="BVJ28" s="2511"/>
      <c r="BVK28" s="2511"/>
      <c r="BVL28" s="2511"/>
      <c r="BVM28" s="2511"/>
      <c r="BVN28" s="2511"/>
      <c r="BVO28" s="2511"/>
      <c r="BVP28" s="2511"/>
      <c r="BVQ28" s="2511"/>
      <c r="BVR28" s="2511"/>
      <c r="BVS28" s="2511"/>
      <c r="BVT28" s="2511"/>
      <c r="BVU28" s="2511"/>
      <c r="BVV28" s="2511"/>
      <c r="BVW28" s="2511"/>
      <c r="BVX28" s="2511"/>
      <c r="BVY28" s="2511"/>
      <c r="BVZ28" s="2511"/>
      <c r="BWA28" s="2511"/>
      <c r="BWB28" s="2511"/>
      <c r="BWC28" s="2511"/>
      <c r="BWD28" s="2511"/>
      <c r="BWE28" s="2511"/>
      <c r="BWF28" s="2511"/>
      <c r="BWG28" s="2511"/>
      <c r="BWH28" s="2511"/>
      <c r="BWI28" s="2511"/>
      <c r="BWJ28" s="2511"/>
      <c r="BWK28" s="2511"/>
      <c r="BWL28" s="2511"/>
      <c r="BWM28" s="2511"/>
      <c r="BWN28" s="2511"/>
      <c r="BWO28" s="2511"/>
      <c r="BWP28" s="2511"/>
      <c r="BWQ28" s="2511"/>
      <c r="BWR28" s="2511"/>
      <c r="BWS28" s="2511"/>
      <c r="BWT28" s="2511"/>
      <c r="BWU28" s="2511"/>
      <c r="BWV28" s="2511"/>
      <c r="BWW28" s="2511"/>
      <c r="BWX28" s="2511"/>
      <c r="BWY28" s="2511"/>
      <c r="BWZ28" s="2511"/>
      <c r="BXA28" s="2511"/>
      <c r="BXB28" s="2511"/>
      <c r="BXC28" s="2511"/>
      <c r="BXD28" s="2511"/>
      <c r="BXE28" s="2511"/>
      <c r="BXF28" s="2511"/>
      <c r="BXG28" s="2511"/>
      <c r="BXH28" s="2511"/>
      <c r="BXI28" s="2511"/>
      <c r="BXJ28" s="2511"/>
      <c r="BXK28" s="2511"/>
      <c r="BXL28" s="2511"/>
      <c r="BXM28" s="2511"/>
      <c r="BXN28" s="2511"/>
      <c r="BXO28" s="2511"/>
      <c r="BXP28" s="2511"/>
      <c r="BXQ28" s="2511"/>
      <c r="BXR28" s="2511"/>
      <c r="BXS28" s="2511"/>
      <c r="BXT28" s="2511"/>
      <c r="BXU28" s="2511"/>
      <c r="BXV28" s="2511"/>
      <c r="BXW28" s="2511"/>
      <c r="BXX28" s="2511"/>
      <c r="BXY28" s="2511"/>
      <c r="BXZ28" s="2511"/>
      <c r="BYA28" s="2511"/>
      <c r="BYB28" s="2511"/>
      <c r="BYC28" s="2511"/>
      <c r="BYD28" s="2511"/>
      <c r="BYE28" s="2511"/>
      <c r="BYF28" s="2511"/>
      <c r="BYG28" s="2511"/>
      <c r="BYH28" s="2511"/>
      <c r="BYI28" s="2511"/>
      <c r="BYJ28" s="2511"/>
      <c r="BYK28" s="2511"/>
      <c r="BYL28" s="2511"/>
      <c r="BYM28" s="2511"/>
      <c r="BYN28" s="2511"/>
      <c r="BYO28" s="2511"/>
      <c r="BYP28" s="2511"/>
      <c r="BYQ28" s="2511"/>
      <c r="BYR28" s="2511"/>
      <c r="BYS28" s="2511"/>
      <c r="BYT28" s="2511"/>
      <c r="BYU28" s="2511"/>
      <c r="BYV28" s="2511"/>
      <c r="BYW28" s="2511"/>
      <c r="BYX28" s="2511"/>
      <c r="BYY28" s="2511"/>
      <c r="BYZ28" s="2511"/>
      <c r="BZA28" s="2511"/>
      <c r="BZB28" s="2511"/>
      <c r="BZC28" s="2511"/>
      <c r="BZD28" s="2511"/>
      <c r="BZE28" s="2511"/>
      <c r="BZF28" s="2511"/>
      <c r="BZG28" s="2511"/>
      <c r="BZH28" s="2511"/>
      <c r="BZI28" s="2511"/>
      <c r="BZJ28" s="2511"/>
      <c r="BZK28" s="2511"/>
      <c r="BZL28" s="2511"/>
      <c r="BZM28" s="2511"/>
      <c r="BZN28" s="2511"/>
      <c r="BZO28" s="2511"/>
      <c r="BZP28" s="2511"/>
      <c r="BZQ28" s="2511"/>
      <c r="BZR28" s="2511"/>
      <c r="BZS28" s="2511"/>
      <c r="BZT28" s="2511"/>
      <c r="BZU28" s="2511"/>
      <c r="BZV28" s="2511"/>
      <c r="BZW28" s="2511"/>
      <c r="BZX28" s="2511"/>
      <c r="BZY28" s="2511"/>
      <c r="BZZ28" s="2511"/>
      <c r="CAA28" s="2511"/>
      <c r="CAB28" s="2511"/>
      <c r="CAC28" s="2511"/>
      <c r="CAD28" s="2511"/>
      <c r="CAE28" s="2511"/>
      <c r="CAF28" s="2511"/>
      <c r="CAG28" s="2511"/>
      <c r="CAH28" s="2511"/>
      <c r="CAI28" s="2511"/>
      <c r="CAJ28" s="2511"/>
      <c r="CAK28" s="2511"/>
      <c r="CAL28" s="2511"/>
      <c r="CAM28" s="2511"/>
      <c r="CAN28" s="2511"/>
      <c r="CAO28" s="2511"/>
      <c r="CAP28" s="2511"/>
      <c r="CAQ28" s="2511"/>
      <c r="CAR28" s="2511"/>
      <c r="CAS28" s="2511"/>
      <c r="CAT28" s="2511"/>
      <c r="CAU28" s="2511"/>
      <c r="CAV28" s="2511"/>
      <c r="CAW28" s="2511"/>
      <c r="CAX28" s="2511"/>
      <c r="CAY28" s="2511"/>
      <c r="CAZ28" s="2511"/>
      <c r="CBA28" s="2511"/>
      <c r="CBB28" s="2511"/>
      <c r="CBC28" s="2511"/>
      <c r="CBD28" s="2511"/>
      <c r="CBE28" s="2511"/>
      <c r="CBF28" s="2511"/>
      <c r="CBG28" s="2511"/>
      <c r="CBH28" s="2511"/>
      <c r="CBI28" s="2511"/>
      <c r="CBJ28" s="2511"/>
      <c r="CBK28" s="2511"/>
      <c r="CBL28" s="2511"/>
      <c r="CBM28" s="2511"/>
      <c r="CBN28" s="2511"/>
      <c r="CBO28" s="2511"/>
      <c r="CBP28" s="2511"/>
      <c r="CBQ28" s="2511"/>
      <c r="CBR28" s="2511"/>
      <c r="CBS28" s="2511"/>
      <c r="CBT28" s="2511"/>
      <c r="CBU28" s="2511"/>
      <c r="CBV28" s="2511"/>
      <c r="CBW28" s="2511"/>
      <c r="CBX28" s="2511"/>
      <c r="CBY28" s="2511"/>
      <c r="CBZ28" s="2511"/>
      <c r="CCA28" s="2511"/>
      <c r="CCB28" s="2511"/>
      <c r="CCC28" s="2511"/>
      <c r="CCD28" s="2511"/>
      <c r="CCE28" s="2511"/>
      <c r="CCF28" s="2511"/>
      <c r="CCG28" s="2511"/>
      <c r="CCH28" s="2511"/>
      <c r="CCI28" s="2511"/>
      <c r="CCJ28" s="2511"/>
      <c r="CCK28" s="2511"/>
      <c r="CCL28" s="2511"/>
      <c r="CCM28" s="2511"/>
      <c r="CCN28" s="2511"/>
      <c r="CCO28" s="2511"/>
      <c r="CCP28" s="2511"/>
      <c r="CCQ28" s="2511"/>
      <c r="CCR28" s="2511"/>
      <c r="CCS28" s="2511"/>
      <c r="CCT28" s="2511"/>
      <c r="CCU28" s="2511"/>
      <c r="CCV28" s="2511"/>
      <c r="CCW28" s="2511"/>
      <c r="CCX28" s="2511"/>
      <c r="CCY28" s="2511"/>
      <c r="CCZ28" s="2511"/>
      <c r="CDA28" s="2511"/>
      <c r="CDB28" s="2511"/>
      <c r="CDC28" s="2511"/>
      <c r="CDD28" s="2511"/>
      <c r="CDE28" s="2511"/>
      <c r="CDF28" s="2511"/>
      <c r="CDG28" s="2511"/>
      <c r="CDH28" s="2511"/>
      <c r="CDI28" s="2511"/>
      <c r="CDJ28" s="2511"/>
      <c r="CDK28" s="2511"/>
      <c r="CDL28" s="2511"/>
      <c r="CDM28" s="2511"/>
      <c r="CDN28" s="2511"/>
      <c r="CDO28" s="2511"/>
      <c r="CDP28" s="2511"/>
      <c r="CDQ28" s="2511"/>
      <c r="CDR28" s="2511"/>
      <c r="CDS28" s="2511"/>
      <c r="CDT28" s="2511"/>
      <c r="CDU28" s="2511"/>
      <c r="CDV28" s="2511"/>
      <c r="CDW28" s="2511"/>
      <c r="CDX28" s="2511"/>
      <c r="CDY28" s="2511"/>
      <c r="CDZ28" s="2511"/>
      <c r="CEA28" s="2511"/>
      <c r="CEB28" s="2511"/>
      <c r="CEC28" s="2511"/>
      <c r="CED28" s="2511"/>
      <c r="CEE28" s="2511"/>
      <c r="CEF28" s="2511"/>
      <c r="CEG28" s="2511"/>
      <c r="CEH28" s="2511"/>
      <c r="CEI28" s="2511"/>
      <c r="CEJ28" s="2511"/>
      <c r="CEK28" s="2511"/>
      <c r="CEL28" s="2511"/>
      <c r="CEM28" s="2511"/>
      <c r="CEN28" s="2511"/>
      <c r="CEO28" s="2511"/>
      <c r="CEP28" s="2511"/>
      <c r="CEQ28" s="2511"/>
      <c r="CER28" s="2511"/>
      <c r="CES28" s="2511"/>
      <c r="CET28" s="2511"/>
      <c r="CEU28" s="2511"/>
      <c r="CEV28" s="2511"/>
      <c r="CEW28" s="2511"/>
      <c r="CEX28" s="2511"/>
      <c r="CEY28" s="2511"/>
      <c r="CEZ28" s="2511"/>
      <c r="CFA28" s="2511"/>
      <c r="CFB28" s="2511"/>
      <c r="CFC28" s="2511"/>
      <c r="CFD28" s="2511"/>
      <c r="CFE28" s="2511"/>
      <c r="CFF28" s="2511"/>
      <c r="CFG28" s="2511"/>
      <c r="CFH28" s="2511"/>
      <c r="CFI28" s="2511"/>
      <c r="CFJ28" s="2511"/>
      <c r="CFK28" s="2511"/>
      <c r="CFL28" s="2511"/>
      <c r="CFM28" s="2511"/>
      <c r="CFN28" s="2511"/>
      <c r="CFO28" s="2511"/>
      <c r="CFP28" s="2511"/>
      <c r="CFQ28" s="2511"/>
      <c r="CFR28" s="2511"/>
      <c r="CFS28" s="2511"/>
      <c r="CFT28" s="2511"/>
      <c r="CFU28" s="2511"/>
      <c r="CFV28" s="2511"/>
      <c r="CFW28" s="2511"/>
      <c r="CFX28" s="2511"/>
      <c r="CFY28" s="2511"/>
      <c r="CFZ28" s="2511"/>
      <c r="CGA28" s="2511"/>
      <c r="CGB28" s="2511"/>
      <c r="CGC28" s="2511"/>
      <c r="CGD28" s="2511"/>
      <c r="CGE28" s="2511"/>
      <c r="CGF28" s="2511"/>
      <c r="CGG28" s="2511"/>
      <c r="CGH28" s="2511"/>
      <c r="CGI28" s="2511"/>
      <c r="CGJ28" s="2511"/>
      <c r="CGK28" s="2511"/>
      <c r="CGL28" s="2511"/>
      <c r="CGM28" s="2511"/>
      <c r="CGN28" s="2511"/>
      <c r="CGO28" s="2511"/>
      <c r="CGP28" s="2511"/>
      <c r="CGQ28" s="2511"/>
      <c r="CGR28" s="2511"/>
      <c r="CGS28" s="2511"/>
      <c r="CGT28" s="2511"/>
      <c r="CGU28" s="2511"/>
      <c r="CGV28" s="2511"/>
      <c r="CGW28" s="2511"/>
      <c r="CGX28" s="2511"/>
      <c r="CGY28" s="2511"/>
      <c r="CGZ28" s="2511"/>
      <c r="CHA28" s="2511"/>
      <c r="CHB28" s="2511"/>
      <c r="CHC28" s="2511"/>
      <c r="CHD28" s="2511"/>
      <c r="CHE28" s="2511"/>
      <c r="CHF28" s="2511"/>
      <c r="CHG28" s="2511"/>
      <c r="CHH28" s="2511"/>
      <c r="CHI28" s="2511"/>
      <c r="CHJ28" s="2511"/>
      <c r="CHK28" s="2511"/>
      <c r="CHL28" s="2511"/>
      <c r="CHM28" s="2511"/>
      <c r="CHN28" s="2511"/>
      <c r="CHO28" s="2511"/>
      <c r="CHP28" s="2511"/>
      <c r="CHQ28" s="2511"/>
      <c r="CHR28" s="2511"/>
      <c r="CHS28" s="2511"/>
      <c r="CHT28" s="2511"/>
      <c r="CHU28" s="2511"/>
      <c r="CHV28" s="2511"/>
      <c r="CHW28" s="2511"/>
      <c r="CHX28" s="2511"/>
      <c r="CHY28" s="2511"/>
      <c r="CHZ28" s="2511"/>
      <c r="CIA28" s="2511"/>
      <c r="CIB28" s="2511"/>
      <c r="CIC28" s="2511"/>
      <c r="CID28" s="2511"/>
      <c r="CIE28" s="2511"/>
      <c r="CIF28" s="2511"/>
      <c r="CIG28" s="2511"/>
      <c r="CIH28" s="2511"/>
      <c r="CII28" s="2511"/>
      <c r="CIJ28" s="2511"/>
      <c r="CIK28" s="2511"/>
      <c r="CIL28" s="2511"/>
      <c r="CIM28" s="2511"/>
      <c r="CIN28" s="2511"/>
      <c r="CIO28" s="2511"/>
      <c r="CIP28" s="2511"/>
      <c r="CIQ28" s="2511"/>
      <c r="CIR28" s="2511"/>
      <c r="CIS28" s="2511"/>
      <c r="CIT28" s="2511"/>
      <c r="CIU28" s="2511"/>
      <c r="CIV28" s="2511"/>
      <c r="CIW28" s="2511"/>
      <c r="CIX28" s="2511"/>
      <c r="CIY28" s="2511"/>
      <c r="CIZ28" s="2511"/>
      <c r="CJA28" s="2511"/>
      <c r="CJB28" s="2511"/>
      <c r="CJC28" s="2511"/>
      <c r="CJD28" s="2511"/>
      <c r="CJE28" s="2511"/>
      <c r="CJF28" s="2511"/>
      <c r="CJG28" s="2511"/>
      <c r="CJH28" s="2511"/>
      <c r="CJI28" s="2511"/>
      <c r="CJJ28" s="2511"/>
      <c r="CJK28" s="2511"/>
      <c r="CJL28" s="2511"/>
      <c r="CJM28" s="2511"/>
      <c r="CJN28" s="2511"/>
      <c r="CJO28" s="2511"/>
      <c r="CJP28" s="2511"/>
      <c r="CJQ28" s="2511"/>
      <c r="CJR28" s="2511"/>
      <c r="CJS28" s="2511"/>
      <c r="CJT28" s="2511"/>
      <c r="CJU28" s="2511"/>
      <c r="CJV28" s="2511"/>
      <c r="CJW28" s="2511"/>
      <c r="CJX28" s="2511"/>
      <c r="CJY28" s="2511"/>
      <c r="CJZ28" s="2511"/>
      <c r="CKA28" s="2511"/>
      <c r="CKB28" s="2511"/>
      <c r="CKC28" s="2511"/>
      <c r="CKD28" s="2511"/>
      <c r="CKE28" s="2511"/>
      <c r="CKF28" s="2511"/>
      <c r="CKG28" s="2511"/>
      <c r="CKH28" s="2511"/>
      <c r="CKI28" s="2511"/>
      <c r="CKJ28" s="2511"/>
      <c r="CKK28" s="2511"/>
      <c r="CKL28" s="2511"/>
      <c r="CKM28" s="2511"/>
      <c r="CKN28" s="2511"/>
      <c r="CKO28" s="2511"/>
      <c r="CKP28" s="2511"/>
      <c r="CKQ28" s="2511"/>
      <c r="CKR28" s="2511"/>
      <c r="CKS28" s="2511"/>
      <c r="CKT28" s="2511"/>
      <c r="CKU28" s="2511"/>
      <c r="CKV28" s="2511"/>
      <c r="CKW28" s="2511"/>
      <c r="CKX28" s="2511"/>
      <c r="CKY28" s="2511"/>
      <c r="CKZ28" s="2511"/>
      <c r="CLA28" s="2511"/>
      <c r="CLB28" s="2511"/>
      <c r="CLC28" s="2511"/>
      <c r="CLD28" s="2511"/>
      <c r="CLE28" s="2511"/>
      <c r="CLF28" s="2511"/>
      <c r="CLG28" s="2511"/>
      <c r="CLH28" s="2511"/>
      <c r="CLI28" s="2511"/>
      <c r="CLJ28" s="2511"/>
      <c r="CLK28" s="2511"/>
      <c r="CLL28" s="2511"/>
      <c r="CLM28" s="2511"/>
      <c r="CLN28" s="2511"/>
      <c r="CLO28" s="2511"/>
      <c r="CLP28" s="2511"/>
      <c r="CLQ28" s="2511"/>
      <c r="CLR28" s="2511"/>
      <c r="CLS28" s="2511"/>
      <c r="CLT28" s="2511"/>
      <c r="CLU28" s="2511"/>
      <c r="CLV28" s="2511"/>
      <c r="CLW28" s="2511"/>
      <c r="CLX28" s="2511"/>
      <c r="CLY28" s="2511"/>
      <c r="CLZ28" s="2511"/>
      <c r="CMA28" s="2511"/>
      <c r="CMB28" s="2511"/>
      <c r="CMC28" s="2511"/>
      <c r="CMD28" s="2511"/>
      <c r="CME28" s="2511"/>
      <c r="CMF28" s="2511"/>
      <c r="CMG28" s="2511"/>
      <c r="CMH28" s="2511"/>
      <c r="CMI28" s="2511"/>
      <c r="CMJ28" s="2511"/>
      <c r="CMK28" s="2511"/>
      <c r="CML28" s="2511"/>
      <c r="CMM28" s="2511"/>
      <c r="CMN28" s="2511"/>
      <c r="CMO28" s="2511"/>
      <c r="CMP28" s="2511"/>
      <c r="CMQ28" s="2511"/>
      <c r="CMR28" s="2511"/>
      <c r="CMS28" s="2511"/>
      <c r="CMT28" s="2511"/>
      <c r="CMU28" s="2511"/>
      <c r="CMV28" s="2511"/>
      <c r="CMW28" s="2511"/>
      <c r="CMX28" s="2511"/>
      <c r="CMY28" s="2511"/>
      <c r="CMZ28" s="2511"/>
      <c r="CNA28" s="2511"/>
      <c r="CNB28" s="2511"/>
      <c r="CNC28" s="2511"/>
      <c r="CND28" s="2511"/>
      <c r="CNE28" s="2511"/>
      <c r="CNF28" s="2511"/>
      <c r="CNG28" s="2511"/>
      <c r="CNH28" s="2511"/>
      <c r="CNI28" s="2511"/>
      <c r="CNJ28" s="2511"/>
      <c r="CNK28" s="2511"/>
      <c r="CNL28" s="2511"/>
      <c r="CNM28" s="2511"/>
      <c r="CNN28" s="2511"/>
      <c r="CNO28" s="2511"/>
      <c r="CNP28" s="2511"/>
      <c r="CNQ28" s="2511"/>
      <c r="CNR28" s="2511"/>
      <c r="CNS28" s="2511"/>
      <c r="CNT28" s="2511"/>
      <c r="CNU28" s="2511"/>
      <c r="CNV28" s="2511"/>
      <c r="CNW28" s="2511"/>
      <c r="CNX28" s="2511"/>
      <c r="CNY28" s="2511"/>
      <c r="CNZ28" s="2511"/>
      <c r="COA28" s="2511"/>
      <c r="COB28" s="2511"/>
      <c r="COC28" s="2511"/>
      <c r="COD28" s="2511"/>
      <c r="COE28" s="2511"/>
      <c r="COF28" s="2511"/>
      <c r="COG28" s="2511"/>
      <c r="COH28" s="2511"/>
      <c r="COI28" s="2511"/>
      <c r="COJ28" s="2511"/>
      <c r="COK28" s="2511"/>
      <c r="COL28" s="2511"/>
      <c r="COM28" s="2511"/>
      <c r="CON28" s="2511"/>
      <c r="COO28" s="2511"/>
      <c r="COP28" s="2511"/>
      <c r="COQ28" s="2511"/>
      <c r="COR28" s="2511"/>
      <c r="COS28" s="2511"/>
      <c r="COT28" s="2511"/>
      <c r="COU28" s="2511"/>
      <c r="COV28" s="2511"/>
      <c r="COW28" s="2511"/>
      <c r="COX28" s="2511"/>
      <c r="COY28" s="2511"/>
      <c r="COZ28" s="2511"/>
      <c r="CPA28" s="2511"/>
      <c r="CPB28" s="2511"/>
      <c r="CPC28" s="2511"/>
      <c r="CPD28" s="2511"/>
      <c r="CPE28" s="2511"/>
      <c r="CPF28" s="2511"/>
      <c r="CPG28" s="2511"/>
      <c r="CPH28" s="2511"/>
      <c r="CPI28" s="2511"/>
      <c r="CPJ28" s="2511"/>
      <c r="CPK28" s="2511"/>
      <c r="CPL28" s="2511"/>
      <c r="CPM28" s="2511"/>
      <c r="CPN28" s="2511"/>
      <c r="CPO28" s="2511"/>
      <c r="CPP28" s="2511"/>
      <c r="CPQ28" s="2511"/>
      <c r="CPR28" s="2511"/>
      <c r="CPS28" s="2511"/>
      <c r="CPT28" s="2511"/>
      <c r="CPU28" s="2511"/>
      <c r="CPV28" s="2511"/>
      <c r="CPW28" s="2511"/>
      <c r="CPX28" s="2511"/>
      <c r="CPY28" s="2511"/>
      <c r="CPZ28" s="2511"/>
      <c r="CQA28" s="2511"/>
      <c r="CQB28" s="2511"/>
      <c r="CQC28" s="2511"/>
      <c r="CQD28" s="2511"/>
      <c r="CQE28" s="2511"/>
      <c r="CQF28" s="2511"/>
      <c r="CQG28" s="2511"/>
      <c r="CQH28" s="2511"/>
      <c r="CQI28" s="2511"/>
      <c r="CQJ28" s="2511"/>
      <c r="CQK28" s="2511"/>
      <c r="CQL28" s="2511"/>
      <c r="CQM28" s="2511"/>
      <c r="CQN28" s="2511"/>
      <c r="CQO28" s="2511"/>
      <c r="CQP28" s="2511"/>
      <c r="CQQ28" s="2511"/>
      <c r="CQR28" s="2511"/>
      <c r="CQS28" s="2511"/>
      <c r="CQT28" s="2511"/>
      <c r="CQU28" s="2511"/>
      <c r="CQV28" s="2511"/>
      <c r="CQW28" s="2511"/>
      <c r="CQX28" s="2511"/>
      <c r="CQY28" s="2511"/>
      <c r="CQZ28" s="2511"/>
      <c r="CRA28" s="2511"/>
      <c r="CRB28" s="2511"/>
      <c r="CRC28" s="2511"/>
      <c r="CRD28" s="2511"/>
      <c r="CRE28" s="2511"/>
      <c r="CRF28" s="2511"/>
      <c r="CRG28" s="2511"/>
      <c r="CRH28" s="2511"/>
      <c r="CRI28" s="2511"/>
      <c r="CRJ28" s="2511"/>
      <c r="CRK28" s="2511"/>
      <c r="CRL28" s="2511"/>
      <c r="CRM28" s="2511"/>
      <c r="CRN28" s="2511"/>
      <c r="CRO28" s="2511"/>
      <c r="CRP28" s="2511"/>
      <c r="CRQ28" s="2511"/>
      <c r="CRR28" s="2511"/>
      <c r="CRS28" s="2511"/>
      <c r="CRT28" s="2511"/>
      <c r="CRU28" s="2511"/>
      <c r="CRV28" s="2511"/>
      <c r="CRW28" s="2511"/>
      <c r="CRX28" s="2511"/>
      <c r="CRY28" s="2511"/>
      <c r="CRZ28" s="2511"/>
      <c r="CSA28" s="2511"/>
      <c r="CSB28" s="2511"/>
      <c r="CSC28" s="2511"/>
      <c r="CSD28" s="2511"/>
      <c r="CSE28" s="2511"/>
      <c r="CSF28" s="2511"/>
      <c r="CSG28" s="2511"/>
      <c r="CSH28" s="2511"/>
      <c r="CSI28" s="2511"/>
      <c r="CSJ28" s="2511"/>
      <c r="CSK28" s="2511"/>
      <c r="CSL28" s="2511"/>
      <c r="CSM28" s="2511"/>
      <c r="CSN28" s="2511"/>
      <c r="CSO28" s="2511"/>
      <c r="CSP28" s="2511"/>
      <c r="CSQ28" s="2511"/>
      <c r="CSR28" s="2511"/>
      <c r="CSS28" s="2511"/>
      <c r="CST28" s="2511"/>
      <c r="CSU28" s="2511"/>
      <c r="CSV28" s="2511"/>
      <c r="CSW28" s="2511"/>
      <c r="CSX28" s="2511"/>
      <c r="CSY28" s="2511"/>
      <c r="CSZ28" s="2511"/>
      <c r="CTA28" s="2511"/>
      <c r="CTB28" s="2511"/>
      <c r="CTC28" s="2511"/>
      <c r="CTD28" s="2511"/>
      <c r="CTE28" s="2511"/>
      <c r="CTF28" s="2511"/>
      <c r="CTG28" s="2511"/>
      <c r="CTH28" s="2511"/>
      <c r="CTI28" s="2511"/>
      <c r="CTJ28" s="2511"/>
      <c r="CTK28" s="2511"/>
      <c r="CTL28" s="2511"/>
      <c r="CTM28" s="2511"/>
      <c r="CTN28" s="2511"/>
      <c r="CTO28" s="2511"/>
      <c r="CTP28" s="2511"/>
      <c r="CTQ28" s="2511"/>
      <c r="CTR28" s="2511"/>
      <c r="CTS28" s="2511"/>
      <c r="CTT28" s="2511"/>
      <c r="CTU28" s="2511"/>
      <c r="CTV28" s="2511"/>
      <c r="CTW28" s="2511"/>
      <c r="CTX28" s="2511"/>
      <c r="CTY28" s="2511"/>
      <c r="CTZ28" s="2511"/>
      <c r="CUA28" s="2511"/>
      <c r="CUB28" s="2511"/>
      <c r="CUC28" s="2511"/>
      <c r="CUD28" s="2511"/>
      <c r="CUE28" s="2511"/>
      <c r="CUF28" s="2511"/>
      <c r="CUG28" s="2511"/>
      <c r="CUH28" s="2511"/>
      <c r="CUI28" s="2511"/>
      <c r="CUJ28" s="2511"/>
      <c r="CUK28" s="2511"/>
      <c r="CUL28" s="2511"/>
      <c r="CUM28" s="2511"/>
      <c r="CUN28" s="2511"/>
      <c r="CUO28" s="2511"/>
      <c r="CUP28" s="2511"/>
      <c r="CUQ28" s="2511"/>
      <c r="CUR28" s="2511"/>
      <c r="CUS28" s="2511"/>
      <c r="CUT28" s="2511"/>
      <c r="CUU28" s="2511"/>
      <c r="CUV28" s="2511"/>
      <c r="CUW28" s="2511"/>
      <c r="CUX28" s="2511"/>
      <c r="CUY28" s="2511"/>
      <c r="CUZ28" s="2511"/>
      <c r="CVA28" s="2511"/>
      <c r="CVB28" s="2511"/>
      <c r="CVC28" s="2511"/>
      <c r="CVD28" s="2511"/>
      <c r="CVE28" s="2511"/>
      <c r="CVF28" s="2511"/>
      <c r="CVG28" s="2511"/>
      <c r="CVH28" s="2511"/>
      <c r="CVI28" s="2511"/>
      <c r="CVJ28" s="2511"/>
      <c r="CVK28" s="2511"/>
      <c r="CVL28" s="2511"/>
      <c r="CVM28" s="2511"/>
      <c r="CVN28" s="2511"/>
      <c r="CVO28" s="2511"/>
      <c r="CVP28" s="2511"/>
      <c r="CVQ28" s="2511"/>
      <c r="CVR28" s="2511"/>
      <c r="CVS28" s="2511"/>
      <c r="CVT28" s="2511"/>
      <c r="CVU28" s="2511"/>
      <c r="CVV28" s="2511"/>
      <c r="CVW28" s="2511"/>
      <c r="CVX28" s="2511"/>
      <c r="CVY28" s="2511"/>
      <c r="CVZ28" s="2511"/>
      <c r="CWA28" s="2511"/>
      <c r="CWB28" s="2511"/>
      <c r="CWC28" s="2511"/>
      <c r="CWD28" s="2511"/>
      <c r="CWE28" s="2511"/>
      <c r="CWF28" s="2511"/>
      <c r="CWG28" s="2511"/>
      <c r="CWH28" s="2511"/>
      <c r="CWI28" s="2511"/>
      <c r="CWJ28" s="2511"/>
      <c r="CWK28" s="2511"/>
      <c r="CWL28" s="2511"/>
      <c r="CWM28" s="2511"/>
      <c r="CWN28" s="2511"/>
      <c r="CWO28" s="2511"/>
      <c r="CWP28" s="2511"/>
      <c r="CWQ28" s="2511"/>
      <c r="CWR28" s="2511"/>
      <c r="CWS28" s="2511"/>
      <c r="CWT28" s="2511"/>
      <c r="CWU28" s="2511"/>
      <c r="CWV28" s="2511"/>
      <c r="CWW28" s="2511"/>
      <c r="CWX28" s="2511"/>
      <c r="CWY28" s="2511"/>
      <c r="CWZ28" s="2511"/>
      <c r="CXA28" s="2511"/>
      <c r="CXB28" s="2511"/>
      <c r="CXC28" s="2511"/>
      <c r="CXD28" s="2511"/>
      <c r="CXE28" s="2511"/>
      <c r="CXF28" s="2511"/>
      <c r="CXG28" s="2511"/>
      <c r="CXH28" s="2511"/>
      <c r="CXI28" s="2511"/>
      <c r="CXJ28" s="2511"/>
      <c r="CXK28" s="2511"/>
      <c r="CXL28" s="2511"/>
      <c r="CXM28" s="2511"/>
      <c r="CXN28" s="2511"/>
      <c r="CXO28" s="2511"/>
      <c r="CXP28" s="2511"/>
      <c r="CXQ28" s="2511"/>
      <c r="CXR28" s="2511"/>
      <c r="CXS28" s="2511"/>
      <c r="CXT28" s="2511"/>
      <c r="CXU28" s="2511"/>
      <c r="CXV28" s="2511"/>
      <c r="CXW28" s="2511"/>
      <c r="CXX28" s="2511"/>
      <c r="CXY28" s="2511"/>
      <c r="CXZ28" s="2511"/>
      <c r="CYA28" s="2511"/>
      <c r="CYB28" s="2511"/>
      <c r="CYC28" s="2511"/>
      <c r="CYD28" s="2511"/>
      <c r="CYE28" s="2511"/>
      <c r="CYF28" s="2511"/>
      <c r="CYG28" s="2511"/>
      <c r="CYH28" s="2511"/>
      <c r="CYI28" s="2511"/>
      <c r="CYJ28" s="2511"/>
      <c r="CYK28" s="2511"/>
      <c r="CYL28" s="2511"/>
      <c r="CYM28" s="2511"/>
      <c r="CYN28" s="2511"/>
      <c r="CYO28" s="2511"/>
      <c r="CYP28" s="2511"/>
      <c r="CYQ28" s="2511"/>
      <c r="CYR28" s="2511"/>
      <c r="CYS28" s="2511"/>
      <c r="CYT28" s="2511"/>
      <c r="CYU28" s="2511"/>
      <c r="CYV28" s="2511"/>
      <c r="CYW28" s="2511"/>
      <c r="CYX28" s="2511"/>
      <c r="CYY28" s="2511"/>
      <c r="CYZ28" s="2511"/>
      <c r="CZA28" s="2511"/>
      <c r="CZB28" s="2511"/>
      <c r="CZC28" s="2511"/>
      <c r="CZD28" s="2511"/>
      <c r="CZE28" s="2511"/>
      <c r="CZF28" s="2511"/>
      <c r="CZG28" s="2511"/>
      <c r="CZH28" s="2511"/>
      <c r="CZI28" s="2511"/>
      <c r="CZJ28" s="2511"/>
      <c r="CZK28" s="2511"/>
      <c r="CZL28" s="2511"/>
      <c r="CZM28" s="2511"/>
      <c r="CZN28" s="2511"/>
      <c r="CZO28" s="2511"/>
      <c r="CZP28" s="2511"/>
      <c r="CZQ28" s="2511"/>
      <c r="CZR28" s="2511"/>
      <c r="CZS28" s="2511"/>
      <c r="CZT28" s="2511"/>
      <c r="CZU28" s="2511"/>
      <c r="CZV28" s="2511"/>
      <c r="CZW28" s="2511"/>
      <c r="CZX28" s="2511"/>
      <c r="CZY28" s="2511"/>
      <c r="CZZ28" s="2511"/>
      <c r="DAA28" s="2511"/>
      <c r="DAB28" s="2511"/>
      <c r="DAC28" s="2511"/>
      <c r="DAD28" s="2511"/>
      <c r="DAE28" s="2511"/>
      <c r="DAF28" s="2511"/>
      <c r="DAG28" s="2511"/>
      <c r="DAH28" s="2511"/>
      <c r="DAI28" s="2511"/>
      <c r="DAJ28" s="2511"/>
      <c r="DAK28" s="2511"/>
      <c r="DAL28" s="2511"/>
      <c r="DAM28" s="2511"/>
      <c r="DAN28" s="2511"/>
      <c r="DAO28" s="2511"/>
      <c r="DAP28" s="2511"/>
      <c r="DAQ28" s="2511"/>
      <c r="DAR28" s="2511"/>
      <c r="DAS28" s="2511"/>
      <c r="DAT28" s="2511"/>
      <c r="DAU28" s="2511"/>
      <c r="DAV28" s="2511"/>
      <c r="DAW28" s="2511"/>
      <c r="DAX28" s="2511"/>
      <c r="DAY28" s="2511"/>
      <c r="DAZ28" s="2511"/>
      <c r="DBA28" s="2511"/>
      <c r="DBB28" s="2511"/>
      <c r="DBC28" s="2511"/>
      <c r="DBD28" s="2511"/>
      <c r="DBE28" s="2511"/>
      <c r="DBF28" s="2511"/>
      <c r="DBG28" s="2511"/>
      <c r="DBH28" s="2511"/>
      <c r="DBI28" s="2511"/>
      <c r="DBJ28" s="2511"/>
      <c r="DBK28" s="2511"/>
      <c r="DBL28" s="2511"/>
      <c r="DBM28" s="2511"/>
      <c r="DBN28" s="2511"/>
      <c r="DBO28" s="2511"/>
      <c r="DBP28" s="2511"/>
      <c r="DBQ28" s="2511"/>
      <c r="DBR28" s="2511"/>
      <c r="DBS28" s="2511"/>
      <c r="DBT28" s="2511"/>
      <c r="DBU28" s="2511"/>
      <c r="DBV28" s="2511"/>
      <c r="DBW28" s="2511"/>
      <c r="DBX28" s="2511"/>
      <c r="DBY28" s="2511"/>
      <c r="DBZ28" s="2511"/>
      <c r="DCA28" s="2511"/>
      <c r="DCB28" s="2511"/>
      <c r="DCC28" s="2511"/>
      <c r="DCD28" s="2511"/>
      <c r="DCE28" s="2511"/>
      <c r="DCF28" s="2511"/>
      <c r="DCG28" s="2511"/>
      <c r="DCH28" s="2511"/>
      <c r="DCI28" s="2511"/>
      <c r="DCJ28" s="2511"/>
      <c r="DCK28" s="2511"/>
      <c r="DCL28" s="2511"/>
      <c r="DCM28" s="2511"/>
      <c r="DCN28" s="2511"/>
      <c r="DCO28" s="2511"/>
      <c r="DCP28" s="2511"/>
      <c r="DCQ28" s="2511"/>
      <c r="DCR28" s="2511"/>
      <c r="DCS28" s="2511"/>
      <c r="DCT28" s="2511"/>
      <c r="DCU28" s="2511"/>
      <c r="DCV28" s="2511"/>
      <c r="DCW28" s="2511"/>
      <c r="DCX28" s="2511"/>
      <c r="DCY28" s="2511"/>
      <c r="DCZ28" s="2511"/>
      <c r="DDA28" s="2511"/>
      <c r="DDB28" s="2511"/>
      <c r="DDC28" s="2511"/>
      <c r="DDD28" s="2511"/>
      <c r="DDE28" s="2511"/>
      <c r="DDF28" s="2511"/>
      <c r="DDG28" s="2511"/>
      <c r="DDH28" s="2511"/>
      <c r="DDI28" s="2511"/>
      <c r="DDJ28" s="2511"/>
      <c r="DDK28" s="2511"/>
      <c r="DDL28" s="2511"/>
      <c r="DDM28" s="2511"/>
      <c r="DDN28" s="2511"/>
      <c r="DDO28" s="2511"/>
      <c r="DDP28" s="2511"/>
      <c r="DDQ28" s="2511"/>
      <c r="DDR28" s="2511"/>
      <c r="DDS28" s="2511"/>
      <c r="DDT28" s="2511"/>
      <c r="DDU28" s="2511"/>
      <c r="DDV28" s="2511"/>
      <c r="DDW28" s="2511"/>
      <c r="DDX28" s="2511"/>
      <c r="DDY28" s="2511"/>
      <c r="DDZ28" s="2511"/>
      <c r="DEA28" s="2511"/>
      <c r="DEB28" s="2511"/>
      <c r="DEC28" s="2511"/>
      <c r="DED28" s="2511"/>
      <c r="DEE28" s="2511"/>
      <c r="DEF28" s="2511"/>
      <c r="DEG28" s="2511"/>
      <c r="DEH28" s="2511"/>
      <c r="DEI28" s="2511"/>
      <c r="DEJ28" s="2511"/>
      <c r="DEK28" s="2511"/>
      <c r="DEL28" s="2511"/>
      <c r="DEM28" s="2511"/>
      <c r="DEN28" s="2511"/>
      <c r="DEO28" s="2511"/>
      <c r="DEP28" s="2511"/>
      <c r="DEQ28" s="2511"/>
      <c r="DER28" s="2511"/>
      <c r="DES28" s="2511"/>
      <c r="DET28" s="2511"/>
      <c r="DEU28" s="2511"/>
      <c r="DEV28" s="2511"/>
      <c r="DEW28" s="2511"/>
      <c r="DEX28" s="2511"/>
      <c r="DEY28" s="2511"/>
      <c r="DEZ28" s="2511"/>
      <c r="DFA28" s="2511"/>
      <c r="DFB28" s="2511"/>
      <c r="DFC28" s="2511"/>
      <c r="DFD28" s="2511"/>
      <c r="DFE28" s="2511"/>
      <c r="DFF28" s="2511"/>
      <c r="DFG28" s="2511"/>
      <c r="DFH28" s="2511"/>
      <c r="DFI28" s="2511"/>
      <c r="DFJ28" s="2511"/>
      <c r="DFK28" s="2511"/>
      <c r="DFL28" s="2511"/>
      <c r="DFM28" s="2511"/>
      <c r="DFN28" s="2511"/>
      <c r="DFO28" s="2511"/>
      <c r="DFP28" s="2511"/>
      <c r="DFQ28" s="2511"/>
      <c r="DFR28" s="2511"/>
      <c r="DFS28" s="2511"/>
      <c r="DFT28" s="2511"/>
      <c r="DFU28" s="2511"/>
      <c r="DFV28" s="2511"/>
      <c r="DFW28" s="2511"/>
      <c r="DFX28" s="2511"/>
      <c r="DFY28" s="2511"/>
      <c r="DFZ28" s="2511"/>
      <c r="DGA28" s="2511"/>
      <c r="DGB28" s="2511"/>
      <c r="DGC28" s="2511"/>
      <c r="DGD28" s="2511"/>
      <c r="DGE28" s="2511"/>
      <c r="DGF28" s="2511"/>
      <c r="DGG28" s="2511"/>
      <c r="DGH28" s="2511"/>
      <c r="DGI28" s="2511"/>
      <c r="DGJ28" s="2511"/>
      <c r="DGK28" s="2511"/>
      <c r="DGL28" s="2511"/>
      <c r="DGM28" s="2511"/>
      <c r="DGN28" s="2511"/>
      <c r="DGO28" s="2511"/>
      <c r="DGP28" s="2511"/>
      <c r="DGQ28" s="2511"/>
      <c r="DGR28" s="2511"/>
      <c r="DGS28" s="2511"/>
      <c r="DGT28" s="2511"/>
      <c r="DGU28" s="2511"/>
      <c r="DGV28" s="2511"/>
      <c r="DGW28" s="2511"/>
      <c r="DGX28" s="2511"/>
      <c r="DGY28" s="2511"/>
      <c r="DGZ28" s="2511"/>
      <c r="DHA28" s="2511"/>
      <c r="DHB28" s="2511"/>
      <c r="DHC28" s="2511"/>
      <c r="DHD28" s="2511"/>
      <c r="DHE28" s="2511"/>
      <c r="DHF28" s="2511"/>
      <c r="DHG28" s="2511"/>
      <c r="DHH28" s="2511"/>
      <c r="DHI28" s="2511"/>
      <c r="DHJ28" s="2511"/>
      <c r="DHK28" s="2511"/>
      <c r="DHL28" s="2511"/>
      <c r="DHM28" s="2511"/>
      <c r="DHN28" s="2511"/>
      <c r="DHO28" s="2511"/>
      <c r="DHP28" s="2511"/>
      <c r="DHQ28" s="2511"/>
      <c r="DHR28" s="2511"/>
      <c r="DHS28" s="2511"/>
      <c r="DHT28" s="2511"/>
      <c r="DHU28" s="2511"/>
      <c r="DHV28" s="2511"/>
      <c r="DHW28" s="2511"/>
      <c r="DHX28" s="2511"/>
      <c r="DHY28" s="2511"/>
      <c r="DHZ28" s="2511"/>
      <c r="DIA28" s="2511"/>
      <c r="DIB28" s="2511"/>
      <c r="DIC28" s="2511"/>
      <c r="DID28" s="2511"/>
      <c r="DIE28" s="2511"/>
      <c r="DIF28" s="2511"/>
      <c r="DIG28" s="2511"/>
      <c r="DIH28" s="2511"/>
      <c r="DII28" s="2511"/>
      <c r="DIJ28" s="2511"/>
      <c r="DIK28" s="2511"/>
      <c r="DIL28" s="2511"/>
      <c r="DIM28" s="2511"/>
      <c r="DIN28" s="2511"/>
      <c r="DIO28" s="2511"/>
      <c r="DIP28" s="2511"/>
      <c r="DIQ28" s="2511"/>
      <c r="DIR28" s="2511"/>
      <c r="DIS28" s="2511"/>
      <c r="DIT28" s="2511"/>
      <c r="DIU28" s="2511"/>
      <c r="DIV28" s="2511"/>
      <c r="DIW28" s="2511"/>
      <c r="DIX28" s="2511"/>
      <c r="DIY28" s="2511"/>
      <c r="DIZ28" s="2511"/>
      <c r="DJA28" s="2511"/>
      <c r="DJB28" s="2511"/>
      <c r="DJC28" s="2511"/>
      <c r="DJD28" s="2511"/>
      <c r="DJE28" s="2511"/>
      <c r="DJF28" s="2511"/>
      <c r="DJG28" s="2511"/>
      <c r="DJH28" s="2511"/>
      <c r="DJI28" s="2511"/>
      <c r="DJJ28" s="2511"/>
      <c r="DJK28" s="2511"/>
      <c r="DJL28" s="2511"/>
      <c r="DJM28" s="2511"/>
      <c r="DJN28" s="2511"/>
      <c r="DJO28" s="2511"/>
      <c r="DJP28" s="2511"/>
      <c r="DJQ28" s="2511"/>
      <c r="DJR28" s="2511"/>
      <c r="DJS28" s="2511"/>
      <c r="DJT28" s="2511"/>
      <c r="DJU28" s="2511"/>
      <c r="DJV28" s="2511"/>
      <c r="DJW28" s="2511"/>
      <c r="DJX28" s="2511"/>
      <c r="DJY28" s="2511"/>
      <c r="DJZ28" s="2511"/>
      <c r="DKA28" s="2511"/>
      <c r="DKB28" s="2511"/>
      <c r="DKC28" s="2511"/>
      <c r="DKD28" s="2511"/>
      <c r="DKE28" s="2511"/>
      <c r="DKF28" s="2511"/>
      <c r="DKG28" s="2511"/>
      <c r="DKH28" s="2511"/>
      <c r="DKI28" s="2511"/>
      <c r="DKJ28" s="2511"/>
      <c r="DKK28" s="2511"/>
      <c r="DKL28" s="2511"/>
      <c r="DKM28" s="2511"/>
      <c r="DKN28" s="2511"/>
      <c r="DKO28" s="2511"/>
      <c r="DKP28" s="2511"/>
      <c r="DKQ28" s="2511"/>
      <c r="DKR28" s="2511"/>
      <c r="DKS28" s="2511"/>
      <c r="DKT28" s="2511"/>
      <c r="DKU28" s="2511"/>
      <c r="DKV28" s="2511"/>
      <c r="DKW28" s="2511"/>
      <c r="DKX28" s="2511"/>
      <c r="DKY28" s="2511"/>
      <c r="DKZ28" s="2511"/>
      <c r="DLA28" s="2511"/>
      <c r="DLB28" s="2511"/>
      <c r="DLC28" s="2511"/>
      <c r="DLD28" s="2511"/>
      <c r="DLE28" s="2511"/>
      <c r="DLF28" s="2511"/>
      <c r="DLG28" s="2511"/>
      <c r="DLH28" s="2511"/>
      <c r="DLI28" s="2511"/>
      <c r="DLJ28" s="2511"/>
      <c r="DLK28" s="2511"/>
      <c r="DLL28" s="2511"/>
      <c r="DLM28" s="2511"/>
      <c r="DLN28" s="2511"/>
      <c r="DLO28" s="2511"/>
      <c r="DLP28" s="2511"/>
      <c r="DLQ28" s="2511"/>
      <c r="DLR28" s="2511"/>
      <c r="DLS28" s="2511"/>
      <c r="DLT28" s="2511"/>
      <c r="DLU28" s="2511"/>
      <c r="DLV28" s="2511"/>
      <c r="DLW28" s="2511"/>
      <c r="DLX28" s="2511"/>
      <c r="DLY28" s="2511"/>
      <c r="DLZ28" s="2511"/>
      <c r="DMA28" s="2511"/>
      <c r="DMB28" s="2511"/>
      <c r="DMC28" s="2511"/>
      <c r="DMD28" s="2511"/>
      <c r="DME28" s="2511"/>
      <c r="DMF28" s="2511"/>
      <c r="DMG28" s="2511"/>
      <c r="DMH28" s="2511"/>
      <c r="DMI28" s="2511"/>
      <c r="DMJ28" s="2511"/>
      <c r="DMK28" s="2511"/>
      <c r="DML28" s="2511"/>
      <c r="DMM28" s="2511"/>
      <c r="DMN28" s="2511"/>
      <c r="DMO28" s="2511"/>
      <c r="DMP28" s="2511"/>
      <c r="DMQ28" s="2511"/>
      <c r="DMR28" s="2511"/>
      <c r="DMS28" s="2511"/>
      <c r="DMT28" s="2511"/>
      <c r="DMU28" s="2511"/>
      <c r="DMV28" s="2511"/>
      <c r="DMW28" s="2511"/>
      <c r="DMX28" s="2511"/>
      <c r="DMY28" s="2511"/>
      <c r="DMZ28" s="2511"/>
      <c r="DNA28" s="2511"/>
      <c r="DNB28" s="2511"/>
      <c r="DNC28" s="2511"/>
      <c r="DND28" s="2511"/>
      <c r="DNE28" s="2511"/>
      <c r="DNF28" s="2511"/>
      <c r="DNG28" s="2511"/>
      <c r="DNH28" s="2511"/>
      <c r="DNI28" s="2511"/>
      <c r="DNJ28" s="2511"/>
      <c r="DNK28" s="2511"/>
      <c r="DNL28" s="2511"/>
      <c r="DNM28" s="2511"/>
      <c r="DNN28" s="2511"/>
      <c r="DNO28" s="2511"/>
      <c r="DNP28" s="2511"/>
      <c r="DNQ28" s="2511"/>
      <c r="DNR28" s="2511"/>
      <c r="DNS28" s="2511"/>
      <c r="DNT28" s="2511"/>
      <c r="DNU28" s="2511"/>
      <c r="DNV28" s="2511"/>
      <c r="DNW28" s="2511"/>
      <c r="DNX28" s="2511"/>
      <c r="DNY28" s="2511"/>
      <c r="DNZ28" s="2511"/>
      <c r="DOA28" s="2511"/>
      <c r="DOB28" s="2511"/>
      <c r="DOC28" s="2511"/>
      <c r="DOD28" s="2511"/>
      <c r="DOE28" s="2511"/>
      <c r="DOF28" s="2511"/>
      <c r="DOG28" s="2511"/>
      <c r="DOH28" s="2511"/>
      <c r="DOI28" s="2511"/>
      <c r="DOJ28" s="2511"/>
      <c r="DOK28" s="2511"/>
      <c r="DOL28" s="2511"/>
      <c r="DOM28" s="2511"/>
      <c r="DON28" s="2511"/>
      <c r="DOO28" s="2511"/>
      <c r="DOP28" s="2511"/>
      <c r="DOQ28" s="2511"/>
      <c r="DOR28" s="2511"/>
      <c r="DOS28" s="2511"/>
      <c r="DOT28" s="2511"/>
      <c r="DOU28" s="2511"/>
      <c r="DOV28" s="2511"/>
      <c r="DOW28" s="2511"/>
      <c r="DOX28" s="2511"/>
      <c r="DOY28" s="2511"/>
      <c r="DOZ28" s="2511"/>
      <c r="DPA28" s="2511"/>
      <c r="DPB28" s="2511"/>
      <c r="DPC28" s="2511"/>
      <c r="DPD28" s="2511"/>
      <c r="DPE28" s="2511"/>
      <c r="DPF28" s="2511"/>
      <c r="DPG28" s="2511"/>
      <c r="DPH28" s="2511"/>
      <c r="DPI28" s="2511"/>
      <c r="DPJ28" s="2511"/>
      <c r="DPK28" s="2511"/>
      <c r="DPL28" s="2511"/>
      <c r="DPM28" s="2511"/>
      <c r="DPN28" s="2511"/>
      <c r="DPO28" s="2511"/>
      <c r="DPP28" s="2511"/>
      <c r="DPQ28" s="2511"/>
      <c r="DPR28" s="2511"/>
      <c r="DPS28" s="2511"/>
      <c r="DPT28" s="2511"/>
      <c r="DPU28" s="2511"/>
      <c r="DPV28" s="2511"/>
      <c r="DPW28" s="2511"/>
      <c r="DPX28" s="2511"/>
      <c r="DPY28" s="2511"/>
      <c r="DPZ28" s="2511"/>
      <c r="DQA28" s="2511"/>
      <c r="DQB28" s="2511"/>
      <c r="DQC28" s="2511"/>
      <c r="DQD28" s="2511"/>
      <c r="DQE28" s="2511"/>
      <c r="DQF28" s="2511"/>
      <c r="DQG28" s="2511"/>
      <c r="DQH28" s="2511"/>
      <c r="DQI28" s="2511"/>
      <c r="DQJ28" s="2511"/>
      <c r="DQK28" s="2511"/>
      <c r="DQL28" s="2511"/>
      <c r="DQM28" s="2511"/>
      <c r="DQN28" s="2511"/>
      <c r="DQO28" s="2511"/>
      <c r="DQP28" s="2511"/>
      <c r="DQQ28" s="2511"/>
      <c r="DQR28" s="2511"/>
      <c r="DQS28" s="2511"/>
      <c r="DQT28" s="2511"/>
      <c r="DQU28" s="2511"/>
      <c r="DQV28" s="2511"/>
      <c r="DQW28" s="2511"/>
      <c r="DQX28" s="2511"/>
      <c r="DQY28" s="2511"/>
      <c r="DQZ28" s="2511"/>
      <c r="DRA28" s="2511"/>
      <c r="DRB28" s="2511"/>
      <c r="DRC28" s="2511"/>
      <c r="DRD28" s="2511"/>
      <c r="DRE28" s="2511"/>
      <c r="DRF28" s="2511"/>
      <c r="DRG28" s="2511"/>
      <c r="DRH28" s="2511"/>
      <c r="DRI28" s="2511"/>
      <c r="DRJ28" s="2511"/>
      <c r="DRK28" s="2511"/>
      <c r="DRL28" s="2511"/>
      <c r="DRM28" s="2511"/>
      <c r="DRN28" s="2511"/>
      <c r="DRO28" s="2511"/>
      <c r="DRP28" s="2511"/>
      <c r="DRQ28" s="2511"/>
      <c r="DRR28" s="2511"/>
      <c r="DRS28" s="2511"/>
      <c r="DRT28" s="2511"/>
      <c r="DRU28" s="2511"/>
      <c r="DRV28" s="2511"/>
      <c r="DRW28" s="2511"/>
      <c r="DRX28" s="2511"/>
      <c r="DRY28" s="2511"/>
      <c r="DRZ28" s="2511"/>
      <c r="DSA28" s="2511"/>
      <c r="DSB28" s="2511"/>
      <c r="DSC28" s="2511"/>
      <c r="DSD28" s="2511"/>
      <c r="DSE28" s="2511"/>
      <c r="DSF28" s="2511"/>
      <c r="DSG28" s="2511"/>
      <c r="DSH28" s="2511"/>
      <c r="DSI28" s="2511"/>
      <c r="DSJ28" s="2511"/>
      <c r="DSK28" s="2511"/>
      <c r="DSL28" s="2511"/>
      <c r="DSM28" s="2511"/>
      <c r="DSN28" s="2511"/>
      <c r="DSO28" s="2511"/>
      <c r="DSP28" s="2511"/>
      <c r="DSQ28" s="2511"/>
      <c r="DSR28" s="2511"/>
      <c r="DSS28" s="2511"/>
      <c r="DST28" s="2511"/>
      <c r="DSU28" s="2511"/>
      <c r="DSV28" s="2511"/>
      <c r="DSW28" s="2511"/>
      <c r="DSX28" s="2511"/>
      <c r="DSY28" s="2511"/>
      <c r="DSZ28" s="2511"/>
      <c r="DTA28" s="2511"/>
      <c r="DTB28" s="2511"/>
      <c r="DTC28" s="2511"/>
      <c r="DTD28" s="2511"/>
      <c r="DTE28" s="2511"/>
      <c r="DTF28" s="2511"/>
      <c r="DTG28" s="2511"/>
      <c r="DTH28" s="2511"/>
      <c r="DTI28" s="2511"/>
      <c r="DTJ28" s="2511"/>
      <c r="DTK28" s="2511"/>
      <c r="DTL28" s="2511"/>
      <c r="DTM28" s="2511"/>
      <c r="DTN28" s="2511"/>
      <c r="DTO28" s="2511"/>
      <c r="DTP28" s="2511"/>
      <c r="DTQ28" s="2511"/>
      <c r="DTR28" s="2511"/>
      <c r="DTS28" s="2511"/>
      <c r="DTT28" s="2511"/>
      <c r="DTU28" s="2511"/>
      <c r="DTV28" s="2511"/>
      <c r="DTW28" s="2511"/>
      <c r="DTX28" s="2511"/>
      <c r="DTY28" s="2511"/>
      <c r="DTZ28" s="2511"/>
      <c r="DUA28" s="2511"/>
      <c r="DUB28" s="2511"/>
      <c r="DUC28" s="2511"/>
      <c r="DUD28" s="2511"/>
      <c r="DUE28" s="2511"/>
      <c r="DUF28" s="2511"/>
      <c r="DUG28" s="2511"/>
      <c r="DUH28" s="2511"/>
      <c r="DUI28" s="2511"/>
      <c r="DUJ28" s="2511"/>
      <c r="DUK28" s="2511"/>
      <c r="DUL28" s="2511"/>
      <c r="DUM28" s="2511"/>
      <c r="DUN28" s="2511"/>
      <c r="DUO28" s="2511"/>
      <c r="DUP28" s="2511"/>
      <c r="DUQ28" s="2511"/>
      <c r="DUR28" s="2511"/>
      <c r="DUS28" s="2511"/>
      <c r="DUT28" s="2511"/>
      <c r="DUU28" s="2511"/>
      <c r="DUV28" s="2511"/>
      <c r="DUW28" s="2511"/>
      <c r="DUX28" s="2511"/>
      <c r="DUY28" s="2511"/>
      <c r="DUZ28" s="2511"/>
      <c r="DVA28" s="2511"/>
      <c r="DVB28" s="2511"/>
      <c r="DVC28" s="2511"/>
      <c r="DVD28" s="2511"/>
      <c r="DVE28" s="2511"/>
      <c r="DVF28" s="2511"/>
      <c r="DVG28" s="2511"/>
      <c r="DVH28" s="2511"/>
      <c r="DVI28" s="2511"/>
      <c r="DVJ28" s="2511"/>
      <c r="DVK28" s="2511"/>
      <c r="DVL28" s="2511"/>
      <c r="DVM28" s="2511"/>
      <c r="DVN28" s="2511"/>
      <c r="DVO28" s="2511"/>
      <c r="DVP28" s="2511"/>
      <c r="DVQ28" s="2511"/>
      <c r="DVR28" s="2511"/>
      <c r="DVS28" s="2511"/>
      <c r="DVT28" s="2511"/>
      <c r="DVU28" s="2511"/>
      <c r="DVV28" s="2511"/>
      <c r="DVW28" s="2511"/>
      <c r="DVX28" s="2511"/>
      <c r="DVY28" s="2511"/>
      <c r="DVZ28" s="2511"/>
      <c r="DWA28" s="2511"/>
      <c r="DWB28" s="2511"/>
      <c r="DWC28" s="2511"/>
      <c r="DWD28" s="2511"/>
      <c r="DWE28" s="2511"/>
      <c r="DWF28" s="2511"/>
      <c r="DWG28" s="2511"/>
      <c r="DWH28" s="2511"/>
      <c r="DWI28" s="2511"/>
      <c r="DWJ28" s="2511"/>
      <c r="DWK28" s="2511"/>
      <c r="DWL28" s="2511"/>
      <c r="DWM28" s="2511"/>
      <c r="DWN28" s="2511"/>
      <c r="DWO28" s="2511"/>
      <c r="DWP28" s="2511"/>
      <c r="DWQ28" s="2511"/>
      <c r="DWR28" s="2511"/>
      <c r="DWS28" s="2511"/>
      <c r="DWT28" s="2511"/>
      <c r="DWU28" s="2511"/>
      <c r="DWV28" s="2511"/>
      <c r="DWW28" s="2511"/>
      <c r="DWX28" s="2511"/>
      <c r="DWY28" s="2511"/>
      <c r="DWZ28" s="2511"/>
      <c r="DXA28" s="2511"/>
      <c r="DXB28" s="2511"/>
      <c r="DXC28" s="2511"/>
      <c r="DXD28" s="2511"/>
      <c r="DXE28" s="2511"/>
      <c r="DXF28" s="2511"/>
      <c r="DXG28" s="2511"/>
      <c r="DXH28" s="2511"/>
      <c r="DXI28" s="2511"/>
      <c r="DXJ28" s="2511"/>
      <c r="DXK28" s="2511"/>
      <c r="DXL28" s="2511"/>
      <c r="DXM28" s="2511"/>
      <c r="DXN28" s="2511"/>
      <c r="DXO28" s="2511"/>
      <c r="DXP28" s="2511"/>
      <c r="DXQ28" s="2511"/>
      <c r="DXR28" s="2511"/>
      <c r="DXS28" s="2511"/>
      <c r="DXT28" s="2511"/>
      <c r="DXU28" s="2511"/>
      <c r="DXV28" s="2511"/>
      <c r="DXW28" s="2511"/>
      <c r="DXX28" s="2511"/>
      <c r="DXY28" s="2511"/>
      <c r="DXZ28" s="2511"/>
      <c r="DYA28" s="2511"/>
      <c r="DYB28" s="2511"/>
      <c r="DYC28" s="2511"/>
      <c r="DYD28" s="2511"/>
      <c r="DYE28" s="2511"/>
      <c r="DYF28" s="2511"/>
      <c r="DYG28" s="2511"/>
      <c r="DYH28" s="2511"/>
      <c r="DYI28" s="2511"/>
      <c r="DYJ28" s="2511"/>
      <c r="DYK28" s="2511"/>
      <c r="DYL28" s="2511"/>
      <c r="DYM28" s="2511"/>
      <c r="DYN28" s="2511"/>
      <c r="DYO28" s="2511"/>
      <c r="DYP28" s="2511"/>
      <c r="DYQ28" s="2511"/>
      <c r="DYR28" s="2511"/>
      <c r="DYS28" s="2511"/>
      <c r="DYT28" s="2511"/>
      <c r="DYU28" s="2511"/>
      <c r="DYV28" s="2511"/>
      <c r="DYW28" s="2511"/>
      <c r="DYX28" s="2511"/>
      <c r="DYY28" s="2511"/>
      <c r="DYZ28" s="2511"/>
      <c r="DZA28" s="2511"/>
      <c r="DZB28" s="2511"/>
      <c r="DZC28" s="2511"/>
      <c r="DZD28" s="2511"/>
      <c r="DZE28" s="2511"/>
      <c r="DZF28" s="2511"/>
      <c r="DZG28" s="2511"/>
      <c r="DZH28" s="2511"/>
      <c r="DZI28" s="2511"/>
      <c r="DZJ28" s="2511"/>
      <c r="DZK28" s="2511"/>
      <c r="DZL28" s="2511"/>
      <c r="DZM28" s="2511"/>
      <c r="DZN28" s="2511"/>
      <c r="DZO28" s="2511"/>
      <c r="DZP28" s="2511"/>
      <c r="DZQ28" s="2511"/>
      <c r="DZR28" s="2511"/>
      <c r="DZS28" s="2511"/>
      <c r="DZT28" s="2511"/>
      <c r="DZU28" s="2511"/>
      <c r="DZV28" s="2511"/>
      <c r="DZW28" s="2511"/>
      <c r="DZX28" s="2511"/>
      <c r="DZY28" s="2511"/>
      <c r="DZZ28" s="2511"/>
      <c r="EAA28" s="2511"/>
      <c r="EAB28" s="2511"/>
      <c r="EAC28" s="2511"/>
      <c r="EAD28" s="2511"/>
      <c r="EAE28" s="2511"/>
      <c r="EAF28" s="2511"/>
      <c r="EAG28" s="2511"/>
      <c r="EAH28" s="2511"/>
      <c r="EAI28" s="2511"/>
      <c r="EAJ28" s="2511"/>
      <c r="EAK28" s="2511"/>
      <c r="EAL28" s="2511"/>
      <c r="EAM28" s="2511"/>
      <c r="EAN28" s="2511"/>
      <c r="EAO28" s="2511"/>
      <c r="EAP28" s="2511"/>
      <c r="EAQ28" s="2511"/>
      <c r="EAR28" s="2511"/>
      <c r="EAS28" s="2511"/>
      <c r="EAT28" s="2511"/>
      <c r="EAU28" s="2511"/>
      <c r="EAV28" s="2511"/>
      <c r="EAW28" s="2511"/>
      <c r="EAX28" s="2511"/>
      <c r="EAY28" s="2511"/>
      <c r="EAZ28" s="2511"/>
      <c r="EBA28" s="2511"/>
      <c r="EBB28" s="2511"/>
      <c r="EBC28" s="2511"/>
      <c r="EBD28" s="2511"/>
      <c r="EBE28" s="2511"/>
      <c r="EBF28" s="2511"/>
      <c r="EBG28" s="2511"/>
      <c r="EBH28" s="2511"/>
      <c r="EBI28" s="2511"/>
      <c r="EBJ28" s="2511"/>
      <c r="EBK28" s="2511"/>
      <c r="EBL28" s="2511"/>
      <c r="EBM28" s="2511"/>
      <c r="EBN28" s="2511"/>
      <c r="EBO28" s="2511"/>
      <c r="EBP28" s="2511"/>
      <c r="EBQ28" s="2511"/>
      <c r="EBR28" s="2511"/>
      <c r="EBS28" s="2511"/>
      <c r="EBT28" s="2511"/>
      <c r="EBU28" s="2511"/>
      <c r="EBV28" s="2511"/>
      <c r="EBW28" s="2511"/>
      <c r="EBX28" s="2511"/>
      <c r="EBY28" s="2511"/>
      <c r="EBZ28" s="2511"/>
      <c r="ECA28" s="2511"/>
      <c r="ECB28" s="2511"/>
      <c r="ECC28" s="2511"/>
      <c r="ECD28" s="2511"/>
      <c r="ECE28" s="2511"/>
      <c r="ECF28" s="2511"/>
      <c r="ECG28" s="2511"/>
      <c r="ECH28" s="2511"/>
      <c r="ECI28" s="2511"/>
      <c r="ECJ28" s="2511"/>
      <c r="ECK28" s="2511"/>
      <c r="ECL28" s="2511"/>
      <c r="ECM28" s="2511"/>
      <c r="ECN28" s="2511"/>
      <c r="ECO28" s="2511"/>
      <c r="ECP28" s="2511"/>
      <c r="ECQ28" s="2511"/>
      <c r="ECR28" s="2511"/>
      <c r="ECS28" s="2511"/>
      <c r="ECT28" s="2511"/>
      <c r="ECU28" s="2511"/>
      <c r="ECV28" s="2511"/>
      <c r="ECW28" s="2511"/>
      <c r="ECX28" s="2511"/>
      <c r="ECY28" s="2511"/>
      <c r="ECZ28" s="2511"/>
      <c r="EDA28" s="2511"/>
      <c r="EDB28" s="2511"/>
      <c r="EDC28" s="2511"/>
      <c r="EDD28" s="2511"/>
      <c r="EDE28" s="2511"/>
      <c r="EDF28" s="2511"/>
      <c r="EDG28" s="2511"/>
      <c r="EDH28" s="2511"/>
      <c r="EDI28" s="2511"/>
      <c r="EDJ28" s="2511"/>
      <c r="EDK28" s="2511"/>
      <c r="EDL28" s="2511"/>
      <c r="EDM28" s="2511"/>
      <c r="EDN28" s="2511"/>
      <c r="EDO28" s="2511"/>
      <c r="EDP28" s="2511"/>
      <c r="EDQ28" s="2511"/>
      <c r="EDR28" s="2511"/>
      <c r="EDS28" s="2511"/>
      <c r="EDT28" s="2511"/>
      <c r="EDU28" s="2511"/>
      <c r="EDV28" s="2511"/>
      <c r="EDW28" s="2511"/>
      <c r="EDX28" s="2511"/>
      <c r="EDY28" s="2511"/>
      <c r="EDZ28" s="2511"/>
      <c r="EEA28" s="2511"/>
      <c r="EEB28" s="2511"/>
      <c r="EEC28" s="2511"/>
      <c r="EED28" s="2511"/>
      <c r="EEE28" s="2511"/>
      <c r="EEF28" s="2511"/>
      <c r="EEG28" s="2511"/>
      <c r="EEH28" s="2511"/>
      <c r="EEI28" s="2511"/>
      <c r="EEJ28" s="2511"/>
      <c r="EEK28" s="2511"/>
      <c r="EEL28" s="2511"/>
      <c r="EEM28" s="2511"/>
      <c r="EEN28" s="2511"/>
      <c r="EEO28" s="2511"/>
      <c r="EEP28" s="2511"/>
      <c r="EEQ28" s="2511"/>
      <c r="EER28" s="2511"/>
      <c r="EES28" s="2511"/>
      <c r="EET28" s="2511"/>
      <c r="EEU28" s="2511"/>
      <c r="EEV28" s="2511"/>
      <c r="EEW28" s="2511"/>
      <c r="EEX28" s="2511"/>
      <c r="EEY28" s="2511"/>
      <c r="EEZ28" s="2511"/>
      <c r="EFA28" s="2511"/>
      <c r="EFB28" s="2511"/>
      <c r="EFC28" s="2511"/>
      <c r="EFD28" s="2511"/>
      <c r="EFE28" s="2511"/>
      <c r="EFF28" s="2511"/>
      <c r="EFG28" s="2511"/>
      <c r="EFH28" s="2511"/>
      <c r="EFI28" s="2511"/>
      <c r="EFJ28" s="2511"/>
      <c r="EFK28" s="2511"/>
      <c r="EFL28" s="2511"/>
      <c r="EFM28" s="2511"/>
      <c r="EFN28" s="2511"/>
      <c r="EFO28" s="2511"/>
      <c r="EFP28" s="2511"/>
      <c r="EFQ28" s="2511"/>
      <c r="EFR28" s="2511"/>
      <c r="EFS28" s="2511"/>
      <c r="EFT28" s="2511"/>
      <c r="EFU28" s="2511"/>
      <c r="EFV28" s="2511"/>
      <c r="EFW28" s="2511"/>
      <c r="EFX28" s="2511"/>
      <c r="EFY28" s="2511"/>
      <c r="EFZ28" s="2511"/>
      <c r="EGA28" s="2511"/>
      <c r="EGB28" s="2511"/>
      <c r="EGC28" s="2511"/>
      <c r="EGD28" s="2511"/>
      <c r="EGE28" s="2511"/>
      <c r="EGF28" s="2511"/>
      <c r="EGG28" s="2511"/>
      <c r="EGH28" s="2511"/>
      <c r="EGI28" s="2511"/>
      <c r="EGJ28" s="2511"/>
      <c r="EGK28" s="2511"/>
      <c r="EGL28" s="2511"/>
      <c r="EGM28" s="2511"/>
      <c r="EGN28" s="2511"/>
      <c r="EGO28" s="2511"/>
      <c r="EGP28" s="2511"/>
      <c r="EGQ28" s="2511"/>
      <c r="EGR28" s="2511"/>
      <c r="EGS28" s="2511"/>
      <c r="EGT28" s="2511"/>
      <c r="EGU28" s="2511"/>
      <c r="EGV28" s="2511"/>
      <c r="EGW28" s="2511"/>
      <c r="EGX28" s="2511"/>
      <c r="EGY28" s="2511"/>
      <c r="EGZ28" s="2511"/>
      <c r="EHA28" s="2511"/>
      <c r="EHB28" s="2511"/>
      <c r="EHC28" s="2511"/>
      <c r="EHD28" s="2511"/>
      <c r="EHE28" s="2511"/>
      <c r="EHF28" s="2511"/>
      <c r="EHG28" s="2511"/>
      <c r="EHH28" s="2511"/>
      <c r="EHI28" s="2511"/>
      <c r="EHJ28" s="2511"/>
      <c r="EHK28" s="2511"/>
      <c r="EHL28" s="2511"/>
      <c r="EHM28" s="2511"/>
      <c r="EHN28" s="2511"/>
      <c r="EHO28" s="2511"/>
      <c r="EHP28" s="2511"/>
      <c r="EHQ28" s="2511"/>
      <c r="EHR28" s="2511"/>
      <c r="EHS28" s="2511"/>
      <c r="EHT28" s="2511"/>
      <c r="EHU28" s="2511"/>
      <c r="EHV28" s="2511"/>
      <c r="EHW28" s="2511"/>
      <c r="EHX28" s="2511"/>
      <c r="EHY28" s="2511"/>
      <c r="EHZ28" s="2511"/>
      <c r="EIA28" s="2511"/>
      <c r="EIB28" s="2511"/>
      <c r="EIC28" s="2511"/>
      <c r="EID28" s="2511"/>
      <c r="EIE28" s="2511"/>
      <c r="EIF28" s="2511"/>
      <c r="EIG28" s="2511"/>
      <c r="EIH28" s="2511"/>
      <c r="EII28" s="2511"/>
      <c r="EIJ28" s="2511"/>
      <c r="EIK28" s="2511"/>
      <c r="EIL28" s="2511"/>
      <c r="EIM28" s="2511"/>
      <c r="EIN28" s="2511"/>
      <c r="EIO28" s="2511"/>
      <c r="EIP28" s="2511"/>
      <c r="EIQ28" s="2511"/>
      <c r="EIR28" s="2511"/>
      <c r="EIS28" s="2511"/>
      <c r="EIT28" s="2511"/>
      <c r="EIU28" s="2511"/>
      <c r="EIV28" s="2511"/>
      <c r="EIW28" s="2511"/>
      <c r="EIX28" s="2511"/>
      <c r="EIY28" s="2511"/>
      <c r="EIZ28" s="2511"/>
      <c r="EJA28" s="2511"/>
      <c r="EJB28" s="2511"/>
      <c r="EJC28" s="2511"/>
      <c r="EJD28" s="2511"/>
      <c r="EJE28" s="2511"/>
      <c r="EJF28" s="2511"/>
      <c r="EJG28" s="2511"/>
      <c r="EJH28" s="2511"/>
      <c r="EJI28" s="2511"/>
      <c r="EJJ28" s="2511"/>
      <c r="EJK28" s="2511"/>
      <c r="EJL28" s="2511"/>
      <c r="EJM28" s="2511"/>
      <c r="EJN28" s="2511"/>
      <c r="EJO28" s="2511"/>
      <c r="EJP28" s="2511"/>
      <c r="EJQ28" s="2511"/>
      <c r="EJR28" s="2511"/>
      <c r="EJS28" s="2511"/>
      <c r="EJT28" s="2511"/>
      <c r="EJU28" s="2511"/>
      <c r="EJV28" s="2511"/>
      <c r="EJW28" s="2511"/>
      <c r="EJX28" s="2511"/>
      <c r="EJY28" s="2511"/>
      <c r="EJZ28" s="2511"/>
      <c r="EKA28" s="2511"/>
      <c r="EKB28" s="2511"/>
      <c r="EKC28" s="2511"/>
      <c r="EKD28" s="2511"/>
      <c r="EKE28" s="2511"/>
      <c r="EKF28" s="2511"/>
      <c r="EKG28" s="2511"/>
      <c r="EKH28" s="2511"/>
      <c r="EKI28" s="2511"/>
      <c r="EKJ28" s="2511"/>
      <c r="EKK28" s="2511"/>
      <c r="EKL28" s="2511"/>
      <c r="EKM28" s="2511"/>
      <c r="EKN28" s="2511"/>
      <c r="EKO28" s="2511"/>
      <c r="EKP28" s="2511"/>
      <c r="EKQ28" s="2511"/>
      <c r="EKR28" s="2511"/>
      <c r="EKS28" s="2511"/>
      <c r="EKT28" s="2511"/>
      <c r="EKU28" s="2511"/>
      <c r="EKV28" s="2511"/>
      <c r="EKW28" s="2511"/>
      <c r="EKX28" s="2511"/>
      <c r="EKY28" s="2511"/>
      <c r="EKZ28" s="2511"/>
      <c r="ELA28" s="2511"/>
      <c r="ELB28" s="2511"/>
      <c r="ELC28" s="2511"/>
      <c r="ELD28" s="2511"/>
      <c r="ELE28" s="2511"/>
      <c r="ELF28" s="2511"/>
      <c r="ELG28" s="2511"/>
      <c r="ELH28" s="2511"/>
      <c r="ELI28" s="2511"/>
      <c r="ELJ28" s="2511"/>
      <c r="ELK28" s="2511"/>
      <c r="ELL28" s="2511"/>
      <c r="ELM28" s="2511"/>
      <c r="ELN28" s="2511"/>
      <c r="ELO28" s="2511"/>
      <c r="ELP28" s="2511"/>
      <c r="ELQ28" s="2511"/>
      <c r="ELR28" s="2511"/>
      <c r="ELS28" s="2511"/>
      <c r="ELT28" s="2511"/>
      <c r="ELU28" s="2511"/>
      <c r="ELV28" s="2511"/>
      <c r="ELW28" s="2511"/>
      <c r="ELX28" s="2511"/>
      <c r="ELY28" s="2511"/>
      <c r="ELZ28" s="2511"/>
      <c r="EMA28" s="2511"/>
      <c r="EMB28" s="2511"/>
      <c r="EMC28" s="2511"/>
      <c r="EMD28" s="2511"/>
      <c r="EME28" s="2511"/>
      <c r="EMF28" s="2511"/>
      <c r="EMG28" s="2511"/>
      <c r="EMH28" s="2511"/>
      <c r="EMI28" s="2511"/>
      <c r="EMJ28" s="2511"/>
      <c r="EMK28" s="2511"/>
      <c r="EML28" s="2511"/>
      <c r="EMM28" s="2511"/>
      <c r="EMN28" s="2511"/>
      <c r="EMO28" s="2511"/>
      <c r="EMP28" s="2511"/>
      <c r="EMQ28" s="2511"/>
      <c r="EMR28" s="2511"/>
      <c r="EMS28" s="2511"/>
      <c r="EMT28" s="2511"/>
      <c r="EMU28" s="2511"/>
      <c r="EMV28" s="2511"/>
      <c r="EMW28" s="2511"/>
      <c r="EMX28" s="2511"/>
      <c r="EMY28" s="2511"/>
      <c r="EMZ28" s="2511"/>
      <c r="ENA28" s="2511"/>
      <c r="ENB28" s="2511"/>
      <c r="ENC28" s="2511"/>
      <c r="END28" s="2511"/>
      <c r="ENE28" s="2511"/>
      <c r="ENF28" s="2511"/>
      <c r="ENG28" s="2511"/>
      <c r="ENH28" s="2511"/>
      <c r="ENI28" s="2511"/>
      <c r="ENJ28" s="2511"/>
      <c r="ENK28" s="2511"/>
      <c r="ENL28" s="2511"/>
      <c r="ENM28" s="2511"/>
      <c r="ENN28" s="2511"/>
      <c r="ENO28" s="2511"/>
      <c r="ENP28" s="2511"/>
      <c r="ENQ28" s="2511"/>
      <c r="ENR28" s="2511"/>
      <c r="ENS28" s="2511"/>
      <c r="ENT28" s="2511"/>
      <c r="ENU28" s="2511"/>
      <c r="ENV28" s="2511"/>
      <c r="ENW28" s="2511"/>
      <c r="ENX28" s="2511"/>
      <c r="ENY28" s="2511"/>
      <c r="ENZ28" s="2511"/>
      <c r="EOA28" s="2511"/>
      <c r="EOB28" s="2511"/>
      <c r="EOC28" s="2511"/>
      <c r="EOD28" s="2511"/>
      <c r="EOE28" s="2511"/>
      <c r="EOF28" s="2511"/>
      <c r="EOG28" s="2511"/>
      <c r="EOH28" s="2511"/>
      <c r="EOI28" s="2511"/>
      <c r="EOJ28" s="2511"/>
      <c r="EOK28" s="2511"/>
      <c r="EOL28" s="2511"/>
      <c r="EOM28" s="2511"/>
      <c r="EON28" s="2511"/>
      <c r="EOO28" s="2511"/>
      <c r="EOP28" s="2511"/>
      <c r="EOQ28" s="2511"/>
      <c r="EOR28" s="2511"/>
      <c r="EOS28" s="2511"/>
      <c r="EOT28" s="2511"/>
      <c r="EOU28" s="2511"/>
      <c r="EOV28" s="2511"/>
      <c r="EOW28" s="2511"/>
      <c r="EOX28" s="2511"/>
      <c r="EOY28" s="2511"/>
      <c r="EOZ28" s="2511"/>
      <c r="EPA28" s="2511"/>
      <c r="EPB28" s="2511"/>
      <c r="EPC28" s="2511"/>
      <c r="EPD28" s="2511"/>
      <c r="EPE28" s="2511"/>
      <c r="EPF28" s="2511"/>
      <c r="EPG28" s="2511"/>
      <c r="EPH28" s="2511"/>
      <c r="EPI28" s="2511"/>
      <c r="EPJ28" s="2511"/>
      <c r="EPK28" s="2511"/>
      <c r="EPL28" s="2511"/>
      <c r="EPM28" s="2511"/>
      <c r="EPN28" s="2511"/>
      <c r="EPO28" s="2511"/>
      <c r="EPP28" s="2511"/>
      <c r="EPQ28" s="2511"/>
      <c r="EPR28" s="2511"/>
      <c r="EPS28" s="2511"/>
      <c r="EPT28" s="2511"/>
      <c r="EPU28" s="2511"/>
      <c r="EPV28" s="2511"/>
      <c r="EPW28" s="2511"/>
      <c r="EPX28" s="2511"/>
      <c r="EPY28" s="2511"/>
      <c r="EPZ28" s="2511"/>
      <c r="EQA28" s="2511"/>
      <c r="EQB28" s="2511"/>
      <c r="EQC28" s="2511"/>
      <c r="EQD28" s="2511"/>
      <c r="EQE28" s="2511"/>
      <c r="EQF28" s="2511"/>
      <c r="EQG28" s="2511"/>
      <c r="EQH28" s="2511"/>
      <c r="EQI28" s="2511"/>
      <c r="EQJ28" s="2511"/>
      <c r="EQK28" s="2511"/>
      <c r="EQL28" s="2511"/>
      <c r="EQM28" s="2511"/>
      <c r="EQN28" s="2511"/>
      <c r="EQO28" s="2511"/>
      <c r="EQP28" s="2511"/>
      <c r="EQQ28" s="2511"/>
      <c r="EQR28" s="2511"/>
      <c r="EQS28" s="2511"/>
      <c r="EQT28" s="2511"/>
      <c r="EQU28" s="2511"/>
      <c r="EQV28" s="2511"/>
      <c r="EQW28" s="2511"/>
      <c r="EQX28" s="2511"/>
      <c r="EQY28" s="2511"/>
      <c r="EQZ28" s="2511"/>
      <c r="ERA28" s="2511"/>
      <c r="ERB28" s="2511"/>
      <c r="ERC28" s="2511"/>
      <c r="ERD28" s="2511"/>
      <c r="ERE28" s="2511"/>
      <c r="ERF28" s="2511"/>
      <c r="ERG28" s="2511"/>
      <c r="ERH28" s="2511"/>
      <c r="ERI28" s="2511"/>
      <c r="ERJ28" s="2511"/>
      <c r="ERK28" s="2511"/>
      <c r="ERL28" s="2511"/>
      <c r="ERM28" s="2511"/>
      <c r="ERN28" s="2511"/>
      <c r="ERO28" s="2511"/>
      <c r="ERP28" s="2511"/>
      <c r="ERQ28" s="2511"/>
      <c r="ERR28" s="2511"/>
      <c r="ERS28" s="2511"/>
      <c r="ERT28" s="2511"/>
      <c r="ERU28" s="2511"/>
      <c r="ERV28" s="2511"/>
      <c r="ERW28" s="2511"/>
      <c r="ERX28" s="2511"/>
      <c r="ERY28" s="2511"/>
      <c r="ERZ28" s="2511"/>
      <c r="ESA28" s="2511"/>
      <c r="ESB28" s="2511"/>
      <c r="ESC28" s="2511"/>
      <c r="ESD28" s="2511"/>
      <c r="ESE28" s="2511"/>
      <c r="ESF28" s="2511"/>
      <c r="ESG28" s="2511"/>
      <c r="ESH28" s="2511"/>
      <c r="ESI28" s="2511"/>
      <c r="ESJ28" s="2511"/>
      <c r="ESK28" s="2511"/>
      <c r="ESL28" s="2511"/>
      <c r="ESM28" s="2511"/>
      <c r="ESN28" s="2511"/>
      <c r="ESO28" s="2511"/>
      <c r="ESP28" s="2511"/>
      <c r="ESQ28" s="2511"/>
      <c r="ESR28" s="2511"/>
      <c r="ESS28" s="2511"/>
      <c r="EST28" s="2511"/>
      <c r="ESU28" s="2511"/>
      <c r="ESV28" s="2511"/>
      <c r="ESW28" s="2511"/>
      <c r="ESX28" s="2511"/>
      <c r="ESY28" s="2511"/>
      <c r="ESZ28" s="2511"/>
      <c r="ETA28" s="2511"/>
      <c r="ETB28" s="2511"/>
      <c r="ETC28" s="2511"/>
      <c r="ETD28" s="2511"/>
      <c r="ETE28" s="2511"/>
      <c r="ETF28" s="2511"/>
      <c r="ETG28" s="2511"/>
      <c r="ETH28" s="2511"/>
      <c r="ETI28" s="2511"/>
      <c r="ETJ28" s="2511"/>
      <c r="ETK28" s="2511"/>
      <c r="ETL28" s="2511"/>
      <c r="ETM28" s="2511"/>
      <c r="ETN28" s="2511"/>
      <c r="ETO28" s="2511"/>
      <c r="ETP28" s="2511"/>
      <c r="ETQ28" s="2511"/>
      <c r="ETR28" s="2511"/>
      <c r="ETS28" s="2511"/>
      <c r="ETT28" s="2511"/>
      <c r="ETU28" s="2511"/>
      <c r="ETV28" s="2511"/>
      <c r="ETW28" s="2511"/>
      <c r="ETX28" s="2511"/>
      <c r="ETY28" s="2511"/>
      <c r="ETZ28" s="2511"/>
      <c r="EUA28" s="2511"/>
      <c r="EUB28" s="2511"/>
      <c r="EUC28" s="2511"/>
      <c r="EUD28" s="2511"/>
      <c r="EUE28" s="2511"/>
      <c r="EUF28" s="2511"/>
      <c r="EUG28" s="2511"/>
      <c r="EUH28" s="2511"/>
      <c r="EUI28" s="2511"/>
      <c r="EUJ28" s="2511"/>
      <c r="EUK28" s="2511"/>
      <c r="EUL28" s="2511"/>
      <c r="EUM28" s="2511"/>
      <c r="EUN28" s="2511"/>
      <c r="EUO28" s="2511"/>
      <c r="EUP28" s="2511"/>
      <c r="EUQ28" s="2511"/>
      <c r="EUR28" s="2511"/>
      <c r="EUS28" s="2511"/>
      <c r="EUT28" s="2511"/>
      <c r="EUU28" s="2511"/>
      <c r="EUV28" s="2511"/>
      <c r="EUW28" s="2511"/>
      <c r="EUX28" s="2511"/>
      <c r="EUY28" s="2511"/>
      <c r="EUZ28" s="2511"/>
      <c r="EVA28" s="2511"/>
      <c r="EVB28" s="2511"/>
      <c r="EVC28" s="2511"/>
      <c r="EVD28" s="2511"/>
      <c r="EVE28" s="2511"/>
      <c r="EVF28" s="2511"/>
      <c r="EVG28" s="2511"/>
      <c r="EVH28" s="2511"/>
      <c r="EVI28" s="2511"/>
      <c r="EVJ28" s="2511"/>
      <c r="EVK28" s="2511"/>
      <c r="EVL28" s="2511"/>
      <c r="EVM28" s="2511"/>
      <c r="EVN28" s="2511"/>
      <c r="EVO28" s="2511"/>
      <c r="EVP28" s="2511"/>
      <c r="EVQ28" s="2511"/>
      <c r="EVR28" s="2511"/>
      <c r="EVS28" s="2511"/>
      <c r="EVT28" s="2511"/>
      <c r="EVU28" s="2511"/>
      <c r="EVV28" s="2511"/>
      <c r="EVW28" s="2511"/>
      <c r="EVX28" s="2511"/>
      <c r="EVY28" s="2511"/>
      <c r="EVZ28" s="2511"/>
      <c r="EWA28" s="2511"/>
      <c r="EWB28" s="2511"/>
      <c r="EWC28" s="2511"/>
      <c r="EWD28" s="2511"/>
      <c r="EWE28" s="2511"/>
      <c r="EWF28" s="2511"/>
      <c r="EWG28" s="2511"/>
      <c r="EWH28" s="2511"/>
      <c r="EWI28" s="2511"/>
      <c r="EWJ28" s="2511"/>
      <c r="EWK28" s="2511"/>
      <c r="EWL28" s="2511"/>
      <c r="EWM28" s="2511"/>
      <c r="EWN28" s="2511"/>
      <c r="EWO28" s="2511"/>
      <c r="EWP28" s="2511"/>
      <c r="EWQ28" s="2511"/>
      <c r="EWR28" s="2511"/>
      <c r="EWS28" s="2511"/>
      <c r="EWT28" s="2511"/>
      <c r="EWU28" s="2511"/>
      <c r="EWV28" s="2511"/>
      <c r="EWW28" s="2511"/>
      <c r="EWX28" s="2511"/>
      <c r="EWY28" s="2511"/>
      <c r="EWZ28" s="2511"/>
      <c r="EXA28" s="2511"/>
      <c r="EXB28" s="2511"/>
      <c r="EXC28" s="2511"/>
      <c r="EXD28" s="2511"/>
      <c r="EXE28" s="2511"/>
      <c r="EXF28" s="2511"/>
      <c r="EXG28" s="2511"/>
      <c r="EXH28" s="2511"/>
      <c r="EXI28" s="2511"/>
      <c r="EXJ28" s="2511"/>
      <c r="EXK28" s="2511"/>
      <c r="EXL28" s="2511"/>
      <c r="EXM28" s="2511"/>
      <c r="EXN28" s="2511"/>
      <c r="EXO28" s="2511"/>
      <c r="EXP28" s="2511"/>
      <c r="EXQ28" s="2511"/>
      <c r="EXR28" s="2511"/>
      <c r="EXS28" s="2511"/>
      <c r="EXT28" s="2511"/>
      <c r="EXU28" s="2511"/>
      <c r="EXV28" s="2511"/>
      <c r="EXW28" s="2511"/>
      <c r="EXX28" s="2511"/>
      <c r="EXY28" s="2511"/>
      <c r="EXZ28" s="2511"/>
      <c r="EYA28" s="2511"/>
      <c r="EYB28" s="2511"/>
      <c r="EYC28" s="2511"/>
      <c r="EYD28" s="2511"/>
      <c r="EYE28" s="2511"/>
      <c r="EYF28" s="2511"/>
      <c r="EYG28" s="2511"/>
      <c r="EYH28" s="2511"/>
      <c r="EYI28" s="2511"/>
      <c r="EYJ28" s="2511"/>
      <c r="EYK28" s="2511"/>
      <c r="EYL28" s="2511"/>
      <c r="EYM28" s="2511"/>
      <c r="EYN28" s="2511"/>
      <c r="EYO28" s="2511"/>
      <c r="EYP28" s="2511"/>
      <c r="EYQ28" s="2511"/>
      <c r="EYR28" s="2511"/>
      <c r="EYS28" s="2511"/>
      <c r="EYT28" s="2511"/>
      <c r="EYU28" s="2511"/>
      <c r="EYV28" s="2511"/>
      <c r="EYW28" s="2511"/>
      <c r="EYX28" s="2511"/>
      <c r="EYY28" s="2511"/>
      <c r="EYZ28" s="2511"/>
      <c r="EZA28" s="2511"/>
      <c r="EZB28" s="2511"/>
      <c r="EZC28" s="2511"/>
      <c r="EZD28" s="2511"/>
      <c r="EZE28" s="2511"/>
      <c r="EZF28" s="2511"/>
      <c r="EZG28" s="2511"/>
      <c r="EZH28" s="2511"/>
      <c r="EZI28" s="2511"/>
      <c r="EZJ28" s="2511"/>
      <c r="EZK28" s="2511"/>
      <c r="EZL28" s="2511"/>
      <c r="EZM28" s="2511"/>
      <c r="EZN28" s="2511"/>
      <c r="EZO28" s="2511"/>
      <c r="EZP28" s="2511"/>
      <c r="EZQ28" s="2511"/>
      <c r="EZR28" s="2511"/>
      <c r="EZS28" s="2511"/>
      <c r="EZT28" s="2511"/>
      <c r="EZU28" s="2511"/>
      <c r="EZV28" s="2511"/>
      <c r="EZW28" s="2511"/>
      <c r="EZX28" s="2511"/>
      <c r="EZY28" s="2511"/>
      <c r="EZZ28" s="2511"/>
      <c r="FAA28" s="2511"/>
      <c r="FAB28" s="2511"/>
      <c r="FAC28" s="2511"/>
      <c r="FAD28" s="2511"/>
      <c r="FAE28" s="2511"/>
      <c r="FAF28" s="2511"/>
      <c r="FAG28" s="2511"/>
      <c r="FAH28" s="2511"/>
      <c r="FAI28" s="2511"/>
      <c r="FAJ28" s="2511"/>
      <c r="FAK28" s="2511"/>
      <c r="FAL28" s="2511"/>
      <c r="FAM28" s="2511"/>
      <c r="FAN28" s="2511"/>
      <c r="FAO28" s="2511"/>
      <c r="FAP28" s="2511"/>
      <c r="FAQ28" s="2511"/>
      <c r="FAR28" s="2511"/>
      <c r="FAS28" s="2511"/>
      <c r="FAT28" s="2511"/>
      <c r="FAU28" s="2511"/>
      <c r="FAV28" s="2511"/>
      <c r="FAW28" s="2511"/>
      <c r="FAX28" s="2511"/>
      <c r="FAY28" s="2511"/>
      <c r="FAZ28" s="2511"/>
      <c r="FBA28" s="2511"/>
      <c r="FBB28" s="2511"/>
      <c r="FBC28" s="2511"/>
      <c r="FBD28" s="2511"/>
      <c r="FBE28" s="2511"/>
      <c r="FBF28" s="2511"/>
      <c r="FBG28" s="2511"/>
      <c r="FBH28" s="2511"/>
      <c r="FBI28" s="2511"/>
      <c r="FBJ28" s="2511"/>
      <c r="FBK28" s="2511"/>
      <c r="FBL28" s="2511"/>
      <c r="FBM28" s="2511"/>
      <c r="FBN28" s="2511"/>
      <c r="FBO28" s="2511"/>
      <c r="FBP28" s="2511"/>
      <c r="FBQ28" s="2511"/>
      <c r="FBR28" s="2511"/>
      <c r="FBS28" s="2511"/>
      <c r="FBT28" s="2511"/>
      <c r="FBU28" s="2511"/>
      <c r="FBV28" s="2511"/>
      <c r="FBW28" s="2511"/>
      <c r="FBX28" s="2511"/>
      <c r="FBY28" s="2511"/>
      <c r="FBZ28" s="2511"/>
      <c r="FCA28" s="2511"/>
      <c r="FCB28" s="2511"/>
      <c r="FCC28" s="2511"/>
      <c r="FCD28" s="2511"/>
      <c r="FCE28" s="2511"/>
      <c r="FCF28" s="2511"/>
      <c r="FCG28" s="2511"/>
      <c r="FCH28" s="2511"/>
      <c r="FCI28" s="2511"/>
      <c r="FCJ28" s="2511"/>
      <c r="FCK28" s="2511"/>
      <c r="FCL28" s="2511"/>
      <c r="FCM28" s="2511"/>
      <c r="FCN28" s="2511"/>
      <c r="FCO28" s="2511"/>
      <c r="FCP28" s="2511"/>
      <c r="FCQ28" s="2511"/>
      <c r="FCR28" s="2511"/>
      <c r="FCS28" s="2511"/>
      <c r="FCT28" s="2511"/>
      <c r="FCU28" s="2511"/>
      <c r="FCV28" s="2511"/>
      <c r="FCW28" s="2511"/>
      <c r="FCX28" s="2511"/>
      <c r="FCY28" s="2511"/>
      <c r="FCZ28" s="2511"/>
      <c r="FDA28" s="2511"/>
      <c r="FDB28" s="2511"/>
      <c r="FDC28" s="2511"/>
      <c r="FDD28" s="2511"/>
      <c r="FDE28" s="2511"/>
      <c r="FDF28" s="2511"/>
      <c r="FDG28" s="2511"/>
      <c r="FDH28" s="2511"/>
      <c r="FDI28" s="2511"/>
      <c r="FDJ28" s="2511"/>
      <c r="FDK28" s="2511"/>
      <c r="FDL28" s="2511"/>
      <c r="FDM28" s="2511"/>
      <c r="FDN28" s="2511"/>
      <c r="FDO28" s="2511"/>
      <c r="FDP28" s="2511"/>
      <c r="FDQ28" s="2511"/>
      <c r="FDR28" s="2511"/>
      <c r="FDS28" s="2511"/>
      <c r="FDT28" s="2511"/>
      <c r="FDU28" s="2511"/>
      <c r="FDV28" s="2511"/>
      <c r="FDW28" s="2511"/>
      <c r="FDX28" s="2511"/>
      <c r="FDY28" s="2511"/>
      <c r="FDZ28" s="2511"/>
      <c r="FEA28" s="2511"/>
      <c r="FEB28" s="2511"/>
      <c r="FEC28" s="2511"/>
      <c r="FED28" s="2511"/>
      <c r="FEE28" s="2511"/>
      <c r="FEF28" s="2511"/>
      <c r="FEG28" s="2511"/>
      <c r="FEH28" s="2511"/>
      <c r="FEI28" s="2511"/>
      <c r="FEJ28" s="2511"/>
      <c r="FEK28" s="2511"/>
      <c r="FEL28" s="2511"/>
      <c r="FEM28" s="2511"/>
      <c r="FEN28" s="2511"/>
      <c r="FEO28" s="2511"/>
      <c r="FEP28" s="2511"/>
      <c r="FEQ28" s="2511"/>
      <c r="FER28" s="2511"/>
      <c r="FES28" s="2511"/>
      <c r="FET28" s="2511"/>
      <c r="FEU28" s="2511"/>
      <c r="FEV28" s="2511"/>
      <c r="FEW28" s="2511"/>
      <c r="FEX28" s="2511"/>
      <c r="FEY28" s="2511"/>
      <c r="FEZ28" s="2511"/>
      <c r="FFA28" s="2511"/>
      <c r="FFB28" s="2511"/>
      <c r="FFC28" s="2511"/>
      <c r="FFD28" s="2511"/>
      <c r="FFE28" s="2511"/>
      <c r="FFF28" s="2511"/>
      <c r="FFG28" s="2511"/>
      <c r="FFH28" s="2511"/>
      <c r="FFI28" s="2511"/>
      <c r="FFJ28" s="2511"/>
      <c r="FFK28" s="2511"/>
      <c r="FFL28" s="2511"/>
      <c r="FFM28" s="2511"/>
      <c r="FFN28" s="2511"/>
      <c r="FFO28" s="2511"/>
      <c r="FFP28" s="2511"/>
      <c r="FFQ28" s="2511"/>
      <c r="FFR28" s="2511"/>
      <c r="FFS28" s="2511"/>
      <c r="FFT28" s="2511"/>
      <c r="FFU28" s="2511"/>
      <c r="FFV28" s="2511"/>
      <c r="FFW28" s="2511"/>
      <c r="FFX28" s="2511"/>
      <c r="FFY28" s="2511"/>
      <c r="FFZ28" s="2511"/>
      <c r="FGA28" s="2511"/>
      <c r="FGB28" s="2511"/>
      <c r="FGC28" s="2511"/>
      <c r="FGD28" s="2511"/>
      <c r="FGE28" s="2511"/>
      <c r="FGF28" s="2511"/>
      <c r="FGG28" s="2511"/>
      <c r="FGH28" s="2511"/>
      <c r="FGI28" s="2511"/>
      <c r="FGJ28" s="2511"/>
      <c r="FGK28" s="2511"/>
      <c r="FGL28" s="2511"/>
      <c r="FGM28" s="2511"/>
      <c r="FGN28" s="2511"/>
      <c r="FGO28" s="2511"/>
      <c r="FGP28" s="2511"/>
      <c r="FGQ28" s="2511"/>
      <c r="FGR28" s="2511"/>
      <c r="FGS28" s="2511"/>
      <c r="FGT28" s="2511"/>
      <c r="FGU28" s="2511"/>
      <c r="FGV28" s="2511"/>
      <c r="FGW28" s="2511"/>
      <c r="FGX28" s="2511"/>
      <c r="FGY28" s="2511"/>
      <c r="FGZ28" s="2511"/>
      <c r="FHA28" s="2511"/>
      <c r="FHB28" s="2511"/>
      <c r="FHC28" s="2511"/>
      <c r="FHD28" s="2511"/>
      <c r="FHE28" s="2511"/>
      <c r="FHF28" s="2511"/>
      <c r="FHG28" s="2511"/>
      <c r="FHH28" s="2511"/>
      <c r="FHI28" s="2511"/>
      <c r="FHJ28" s="2511"/>
      <c r="FHK28" s="2511"/>
      <c r="FHL28" s="2511"/>
      <c r="FHM28" s="2511"/>
      <c r="FHN28" s="2511"/>
      <c r="FHO28" s="2511"/>
      <c r="FHP28" s="2511"/>
      <c r="FHQ28" s="2511"/>
      <c r="FHR28" s="2511"/>
      <c r="FHS28" s="2511"/>
      <c r="FHT28" s="2511"/>
      <c r="FHU28" s="2511"/>
      <c r="FHV28" s="2511"/>
      <c r="FHW28" s="2511"/>
      <c r="FHX28" s="2511"/>
      <c r="FHY28" s="2511"/>
      <c r="FHZ28" s="2511"/>
      <c r="FIA28" s="2511"/>
      <c r="FIB28" s="2511"/>
      <c r="FIC28" s="2511"/>
      <c r="FID28" s="2511"/>
      <c r="FIE28" s="2511"/>
      <c r="FIF28" s="2511"/>
      <c r="FIG28" s="2511"/>
      <c r="FIH28" s="2511"/>
      <c r="FII28" s="2511"/>
      <c r="FIJ28" s="2511"/>
      <c r="FIK28" s="2511"/>
      <c r="FIL28" s="2511"/>
      <c r="FIM28" s="2511"/>
      <c r="FIN28" s="2511"/>
      <c r="FIO28" s="2511"/>
      <c r="FIP28" s="2511"/>
      <c r="FIQ28" s="2511"/>
      <c r="FIR28" s="2511"/>
      <c r="FIS28" s="2511"/>
      <c r="FIT28" s="2511"/>
      <c r="FIU28" s="2511"/>
      <c r="FIV28" s="2511"/>
      <c r="FIW28" s="2511"/>
      <c r="FIX28" s="2511"/>
      <c r="FIY28" s="2511"/>
      <c r="FIZ28" s="2511"/>
      <c r="FJA28" s="2511"/>
      <c r="FJB28" s="2511"/>
      <c r="FJC28" s="2511"/>
      <c r="FJD28" s="2511"/>
      <c r="FJE28" s="2511"/>
      <c r="FJF28" s="2511"/>
      <c r="FJG28" s="2511"/>
      <c r="FJH28" s="2511"/>
      <c r="FJI28" s="2511"/>
      <c r="FJJ28" s="2511"/>
      <c r="FJK28" s="2511"/>
      <c r="FJL28" s="2511"/>
      <c r="FJM28" s="2511"/>
      <c r="FJN28" s="2511"/>
      <c r="FJO28" s="2511"/>
      <c r="FJP28" s="2511"/>
      <c r="FJQ28" s="2511"/>
      <c r="FJR28" s="2511"/>
      <c r="FJS28" s="2511"/>
      <c r="FJT28" s="2511"/>
      <c r="FJU28" s="2511"/>
      <c r="FJV28" s="2511"/>
      <c r="FJW28" s="2511"/>
      <c r="FJX28" s="2511"/>
      <c r="FJY28" s="2511"/>
      <c r="FJZ28" s="2511"/>
      <c r="FKA28" s="2511"/>
      <c r="FKB28" s="2511"/>
      <c r="FKC28" s="2511"/>
      <c r="FKD28" s="2511"/>
      <c r="FKE28" s="2511"/>
      <c r="FKF28" s="2511"/>
      <c r="FKG28" s="2511"/>
      <c r="FKH28" s="2511"/>
      <c r="FKI28" s="2511"/>
      <c r="FKJ28" s="2511"/>
      <c r="FKK28" s="2511"/>
      <c r="FKL28" s="2511"/>
      <c r="FKM28" s="2511"/>
      <c r="FKN28" s="2511"/>
      <c r="FKO28" s="2511"/>
      <c r="FKP28" s="2511"/>
      <c r="FKQ28" s="2511"/>
      <c r="FKR28" s="2511"/>
      <c r="FKS28" s="2511"/>
      <c r="FKT28" s="2511"/>
      <c r="FKU28" s="2511"/>
      <c r="FKV28" s="2511"/>
      <c r="FKW28" s="2511"/>
      <c r="FKX28" s="2511"/>
      <c r="FKY28" s="2511"/>
      <c r="FKZ28" s="2511"/>
      <c r="FLA28" s="2511"/>
      <c r="FLB28" s="2511"/>
      <c r="FLC28" s="2511"/>
      <c r="FLD28" s="2511"/>
      <c r="FLE28" s="2511"/>
      <c r="FLF28" s="2511"/>
      <c r="FLG28" s="2511"/>
      <c r="FLH28" s="2511"/>
      <c r="FLI28" s="2511"/>
      <c r="FLJ28" s="2511"/>
      <c r="FLK28" s="2511"/>
      <c r="FLL28" s="2511"/>
      <c r="FLM28" s="2511"/>
      <c r="FLN28" s="2511"/>
      <c r="FLO28" s="2511"/>
      <c r="FLP28" s="2511"/>
      <c r="FLQ28" s="2511"/>
      <c r="FLR28" s="2511"/>
      <c r="FLS28" s="2511"/>
      <c r="FLT28" s="2511"/>
      <c r="FLU28" s="2511"/>
      <c r="FLV28" s="2511"/>
      <c r="FLW28" s="2511"/>
      <c r="FLX28" s="2511"/>
      <c r="FLY28" s="2511"/>
      <c r="FLZ28" s="2511"/>
      <c r="FMA28" s="2511"/>
      <c r="FMB28" s="2511"/>
      <c r="FMC28" s="2511"/>
      <c r="FMD28" s="2511"/>
      <c r="FME28" s="2511"/>
      <c r="FMF28" s="2511"/>
      <c r="FMG28" s="2511"/>
      <c r="FMH28" s="2511"/>
      <c r="FMI28" s="2511"/>
      <c r="FMJ28" s="2511"/>
      <c r="FMK28" s="2511"/>
      <c r="FML28" s="2511"/>
      <c r="FMM28" s="2511"/>
      <c r="FMN28" s="2511"/>
      <c r="FMO28" s="2511"/>
      <c r="FMP28" s="2511"/>
      <c r="FMQ28" s="2511"/>
      <c r="FMR28" s="2511"/>
      <c r="FMS28" s="2511"/>
      <c r="FMT28" s="2511"/>
      <c r="FMU28" s="2511"/>
      <c r="FMV28" s="2511"/>
      <c r="FMW28" s="2511"/>
      <c r="FMX28" s="2511"/>
      <c r="FMY28" s="2511"/>
      <c r="FMZ28" s="2511"/>
      <c r="FNA28" s="2511"/>
      <c r="FNB28" s="2511"/>
      <c r="FNC28" s="2511"/>
      <c r="FND28" s="2511"/>
      <c r="FNE28" s="2511"/>
      <c r="FNF28" s="2511"/>
      <c r="FNG28" s="2511"/>
      <c r="FNH28" s="2511"/>
      <c r="FNI28" s="2511"/>
      <c r="FNJ28" s="2511"/>
      <c r="FNK28" s="2511"/>
      <c r="FNL28" s="2511"/>
      <c r="FNM28" s="2511"/>
      <c r="FNN28" s="2511"/>
      <c r="FNO28" s="2511"/>
      <c r="FNP28" s="2511"/>
      <c r="FNQ28" s="2511"/>
      <c r="FNR28" s="2511"/>
      <c r="FNS28" s="2511"/>
      <c r="FNT28" s="2511"/>
      <c r="FNU28" s="2511"/>
      <c r="FNV28" s="2511"/>
      <c r="FNW28" s="2511"/>
      <c r="FNX28" s="2511"/>
      <c r="FNY28" s="2511"/>
      <c r="FNZ28" s="2511"/>
      <c r="FOA28" s="2511"/>
      <c r="FOB28" s="2511"/>
      <c r="FOC28" s="2511"/>
      <c r="FOD28" s="2511"/>
      <c r="FOE28" s="2511"/>
      <c r="FOF28" s="2511"/>
      <c r="FOG28" s="2511"/>
      <c r="FOH28" s="2511"/>
      <c r="FOI28" s="2511"/>
      <c r="FOJ28" s="2511"/>
      <c r="FOK28" s="2511"/>
      <c r="FOL28" s="2511"/>
      <c r="FOM28" s="2511"/>
      <c r="FON28" s="2511"/>
      <c r="FOO28" s="2511"/>
      <c r="FOP28" s="2511"/>
      <c r="FOQ28" s="2511"/>
      <c r="FOR28" s="2511"/>
      <c r="FOS28" s="2511"/>
      <c r="FOT28" s="2511"/>
      <c r="FOU28" s="2511"/>
      <c r="FOV28" s="2511"/>
      <c r="FOW28" s="2511"/>
      <c r="FOX28" s="2511"/>
      <c r="FOY28" s="2511"/>
      <c r="FOZ28" s="2511"/>
      <c r="FPA28" s="2511"/>
      <c r="FPB28" s="2511"/>
      <c r="FPC28" s="2511"/>
      <c r="FPD28" s="2511"/>
      <c r="FPE28" s="2511"/>
      <c r="FPF28" s="2511"/>
      <c r="FPG28" s="2511"/>
      <c r="FPH28" s="2511"/>
      <c r="FPI28" s="2511"/>
      <c r="FPJ28" s="2511"/>
      <c r="FPK28" s="2511"/>
      <c r="FPL28" s="2511"/>
      <c r="FPM28" s="2511"/>
      <c r="FPN28" s="2511"/>
      <c r="FPO28" s="2511"/>
      <c r="FPP28" s="2511"/>
      <c r="FPQ28" s="2511"/>
      <c r="FPR28" s="2511"/>
      <c r="FPS28" s="2511"/>
      <c r="FPT28" s="2511"/>
      <c r="FPU28" s="2511"/>
      <c r="FPV28" s="2511"/>
      <c r="FPW28" s="2511"/>
      <c r="FPX28" s="2511"/>
      <c r="FPY28" s="2511"/>
      <c r="FPZ28" s="2511"/>
      <c r="FQA28" s="2511"/>
      <c r="FQB28" s="2511"/>
      <c r="FQC28" s="2511"/>
      <c r="FQD28" s="2511"/>
      <c r="FQE28" s="2511"/>
      <c r="FQF28" s="2511"/>
      <c r="FQG28" s="2511"/>
      <c r="FQH28" s="2511"/>
      <c r="FQI28" s="2511"/>
      <c r="FQJ28" s="2511"/>
      <c r="FQK28" s="2511"/>
      <c r="FQL28" s="2511"/>
      <c r="FQM28" s="2511"/>
      <c r="FQN28" s="2511"/>
      <c r="FQO28" s="2511"/>
      <c r="FQP28" s="2511"/>
      <c r="FQQ28" s="2511"/>
      <c r="FQR28" s="2511"/>
      <c r="FQS28" s="2511"/>
      <c r="FQT28" s="2511"/>
      <c r="FQU28" s="2511"/>
      <c r="FQV28" s="2511"/>
      <c r="FQW28" s="2511"/>
      <c r="FQX28" s="2511"/>
      <c r="FQY28" s="2511"/>
      <c r="FQZ28" s="2511"/>
      <c r="FRA28" s="2511"/>
      <c r="FRB28" s="2511"/>
      <c r="FRC28" s="2511"/>
      <c r="FRD28" s="2511"/>
      <c r="FRE28" s="2511"/>
      <c r="FRF28" s="2511"/>
      <c r="FRG28" s="2511"/>
      <c r="FRH28" s="2511"/>
      <c r="FRI28" s="2511"/>
      <c r="FRJ28" s="2511"/>
      <c r="FRK28" s="2511"/>
      <c r="FRL28" s="2511"/>
      <c r="FRM28" s="2511"/>
      <c r="FRN28" s="2511"/>
      <c r="FRO28" s="2511"/>
      <c r="FRP28" s="2511"/>
      <c r="FRQ28" s="2511"/>
      <c r="FRR28" s="2511"/>
      <c r="FRS28" s="2511"/>
      <c r="FRT28" s="2511"/>
      <c r="FRU28" s="2511"/>
      <c r="FRV28" s="2511"/>
      <c r="FRW28" s="2511"/>
      <c r="FRX28" s="2511"/>
      <c r="FRY28" s="2511"/>
      <c r="FRZ28" s="2511"/>
      <c r="FSA28" s="2511"/>
      <c r="FSB28" s="2511"/>
      <c r="FSC28" s="2511"/>
      <c r="FSD28" s="2511"/>
      <c r="FSE28" s="2511"/>
      <c r="FSF28" s="2511"/>
      <c r="FSG28" s="2511"/>
      <c r="FSH28" s="2511"/>
      <c r="FSI28" s="2511"/>
      <c r="FSJ28" s="2511"/>
      <c r="FSK28" s="2511"/>
      <c r="FSL28" s="2511"/>
      <c r="FSM28" s="2511"/>
      <c r="FSN28" s="2511"/>
      <c r="FSO28" s="2511"/>
      <c r="FSP28" s="2511"/>
      <c r="FSQ28" s="2511"/>
      <c r="FSR28" s="2511"/>
      <c r="FSS28" s="2511"/>
      <c r="FST28" s="2511"/>
      <c r="FSU28" s="2511"/>
      <c r="FSV28" s="2511"/>
      <c r="FSW28" s="2511"/>
      <c r="FSX28" s="2511"/>
      <c r="FSY28" s="2511"/>
      <c r="FSZ28" s="2511"/>
      <c r="FTA28" s="2511"/>
      <c r="FTB28" s="2511"/>
      <c r="FTC28" s="2511"/>
      <c r="FTD28" s="2511"/>
      <c r="FTE28" s="2511"/>
      <c r="FTF28" s="2511"/>
      <c r="FTG28" s="2511"/>
      <c r="FTH28" s="2511"/>
      <c r="FTI28" s="2511"/>
      <c r="FTJ28" s="2511"/>
      <c r="FTK28" s="2511"/>
      <c r="FTL28" s="2511"/>
      <c r="FTM28" s="2511"/>
      <c r="FTN28" s="2511"/>
      <c r="FTO28" s="2511"/>
      <c r="FTP28" s="2511"/>
      <c r="FTQ28" s="2511"/>
      <c r="FTR28" s="2511"/>
      <c r="FTS28" s="2511"/>
      <c r="FTT28" s="2511"/>
      <c r="FTU28" s="2511"/>
      <c r="FTV28" s="2511"/>
      <c r="FTW28" s="2511"/>
      <c r="FTX28" s="2511"/>
      <c r="FTY28" s="2511"/>
      <c r="FTZ28" s="2511"/>
      <c r="FUA28" s="2511"/>
      <c r="FUB28" s="2511"/>
      <c r="FUC28" s="2511"/>
      <c r="FUD28" s="2511"/>
      <c r="FUE28" s="2511"/>
      <c r="FUF28" s="2511"/>
      <c r="FUG28" s="2511"/>
      <c r="FUH28" s="2511"/>
      <c r="FUI28" s="2511"/>
      <c r="FUJ28" s="2511"/>
      <c r="FUK28" s="2511"/>
      <c r="FUL28" s="2511"/>
      <c r="FUM28" s="2511"/>
      <c r="FUN28" s="2511"/>
      <c r="FUO28" s="2511"/>
      <c r="FUP28" s="2511"/>
      <c r="FUQ28" s="2511"/>
      <c r="FUR28" s="2511"/>
      <c r="FUS28" s="2511"/>
      <c r="FUT28" s="2511"/>
      <c r="FUU28" s="2511"/>
      <c r="FUV28" s="2511"/>
      <c r="FUW28" s="2511"/>
      <c r="FUX28" s="2511"/>
      <c r="FUY28" s="2511"/>
      <c r="FUZ28" s="2511"/>
      <c r="FVA28" s="2511"/>
      <c r="FVB28" s="2511"/>
      <c r="FVC28" s="2511"/>
      <c r="FVD28" s="2511"/>
      <c r="FVE28" s="2511"/>
      <c r="FVF28" s="2511"/>
      <c r="FVG28" s="2511"/>
      <c r="FVH28" s="2511"/>
      <c r="FVI28" s="2511"/>
      <c r="FVJ28" s="2511"/>
      <c r="FVK28" s="2511"/>
      <c r="FVL28" s="2511"/>
      <c r="FVM28" s="2511"/>
      <c r="FVN28" s="2511"/>
      <c r="FVO28" s="2511"/>
      <c r="FVP28" s="2511"/>
      <c r="FVQ28" s="2511"/>
      <c r="FVR28" s="2511"/>
      <c r="FVS28" s="2511"/>
      <c r="FVT28" s="2511"/>
      <c r="FVU28" s="2511"/>
      <c r="FVV28" s="2511"/>
      <c r="FVW28" s="2511"/>
      <c r="FVX28" s="2511"/>
      <c r="FVY28" s="2511"/>
      <c r="FVZ28" s="2511"/>
      <c r="FWA28" s="2511"/>
      <c r="FWB28" s="2511"/>
      <c r="FWC28" s="2511"/>
      <c r="FWD28" s="2511"/>
      <c r="FWE28" s="2511"/>
      <c r="FWF28" s="2511"/>
      <c r="FWG28" s="2511"/>
      <c r="FWH28" s="2511"/>
      <c r="FWI28" s="2511"/>
      <c r="FWJ28" s="2511"/>
      <c r="FWK28" s="2511"/>
      <c r="FWL28" s="2511"/>
      <c r="FWM28" s="2511"/>
      <c r="FWN28" s="2511"/>
      <c r="FWO28" s="2511"/>
      <c r="FWP28" s="2511"/>
      <c r="FWQ28" s="2511"/>
      <c r="FWR28" s="2511"/>
      <c r="FWS28" s="2511"/>
      <c r="FWT28" s="2511"/>
      <c r="FWU28" s="2511"/>
      <c r="FWV28" s="2511"/>
      <c r="FWW28" s="2511"/>
      <c r="FWX28" s="2511"/>
      <c r="FWY28" s="2511"/>
      <c r="FWZ28" s="2511"/>
      <c r="FXA28" s="2511"/>
      <c r="FXB28" s="2511"/>
      <c r="FXC28" s="2511"/>
      <c r="FXD28" s="2511"/>
      <c r="FXE28" s="2511"/>
      <c r="FXF28" s="2511"/>
      <c r="FXG28" s="2511"/>
      <c r="FXH28" s="2511"/>
      <c r="FXI28" s="2511"/>
      <c r="FXJ28" s="2511"/>
      <c r="FXK28" s="2511"/>
      <c r="FXL28" s="2511"/>
      <c r="FXM28" s="2511"/>
      <c r="FXN28" s="2511"/>
      <c r="FXO28" s="2511"/>
      <c r="FXP28" s="2511"/>
      <c r="FXQ28" s="2511"/>
      <c r="FXR28" s="2511"/>
      <c r="FXS28" s="2511"/>
      <c r="FXT28" s="2511"/>
      <c r="FXU28" s="2511"/>
      <c r="FXV28" s="2511"/>
      <c r="FXW28" s="2511"/>
      <c r="FXX28" s="2511"/>
      <c r="FXY28" s="2511"/>
      <c r="FXZ28" s="2511"/>
      <c r="FYA28" s="2511"/>
      <c r="FYB28" s="2511"/>
      <c r="FYC28" s="2511"/>
      <c r="FYD28" s="2511"/>
      <c r="FYE28" s="2511"/>
      <c r="FYF28" s="2511"/>
      <c r="FYG28" s="2511"/>
      <c r="FYH28" s="2511"/>
      <c r="FYI28" s="2511"/>
      <c r="FYJ28" s="2511"/>
      <c r="FYK28" s="2511"/>
      <c r="FYL28" s="2511"/>
      <c r="FYM28" s="2511"/>
      <c r="FYN28" s="2511"/>
      <c r="FYO28" s="2511"/>
      <c r="FYP28" s="2511"/>
      <c r="FYQ28" s="2511"/>
      <c r="FYR28" s="2511"/>
      <c r="FYS28" s="2511"/>
      <c r="FYT28" s="2511"/>
      <c r="FYU28" s="2511"/>
      <c r="FYV28" s="2511"/>
      <c r="FYW28" s="2511"/>
      <c r="FYX28" s="2511"/>
      <c r="FYY28" s="2511"/>
      <c r="FYZ28" s="2511"/>
      <c r="FZA28" s="2511"/>
      <c r="FZB28" s="2511"/>
      <c r="FZC28" s="2511"/>
      <c r="FZD28" s="2511"/>
      <c r="FZE28" s="2511"/>
      <c r="FZF28" s="2511"/>
      <c r="FZG28" s="2511"/>
      <c r="FZH28" s="2511"/>
      <c r="FZI28" s="2511"/>
      <c r="FZJ28" s="2511"/>
      <c r="FZK28" s="2511"/>
      <c r="FZL28" s="2511"/>
      <c r="FZM28" s="2511"/>
      <c r="FZN28" s="2511"/>
      <c r="FZO28" s="2511"/>
      <c r="FZP28" s="2511"/>
      <c r="FZQ28" s="2511"/>
      <c r="FZR28" s="2511"/>
      <c r="FZS28" s="2511"/>
      <c r="FZT28" s="2511"/>
      <c r="FZU28" s="2511"/>
      <c r="FZV28" s="2511"/>
      <c r="FZW28" s="2511"/>
      <c r="FZX28" s="2511"/>
      <c r="FZY28" s="2511"/>
      <c r="FZZ28" s="2511"/>
      <c r="GAA28" s="2511"/>
      <c r="GAB28" s="2511"/>
      <c r="GAC28" s="2511"/>
      <c r="GAD28" s="2511"/>
      <c r="GAE28" s="2511"/>
      <c r="GAF28" s="2511"/>
      <c r="GAG28" s="2511"/>
      <c r="GAH28" s="2511"/>
      <c r="GAI28" s="2511"/>
      <c r="GAJ28" s="2511"/>
      <c r="GAK28" s="2511"/>
      <c r="GAL28" s="2511"/>
      <c r="GAM28" s="2511"/>
      <c r="GAN28" s="2511"/>
      <c r="GAO28" s="2511"/>
      <c r="GAP28" s="2511"/>
      <c r="GAQ28" s="2511"/>
      <c r="GAR28" s="2511"/>
      <c r="GAS28" s="2511"/>
      <c r="GAT28" s="2511"/>
      <c r="GAU28" s="2511"/>
      <c r="GAV28" s="2511"/>
      <c r="GAW28" s="2511"/>
      <c r="GAX28" s="2511"/>
      <c r="GAY28" s="2511"/>
      <c r="GAZ28" s="2511"/>
      <c r="GBA28" s="2511"/>
      <c r="GBB28" s="2511"/>
      <c r="GBC28" s="2511"/>
      <c r="GBD28" s="2511"/>
      <c r="GBE28" s="2511"/>
      <c r="GBF28" s="2511"/>
      <c r="GBG28" s="2511"/>
      <c r="GBH28" s="2511"/>
      <c r="GBI28" s="2511"/>
      <c r="GBJ28" s="2511"/>
      <c r="GBK28" s="2511"/>
      <c r="GBL28" s="2511"/>
      <c r="GBM28" s="2511"/>
      <c r="GBN28" s="2511"/>
      <c r="GBO28" s="2511"/>
      <c r="GBP28" s="2511"/>
      <c r="GBQ28" s="2511"/>
      <c r="GBR28" s="2511"/>
      <c r="GBS28" s="2511"/>
      <c r="GBT28" s="2511"/>
      <c r="GBU28" s="2511"/>
      <c r="GBV28" s="2511"/>
      <c r="GBW28" s="2511"/>
      <c r="GBX28" s="2511"/>
      <c r="GBY28" s="2511"/>
      <c r="GBZ28" s="2511"/>
      <c r="GCA28" s="2511"/>
      <c r="GCB28" s="2511"/>
      <c r="GCC28" s="2511"/>
      <c r="GCD28" s="2511"/>
      <c r="GCE28" s="2511"/>
      <c r="GCF28" s="2511"/>
      <c r="GCG28" s="2511"/>
      <c r="GCH28" s="2511"/>
      <c r="GCI28" s="2511"/>
      <c r="GCJ28" s="2511"/>
      <c r="GCK28" s="2511"/>
      <c r="GCL28" s="2511"/>
      <c r="GCM28" s="2511"/>
      <c r="GCN28" s="2511"/>
      <c r="GCO28" s="2511"/>
      <c r="GCP28" s="2511"/>
      <c r="GCQ28" s="2511"/>
      <c r="GCR28" s="2511"/>
      <c r="GCS28" s="2511"/>
      <c r="GCT28" s="2511"/>
      <c r="GCU28" s="2511"/>
      <c r="GCV28" s="2511"/>
      <c r="GCW28" s="2511"/>
      <c r="GCX28" s="2511"/>
      <c r="GCY28" s="2511"/>
      <c r="GCZ28" s="2511"/>
      <c r="GDA28" s="2511"/>
      <c r="GDB28" s="2511"/>
      <c r="GDC28" s="2511"/>
      <c r="GDD28" s="2511"/>
      <c r="GDE28" s="2511"/>
      <c r="GDF28" s="2511"/>
      <c r="GDG28" s="2511"/>
      <c r="GDH28" s="2511"/>
      <c r="GDI28" s="2511"/>
      <c r="GDJ28" s="2511"/>
      <c r="GDK28" s="2511"/>
      <c r="GDL28" s="2511"/>
      <c r="GDM28" s="2511"/>
      <c r="GDN28" s="2511"/>
      <c r="GDO28" s="2511"/>
      <c r="GDP28" s="2511"/>
      <c r="GDQ28" s="2511"/>
      <c r="GDR28" s="2511"/>
      <c r="GDS28" s="2511"/>
      <c r="GDT28" s="2511"/>
      <c r="GDU28" s="2511"/>
      <c r="GDV28" s="2511"/>
      <c r="GDW28" s="2511"/>
      <c r="GDX28" s="2511"/>
      <c r="GDY28" s="2511"/>
      <c r="GDZ28" s="2511"/>
      <c r="GEA28" s="2511"/>
      <c r="GEB28" s="2511"/>
      <c r="GEC28" s="2511"/>
      <c r="GED28" s="2511"/>
      <c r="GEE28" s="2511"/>
      <c r="GEF28" s="2511"/>
      <c r="GEG28" s="2511"/>
      <c r="GEH28" s="2511"/>
      <c r="GEI28" s="2511"/>
      <c r="GEJ28" s="2511"/>
      <c r="GEK28" s="2511"/>
      <c r="GEL28" s="2511"/>
      <c r="GEM28" s="2511"/>
      <c r="GEN28" s="2511"/>
      <c r="GEO28" s="2511"/>
      <c r="GEP28" s="2511"/>
      <c r="GEQ28" s="2511"/>
      <c r="GER28" s="2511"/>
      <c r="GES28" s="2511"/>
      <c r="GET28" s="2511"/>
      <c r="GEU28" s="2511"/>
      <c r="GEV28" s="2511"/>
      <c r="GEW28" s="2511"/>
      <c r="GEX28" s="2511"/>
      <c r="GEY28" s="2511"/>
      <c r="GEZ28" s="2511"/>
      <c r="GFA28" s="2511"/>
      <c r="GFB28" s="2511"/>
      <c r="GFC28" s="2511"/>
      <c r="GFD28" s="2511"/>
      <c r="GFE28" s="2511"/>
      <c r="GFF28" s="2511"/>
      <c r="GFG28" s="2511"/>
      <c r="GFH28" s="2511"/>
      <c r="GFI28" s="2511"/>
      <c r="GFJ28" s="2511"/>
      <c r="GFK28" s="2511"/>
      <c r="GFL28" s="2511"/>
      <c r="GFM28" s="2511"/>
      <c r="GFN28" s="2511"/>
      <c r="GFO28" s="2511"/>
      <c r="GFP28" s="2511"/>
      <c r="GFQ28" s="2511"/>
      <c r="GFR28" s="2511"/>
      <c r="GFS28" s="2511"/>
      <c r="GFT28" s="2511"/>
      <c r="GFU28" s="2511"/>
      <c r="GFV28" s="2511"/>
      <c r="GFW28" s="2511"/>
      <c r="GFX28" s="2511"/>
      <c r="GFY28" s="2511"/>
      <c r="GFZ28" s="2511"/>
      <c r="GGA28" s="2511"/>
      <c r="GGB28" s="2511"/>
      <c r="GGC28" s="2511"/>
      <c r="GGD28" s="2511"/>
      <c r="GGE28" s="2511"/>
      <c r="GGF28" s="2511"/>
      <c r="GGG28" s="2511"/>
      <c r="GGH28" s="2511"/>
      <c r="GGI28" s="2511"/>
      <c r="GGJ28" s="2511"/>
      <c r="GGK28" s="2511"/>
      <c r="GGL28" s="2511"/>
      <c r="GGM28" s="2511"/>
      <c r="GGN28" s="2511"/>
      <c r="GGO28" s="2511"/>
      <c r="GGP28" s="2511"/>
      <c r="GGQ28" s="2511"/>
      <c r="GGR28" s="2511"/>
      <c r="GGS28" s="2511"/>
      <c r="GGT28" s="2511"/>
      <c r="GGU28" s="2511"/>
      <c r="GGV28" s="2511"/>
      <c r="GGW28" s="2511"/>
      <c r="GGX28" s="2511"/>
      <c r="GGY28" s="2511"/>
      <c r="GGZ28" s="2511"/>
      <c r="GHA28" s="2511"/>
      <c r="GHB28" s="2511"/>
      <c r="GHC28" s="2511"/>
      <c r="GHD28" s="2511"/>
      <c r="GHE28" s="2511"/>
      <c r="GHF28" s="2511"/>
      <c r="GHG28" s="2511"/>
      <c r="GHH28" s="2511"/>
      <c r="GHI28" s="2511"/>
      <c r="GHJ28" s="2511"/>
      <c r="GHK28" s="2511"/>
      <c r="GHL28" s="2511"/>
      <c r="GHM28" s="2511"/>
      <c r="GHN28" s="2511"/>
      <c r="GHO28" s="2511"/>
      <c r="GHP28" s="2511"/>
      <c r="GHQ28" s="2511"/>
      <c r="GHR28" s="2511"/>
      <c r="GHS28" s="2511"/>
      <c r="GHT28" s="2511"/>
      <c r="GHU28" s="2511"/>
      <c r="GHV28" s="2511"/>
      <c r="GHW28" s="2511"/>
      <c r="GHX28" s="2511"/>
      <c r="GHY28" s="2511"/>
      <c r="GHZ28" s="2511"/>
      <c r="GIA28" s="2511"/>
      <c r="GIB28" s="2511"/>
      <c r="GIC28" s="2511"/>
      <c r="GID28" s="2511"/>
      <c r="GIE28" s="2511"/>
      <c r="GIF28" s="2511"/>
      <c r="GIG28" s="2511"/>
      <c r="GIH28" s="2511"/>
      <c r="GII28" s="2511"/>
      <c r="GIJ28" s="2511"/>
      <c r="GIK28" s="2511"/>
      <c r="GIL28" s="2511"/>
      <c r="GIM28" s="2511"/>
      <c r="GIN28" s="2511"/>
      <c r="GIO28" s="2511"/>
      <c r="GIP28" s="2511"/>
      <c r="GIQ28" s="2511"/>
      <c r="GIR28" s="2511"/>
      <c r="GIS28" s="2511"/>
      <c r="GIT28" s="2511"/>
      <c r="GIU28" s="2511"/>
      <c r="GIV28" s="2511"/>
      <c r="GIW28" s="2511"/>
      <c r="GIX28" s="2511"/>
      <c r="GIY28" s="2511"/>
      <c r="GIZ28" s="2511"/>
      <c r="GJA28" s="2511"/>
      <c r="GJB28" s="2511"/>
      <c r="GJC28" s="2511"/>
      <c r="GJD28" s="2511"/>
      <c r="GJE28" s="2511"/>
      <c r="GJF28" s="2511"/>
      <c r="GJG28" s="2511"/>
      <c r="GJH28" s="2511"/>
      <c r="GJI28" s="2511"/>
      <c r="GJJ28" s="2511"/>
      <c r="GJK28" s="2511"/>
      <c r="GJL28" s="2511"/>
      <c r="GJM28" s="2511"/>
      <c r="GJN28" s="2511"/>
      <c r="GJO28" s="2511"/>
      <c r="GJP28" s="2511"/>
      <c r="GJQ28" s="2511"/>
      <c r="GJR28" s="2511"/>
      <c r="GJS28" s="2511"/>
      <c r="GJT28" s="2511"/>
      <c r="GJU28" s="2511"/>
      <c r="GJV28" s="2511"/>
      <c r="GJW28" s="2511"/>
      <c r="GJX28" s="2511"/>
      <c r="GJY28" s="2511"/>
      <c r="GJZ28" s="2511"/>
      <c r="GKA28" s="2511"/>
      <c r="GKB28" s="2511"/>
      <c r="GKC28" s="2511"/>
      <c r="GKD28" s="2511"/>
      <c r="GKE28" s="2511"/>
      <c r="GKF28" s="2511"/>
      <c r="GKG28" s="2511"/>
      <c r="GKH28" s="2511"/>
      <c r="GKI28" s="2511"/>
      <c r="GKJ28" s="2511"/>
      <c r="GKK28" s="2511"/>
      <c r="GKL28" s="2511"/>
      <c r="GKM28" s="2511"/>
      <c r="GKN28" s="2511"/>
      <c r="GKO28" s="2511"/>
      <c r="GKP28" s="2511"/>
      <c r="GKQ28" s="2511"/>
      <c r="GKR28" s="2511"/>
      <c r="GKS28" s="2511"/>
      <c r="GKT28" s="2511"/>
      <c r="GKU28" s="2511"/>
      <c r="GKV28" s="2511"/>
      <c r="GKW28" s="2511"/>
      <c r="GKX28" s="2511"/>
      <c r="GKY28" s="2511"/>
      <c r="GKZ28" s="2511"/>
      <c r="GLA28" s="2511"/>
      <c r="GLB28" s="2511"/>
      <c r="GLC28" s="2511"/>
      <c r="GLD28" s="2511"/>
      <c r="GLE28" s="2511"/>
      <c r="GLF28" s="2511"/>
      <c r="GLG28" s="2511"/>
      <c r="GLH28" s="2511"/>
      <c r="GLI28" s="2511"/>
      <c r="GLJ28" s="2511"/>
      <c r="GLK28" s="2511"/>
      <c r="GLL28" s="2511"/>
      <c r="GLM28" s="2511"/>
      <c r="GLN28" s="2511"/>
      <c r="GLO28" s="2511"/>
      <c r="GLP28" s="2511"/>
      <c r="GLQ28" s="2511"/>
      <c r="GLR28" s="2511"/>
      <c r="GLS28" s="2511"/>
      <c r="GLT28" s="2511"/>
      <c r="GLU28" s="2511"/>
      <c r="GLV28" s="2511"/>
      <c r="GLW28" s="2511"/>
      <c r="GLX28" s="2511"/>
      <c r="GLY28" s="2511"/>
      <c r="GLZ28" s="2511"/>
      <c r="GMA28" s="2511"/>
      <c r="GMB28" s="2511"/>
      <c r="GMC28" s="2511"/>
      <c r="GMD28" s="2511"/>
      <c r="GME28" s="2511"/>
      <c r="GMF28" s="2511"/>
      <c r="GMG28" s="2511"/>
      <c r="GMH28" s="2511"/>
      <c r="GMI28" s="2511"/>
      <c r="GMJ28" s="2511"/>
      <c r="GMK28" s="2511"/>
      <c r="GML28" s="2511"/>
      <c r="GMM28" s="2511"/>
      <c r="GMN28" s="2511"/>
      <c r="GMO28" s="2511"/>
      <c r="GMP28" s="2511"/>
      <c r="GMQ28" s="2511"/>
      <c r="GMR28" s="2511"/>
      <c r="GMS28" s="2511"/>
      <c r="GMT28" s="2511"/>
      <c r="GMU28" s="2511"/>
      <c r="GMV28" s="2511"/>
      <c r="GMW28" s="2511"/>
      <c r="GMX28" s="2511"/>
      <c r="GMY28" s="2511"/>
      <c r="GMZ28" s="2511"/>
      <c r="GNA28" s="2511"/>
      <c r="GNB28" s="2511"/>
      <c r="GNC28" s="2511"/>
      <c r="GND28" s="2511"/>
      <c r="GNE28" s="2511"/>
      <c r="GNF28" s="2511"/>
      <c r="GNG28" s="2511"/>
      <c r="GNH28" s="2511"/>
      <c r="GNI28" s="2511"/>
      <c r="GNJ28" s="2511"/>
      <c r="GNK28" s="2511"/>
      <c r="GNL28" s="2511"/>
      <c r="GNM28" s="2511"/>
      <c r="GNN28" s="2511"/>
      <c r="GNO28" s="2511"/>
      <c r="GNP28" s="2511"/>
      <c r="GNQ28" s="2511"/>
      <c r="GNR28" s="2511"/>
      <c r="GNS28" s="2511"/>
      <c r="GNT28" s="2511"/>
      <c r="GNU28" s="2511"/>
      <c r="GNV28" s="2511"/>
      <c r="GNW28" s="2511"/>
      <c r="GNX28" s="2511"/>
      <c r="GNY28" s="2511"/>
      <c r="GNZ28" s="2511"/>
      <c r="GOA28" s="2511"/>
      <c r="GOB28" s="2511"/>
      <c r="GOC28" s="2511"/>
      <c r="GOD28" s="2511"/>
      <c r="GOE28" s="2511"/>
      <c r="GOF28" s="2511"/>
      <c r="GOG28" s="2511"/>
      <c r="GOH28" s="2511"/>
      <c r="GOI28" s="2511"/>
      <c r="GOJ28" s="2511"/>
      <c r="GOK28" s="2511"/>
      <c r="GOL28" s="2511"/>
      <c r="GOM28" s="2511"/>
      <c r="GON28" s="2511"/>
      <c r="GOO28" s="2511"/>
      <c r="GOP28" s="2511"/>
      <c r="GOQ28" s="2511"/>
      <c r="GOR28" s="2511"/>
      <c r="GOS28" s="2511"/>
      <c r="GOT28" s="2511"/>
      <c r="GOU28" s="2511"/>
      <c r="GOV28" s="2511"/>
      <c r="GOW28" s="2511"/>
      <c r="GOX28" s="2511"/>
      <c r="GOY28" s="2511"/>
      <c r="GOZ28" s="2511"/>
      <c r="GPA28" s="2511"/>
      <c r="GPB28" s="2511"/>
      <c r="GPC28" s="2511"/>
      <c r="GPD28" s="2511"/>
      <c r="GPE28" s="2511"/>
      <c r="GPF28" s="2511"/>
      <c r="GPG28" s="2511"/>
      <c r="GPH28" s="2511"/>
      <c r="GPI28" s="2511"/>
      <c r="GPJ28" s="2511"/>
      <c r="GPK28" s="2511"/>
      <c r="GPL28" s="2511"/>
      <c r="GPM28" s="2511"/>
      <c r="GPN28" s="2511"/>
      <c r="GPO28" s="2511"/>
      <c r="GPP28" s="2511"/>
      <c r="GPQ28" s="2511"/>
      <c r="GPR28" s="2511"/>
      <c r="GPS28" s="2511"/>
      <c r="GPT28" s="2511"/>
      <c r="GPU28" s="2511"/>
      <c r="GPV28" s="2511"/>
      <c r="GPW28" s="2511"/>
      <c r="GPX28" s="2511"/>
      <c r="GPY28" s="2511"/>
      <c r="GPZ28" s="2511"/>
      <c r="GQA28" s="2511"/>
      <c r="GQB28" s="2511"/>
      <c r="GQC28" s="2511"/>
      <c r="GQD28" s="2511"/>
      <c r="GQE28" s="2511"/>
      <c r="GQF28" s="2511"/>
      <c r="GQG28" s="2511"/>
      <c r="GQH28" s="2511"/>
      <c r="GQI28" s="2511"/>
      <c r="GQJ28" s="2511"/>
      <c r="GQK28" s="2511"/>
      <c r="GQL28" s="2511"/>
      <c r="GQM28" s="2511"/>
      <c r="GQN28" s="2511"/>
      <c r="GQO28" s="2511"/>
      <c r="GQP28" s="2511"/>
      <c r="GQQ28" s="2511"/>
      <c r="GQR28" s="2511"/>
      <c r="GQS28" s="2511"/>
      <c r="GQT28" s="2511"/>
      <c r="GQU28" s="2511"/>
      <c r="GQV28" s="2511"/>
      <c r="GQW28" s="2511"/>
      <c r="GQX28" s="2511"/>
      <c r="GQY28" s="2511"/>
      <c r="GQZ28" s="2511"/>
      <c r="GRA28" s="2511"/>
      <c r="GRB28" s="2511"/>
      <c r="GRC28" s="2511"/>
      <c r="GRD28" s="2511"/>
      <c r="GRE28" s="2511"/>
      <c r="GRF28" s="2511"/>
      <c r="GRG28" s="2511"/>
      <c r="GRH28" s="2511"/>
      <c r="GRI28" s="2511"/>
      <c r="GRJ28" s="2511"/>
      <c r="GRK28" s="2511"/>
      <c r="GRL28" s="2511"/>
      <c r="GRM28" s="2511"/>
      <c r="GRN28" s="2511"/>
      <c r="GRO28" s="2511"/>
      <c r="GRP28" s="2511"/>
      <c r="GRQ28" s="2511"/>
      <c r="GRR28" s="2511"/>
      <c r="GRS28" s="2511"/>
      <c r="GRT28" s="2511"/>
      <c r="GRU28" s="2511"/>
      <c r="GRV28" s="2511"/>
      <c r="GRW28" s="2511"/>
      <c r="GRX28" s="2511"/>
      <c r="GRY28" s="2511"/>
      <c r="GRZ28" s="2511"/>
      <c r="GSA28" s="2511"/>
      <c r="GSB28" s="2511"/>
      <c r="GSC28" s="2511"/>
      <c r="GSD28" s="2511"/>
      <c r="GSE28" s="2511"/>
      <c r="GSF28" s="2511"/>
      <c r="GSG28" s="2511"/>
      <c r="GSH28" s="2511"/>
      <c r="GSI28" s="2511"/>
      <c r="GSJ28" s="2511"/>
      <c r="GSK28" s="2511"/>
      <c r="GSL28" s="2511"/>
      <c r="GSM28" s="2511"/>
      <c r="GSN28" s="2511"/>
      <c r="GSO28" s="2511"/>
      <c r="GSP28" s="2511"/>
      <c r="GSQ28" s="2511"/>
      <c r="GSR28" s="2511"/>
      <c r="GSS28" s="2511"/>
      <c r="GST28" s="2511"/>
      <c r="GSU28" s="2511"/>
      <c r="GSV28" s="2511"/>
      <c r="GSW28" s="2511"/>
      <c r="GSX28" s="2511"/>
      <c r="GSY28" s="2511"/>
      <c r="GSZ28" s="2511"/>
      <c r="GTA28" s="2511"/>
      <c r="GTB28" s="2511"/>
      <c r="GTC28" s="2511"/>
      <c r="GTD28" s="2511"/>
      <c r="GTE28" s="2511"/>
      <c r="GTF28" s="2511"/>
      <c r="GTG28" s="2511"/>
      <c r="GTH28" s="2511"/>
      <c r="GTI28" s="2511"/>
      <c r="GTJ28" s="2511"/>
      <c r="GTK28" s="2511"/>
      <c r="GTL28" s="2511"/>
      <c r="GTM28" s="2511"/>
      <c r="GTN28" s="2511"/>
      <c r="GTO28" s="2511"/>
      <c r="GTP28" s="2511"/>
      <c r="GTQ28" s="2511"/>
      <c r="GTR28" s="2511"/>
      <c r="GTS28" s="2511"/>
      <c r="GTT28" s="2511"/>
      <c r="GTU28" s="2511"/>
      <c r="GTV28" s="2511"/>
      <c r="GTW28" s="2511"/>
      <c r="GTX28" s="2511"/>
      <c r="GTY28" s="2511"/>
      <c r="GTZ28" s="2511"/>
      <c r="GUA28" s="2511"/>
      <c r="GUB28" s="2511"/>
      <c r="GUC28" s="2511"/>
      <c r="GUD28" s="2511"/>
      <c r="GUE28" s="2511"/>
      <c r="GUF28" s="2511"/>
      <c r="GUG28" s="2511"/>
      <c r="GUH28" s="2511"/>
      <c r="GUI28" s="2511"/>
      <c r="GUJ28" s="2511"/>
      <c r="GUK28" s="2511"/>
      <c r="GUL28" s="2511"/>
      <c r="GUM28" s="2511"/>
      <c r="GUN28" s="2511"/>
      <c r="GUO28" s="2511"/>
      <c r="GUP28" s="2511"/>
      <c r="GUQ28" s="2511"/>
      <c r="GUR28" s="2511"/>
      <c r="GUS28" s="2511"/>
      <c r="GUT28" s="2511"/>
      <c r="GUU28" s="2511"/>
      <c r="GUV28" s="2511"/>
      <c r="GUW28" s="2511"/>
      <c r="GUX28" s="2511"/>
      <c r="GUY28" s="2511"/>
      <c r="GUZ28" s="2511"/>
      <c r="GVA28" s="2511"/>
      <c r="GVB28" s="2511"/>
      <c r="GVC28" s="2511"/>
      <c r="GVD28" s="2511"/>
      <c r="GVE28" s="2511"/>
      <c r="GVF28" s="2511"/>
      <c r="GVG28" s="2511"/>
      <c r="GVH28" s="2511"/>
      <c r="GVI28" s="2511"/>
      <c r="GVJ28" s="2511"/>
      <c r="GVK28" s="2511"/>
      <c r="GVL28" s="2511"/>
      <c r="GVM28" s="2511"/>
      <c r="GVN28" s="2511"/>
      <c r="GVO28" s="2511"/>
      <c r="GVP28" s="2511"/>
      <c r="GVQ28" s="2511"/>
      <c r="GVR28" s="2511"/>
      <c r="GVS28" s="2511"/>
      <c r="GVT28" s="2511"/>
      <c r="GVU28" s="2511"/>
      <c r="GVV28" s="2511"/>
      <c r="GVW28" s="2511"/>
      <c r="GVX28" s="2511"/>
      <c r="GVY28" s="2511"/>
      <c r="GVZ28" s="2511"/>
      <c r="GWA28" s="2511"/>
      <c r="GWB28" s="2511"/>
      <c r="GWC28" s="2511"/>
      <c r="GWD28" s="2511"/>
      <c r="GWE28" s="2511"/>
      <c r="GWF28" s="2511"/>
      <c r="GWG28" s="2511"/>
      <c r="GWH28" s="2511"/>
      <c r="GWI28" s="2511"/>
      <c r="GWJ28" s="2511"/>
      <c r="GWK28" s="2511"/>
      <c r="GWL28" s="2511"/>
      <c r="GWM28" s="2511"/>
      <c r="GWN28" s="2511"/>
      <c r="GWO28" s="2511"/>
      <c r="GWP28" s="2511"/>
      <c r="GWQ28" s="2511"/>
      <c r="GWR28" s="2511"/>
      <c r="GWS28" s="2511"/>
      <c r="GWT28" s="2511"/>
      <c r="GWU28" s="2511"/>
      <c r="GWV28" s="2511"/>
      <c r="GWW28" s="2511"/>
      <c r="GWX28" s="2511"/>
      <c r="GWY28" s="2511"/>
      <c r="GWZ28" s="2511"/>
      <c r="GXA28" s="2511"/>
      <c r="GXB28" s="2511"/>
      <c r="GXC28" s="2511"/>
      <c r="GXD28" s="2511"/>
      <c r="GXE28" s="2511"/>
      <c r="GXF28" s="2511"/>
      <c r="GXG28" s="2511"/>
      <c r="GXH28" s="2511"/>
      <c r="GXI28" s="2511"/>
      <c r="GXJ28" s="2511"/>
      <c r="GXK28" s="2511"/>
      <c r="GXL28" s="2511"/>
      <c r="GXM28" s="2511"/>
      <c r="GXN28" s="2511"/>
      <c r="GXO28" s="2511"/>
      <c r="GXP28" s="2511"/>
      <c r="GXQ28" s="2511"/>
      <c r="GXR28" s="2511"/>
      <c r="GXS28" s="2511"/>
      <c r="GXT28" s="2511"/>
      <c r="GXU28" s="2511"/>
      <c r="GXV28" s="2511"/>
      <c r="GXW28" s="2511"/>
      <c r="GXX28" s="2511"/>
      <c r="GXY28" s="2511"/>
      <c r="GXZ28" s="2511"/>
      <c r="GYA28" s="2511"/>
      <c r="GYB28" s="2511"/>
      <c r="GYC28" s="2511"/>
      <c r="GYD28" s="2511"/>
      <c r="GYE28" s="2511"/>
      <c r="GYF28" s="2511"/>
      <c r="GYG28" s="2511"/>
      <c r="GYH28" s="2511"/>
      <c r="GYI28" s="2511"/>
      <c r="GYJ28" s="2511"/>
      <c r="GYK28" s="2511"/>
      <c r="GYL28" s="2511"/>
      <c r="GYM28" s="2511"/>
      <c r="GYN28" s="2511"/>
      <c r="GYO28" s="2511"/>
      <c r="GYP28" s="2511"/>
      <c r="GYQ28" s="2511"/>
      <c r="GYR28" s="2511"/>
      <c r="GYS28" s="2511"/>
      <c r="GYT28" s="2511"/>
      <c r="GYU28" s="2511"/>
      <c r="GYV28" s="2511"/>
      <c r="GYW28" s="2511"/>
      <c r="GYX28" s="2511"/>
      <c r="GYY28" s="2511"/>
      <c r="GYZ28" s="2511"/>
      <c r="GZA28" s="2511"/>
      <c r="GZB28" s="2511"/>
      <c r="GZC28" s="2511"/>
      <c r="GZD28" s="2511"/>
      <c r="GZE28" s="2511"/>
      <c r="GZF28" s="2511"/>
      <c r="GZG28" s="2511"/>
      <c r="GZH28" s="2511"/>
      <c r="GZI28" s="2511"/>
      <c r="GZJ28" s="2511"/>
      <c r="GZK28" s="2511"/>
      <c r="GZL28" s="2511"/>
      <c r="GZM28" s="2511"/>
      <c r="GZN28" s="2511"/>
      <c r="GZO28" s="2511"/>
      <c r="GZP28" s="2511"/>
      <c r="GZQ28" s="2511"/>
      <c r="GZR28" s="2511"/>
      <c r="GZS28" s="2511"/>
      <c r="GZT28" s="2511"/>
      <c r="GZU28" s="2511"/>
      <c r="GZV28" s="2511"/>
      <c r="GZW28" s="2511"/>
      <c r="GZX28" s="2511"/>
      <c r="GZY28" s="2511"/>
      <c r="GZZ28" s="2511"/>
      <c r="HAA28" s="2511"/>
      <c r="HAB28" s="2511"/>
      <c r="HAC28" s="2511"/>
      <c r="HAD28" s="2511"/>
      <c r="HAE28" s="2511"/>
      <c r="HAF28" s="2511"/>
      <c r="HAG28" s="2511"/>
      <c r="HAH28" s="2511"/>
      <c r="HAI28" s="2511"/>
      <c r="HAJ28" s="2511"/>
      <c r="HAK28" s="2511"/>
      <c r="HAL28" s="2511"/>
      <c r="HAM28" s="2511"/>
      <c r="HAN28" s="2511"/>
      <c r="HAO28" s="2511"/>
      <c r="HAP28" s="2511"/>
      <c r="HAQ28" s="2511"/>
      <c r="HAR28" s="2511"/>
      <c r="HAS28" s="2511"/>
      <c r="HAT28" s="2511"/>
      <c r="HAU28" s="2511"/>
      <c r="HAV28" s="2511"/>
      <c r="HAW28" s="2511"/>
      <c r="HAX28" s="2511"/>
      <c r="HAY28" s="2511"/>
      <c r="HAZ28" s="2511"/>
      <c r="HBA28" s="2511"/>
      <c r="HBB28" s="2511"/>
      <c r="HBC28" s="2511"/>
      <c r="HBD28" s="2511"/>
      <c r="HBE28" s="2511"/>
      <c r="HBF28" s="2511"/>
      <c r="HBG28" s="2511"/>
      <c r="HBH28" s="2511"/>
      <c r="HBI28" s="2511"/>
      <c r="HBJ28" s="2511"/>
      <c r="HBK28" s="2511"/>
      <c r="HBL28" s="2511"/>
      <c r="HBM28" s="2511"/>
      <c r="HBN28" s="2511"/>
      <c r="HBO28" s="2511"/>
      <c r="HBP28" s="2511"/>
      <c r="HBQ28" s="2511"/>
      <c r="HBR28" s="2511"/>
      <c r="HBS28" s="2511"/>
      <c r="HBT28" s="2511"/>
      <c r="HBU28" s="2511"/>
      <c r="HBV28" s="2511"/>
      <c r="HBW28" s="2511"/>
      <c r="HBX28" s="2511"/>
      <c r="HBY28" s="2511"/>
      <c r="HBZ28" s="2511"/>
      <c r="HCA28" s="2511"/>
      <c r="HCB28" s="2511"/>
      <c r="HCC28" s="2511"/>
      <c r="HCD28" s="2511"/>
      <c r="HCE28" s="2511"/>
      <c r="HCF28" s="2511"/>
      <c r="HCG28" s="2511"/>
      <c r="HCH28" s="2511"/>
      <c r="HCI28" s="2511"/>
      <c r="HCJ28" s="2511"/>
      <c r="HCK28" s="2511"/>
      <c r="HCL28" s="2511"/>
      <c r="HCM28" s="2511"/>
      <c r="HCN28" s="2511"/>
      <c r="HCO28" s="2511"/>
      <c r="HCP28" s="2511"/>
      <c r="HCQ28" s="2511"/>
      <c r="HCR28" s="2511"/>
      <c r="HCS28" s="2511"/>
      <c r="HCT28" s="2511"/>
      <c r="HCU28" s="2511"/>
      <c r="HCV28" s="2511"/>
      <c r="HCW28" s="2511"/>
      <c r="HCX28" s="2511"/>
      <c r="HCY28" s="2511"/>
      <c r="HCZ28" s="2511"/>
      <c r="HDA28" s="2511"/>
      <c r="HDB28" s="2511"/>
      <c r="HDC28" s="2511"/>
      <c r="HDD28" s="2511"/>
      <c r="HDE28" s="2511"/>
      <c r="HDF28" s="2511"/>
      <c r="HDG28" s="2511"/>
      <c r="HDH28" s="2511"/>
      <c r="HDI28" s="2511"/>
      <c r="HDJ28" s="2511"/>
      <c r="HDK28" s="2511"/>
      <c r="HDL28" s="2511"/>
      <c r="HDM28" s="2511"/>
      <c r="HDN28" s="2511"/>
      <c r="HDO28" s="2511"/>
      <c r="HDP28" s="2511"/>
      <c r="HDQ28" s="2511"/>
      <c r="HDR28" s="2511"/>
      <c r="HDS28" s="2511"/>
      <c r="HDT28" s="2511"/>
      <c r="HDU28" s="2511"/>
      <c r="HDV28" s="2511"/>
      <c r="HDW28" s="2511"/>
      <c r="HDX28" s="2511"/>
      <c r="HDY28" s="2511"/>
      <c r="HDZ28" s="2511"/>
      <c r="HEA28" s="2511"/>
      <c r="HEB28" s="2511"/>
      <c r="HEC28" s="2511"/>
      <c r="HED28" s="2511"/>
      <c r="HEE28" s="2511"/>
      <c r="HEF28" s="2511"/>
      <c r="HEG28" s="2511"/>
      <c r="HEH28" s="2511"/>
      <c r="HEI28" s="2511"/>
      <c r="HEJ28" s="2511"/>
      <c r="HEK28" s="2511"/>
      <c r="HEL28" s="2511"/>
      <c r="HEM28" s="2511"/>
      <c r="HEN28" s="2511"/>
      <c r="HEO28" s="2511"/>
      <c r="HEP28" s="2511"/>
      <c r="HEQ28" s="2511"/>
      <c r="HER28" s="2511"/>
      <c r="HES28" s="2511"/>
      <c r="HET28" s="2511"/>
      <c r="HEU28" s="2511"/>
      <c r="HEV28" s="2511"/>
      <c r="HEW28" s="2511"/>
      <c r="HEX28" s="2511"/>
      <c r="HEY28" s="2511"/>
      <c r="HEZ28" s="2511"/>
      <c r="HFA28" s="2511"/>
      <c r="HFB28" s="2511"/>
      <c r="HFC28" s="2511"/>
      <c r="HFD28" s="2511"/>
      <c r="HFE28" s="2511"/>
      <c r="HFF28" s="2511"/>
      <c r="HFG28" s="2511"/>
      <c r="HFH28" s="2511"/>
      <c r="HFI28" s="2511"/>
      <c r="HFJ28" s="2511"/>
      <c r="HFK28" s="2511"/>
      <c r="HFL28" s="2511"/>
      <c r="HFM28" s="2511"/>
      <c r="HFN28" s="2511"/>
      <c r="HFO28" s="2511"/>
      <c r="HFP28" s="2511"/>
      <c r="HFQ28" s="2511"/>
      <c r="HFR28" s="2511"/>
      <c r="HFS28" s="2511"/>
      <c r="HFT28" s="2511"/>
      <c r="HFU28" s="2511"/>
      <c r="HFV28" s="2511"/>
      <c r="HFW28" s="2511"/>
      <c r="HFX28" s="2511"/>
      <c r="HFY28" s="2511"/>
      <c r="HFZ28" s="2511"/>
      <c r="HGA28" s="2511"/>
      <c r="HGB28" s="2511"/>
      <c r="HGC28" s="2511"/>
      <c r="HGD28" s="2511"/>
      <c r="HGE28" s="2511"/>
      <c r="HGF28" s="2511"/>
      <c r="HGG28" s="2511"/>
      <c r="HGH28" s="2511"/>
      <c r="HGI28" s="2511"/>
      <c r="HGJ28" s="2511"/>
      <c r="HGK28" s="2511"/>
      <c r="HGL28" s="2511"/>
      <c r="HGM28" s="2511"/>
      <c r="HGN28" s="2511"/>
      <c r="HGO28" s="2511"/>
      <c r="HGP28" s="2511"/>
      <c r="HGQ28" s="2511"/>
      <c r="HGR28" s="2511"/>
      <c r="HGS28" s="2511"/>
      <c r="HGT28" s="2511"/>
      <c r="HGU28" s="2511"/>
      <c r="HGV28" s="2511"/>
      <c r="HGW28" s="2511"/>
      <c r="HGX28" s="2511"/>
      <c r="HGY28" s="2511"/>
      <c r="HGZ28" s="2511"/>
      <c r="HHA28" s="2511"/>
      <c r="HHB28" s="2511"/>
      <c r="HHC28" s="2511"/>
      <c r="HHD28" s="2511"/>
      <c r="HHE28" s="2511"/>
      <c r="HHF28" s="2511"/>
      <c r="HHG28" s="2511"/>
      <c r="HHH28" s="2511"/>
      <c r="HHI28" s="2511"/>
      <c r="HHJ28" s="2511"/>
      <c r="HHK28" s="2511"/>
      <c r="HHL28" s="2511"/>
      <c r="HHM28" s="2511"/>
      <c r="HHN28" s="2511"/>
      <c r="HHO28" s="2511"/>
      <c r="HHP28" s="2511"/>
      <c r="HHQ28" s="2511"/>
      <c r="HHR28" s="2511"/>
      <c r="HHS28" s="2511"/>
      <c r="HHT28" s="2511"/>
      <c r="HHU28" s="2511"/>
      <c r="HHV28" s="2511"/>
      <c r="HHW28" s="2511"/>
      <c r="HHX28" s="2511"/>
      <c r="HHY28" s="2511"/>
      <c r="HHZ28" s="2511"/>
      <c r="HIA28" s="2511"/>
      <c r="HIB28" s="2511"/>
      <c r="HIC28" s="2511"/>
      <c r="HID28" s="2511"/>
      <c r="HIE28" s="2511"/>
      <c r="HIF28" s="2511"/>
      <c r="HIG28" s="2511"/>
      <c r="HIH28" s="2511"/>
      <c r="HII28" s="2511"/>
      <c r="HIJ28" s="2511"/>
      <c r="HIK28" s="2511"/>
      <c r="HIL28" s="2511"/>
      <c r="HIM28" s="2511"/>
      <c r="HIN28" s="2511"/>
      <c r="HIO28" s="2511"/>
      <c r="HIP28" s="2511"/>
      <c r="HIQ28" s="2511"/>
      <c r="HIR28" s="2511"/>
      <c r="HIS28" s="2511"/>
      <c r="HIT28" s="2511"/>
      <c r="HIU28" s="2511"/>
      <c r="HIV28" s="2511"/>
      <c r="HIW28" s="2511"/>
      <c r="HIX28" s="2511"/>
      <c r="HIY28" s="2511"/>
      <c r="HIZ28" s="2511"/>
      <c r="HJA28" s="2511"/>
      <c r="HJB28" s="2511"/>
      <c r="HJC28" s="2511"/>
      <c r="HJD28" s="2511"/>
      <c r="HJE28" s="2511"/>
      <c r="HJF28" s="2511"/>
      <c r="HJG28" s="2511"/>
      <c r="HJH28" s="2511"/>
      <c r="HJI28" s="2511"/>
      <c r="HJJ28" s="2511"/>
      <c r="HJK28" s="2511"/>
      <c r="HJL28" s="2511"/>
      <c r="HJM28" s="2511"/>
      <c r="HJN28" s="2511"/>
      <c r="HJO28" s="2511"/>
      <c r="HJP28" s="2511"/>
      <c r="HJQ28" s="2511"/>
      <c r="HJR28" s="2511"/>
      <c r="HJS28" s="2511"/>
      <c r="HJT28" s="2511"/>
      <c r="HJU28" s="2511"/>
      <c r="HJV28" s="2511"/>
      <c r="HJW28" s="2511"/>
      <c r="HJX28" s="2511"/>
      <c r="HJY28" s="2511"/>
      <c r="HJZ28" s="2511"/>
      <c r="HKA28" s="2511"/>
      <c r="HKB28" s="2511"/>
      <c r="HKC28" s="2511"/>
      <c r="HKD28" s="2511"/>
      <c r="HKE28" s="2511"/>
      <c r="HKF28" s="2511"/>
      <c r="HKG28" s="2511"/>
      <c r="HKH28" s="2511"/>
      <c r="HKI28" s="2511"/>
      <c r="HKJ28" s="2511"/>
      <c r="HKK28" s="2511"/>
      <c r="HKL28" s="2511"/>
      <c r="HKM28" s="2511"/>
      <c r="HKN28" s="2511"/>
      <c r="HKO28" s="2511"/>
      <c r="HKP28" s="2511"/>
      <c r="HKQ28" s="2511"/>
      <c r="HKR28" s="2511"/>
      <c r="HKS28" s="2511"/>
      <c r="HKT28" s="2511"/>
      <c r="HKU28" s="2511"/>
      <c r="HKV28" s="2511"/>
      <c r="HKW28" s="2511"/>
      <c r="HKX28" s="2511"/>
      <c r="HKY28" s="2511"/>
      <c r="HKZ28" s="2511"/>
      <c r="HLA28" s="2511"/>
      <c r="HLB28" s="2511"/>
      <c r="HLC28" s="2511"/>
      <c r="HLD28" s="2511"/>
      <c r="HLE28" s="2511"/>
      <c r="HLF28" s="2511"/>
      <c r="HLG28" s="2511"/>
      <c r="HLH28" s="2511"/>
      <c r="HLI28" s="2511"/>
      <c r="HLJ28" s="2511"/>
      <c r="HLK28" s="2511"/>
      <c r="HLL28" s="2511"/>
      <c r="HLM28" s="2511"/>
      <c r="HLN28" s="2511"/>
      <c r="HLO28" s="2511"/>
      <c r="HLP28" s="2511"/>
      <c r="HLQ28" s="2511"/>
      <c r="HLR28" s="2511"/>
      <c r="HLS28" s="2511"/>
      <c r="HLT28" s="2511"/>
      <c r="HLU28" s="2511"/>
      <c r="HLV28" s="2511"/>
      <c r="HLW28" s="2511"/>
      <c r="HLX28" s="2511"/>
      <c r="HLY28" s="2511"/>
      <c r="HLZ28" s="2511"/>
      <c r="HMA28" s="2511"/>
      <c r="HMB28" s="2511"/>
      <c r="HMC28" s="2511"/>
      <c r="HMD28" s="2511"/>
      <c r="HME28" s="2511"/>
      <c r="HMF28" s="2511"/>
      <c r="HMG28" s="2511"/>
      <c r="HMH28" s="2511"/>
      <c r="HMI28" s="2511"/>
      <c r="HMJ28" s="2511"/>
      <c r="HMK28" s="2511"/>
      <c r="HML28" s="2511"/>
      <c r="HMM28" s="2511"/>
      <c r="HMN28" s="2511"/>
      <c r="HMO28" s="2511"/>
      <c r="HMP28" s="2511"/>
      <c r="HMQ28" s="2511"/>
      <c r="HMR28" s="2511"/>
      <c r="HMS28" s="2511"/>
      <c r="HMT28" s="2511"/>
      <c r="HMU28" s="2511"/>
      <c r="HMV28" s="2511"/>
      <c r="HMW28" s="2511"/>
      <c r="HMX28" s="2511"/>
      <c r="HMY28" s="2511"/>
      <c r="HMZ28" s="2511"/>
      <c r="HNA28" s="2511"/>
      <c r="HNB28" s="2511"/>
      <c r="HNC28" s="2511"/>
      <c r="HND28" s="2511"/>
      <c r="HNE28" s="2511"/>
      <c r="HNF28" s="2511"/>
      <c r="HNG28" s="2511"/>
      <c r="HNH28" s="2511"/>
      <c r="HNI28" s="2511"/>
      <c r="HNJ28" s="2511"/>
      <c r="HNK28" s="2511"/>
      <c r="HNL28" s="2511"/>
      <c r="HNM28" s="2511"/>
      <c r="HNN28" s="2511"/>
      <c r="HNO28" s="2511"/>
      <c r="HNP28" s="2511"/>
      <c r="HNQ28" s="2511"/>
      <c r="HNR28" s="2511"/>
      <c r="HNS28" s="2511"/>
      <c r="HNT28" s="2511"/>
      <c r="HNU28" s="2511"/>
      <c r="HNV28" s="2511"/>
      <c r="HNW28" s="2511"/>
      <c r="HNX28" s="2511"/>
      <c r="HNY28" s="2511"/>
      <c r="HNZ28" s="2511"/>
      <c r="HOA28" s="2511"/>
      <c r="HOB28" s="2511"/>
      <c r="HOC28" s="2511"/>
      <c r="HOD28" s="2511"/>
      <c r="HOE28" s="2511"/>
      <c r="HOF28" s="2511"/>
      <c r="HOG28" s="2511"/>
      <c r="HOH28" s="2511"/>
      <c r="HOI28" s="2511"/>
      <c r="HOJ28" s="2511"/>
      <c r="HOK28" s="2511"/>
      <c r="HOL28" s="2511"/>
      <c r="HOM28" s="2511"/>
      <c r="HON28" s="2511"/>
      <c r="HOO28" s="2511"/>
      <c r="HOP28" s="2511"/>
      <c r="HOQ28" s="2511"/>
      <c r="HOR28" s="2511"/>
      <c r="HOS28" s="2511"/>
      <c r="HOT28" s="2511"/>
      <c r="HOU28" s="2511"/>
      <c r="HOV28" s="2511"/>
      <c r="HOW28" s="2511"/>
      <c r="HOX28" s="2511"/>
      <c r="HOY28" s="2511"/>
      <c r="HOZ28" s="2511"/>
      <c r="HPA28" s="2511"/>
      <c r="HPB28" s="2511"/>
      <c r="HPC28" s="2511"/>
      <c r="HPD28" s="2511"/>
      <c r="HPE28" s="2511"/>
      <c r="HPF28" s="2511"/>
      <c r="HPG28" s="2511"/>
      <c r="HPH28" s="2511"/>
      <c r="HPI28" s="2511"/>
      <c r="HPJ28" s="2511"/>
      <c r="HPK28" s="2511"/>
      <c r="HPL28" s="2511"/>
      <c r="HPM28" s="2511"/>
      <c r="HPN28" s="2511"/>
      <c r="HPO28" s="2511"/>
      <c r="HPP28" s="2511"/>
      <c r="HPQ28" s="2511"/>
      <c r="HPR28" s="2511"/>
      <c r="HPS28" s="2511"/>
      <c r="HPT28" s="2511"/>
      <c r="HPU28" s="2511"/>
      <c r="HPV28" s="2511"/>
      <c r="HPW28" s="2511"/>
      <c r="HPX28" s="2511"/>
      <c r="HPY28" s="2511"/>
      <c r="HPZ28" s="2511"/>
      <c r="HQA28" s="2511"/>
      <c r="HQB28" s="2511"/>
      <c r="HQC28" s="2511"/>
      <c r="HQD28" s="2511"/>
      <c r="HQE28" s="2511"/>
      <c r="HQF28" s="2511"/>
      <c r="HQG28" s="2511"/>
      <c r="HQH28" s="2511"/>
      <c r="HQI28" s="2511"/>
      <c r="HQJ28" s="2511"/>
      <c r="HQK28" s="2511"/>
      <c r="HQL28" s="2511"/>
      <c r="HQM28" s="2511"/>
      <c r="HQN28" s="2511"/>
      <c r="HQO28" s="2511"/>
      <c r="HQP28" s="2511"/>
      <c r="HQQ28" s="2511"/>
      <c r="HQR28" s="2511"/>
      <c r="HQS28" s="2511"/>
      <c r="HQT28" s="2511"/>
      <c r="HQU28" s="2511"/>
      <c r="HQV28" s="2511"/>
      <c r="HQW28" s="2511"/>
      <c r="HQX28" s="2511"/>
      <c r="HQY28" s="2511"/>
      <c r="HQZ28" s="2511"/>
      <c r="HRA28" s="2511"/>
      <c r="HRB28" s="2511"/>
      <c r="HRC28" s="2511"/>
      <c r="HRD28" s="2511"/>
      <c r="HRE28" s="2511"/>
      <c r="HRF28" s="2511"/>
      <c r="HRG28" s="2511"/>
      <c r="HRH28" s="2511"/>
      <c r="HRI28" s="2511"/>
      <c r="HRJ28" s="2511"/>
      <c r="HRK28" s="2511"/>
      <c r="HRL28" s="2511"/>
      <c r="HRM28" s="2511"/>
      <c r="HRN28" s="2511"/>
      <c r="HRO28" s="2511"/>
      <c r="HRP28" s="2511"/>
      <c r="HRQ28" s="2511"/>
      <c r="HRR28" s="2511"/>
      <c r="HRS28" s="2511"/>
      <c r="HRT28" s="2511"/>
      <c r="HRU28" s="2511"/>
      <c r="HRV28" s="2511"/>
      <c r="HRW28" s="2511"/>
      <c r="HRX28" s="2511"/>
      <c r="HRY28" s="2511"/>
      <c r="HRZ28" s="2511"/>
      <c r="HSA28" s="2511"/>
      <c r="HSB28" s="2511"/>
      <c r="HSC28" s="2511"/>
      <c r="HSD28" s="2511"/>
      <c r="HSE28" s="2511"/>
      <c r="HSF28" s="2511"/>
      <c r="HSG28" s="2511"/>
      <c r="HSH28" s="2511"/>
      <c r="HSI28" s="2511"/>
      <c r="HSJ28" s="2511"/>
      <c r="HSK28" s="2511"/>
      <c r="HSL28" s="2511"/>
      <c r="HSM28" s="2511"/>
      <c r="HSN28" s="2511"/>
      <c r="HSO28" s="2511"/>
      <c r="HSP28" s="2511"/>
      <c r="HSQ28" s="2511"/>
      <c r="HSR28" s="2511"/>
      <c r="HSS28" s="2511"/>
      <c r="HST28" s="2511"/>
      <c r="HSU28" s="2511"/>
      <c r="HSV28" s="2511"/>
      <c r="HSW28" s="2511"/>
      <c r="HSX28" s="2511"/>
      <c r="HSY28" s="2511"/>
      <c r="HSZ28" s="2511"/>
      <c r="HTA28" s="2511"/>
      <c r="HTB28" s="2511"/>
      <c r="HTC28" s="2511"/>
      <c r="HTD28" s="2511"/>
      <c r="HTE28" s="2511"/>
      <c r="HTF28" s="2511"/>
      <c r="HTG28" s="2511"/>
      <c r="HTH28" s="2511"/>
      <c r="HTI28" s="2511"/>
      <c r="HTJ28" s="2511"/>
      <c r="HTK28" s="2511"/>
      <c r="HTL28" s="2511"/>
      <c r="HTM28" s="2511"/>
      <c r="HTN28" s="2511"/>
      <c r="HTO28" s="2511"/>
      <c r="HTP28" s="2511"/>
      <c r="HTQ28" s="2511"/>
      <c r="HTR28" s="2511"/>
      <c r="HTS28" s="2511"/>
      <c r="HTT28" s="2511"/>
      <c r="HTU28" s="2511"/>
      <c r="HTV28" s="2511"/>
      <c r="HTW28" s="2511"/>
      <c r="HTX28" s="2511"/>
      <c r="HTY28" s="2511"/>
      <c r="HTZ28" s="2511"/>
      <c r="HUA28" s="2511"/>
      <c r="HUB28" s="2511"/>
      <c r="HUC28" s="2511"/>
      <c r="HUD28" s="2511"/>
      <c r="HUE28" s="2511"/>
      <c r="HUF28" s="2511"/>
      <c r="HUG28" s="2511"/>
      <c r="HUH28" s="2511"/>
      <c r="HUI28" s="2511"/>
      <c r="HUJ28" s="2511"/>
      <c r="HUK28" s="2511"/>
      <c r="HUL28" s="2511"/>
      <c r="HUM28" s="2511"/>
      <c r="HUN28" s="2511"/>
      <c r="HUO28" s="2511"/>
      <c r="HUP28" s="2511"/>
      <c r="HUQ28" s="2511"/>
      <c r="HUR28" s="2511"/>
      <c r="HUS28" s="2511"/>
      <c r="HUT28" s="2511"/>
      <c r="HUU28" s="2511"/>
      <c r="HUV28" s="2511"/>
      <c r="HUW28" s="2511"/>
      <c r="HUX28" s="2511"/>
      <c r="HUY28" s="2511"/>
      <c r="HUZ28" s="2511"/>
      <c r="HVA28" s="2511"/>
      <c r="HVB28" s="2511"/>
      <c r="HVC28" s="2511"/>
      <c r="HVD28" s="2511"/>
      <c r="HVE28" s="2511"/>
      <c r="HVF28" s="2511"/>
      <c r="HVG28" s="2511"/>
      <c r="HVH28" s="2511"/>
      <c r="HVI28" s="2511"/>
      <c r="HVJ28" s="2511"/>
      <c r="HVK28" s="2511"/>
      <c r="HVL28" s="2511"/>
      <c r="HVM28" s="2511"/>
      <c r="HVN28" s="2511"/>
      <c r="HVO28" s="2511"/>
      <c r="HVP28" s="2511"/>
      <c r="HVQ28" s="2511"/>
      <c r="HVR28" s="2511"/>
      <c r="HVS28" s="2511"/>
      <c r="HVT28" s="2511"/>
      <c r="HVU28" s="2511"/>
      <c r="HVV28" s="2511"/>
      <c r="HVW28" s="2511"/>
      <c r="HVX28" s="2511"/>
      <c r="HVY28" s="2511"/>
      <c r="HVZ28" s="2511"/>
      <c r="HWA28" s="2511"/>
      <c r="HWB28" s="2511"/>
      <c r="HWC28" s="2511"/>
      <c r="HWD28" s="2511"/>
      <c r="HWE28" s="2511"/>
      <c r="HWF28" s="2511"/>
      <c r="HWG28" s="2511"/>
      <c r="HWH28" s="2511"/>
      <c r="HWI28" s="2511"/>
      <c r="HWJ28" s="2511"/>
      <c r="HWK28" s="2511"/>
      <c r="HWL28" s="2511"/>
      <c r="HWM28" s="2511"/>
      <c r="HWN28" s="2511"/>
      <c r="HWO28" s="2511"/>
      <c r="HWP28" s="2511"/>
      <c r="HWQ28" s="2511"/>
      <c r="HWR28" s="2511"/>
      <c r="HWS28" s="2511"/>
      <c r="HWT28" s="2511"/>
      <c r="HWU28" s="2511"/>
      <c r="HWV28" s="2511"/>
      <c r="HWW28" s="2511"/>
      <c r="HWX28" s="2511"/>
      <c r="HWY28" s="2511"/>
      <c r="HWZ28" s="2511"/>
      <c r="HXA28" s="2511"/>
      <c r="HXB28" s="2511"/>
      <c r="HXC28" s="2511"/>
      <c r="HXD28" s="2511"/>
      <c r="HXE28" s="2511"/>
      <c r="HXF28" s="2511"/>
      <c r="HXG28" s="2511"/>
      <c r="HXH28" s="2511"/>
      <c r="HXI28" s="2511"/>
      <c r="HXJ28" s="2511"/>
      <c r="HXK28" s="2511"/>
      <c r="HXL28" s="2511"/>
      <c r="HXM28" s="2511"/>
      <c r="HXN28" s="2511"/>
      <c r="HXO28" s="2511"/>
      <c r="HXP28" s="2511"/>
      <c r="HXQ28" s="2511"/>
      <c r="HXR28" s="2511"/>
      <c r="HXS28" s="2511"/>
      <c r="HXT28" s="2511"/>
      <c r="HXU28" s="2511"/>
      <c r="HXV28" s="2511"/>
      <c r="HXW28" s="2511"/>
      <c r="HXX28" s="2511"/>
      <c r="HXY28" s="2511"/>
      <c r="HXZ28" s="2511"/>
      <c r="HYA28" s="2511"/>
      <c r="HYB28" s="2511"/>
      <c r="HYC28" s="2511"/>
      <c r="HYD28" s="2511"/>
      <c r="HYE28" s="2511"/>
      <c r="HYF28" s="2511"/>
      <c r="HYG28" s="2511"/>
      <c r="HYH28" s="2511"/>
      <c r="HYI28" s="2511"/>
      <c r="HYJ28" s="2511"/>
      <c r="HYK28" s="2511"/>
      <c r="HYL28" s="2511"/>
      <c r="HYM28" s="2511"/>
      <c r="HYN28" s="2511"/>
      <c r="HYO28" s="2511"/>
      <c r="HYP28" s="2511"/>
      <c r="HYQ28" s="2511"/>
      <c r="HYR28" s="2511"/>
      <c r="HYS28" s="2511"/>
      <c r="HYT28" s="2511"/>
      <c r="HYU28" s="2511"/>
      <c r="HYV28" s="2511"/>
      <c r="HYW28" s="2511"/>
      <c r="HYX28" s="2511"/>
      <c r="HYY28" s="2511"/>
      <c r="HYZ28" s="2511"/>
      <c r="HZA28" s="2511"/>
      <c r="HZB28" s="2511"/>
      <c r="HZC28" s="2511"/>
      <c r="HZD28" s="2511"/>
      <c r="HZE28" s="2511"/>
      <c r="HZF28" s="2511"/>
      <c r="HZG28" s="2511"/>
      <c r="HZH28" s="2511"/>
      <c r="HZI28" s="2511"/>
      <c r="HZJ28" s="2511"/>
      <c r="HZK28" s="2511"/>
      <c r="HZL28" s="2511"/>
      <c r="HZM28" s="2511"/>
      <c r="HZN28" s="2511"/>
      <c r="HZO28" s="2511"/>
      <c r="HZP28" s="2511"/>
      <c r="HZQ28" s="2511"/>
      <c r="HZR28" s="2511"/>
      <c r="HZS28" s="2511"/>
      <c r="HZT28" s="2511"/>
      <c r="HZU28" s="2511"/>
      <c r="HZV28" s="2511"/>
      <c r="HZW28" s="2511"/>
      <c r="HZX28" s="2511"/>
      <c r="HZY28" s="2511"/>
      <c r="HZZ28" s="2511"/>
      <c r="IAA28" s="2511"/>
      <c r="IAB28" s="2511"/>
      <c r="IAC28" s="2511"/>
      <c r="IAD28" s="2511"/>
      <c r="IAE28" s="2511"/>
      <c r="IAF28" s="2511"/>
      <c r="IAG28" s="2511"/>
      <c r="IAH28" s="2511"/>
      <c r="IAI28" s="2511"/>
      <c r="IAJ28" s="2511"/>
      <c r="IAK28" s="2511"/>
      <c r="IAL28" s="2511"/>
      <c r="IAM28" s="2511"/>
      <c r="IAN28" s="2511"/>
      <c r="IAO28" s="2511"/>
      <c r="IAP28" s="2511"/>
      <c r="IAQ28" s="2511"/>
      <c r="IAR28" s="2511"/>
      <c r="IAS28" s="2511"/>
      <c r="IAT28" s="2511"/>
      <c r="IAU28" s="2511"/>
      <c r="IAV28" s="2511"/>
      <c r="IAW28" s="2511"/>
      <c r="IAX28" s="2511"/>
      <c r="IAY28" s="2511"/>
      <c r="IAZ28" s="2511"/>
      <c r="IBA28" s="2511"/>
      <c r="IBB28" s="2511"/>
      <c r="IBC28" s="2511"/>
      <c r="IBD28" s="2511"/>
      <c r="IBE28" s="2511"/>
      <c r="IBF28" s="2511"/>
      <c r="IBG28" s="2511"/>
      <c r="IBH28" s="2511"/>
      <c r="IBI28" s="2511"/>
      <c r="IBJ28" s="2511"/>
      <c r="IBK28" s="2511"/>
      <c r="IBL28" s="2511"/>
      <c r="IBM28" s="2511"/>
      <c r="IBN28" s="2511"/>
      <c r="IBO28" s="2511"/>
      <c r="IBP28" s="2511"/>
      <c r="IBQ28" s="2511"/>
      <c r="IBR28" s="2511"/>
      <c r="IBS28" s="2511"/>
      <c r="IBT28" s="2511"/>
      <c r="IBU28" s="2511"/>
      <c r="IBV28" s="2511"/>
      <c r="IBW28" s="2511"/>
      <c r="IBX28" s="2511"/>
      <c r="IBY28" s="2511"/>
      <c r="IBZ28" s="2511"/>
      <c r="ICA28" s="2511"/>
      <c r="ICB28" s="2511"/>
      <c r="ICC28" s="2511"/>
      <c r="ICD28" s="2511"/>
      <c r="ICE28" s="2511"/>
      <c r="ICF28" s="2511"/>
      <c r="ICG28" s="2511"/>
      <c r="ICH28" s="2511"/>
      <c r="ICI28" s="2511"/>
      <c r="ICJ28" s="2511"/>
      <c r="ICK28" s="2511"/>
      <c r="ICL28" s="2511"/>
      <c r="ICM28" s="2511"/>
      <c r="ICN28" s="2511"/>
      <c r="ICO28" s="2511"/>
      <c r="ICP28" s="2511"/>
      <c r="ICQ28" s="2511"/>
      <c r="ICR28" s="2511"/>
      <c r="ICS28" s="2511"/>
      <c r="ICT28" s="2511"/>
      <c r="ICU28" s="2511"/>
      <c r="ICV28" s="2511"/>
      <c r="ICW28" s="2511"/>
      <c r="ICX28" s="2511"/>
      <c r="ICY28" s="2511"/>
      <c r="ICZ28" s="2511"/>
      <c r="IDA28" s="2511"/>
      <c r="IDB28" s="2511"/>
      <c r="IDC28" s="2511"/>
      <c r="IDD28" s="2511"/>
      <c r="IDE28" s="2511"/>
      <c r="IDF28" s="2511"/>
      <c r="IDG28" s="2511"/>
      <c r="IDH28" s="2511"/>
      <c r="IDI28" s="2511"/>
      <c r="IDJ28" s="2511"/>
      <c r="IDK28" s="2511"/>
      <c r="IDL28" s="2511"/>
      <c r="IDM28" s="2511"/>
      <c r="IDN28" s="2511"/>
      <c r="IDO28" s="2511"/>
      <c r="IDP28" s="2511"/>
      <c r="IDQ28" s="2511"/>
      <c r="IDR28" s="2511"/>
      <c r="IDS28" s="2511"/>
      <c r="IDT28" s="2511"/>
      <c r="IDU28" s="2511"/>
      <c r="IDV28" s="2511"/>
      <c r="IDW28" s="2511"/>
      <c r="IDX28" s="2511"/>
      <c r="IDY28" s="2511"/>
      <c r="IDZ28" s="2511"/>
      <c r="IEA28" s="2511"/>
      <c r="IEB28" s="2511"/>
      <c r="IEC28" s="2511"/>
      <c r="IED28" s="2511"/>
      <c r="IEE28" s="2511"/>
      <c r="IEF28" s="2511"/>
      <c r="IEG28" s="2511"/>
      <c r="IEH28" s="2511"/>
      <c r="IEI28" s="2511"/>
      <c r="IEJ28" s="2511"/>
      <c r="IEK28" s="2511"/>
      <c r="IEL28" s="2511"/>
      <c r="IEM28" s="2511"/>
      <c r="IEN28" s="2511"/>
      <c r="IEO28" s="2511"/>
      <c r="IEP28" s="2511"/>
      <c r="IEQ28" s="2511"/>
      <c r="IER28" s="2511"/>
      <c r="IES28" s="2511"/>
      <c r="IET28" s="2511"/>
      <c r="IEU28" s="2511"/>
      <c r="IEV28" s="2511"/>
      <c r="IEW28" s="2511"/>
      <c r="IEX28" s="2511"/>
      <c r="IEY28" s="2511"/>
      <c r="IEZ28" s="2511"/>
      <c r="IFA28" s="2511"/>
      <c r="IFB28" s="2511"/>
      <c r="IFC28" s="2511"/>
      <c r="IFD28" s="2511"/>
      <c r="IFE28" s="2511"/>
      <c r="IFF28" s="2511"/>
      <c r="IFG28" s="2511"/>
      <c r="IFH28" s="2511"/>
      <c r="IFI28" s="2511"/>
      <c r="IFJ28" s="2511"/>
      <c r="IFK28" s="2511"/>
      <c r="IFL28" s="2511"/>
      <c r="IFM28" s="2511"/>
      <c r="IFN28" s="2511"/>
      <c r="IFO28" s="2511"/>
      <c r="IFP28" s="2511"/>
      <c r="IFQ28" s="2511"/>
      <c r="IFR28" s="2511"/>
      <c r="IFS28" s="2511"/>
      <c r="IFT28" s="2511"/>
      <c r="IFU28" s="2511"/>
      <c r="IFV28" s="2511"/>
      <c r="IFW28" s="2511"/>
      <c r="IFX28" s="2511"/>
      <c r="IFY28" s="2511"/>
      <c r="IFZ28" s="2511"/>
      <c r="IGA28" s="2511"/>
      <c r="IGB28" s="2511"/>
      <c r="IGC28" s="2511"/>
      <c r="IGD28" s="2511"/>
      <c r="IGE28" s="2511"/>
      <c r="IGF28" s="2511"/>
      <c r="IGG28" s="2511"/>
      <c r="IGH28" s="2511"/>
      <c r="IGI28" s="2511"/>
      <c r="IGJ28" s="2511"/>
      <c r="IGK28" s="2511"/>
      <c r="IGL28" s="2511"/>
      <c r="IGM28" s="2511"/>
      <c r="IGN28" s="2511"/>
      <c r="IGO28" s="2511"/>
      <c r="IGP28" s="2511"/>
      <c r="IGQ28" s="2511"/>
      <c r="IGR28" s="2511"/>
      <c r="IGS28" s="2511"/>
      <c r="IGT28" s="2511"/>
      <c r="IGU28" s="2511"/>
      <c r="IGV28" s="2511"/>
      <c r="IGW28" s="2511"/>
      <c r="IGX28" s="2511"/>
      <c r="IGY28" s="2511"/>
      <c r="IGZ28" s="2511"/>
      <c r="IHA28" s="2511"/>
      <c r="IHB28" s="2511"/>
      <c r="IHC28" s="2511"/>
      <c r="IHD28" s="2511"/>
      <c r="IHE28" s="2511"/>
      <c r="IHF28" s="2511"/>
      <c r="IHG28" s="2511"/>
      <c r="IHH28" s="2511"/>
      <c r="IHI28" s="2511"/>
      <c r="IHJ28" s="2511"/>
      <c r="IHK28" s="2511"/>
      <c r="IHL28" s="2511"/>
      <c r="IHM28" s="2511"/>
      <c r="IHN28" s="2511"/>
      <c r="IHO28" s="2511"/>
      <c r="IHP28" s="2511"/>
      <c r="IHQ28" s="2511"/>
      <c r="IHR28" s="2511"/>
      <c r="IHS28" s="2511"/>
      <c r="IHT28" s="2511"/>
      <c r="IHU28" s="2511"/>
      <c r="IHV28" s="2511"/>
      <c r="IHW28" s="2511"/>
      <c r="IHX28" s="2511"/>
      <c r="IHY28" s="2511"/>
      <c r="IHZ28" s="2511"/>
      <c r="IIA28" s="2511"/>
      <c r="IIB28" s="2511"/>
      <c r="IIC28" s="2511"/>
      <c r="IID28" s="2511"/>
      <c r="IIE28" s="2511"/>
      <c r="IIF28" s="2511"/>
      <c r="IIG28" s="2511"/>
      <c r="IIH28" s="2511"/>
      <c r="III28" s="2511"/>
      <c r="IIJ28" s="2511"/>
      <c r="IIK28" s="2511"/>
      <c r="IIL28" s="2511"/>
      <c r="IIM28" s="2511"/>
      <c r="IIN28" s="2511"/>
      <c r="IIO28" s="2511"/>
      <c r="IIP28" s="2511"/>
      <c r="IIQ28" s="2511"/>
      <c r="IIR28" s="2511"/>
      <c r="IIS28" s="2511"/>
      <c r="IIT28" s="2511"/>
      <c r="IIU28" s="2511"/>
      <c r="IIV28" s="2511"/>
      <c r="IIW28" s="2511"/>
      <c r="IIX28" s="2511"/>
      <c r="IIY28" s="2511"/>
      <c r="IIZ28" s="2511"/>
      <c r="IJA28" s="2511"/>
      <c r="IJB28" s="2511"/>
      <c r="IJC28" s="2511"/>
      <c r="IJD28" s="2511"/>
      <c r="IJE28" s="2511"/>
      <c r="IJF28" s="2511"/>
      <c r="IJG28" s="2511"/>
      <c r="IJH28" s="2511"/>
      <c r="IJI28" s="2511"/>
      <c r="IJJ28" s="2511"/>
      <c r="IJK28" s="2511"/>
      <c r="IJL28" s="2511"/>
      <c r="IJM28" s="2511"/>
      <c r="IJN28" s="2511"/>
      <c r="IJO28" s="2511"/>
      <c r="IJP28" s="2511"/>
      <c r="IJQ28" s="2511"/>
      <c r="IJR28" s="2511"/>
      <c r="IJS28" s="2511"/>
      <c r="IJT28" s="2511"/>
      <c r="IJU28" s="2511"/>
      <c r="IJV28" s="2511"/>
      <c r="IJW28" s="2511"/>
      <c r="IJX28" s="2511"/>
      <c r="IJY28" s="2511"/>
      <c r="IJZ28" s="2511"/>
      <c r="IKA28" s="2511"/>
      <c r="IKB28" s="2511"/>
      <c r="IKC28" s="2511"/>
      <c r="IKD28" s="2511"/>
      <c r="IKE28" s="2511"/>
      <c r="IKF28" s="2511"/>
      <c r="IKG28" s="2511"/>
      <c r="IKH28" s="2511"/>
      <c r="IKI28" s="2511"/>
      <c r="IKJ28" s="2511"/>
      <c r="IKK28" s="2511"/>
      <c r="IKL28" s="2511"/>
      <c r="IKM28" s="2511"/>
      <c r="IKN28" s="2511"/>
      <c r="IKO28" s="2511"/>
      <c r="IKP28" s="2511"/>
      <c r="IKQ28" s="2511"/>
      <c r="IKR28" s="2511"/>
      <c r="IKS28" s="2511"/>
      <c r="IKT28" s="2511"/>
      <c r="IKU28" s="2511"/>
      <c r="IKV28" s="2511"/>
      <c r="IKW28" s="2511"/>
      <c r="IKX28" s="2511"/>
      <c r="IKY28" s="2511"/>
      <c r="IKZ28" s="2511"/>
      <c r="ILA28" s="2511"/>
      <c r="ILB28" s="2511"/>
      <c r="ILC28" s="2511"/>
      <c r="ILD28" s="2511"/>
      <c r="ILE28" s="2511"/>
      <c r="ILF28" s="2511"/>
      <c r="ILG28" s="2511"/>
      <c r="ILH28" s="2511"/>
      <c r="ILI28" s="2511"/>
      <c r="ILJ28" s="2511"/>
      <c r="ILK28" s="2511"/>
      <c r="ILL28" s="2511"/>
      <c r="ILM28" s="2511"/>
      <c r="ILN28" s="2511"/>
      <c r="ILO28" s="2511"/>
      <c r="ILP28" s="2511"/>
      <c r="ILQ28" s="2511"/>
      <c r="ILR28" s="2511"/>
      <c r="ILS28" s="2511"/>
      <c r="ILT28" s="2511"/>
      <c r="ILU28" s="2511"/>
      <c r="ILV28" s="2511"/>
      <c r="ILW28" s="2511"/>
      <c r="ILX28" s="2511"/>
      <c r="ILY28" s="2511"/>
      <c r="ILZ28" s="2511"/>
      <c r="IMA28" s="2511"/>
      <c r="IMB28" s="2511"/>
      <c r="IMC28" s="2511"/>
      <c r="IMD28" s="2511"/>
      <c r="IME28" s="2511"/>
      <c r="IMF28" s="2511"/>
      <c r="IMG28" s="2511"/>
      <c r="IMH28" s="2511"/>
      <c r="IMI28" s="2511"/>
      <c r="IMJ28" s="2511"/>
      <c r="IMK28" s="2511"/>
      <c r="IML28" s="2511"/>
      <c r="IMM28" s="2511"/>
      <c r="IMN28" s="2511"/>
      <c r="IMO28" s="2511"/>
      <c r="IMP28" s="2511"/>
      <c r="IMQ28" s="2511"/>
      <c r="IMR28" s="2511"/>
      <c r="IMS28" s="2511"/>
      <c r="IMT28" s="2511"/>
      <c r="IMU28" s="2511"/>
      <c r="IMV28" s="2511"/>
      <c r="IMW28" s="2511"/>
      <c r="IMX28" s="2511"/>
      <c r="IMY28" s="2511"/>
      <c r="IMZ28" s="2511"/>
      <c r="INA28" s="2511"/>
      <c r="INB28" s="2511"/>
      <c r="INC28" s="2511"/>
      <c r="IND28" s="2511"/>
      <c r="INE28" s="2511"/>
      <c r="INF28" s="2511"/>
      <c r="ING28" s="2511"/>
      <c r="INH28" s="2511"/>
      <c r="INI28" s="2511"/>
      <c r="INJ28" s="2511"/>
      <c r="INK28" s="2511"/>
      <c r="INL28" s="2511"/>
      <c r="INM28" s="2511"/>
      <c r="INN28" s="2511"/>
      <c r="INO28" s="2511"/>
      <c r="INP28" s="2511"/>
      <c r="INQ28" s="2511"/>
      <c r="INR28" s="2511"/>
      <c r="INS28" s="2511"/>
      <c r="INT28" s="2511"/>
      <c r="INU28" s="2511"/>
      <c r="INV28" s="2511"/>
      <c r="INW28" s="2511"/>
      <c r="INX28" s="2511"/>
      <c r="INY28" s="2511"/>
      <c r="INZ28" s="2511"/>
      <c r="IOA28" s="2511"/>
      <c r="IOB28" s="2511"/>
      <c r="IOC28" s="2511"/>
      <c r="IOD28" s="2511"/>
      <c r="IOE28" s="2511"/>
      <c r="IOF28" s="2511"/>
      <c r="IOG28" s="2511"/>
      <c r="IOH28" s="2511"/>
      <c r="IOI28" s="2511"/>
      <c r="IOJ28" s="2511"/>
      <c r="IOK28" s="2511"/>
      <c r="IOL28" s="2511"/>
      <c r="IOM28" s="2511"/>
      <c r="ION28" s="2511"/>
      <c r="IOO28" s="2511"/>
      <c r="IOP28" s="2511"/>
      <c r="IOQ28" s="2511"/>
      <c r="IOR28" s="2511"/>
      <c r="IOS28" s="2511"/>
      <c r="IOT28" s="2511"/>
      <c r="IOU28" s="2511"/>
      <c r="IOV28" s="2511"/>
      <c r="IOW28" s="2511"/>
      <c r="IOX28" s="2511"/>
      <c r="IOY28" s="2511"/>
      <c r="IOZ28" s="2511"/>
      <c r="IPA28" s="2511"/>
      <c r="IPB28" s="2511"/>
      <c r="IPC28" s="2511"/>
      <c r="IPD28" s="2511"/>
      <c r="IPE28" s="2511"/>
      <c r="IPF28" s="2511"/>
      <c r="IPG28" s="2511"/>
      <c r="IPH28" s="2511"/>
      <c r="IPI28" s="2511"/>
      <c r="IPJ28" s="2511"/>
      <c r="IPK28" s="2511"/>
      <c r="IPL28" s="2511"/>
      <c r="IPM28" s="2511"/>
      <c r="IPN28" s="2511"/>
      <c r="IPO28" s="2511"/>
      <c r="IPP28" s="2511"/>
      <c r="IPQ28" s="2511"/>
      <c r="IPR28" s="2511"/>
      <c r="IPS28" s="2511"/>
      <c r="IPT28" s="2511"/>
      <c r="IPU28" s="2511"/>
      <c r="IPV28" s="2511"/>
      <c r="IPW28" s="2511"/>
      <c r="IPX28" s="2511"/>
      <c r="IPY28" s="2511"/>
      <c r="IPZ28" s="2511"/>
      <c r="IQA28" s="2511"/>
      <c r="IQB28" s="2511"/>
      <c r="IQC28" s="2511"/>
      <c r="IQD28" s="2511"/>
      <c r="IQE28" s="2511"/>
      <c r="IQF28" s="2511"/>
      <c r="IQG28" s="2511"/>
      <c r="IQH28" s="2511"/>
      <c r="IQI28" s="2511"/>
      <c r="IQJ28" s="2511"/>
      <c r="IQK28" s="2511"/>
      <c r="IQL28" s="2511"/>
      <c r="IQM28" s="2511"/>
      <c r="IQN28" s="2511"/>
      <c r="IQO28" s="2511"/>
      <c r="IQP28" s="2511"/>
      <c r="IQQ28" s="2511"/>
      <c r="IQR28" s="2511"/>
      <c r="IQS28" s="2511"/>
      <c r="IQT28" s="2511"/>
      <c r="IQU28" s="2511"/>
      <c r="IQV28" s="2511"/>
      <c r="IQW28" s="2511"/>
      <c r="IQX28" s="2511"/>
      <c r="IQY28" s="2511"/>
      <c r="IQZ28" s="2511"/>
      <c r="IRA28" s="2511"/>
      <c r="IRB28" s="2511"/>
      <c r="IRC28" s="2511"/>
      <c r="IRD28" s="2511"/>
      <c r="IRE28" s="2511"/>
      <c r="IRF28" s="2511"/>
      <c r="IRG28" s="2511"/>
      <c r="IRH28" s="2511"/>
      <c r="IRI28" s="2511"/>
      <c r="IRJ28" s="2511"/>
      <c r="IRK28" s="2511"/>
      <c r="IRL28" s="2511"/>
      <c r="IRM28" s="2511"/>
      <c r="IRN28" s="2511"/>
      <c r="IRO28" s="2511"/>
      <c r="IRP28" s="2511"/>
      <c r="IRQ28" s="2511"/>
      <c r="IRR28" s="2511"/>
      <c r="IRS28" s="2511"/>
      <c r="IRT28" s="2511"/>
      <c r="IRU28" s="2511"/>
      <c r="IRV28" s="2511"/>
      <c r="IRW28" s="2511"/>
      <c r="IRX28" s="2511"/>
      <c r="IRY28" s="2511"/>
      <c r="IRZ28" s="2511"/>
      <c r="ISA28" s="2511"/>
      <c r="ISB28" s="2511"/>
      <c r="ISC28" s="2511"/>
      <c r="ISD28" s="2511"/>
      <c r="ISE28" s="2511"/>
      <c r="ISF28" s="2511"/>
      <c r="ISG28" s="2511"/>
      <c r="ISH28" s="2511"/>
      <c r="ISI28" s="2511"/>
      <c r="ISJ28" s="2511"/>
      <c r="ISK28" s="2511"/>
      <c r="ISL28" s="2511"/>
      <c r="ISM28" s="2511"/>
      <c r="ISN28" s="2511"/>
      <c r="ISO28" s="2511"/>
      <c r="ISP28" s="2511"/>
      <c r="ISQ28" s="2511"/>
      <c r="ISR28" s="2511"/>
      <c r="ISS28" s="2511"/>
      <c r="IST28" s="2511"/>
      <c r="ISU28" s="2511"/>
      <c r="ISV28" s="2511"/>
      <c r="ISW28" s="2511"/>
      <c r="ISX28" s="2511"/>
      <c r="ISY28" s="2511"/>
      <c r="ISZ28" s="2511"/>
      <c r="ITA28" s="2511"/>
      <c r="ITB28" s="2511"/>
      <c r="ITC28" s="2511"/>
      <c r="ITD28" s="2511"/>
      <c r="ITE28" s="2511"/>
      <c r="ITF28" s="2511"/>
      <c r="ITG28" s="2511"/>
      <c r="ITH28" s="2511"/>
      <c r="ITI28" s="2511"/>
      <c r="ITJ28" s="2511"/>
      <c r="ITK28" s="2511"/>
      <c r="ITL28" s="2511"/>
      <c r="ITM28" s="2511"/>
      <c r="ITN28" s="2511"/>
      <c r="ITO28" s="2511"/>
      <c r="ITP28" s="2511"/>
      <c r="ITQ28" s="2511"/>
      <c r="ITR28" s="2511"/>
      <c r="ITS28" s="2511"/>
      <c r="ITT28" s="2511"/>
      <c r="ITU28" s="2511"/>
      <c r="ITV28" s="2511"/>
      <c r="ITW28" s="2511"/>
      <c r="ITX28" s="2511"/>
      <c r="ITY28" s="2511"/>
      <c r="ITZ28" s="2511"/>
      <c r="IUA28" s="2511"/>
      <c r="IUB28" s="2511"/>
      <c r="IUC28" s="2511"/>
      <c r="IUD28" s="2511"/>
      <c r="IUE28" s="2511"/>
      <c r="IUF28" s="2511"/>
      <c r="IUG28" s="2511"/>
      <c r="IUH28" s="2511"/>
      <c r="IUI28" s="2511"/>
      <c r="IUJ28" s="2511"/>
      <c r="IUK28" s="2511"/>
      <c r="IUL28" s="2511"/>
      <c r="IUM28" s="2511"/>
      <c r="IUN28" s="2511"/>
      <c r="IUO28" s="2511"/>
      <c r="IUP28" s="2511"/>
      <c r="IUQ28" s="2511"/>
      <c r="IUR28" s="2511"/>
      <c r="IUS28" s="2511"/>
      <c r="IUT28" s="2511"/>
      <c r="IUU28" s="2511"/>
      <c r="IUV28" s="2511"/>
      <c r="IUW28" s="2511"/>
      <c r="IUX28" s="2511"/>
      <c r="IUY28" s="2511"/>
      <c r="IUZ28" s="2511"/>
      <c r="IVA28" s="2511"/>
      <c r="IVB28" s="2511"/>
      <c r="IVC28" s="2511"/>
      <c r="IVD28" s="2511"/>
      <c r="IVE28" s="2511"/>
      <c r="IVF28" s="2511"/>
      <c r="IVG28" s="2511"/>
      <c r="IVH28" s="2511"/>
      <c r="IVI28" s="2511"/>
      <c r="IVJ28" s="2511"/>
      <c r="IVK28" s="2511"/>
      <c r="IVL28" s="2511"/>
      <c r="IVM28" s="2511"/>
      <c r="IVN28" s="2511"/>
      <c r="IVO28" s="2511"/>
      <c r="IVP28" s="2511"/>
      <c r="IVQ28" s="2511"/>
      <c r="IVR28" s="2511"/>
      <c r="IVS28" s="2511"/>
      <c r="IVT28" s="2511"/>
      <c r="IVU28" s="2511"/>
      <c r="IVV28" s="2511"/>
      <c r="IVW28" s="2511"/>
      <c r="IVX28" s="2511"/>
      <c r="IVY28" s="2511"/>
      <c r="IVZ28" s="2511"/>
      <c r="IWA28" s="2511"/>
      <c r="IWB28" s="2511"/>
      <c r="IWC28" s="2511"/>
      <c r="IWD28" s="2511"/>
      <c r="IWE28" s="2511"/>
      <c r="IWF28" s="2511"/>
      <c r="IWG28" s="2511"/>
      <c r="IWH28" s="2511"/>
      <c r="IWI28" s="2511"/>
      <c r="IWJ28" s="2511"/>
      <c r="IWK28" s="2511"/>
      <c r="IWL28" s="2511"/>
      <c r="IWM28" s="2511"/>
      <c r="IWN28" s="2511"/>
      <c r="IWO28" s="2511"/>
      <c r="IWP28" s="2511"/>
      <c r="IWQ28" s="2511"/>
      <c r="IWR28" s="2511"/>
      <c r="IWS28" s="2511"/>
      <c r="IWT28" s="2511"/>
      <c r="IWU28" s="2511"/>
      <c r="IWV28" s="2511"/>
      <c r="IWW28" s="2511"/>
      <c r="IWX28" s="2511"/>
      <c r="IWY28" s="2511"/>
      <c r="IWZ28" s="2511"/>
      <c r="IXA28" s="2511"/>
      <c r="IXB28" s="2511"/>
      <c r="IXC28" s="2511"/>
      <c r="IXD28" s="2511"/>
      <c r="IXE28" s="2511"/>
      <c r="IXF28" s="2511"/>
      <c r="IXG28" s="2511"/>
      <c r="IXH28" s="2511"/>
      <c r="IXI28" s="2511"/>
      <c r="IXJ28" s="2511"/>
      <c r="IXK28" s="2511"/>
      <c r="IXL28" s="2511"/>
      <c r="IXM28" s="2511"/>
      <c r="IXN28" s="2511"/>
      <c r="IXO28" s="2511"/>
      <c r="IXP28" s="2511"/>
      <c r="IXQ28" s="2511"/>
      <c r="IXR28" s="2511"/>
      <c r="IXS28" s="2511"/>
      <c r="IXT28" s="2511"/>
      <c r="IXU28" s="2511"/>
      <c r="IXV28" s="2511"/>
      <c r="IXW28" s="2511"/>
      <c r="IXX28" s="2511"/>
      <c r="IXY28" s="2511"/>
      <c r="IXZ28" s="2511"/>
      <c r="IYA28" s="2511"/>
      <c r="IYB28" s="2511"/>
      <c r="IYC28" s="2511"/>
      <c r="IYD28" s="2511"/>
      <c r="IYE28" s="2511"/>
      <c r="IYF28" s="2511"/>
      <c r="IYG28" s="2511"/>
      <c r="IYH28" s="2511"/>
      <c r="IYI28" s="2511"/>
      <c r="IYJ28" s="2511"/>
      <c r="IYK28" s="2511"/>
      <c r="IYL28" s="2511"/>
      <c r="IYM28" s="2511"/>
      <c r="IYN28" s="2511"/>
      <c r="IYO28" s="2511"/>
      <c r="IYP28" s="2511"/>
      <c r="IYQ28" s="2511"/>
      <c r="IYR28" s="2511"/>
      <c r="IYS28" s="2511"/>
      <c r="IYT28" s="2511"/>
      <c r="IYU28" s="2511"/>
      <c r="IYV28" s="2511"/>
      <c r="IYW28" s="2511"/>
      <c r="IYX28" s="2511"/>
      <c r="IYY28" s="2511"/>
      <c r="IYZ28" s="2511"/>
      <c r="IZA28" s="2511"/>
      <c r="IZB28" s="2511"/>
      <c r="IZC28" s="2511"/>
      <c r="IZD28" s="2511"/>
      <c r="IZE28" s="2511"/>
      <c r="IZF28" s="2511"/>
      <c r="IZG28" s="2511"/>
      <c r="IZH28" s="2511"/>
      <c r="IZI28" s="2511"/>
      <c r="IZJ28" s="2511"/>
      <c r="IZK28" s="2511"/>
      <c r="IZL28" s="2511"/>
      <c r="IZM28" s="2511"/>
      <c r="IZN28" s="2511"/>
      <c r="IZO28" s="2511"/>
      <c r="IZP28" s="2511"/>
      <c r="IZQ28" s="2511"/>
      <c r="IZR28" s="2511"/>
      <c r="IZS28" s="2511"/>
      <c r="IZT28" s="2511"/>
      <c r="IZU28" s="2511"/>
      <c r="IZV28" s="2511"/>
      <c r="IZW28" s="2511"/>
      <c r="IZX28" s="2511"/>
      <c r="IZY28" s="2511"/>
      <c r="IZZ28" s="2511"/>
      <c r="JAA28" s="2511"/>
      <c r="JAB28" s="2511"/>
      <c r="JAC28" s="2511"/>
      <c r="JAD28" s="2511"/>
      <c r="JAE28" s="2511"/>
      <c r="JAF28" s="2511"/>
      <c r="JAG28" s="2511"/>
      <c r="JAH28" s="2511"/>
      <c r="JAI28" s="2511"/>
      <c r="JAJ28" s="2511"/>
      <c r="JAK28" s="2511"/>
      <c r="JAL28" s="2511"/>
      <c r="JAM28" s="2511"/>
      <c r="JAN28" s="2511"/>
      <c r="JAO28" s="2511"/>
      <c r="JAP28" s="2511"/>
      <c r="JAQ28" s="2511"/>
      <c r="JAR28" s="2511"/>
      <c r="JAS28" s="2511"/>
      <c r="JAT28" s="2511"/>
      <c r="JAU28" s="2511"/>
      <c r="JAV28" s="2511"/>
      <c r="JAW28" s="2511"/>
      <c r="JAX28" s="2511"/>
      <c r="JAY28" s="2511"/>
      <c r="JAZ28" s="2511"/>
      <c r="JBA28" s="2511"/>
      <c r="JBB28" s="2511"/>
      <c r="JBC28" s="2511"/>
      <c r="JBD28" s="2511"/>
      <c r="JBE28" s="2511"/>
      <c r="JBF28" s="2511"/>
      <c r="JBG28" s="2511"/>
      <c r="JBH28" s="2511"/>
      <c r="JBI28" s="2511"/>
      <c r="JBJ28" s="2511"/>
      <c r="JBK28" s="2511"/>
      <c r="JBL28" s="2511"/>
      <c r="JBM28" s="2511"/>
      <c r="JBN28" s="2511"/>
      <c r="JBO28" s="2511"/>
      <c r="JBP28" s="2511"/>
      <c r="JBQ28" s="2511"/>
      <c r="JBR28" s="2511"/>
      <c r="JBS28" s="2511"/>
      <c r="JBT28" s="2511"/>
      <c r="JBU28" s="2511"/>
      <c r="JBV28" s="2511"/>
      <c r="JBW28" s="2511"/>
      <c r="JBX28" s="2511"/>
      <c r="JBY28" s="2511"/>
      <c r="JBZ28" s="2511"/>
      <c r="JCA28" s="2511"/>
      <c r="JCB28" s="2511"/>
      <c r="JCC28" s="2511"/>
      <c r="JCD28" s="2511"/>
      <c r="JCE28" s="2511"/>
      <c r="JCF28" s="2511"/>
      <c r="JCG28" s="2511"/>
      <c r="JCH28" s="2511"/>
      <c r="JCI28" s="2511"/>
      <c r="JCJ28" s="2511"/>
      <c r="JCK28" s="2511"/>
      <c r="JCL28" s="2511"/>
      <c r="JCM28" s="2511"/>
      <c r="JCN28" s="2511"/>
      <c r="JCO28" s="2511"/>
      <c r="JCP28" s="2511"/>
      <c r="JCQ28" s="2511"/>
      <c r="JCR28" s="2511"/>
      <c r="JCS28" s="2511"/>
      <c r="JCT28" s="2511"/>
      <c r="JCU28" s="2511"/>
      <c r="JCV28" s="2511"/>
      <c r="JCW28" s="2511"/>
      <c r="JCX28" s="2511"/>
      <c r="JCY28" s="2511"/>
      <c r="JCZ28" s="2511"/>
      <c r="JDA28" s="2511"/>
      <c r="JDB28" s="2511"/>
      <c r="JDC28" s="2511"/>
      <c r="JDD28" s="2511"/>
      <c r="JDE28" s="2511"/>
      <c r="JDF28" s="2511"/>
      <c r="JDG28" s="2511"/>
      <c r="JDH28" s="2511"/>
      <c r="JDI28" s="2511"/>
      <c r="JDJ28" s="2511"/>
      <c r="JDK28" s="2511"/>
      <c r="JDL28" s="2511"/>
      <c r="JDM28" s="2511"/>
      <c r="JDN28" s="2511"/>
      <c r="JDO28" s="2511"/>
      <c r="JDP28" s="2511"/>
      <c r="JDQ28" s="2511"/>
      <c r="JDR28" s="2511"/>
      <c r="JDS28" s="2511"/>
      <c r="JDT28" s="2511"/>
      <c r="JDU28" s="2511"/>
      <c r="JDV28" s="2511"/>
      <c r="JDW28" s="2511"/>
      <c r="JDX28" s="2511"/>
      <c r="JDY28" s="2511"/>
      <c r="JDZ28" s="2511"/>
      <c r="JEA28" s="2511"/>
      <c r="JEB28" s="2511"/>
      <c r="JEC28" s="2511"/>
      <c r="JED28" s="2511"/>
      <c r="JEE28" s="2511"/>
      <c r="JEF28" s="2511"/>
      <c r="JEG28" s="2511"/>
      <c r="JEH28" s="2511"/>
      <c r="JEI28" s="2511"/>
      <c r="JEJ28" s="2511"/>
      <c r="JEK28" s="2511"/>
      <c r="JEL28" s="2511"/>
      <c r="JEM28" s="2511"/>
      <c r="JEN28" s="2511"/>
      <c r="JEO28" s="2511"/>
      <c r="JEP28" s="2511"/>
      <c r="JEQ28" s="2511"/>
      <c r="JER28" s="2511"/>
      <c r="JES28" s="2511"/>
      <c r="JET28" s="2511"/>
      <c r="JEU28" s="2511"/>
      <c r="JEV28" s="2511"/>
      <c r="JEW28" s="2511"/>
      <c r="JEX28" s="2511"/>
      <c r="JEY28" s="2511"/>
      <c r="JEZ28" s="2511"/>
      <c r="JFA28" s="2511"/>
      <c r="JFB28" s="2511"/>
      <c r="JFC28" s="2511"/>
      <c r="JFD28" s="2511"/>
      <c r="JFE28" s="2511"/>
      <c r="JFF28" s="2511"/>
      <c r="JFG28" s="2511"/>
      <c r="JFH28" s="2511"/>
      <c r="JFI28" s="2511"/>
      <c r="JFJ28" s="2511"/>
      <c r="JFK28" s="2511"/>
      <c r="JFL28" s="2511"/>
      <c r="JFM28" s="2511"/>
      <c r="JFN28" s="2511"/>
      <c r="JFO28" s="2511"/>
      <c r="JFP28" s="2511"/>
      <c r="JFQ28" s="2511"/>
      <c r="JFR28" s="2511"/>
      <c r="JFS28" s="2511"/>
      <c r="JFT28" s="2511"/>
      <c r="JFU28" s="2511"/>
      <c r="JFV28" s="2511"/>
      <c r="JFW28" s="2511"/>
      <c r="JFX28" s="2511"/>
      <c r="JFY28" s="2511"/>
      <c r="JFZ28" s="2511"/>
      <c r="JGA28" s="2511"/>
      <c r="JGB28" s="2511"/>
      <c r="JGC28" s="2511"/>
      <c r="JGD28" s="2511"/>
      <c r="JGE28" s="2511"/>
      <c r="JGF28" s="2511"/>
      <c r="JGG28" s="2511"/>
      <c r="JGH28" s="2511"/>
      <c r="JGI28" s="2511"/>
      <c r="JGJ28" s="2511"/>
      <c r="JGK28" s="2511"/>
      <c r="JGL28" s="2511"/>
      <c r="JGM28" s="2511"/>
      <c r="JGN28" s="2511"/>
      <c r="JGO28" s="2511"/>
      <c r="JGP28" s="2511"/>
      <c r="JGQ28" s="2511"/>
      <c r="JGR28" s="2511"/>
      <c r="JGS28" s="2511"/>
      <c r="JGT28" s="2511"/>
      <c r="JGU28" s="2511"/>
      <c r="JGV28" s="2511"/>
      <c r="JGW28" s="2511"/>
      <c r="JGX28" s="2511"/>
      <c r="JGY28" s="2511"/>
      <c r="JGZ28" s="2511"/>
      <c r="JHA28" s="2511"/>
      <c r="JHB28" s="2511"/>
      <c r="JHC28" s="2511"/>
      <c r="JHD28" s="2511"/>
      <c r="JHE28" s="2511"/>
      <c r="JHF28" s="2511"/>
      <c r="JHG28" s="2511"/>
      <c r="JHH28" s="2511"/>
      <c r="JHI28" s="2511"/>
      <c r="JHJ28" s="2511"/>
      <c r="JHK28" s="2511"/>
      <c r="JHL28" s="2511"/>
      <c r="JHM28" s="2511"/>
      <c r="JHN28" s="2511"/>
      <c r="JHO28" s="2511"/>
      <c r="JHP28" s="2511"/>
      <c r="JHQ28" s="2511"/>
      <c r="JHR28" s="2511"/>
      <c r="JHS28" s="2511"/>
      <c r="JHT28" s="2511"/>
      <c r="JHU28" s="2511"/>
      <c r="JHV28" s="2511"/>
      <c r="JHW28" s="2511"/>
      <c r="JHX28" s="2511"/>
      <c r="JHY28" s="2511"/>
      <c r="JHZ28" s="2511"/>
      <c r="JIA28" s="2511"/>
      <c r="JIB28" s="2511"/>
      <c r="JIC28" s="2511"/>
      <c r="JID28" s="2511"/>
      <c r="JIE28" s="2511"/>
      <c r="JIF28" s="2511"/>
      <c r="JIG28" s="2511"/>
      <c r="JIH28" s="2511"/>
      <c r="JII28" s="2511"/>
      <c r="JIJ28" s="2511"/>
      <c r="JIK28" s="2511"/>
      <c r="JIL28" s="2511"/>
      <c r="JIM28" s="2511"/>
      <c r="JIN28" s="2511"/>
      <c r="JIO28" s="2511"/>
      <c r="JIP28" s="2511"/>
      <c r="JIQ28" s="2511"/>
      <c r="JIR28" s="2511"/>
      <c r="JIS28" s="2511"/>
      <c r="JIT28" s="2511"/>
      <c r="JIU28" s="2511"/>
      <c r="JIV28" s="2511"/>
      <c r="JIW28" s="2511"/>
      <c r="JIX28" s="2511"/>
      <c r="JIY28" s="2511"/>
      <c r="JIZ28" s="2511"/>
      <c r="JJA28" s="2511"/>
      <c r="JJB28" s="2511"/>
      <c r="JJC28" s="2511"/>
      <c r="JJD28" s="2511"/>
      <c r="JJE28" s="2511"/>
      <c r="JJF28" s="2511"/>
      <c r="JJG28" s="2511"/>
      <c r="JJH28" s="2511"/>
      <c r="JJI28" s="2511"/>
      <c r="JJJ28" s="2511"/>
      <c r="JJK28" s="2511"/>
      <c r="JJL28" s="2511"/>
      <c r="JJM28" s="2511"/>
      <c r="JJN28" s="2511"/>
      <c r="JJO28" s="2511"/>
      <c r="JJP28" s="2511"/>
      <c r="JJQ28" s="2511"/>
      <c r="JJR28" s="2511"/>
      <c r="JJS28" s="2511"/>
      <c r="JJT28" s="2511"/>
      <c r="JJU28" s="2511"/>
      <c r="JJV28" s="2511"/>
      <c r="JJW28" s="2511"/>
      <c r="JJX28" s="2511"/>
      <c r="JJY28" s="2511"/>
      <c r="JJZ28" s="2511"/>
      <c r="JKA28" s="2511"/>
      <c r="JKB28" s="2511"/>
      <c r="JKC28" s="2511"/>
      <c r="JKD28" s="2511"/>
      <c r="JKE28" s="2511"/>
      <c r="JKF28" s="2511"/>
      <c r="JKG28" s="2511"/>
      <c r="JKH28" s="2511"/>
      <c r="JKI28" s="2511"/>
      <c r="JKJ28" s="2511"/>
      <c r="JKK28" s="2511"/>
      <c r="JKL28" s="2511"/>
      <c r="JKM28" s="2511"/>
      <c r="JKN28" s="2511"/>
      <c r="JKO28" s="2511"/>
      <c r="JKP28" s="2511"/>
      <c r="JKQ28" s="2511"/>
      <c r="JKR28" s="2511"/>
      <c r="JKS28" s="2511"/>
      <c r="JKT28" s="2511"/>
      <c r="JKU28" s="2511"/>
      <c r="JKV28" s="2511"/>
      <c r="JKW28" s="2511"/>
      <c r="JKX28" s="2511"/>
      <c r="JKY28" s="2511"/>
      <c r="JKZ28" s="2511"/>
      <c r="JLA28" s="2511"/>
      <c r="JLB28" s="2511"/>
      <c r="JLC28" s="2511"/>
      <c r="JLD28" s="2511"/>
      <c r="JLE28" s="2511"/>
      <c r="JLF28" s="2511"/>
      <c r="JLG28" s="2511"/>
      <c r="JLH28" s="2511"/>
      <c r="JLI28" s="2511"/>
      <c r="JLJ28" s="2511"/>
      <c r="JLK28" s="2511"/>
      <c r="JLL28" s="2511"/>
      <c r="JLM28" s="2511"/>
      <c r="JLN28" s="2511"/>
      <c r="JLO28" s="2511"/>
      <c r="JLP28" s="2511"/>
      <c r="JLQ28" s="2511"/>
      <c r="JLR28" s="2511"/>
      <c r="JLS28" s="2511"/>
      <c r="JLT28" s="2511"/>
      <c r="JLU28" s="2511"/>
      <c r="JLV28" s="2511"/>
      <c r="JLW28" s="2511"/>
      <c r="JLX28" s="2511"/>
      <c r="JLY28" s="2511"/>
      <c r="JLZ28" s="2511"/>
      <c r="JMA28" s="2511"/>
      <c r="JMB28" s="2511"/>
      <c r="JMC28" s="2511"/>
      <c r="JMD28" s="2511"/>
      <c r="JME28" s="2511"/>
      <c r="JMF28" s="2511"/>
      <c r="JMG28" s="2511"/>
      <c r="JMH28" s="2511"/>
      <c r="JMI28" s="2511"/>
      <c r="JMJ28" s="2511"/>
      <c r="JMK28" s="2511"/>
      <c r="JML28" s="2511"/>
      <c r="JMM28" s="2511"/>
      <c r="JMN28" s="2511"/>
      <c r="JMO28" s="2511"/>
      <c r="JMP28" s="2511"/>
      <c r="JMQ28" s="2511"/>
      <c r="JMR28" s="2511"/>
      <c r="JMS28" s="2511"/>
      <c r="JMT28" s="2511"/>
      <c r="JMU28" s="2511"/>
      <c r="JMV28" s="2511"/>
      <c r="JMW28" s="2511"/>
      <c r="JMX28" s="2511"/>
      <c r="JMY28" s="2511"/>
      <c r="JMZ28" s="2511"/>
      <c r="JNA28" s="2511"/>
      <c r="JNB28" s="2511"/>
      <c r="JNC28" s="2511"/>
      <c r="JND28" s="2511"/>
      <c r="JNE28" s="2511"/>
      <c r="JNF28" s="2511"/>
      <c r="JNG28" s="2511"/>
      <c r="JNH28" s="2511"/>
      <c r="JNI28" s="2511"/>
      <c r="JNJ28" s="2511"/>
      <c r="JNK28" s="2511"/>
      <c r="JNL28" s="2511"/>
      <c r="JNM28" s="2511"/>
      <c r="JNN28" s="2511"/>
      <c r="JNO28" s="2511"/>
      <c r="JNP28" s="2511"/>
      <c r="JNQ28" s="2511"/>
      <c r="JNR28" s="2511"/>
      <c r="JNS28" s="2511"/>
      <c r="JNT28" s="2511"/>
      <c r="JNU28" s="2511"/>
      <c r="JNV28" s="2511"/>
      <c r="JNW28" s="2511"/>
      <c r="JNX28" s="2511"/>
      <c r="JNY28" s="2511"/>
      <c r="JNZ28" s="2511"/>
      <c r="JOA28" s="2511"/>
      <c r="JOB28" s="2511"/>
      <c r="JOC28" s="2511"/>
      <c r="JOD28" s="2511"/>
      <c r="JOE28" s="2511"/>
      <c r="JOF28" s="2511"/>
      <c r="JOG28" s="2511"/>
      <c r="JOH28" s="2511"/>
      <c r="JOI28" s="2511"/>
      <c r="JOJ28" s="2511"/>
      <c r="JOK28" s="2511"/>
      <c r="JOL28" s="2511"/>
      <c r="JOM28" s="2511"/>
      <c r="JON28" s="2511"/>
      <c r="JOO28" s="2511"/>
      <c r="JOP28" s="2511"/>
      <c r="JOQ28" s="2511"/>
      <c r="JOR28" s="2511"/>
      <c r="JOS28" s="2511"/>
      <c r="JOT28" s="2511"/>
      <c r="JOU28" s="2511"/>
      <c r="JOV28" s="2511"/>
      <c r="JOW28" s="2511"/>
      <c r="JOX28" s="2511"/>
      <c r="JOY28" s="2511"/>
      <c r="JOZ28" s="2511"/>
      <c r="JPA28" s="2511"/>
      <c r="JPB28" s="2511"/>
      <c r="JPC28" s="2511"/>
      <c r="JPD28" s="2511"/>
      <c r="JPE28" s="2511"/>
      <c r="JPF28" s="2511"/>
      <c r="JPG28" s="2511"/>
      <c r="JPH28" s="2511"/>
      <c r="JPI28" s="2511"/>
      <c r="JPJ28" s="2511"/>
      <c r="JPK28" s="2511"/>
      <c r="JPL28" s="2511"/>
      <c r="JPM28" s="2511"/>
      <c r="JPN28" s="2511"/>
      <c r="JPO28" s="2511"/>
      <c r="JPP28" s="2511"/>
      <c r="JPQ28" s="2511"/>
      <c r="JPR28" s="2511"/>
      <c r="JPS28" s="2511"/>
      <c r="JPT28" s="2511"/>
      <c r="JPU28" s="2511"/>
      <c r="JPV28" s="2511"/>
      <c r="JPW28" s="2511"/>
      <c r="JPX28" s="2511"/>
      <c r="JPY28" s="2511"/>
      <c r="JPZ28" s="2511"/>
      <c r="JQA28" s="2511"/>
      <c r="JQB28" s="2511"/>
      <c r="JQC28" s="2511"/>
      <c r="JQD28" s="2511"/>
      <c r="JQE28" s="2511"/>
      <c r="JQF28" s="2511"/>
      <c r="JQG28" s="2511"/>
      <c r="JQH28" s="2511"/>
      <c r="JQI28" s="2511"/>
      <c r="JQJ28" s="2511"/>
      <c r="JQK28" s="2511"/>
      <c r="JQL28" s="2511"/>
      <c r="JQM28" s="2511"/>
      <c r="JQN28" s="2511"/>
      <c r="JQO28" s="2511"/>
      <c r="JQP28" s="2511"/>
      <c r="JQQ28" s="2511"/>
      <c r="JQR28" s="2511"/>
      <c r="JQS28" s="2511"/>
      <c r="JQT28" s="2511"/>
      <c r="JQU28" s="2511"/>
      <c r="JQV28" s="2511"/>
      <c r="JQW28" s="2511"/>
      <c r="JQX28" s="2511"/>
      <c r="JQY28" s="2511"/>
      <c r="JQZ28" s="2511"/>
      <c r="JRA28" s="2511"/>
      <c r="JRB28" s="2511"/>
      <c r="JRC28" s="2511"/>
      <c r="JRD28" s="2511"/>
      <c r="JRE28" s="2511"/>
      <c r="JRF28" s="2511"/>
      <c r="JRG28" s="2511"/>
      <c r="JRH28" s="2511"/>
      <c r="JRI28" s="2511"/>
      <c r="JRJ28" s="2511"/>
      <c r="JRK28" s="2511"/>
      <c r="JRL28" s="2511"/>
      <c r="JRM28" s="2511"/>
      <c r="JRN28" s="2511"/>
      <c r="JRO28" s="2511"/>
      <c r="JRP28" s="2511"/>
      <c r="JRQ28" s="2511"/>
      <c r="JRR28" s="2511"/>
      <c r="JRS28" s="2511"/>
      <c r="JRT28" s="2511"/>
      <c r="JRU28" s="2511"/>
      <c r="JRV28" s="2511"/>
      <c r="JRW28" s="2511"/>
      <c r="JRX28" s="2511"/>
      <c r="JRY28" s="2511"/>
      <c r="JRZ28" s="2511"/>
      <c r="JSA28" s="2511"/>
      <c r="JSB28" s="2511"/>
      <c r="JSC28" s="2511"/>
      <c r="JSD28" s="2511"/>
      <c r="JSE28" s="2511"/>
      <c r="JSF28" s="2511"/>
      <c r="JSG28" s="2511"/>
      <c r="JSH28" s="2511"/>
      <c r="JSI28" s="2511"/>
      <c r="JSJ28" s="2511"/>
      <c r="JSK28" s="2511"/>
      <c r="JSL28" s="2511"/>
      <c r="JSM28" s="2511"/>
      <c r="JSN28" s="2511"/>
      <c r="JSO28" s="2511"/>
      <c r="JSP28" s="2511"/>
      <c r="JSQ28" s="2511"/>
      <c r="JSR28" s="2511"/>
      <c r="JSS28" s="2511"/>
      <c r="JST28" s="2511"/>
      <c r="JSU28" s="2511"/>
      <c r="JSV28" s="2511"/>
      <c r="JSW28" s="2511"/>
      <c r="JSX28" s="2511"/>
      <c r="JSY28" s="2511"/>
      <c r="JSZ28" s="2511"/>
      <c r="JTA28" s="2511"/>
      <c r="JTB28" s="2511"/>
      <c r="JTC28" s="2511"/>
      <c r="JTD28" s="2511"/>
      <c r="JTE28" s="2511"/>
      <c r="JTF28" s="2511"/>
      <c r="JTG28" s="2511"/>
      <c r="JTH28" s="2511"/>
      <c r="JTI28" s="2511"/>
      <c r="JTJ28" s="2511"/>
      <c r="JTK28" s="2511"/>
      <c r="JTL28" s="2511"/>
      <c r="JTM28" s="2511"/>
      <c r="JTN28" s="2511"/>
      <c r="JTO28" s="2511"/>
      <c r="JTP28" s="2511"/>
      <c r="JTQ28" s="2511"/>
      <c r="JTR28" s="2511"/>
      <c r="JTS28" s="2511"/>
      <c r="JTT28" s="2511"/>
      <c r="JTU28" s="2511"/>
      <c r="JTV28" s="2511"/>
      <c r="JTW28" s="2511"/>
      <c r="JTX28" s="2511"/>
      <c r="JTY28" s="2511"/>
      <c r="JTZ28" s="2511"/>
      <c r="JUA28" s="2511"/>
      <c r="JUB28" s="2511"/>
      <c r="JUC28" s="2511"/>
      <c r="JUD28" s="2511"/>
      <c r="JUE28" s="2511"/>
      <c r="JUF28" s="2511"/>
      <c r="JUG28" s="2511"/>
      <c r="JUH28" s="2511"/>
      <c r="JUI28" s="2511"/>
      <c r="JUJ28" s="2511"/>
      <c r="JUK28" s="2511"/>
      <c r="JUL28" s="2511"/>
      <c r="JUM28" s="2511"/>
      <c r="JUN28" s="2511"/>
      <c r="JUO28" s="2511"/>
      <c r="JUP28" s="2511"/>
      <c r="JUQ28" s="2511"/>
      <c r="JUR28" s="2511"/>
      <c r="JUS28" s="2511"/>
      <c r="JUT28" s="2511"/>
      <c r="JUU28" s="2511"/>
      <c r="JUV28" s="2511"/>
      <c r="JUW28" s="2511"/>
      <c r="JUX28" s="2511"/>
      <c r="JUY28" s="2511"/>
      <c r="JUZ28" s="2511"/>
      <c r="JVA28" s="2511"/>
      <c r="JVB28" s="2511"/>
      <c r="JVC28" s="2511"/>
      <c r="JVD28" s="2511"/>
      <c r="JVE28" s="2511"/>
      <c r="JVF28" s="2511"/>
      <c r="JVG28" s="2511"/>
      <c r="JVH28" s="2511"/>
      <c r="JVI28" s="2511"/>
      <c r="JVJ28" s="2511"/>
      <c r="JVK28" s="2511"/>
      <c r="JVL28" s="2511"/>
      <c r="JVM28" s="2511"/>
      <c r="JVN28" s="2511"/>
      <c r="JVO28" s="2511"/>
      <c r="JVP28" s="2511"/>
      <c r="JVQ28" s="2511"/>
      <c r="JVR28" s="2511"/>
      <c r="JVS28" s="2511"/>
      <c r="JVT28" s="2511"/>
      <c r="JVU28" s="2511"/>
      <c r="JVV28" s="2511"/>
      <c r="JVW28" s="2511"/>
      <c r="JVX28" s="2511"/>
      <c r="JVY28" s="2511"/>
      <c r="JVZ28" s="2511"/>
      <c r="JWA28" s="2511"/>
      <c r="JWB28" s="2511"/>
      <c r="JWC28" s="2511"/>
      <c r="JWD28" s="2511"/>
      <c r="JWE28" s="2511"/>
      <c r="JWF28" s="2511"/>
      <c r="JWG28" s="2511"/>
      <c r="JWH28" s="2511"/>
      <c r="JWI28" s="2511"/>
      <c r="JWJ28" s="2511"/>
      <c r="JWK28" s="2511"/>
      <c r="JWL28" s="2511"/>
      <c r="JWM28" s="2511"/>
      <c r="JWN28" s="2511"/>
      <c r="JWO28" s="2511"/>
      <c r="JWP28" s="2511"/>
      <c r="JWQ28" s="2511"/>
      <c r="JWR28" s="2511"/>
      <c r="JWS28" s="2511"/>
      <c r="JWT28" s="2511"/>
      <c r="JWU28" s="2511"/>
      <c r="JWV28" s="2511"/>
      <c r="JWW28" s="2511"/>
      <c r="JWX28" s="2511"/>
      <c r="JWY28" s="2511"/>
      <c r="JWZ28" s="2511"/>
      <c r="JXA28" s="2511"/>
      <c r="JXB28" s="2511"/>
      <c r="JXC28" s="2511"/>
      <c r="JXD28" s="2511"/>
      <c r="JXE28" s="2511"/>
      <c r="JXF28" s="2511"/>
      <c r="JXG28" s="2511"/>
      <c r="JXH28" s="2511"/>
      <c r="JXI28" s="2511"/>
      <c r="JXJ28" s="2511"/>
      <c r="JXK28" s="2511"/>
      <c r="JXL28" s="2511"/>
      <c r="JXM28" s="2511"/>
      <c r="JXN28" s="2511"/>
      <c r="JXO28" s="2511"/>
      <c r="JXP28" s="2511"/>
      <c r="JXQ28" s="2511"/>
      <c r="JXR28" s="2511"/>
      <c r="JXS28" s="2511"/>
      <c r="JXT28" s="2511"/>
      <c r="JXU28" s="2511"/>
      <c r="JXV28" s="2511"/>
      <c r="JXW28" s="2511"/>
      <c r="JXX28" s="2511"/>
      <c r="JXY28" s="2511"/>
      <c r="JXZ28" s="2511"/>
      <c r="JYA28" s="2511"/>
      <c r="JYB28" s="2511"/>
      <c r="JYC28" s="2511"/>
      <c r="JYD28" s="2511"/>
      <c r="JYE28" s="2511"/>
      <c r="JYF28" s="2511"/>
      <c r="JYG28" s="2511"/>
      <c r="JYH28" s="2511"/>
      <c r="JYI28" s="2511"/>
      <c r="JYJ28" s="2511"/>
      <c r="JYK28" s="2511"/>
      <c r="JYL28" s="2511"/>
      <c r="JYM28" s="2511"/>
      <c r="JYN28" s="2511"/>
      <c r="JYO28" s="2511"/>
      <c r="JYP28" s="2511"/>
      <c r="JYQ28" s="2511"/>
      <c r="JYR28" s="2511"/>
      <c r="JYS28" s="2511"/>
      <c r="JYT28" s="2511"/>
      <c r="JYU28" s="2511"/>
      <c r="JYV28" s="2511"/>
      <c r="JYW28" s="2511"/>
      <c r="JYX28" s="2511"/>
      <c r="JYY28" s="2511"/>
      <c r="JYZ28" s="2511"/>
      <c r="JZA28" s="2511"/>
      <c r="JZB28" s="2511"/>
      <c r="JZC28" s="2511"/>
      <c r="JZD28" s="2511"/>
      <c r="JZE28" s="2511"/>
      <c r="JZF28" s="2511"/>
      <c r="JZG28" s="2511"/>
      <c r="JZH28" s="2511"/>
      <c r="JZI28" s="2511"/>
      <c r="JZJ28" s="2511"/>
      <c r="JZK28" s="2511"/>
      <c r="JZL28" s="2511"/>
      <c r="JZM28" s="2511"/>
      <c r="JZN28" s="2511"/>
      <c r="JZO28" s="2511"/>
      <c r="JZP28" s="2511"/>
      <c r="JZQ28" s="2511"/>
      <c r="JZR28" s="2511"/>
      <c r="JZS28" s="2511"/>
      <c r="JZT28" s="2511"/>
      <c r="JZU28" s="2511"/>
      <c r="JZV28" s="2511"/>
      <c r="JZW28" s="2511"/>
      <c r="JZX28" s="2511"/>
      <c r="JZY28" s="2511"/>
      <c r="JZZ28" s="2511"/>
      <c r="KAA28" s="2511"/>
      <c r="KAB28" s="2511"/>
      <c r="KAC28" s="2511"/>
      <c r="KAD28" s="2511"/>
      <c r="KAE28" s="2511"/>
      <c r="KAF28" s="2511"/>
      <c r="KAG28" s="2511"/>
      <c r="KAH28" s="2511"/>
      <c r="KAI28" s="2511"/>
      <c r="KAJ28" s="2511"/>
      <c r="KAK28" s="2511"/>
      <c r="KAL28" s="2511"/>
      <c r="KAM28" s="2511"/>
      <c r="KAN28" s="2511"/>
      <c r="KAO28" s="2511"/>
      <c r="KAP28" s="2511"/>
      <c r="KAQ28" s="2511"/>
      <c r="KAR28" s="2511"/>
      <c r="KAS28" s="2511"/>
      <c r="KAT28" s="2511"/>
      <c r="KAU28" s="2511"/>
      <c r="KAV28" s="2511"/>
      <c r="KAW28" s="2511"/>
      <c r="KAX28" s="2511"/>
      <c r="KAY28" s="2511"/>
      <c r="KAZ28" s="2511"/>
      <c r="KBA28" s="2511"/>
      <c r="KBB28" s="2511"/>
      <c r="KBC28" s="2511"/>
      <c r="KBD28" s="2511"/>
      <c r="KBE28" s="2511"/>
      <c r="KBF28" s="2511"/>
      <c r="KBG28" s="2511"/>
      <c r="KBH28" s="2511"/>
      <c r="KBI28" s="2511"/>
      <c r="KBJ28" s="2511"/>
      <c r="KBK28" s="2511"/>
      <c r="KBL28" s="2511"/>
      <c r="KBM28" s="2511"/>
      <c r="KBN28" s="2511"/>
      <c r="KBO28" s="2511"/>
      <c r="KBP28" s="2511"/>
      <c r="KBQ28" s="2511"/>
      <c r="KBR28" s="2511"/>
      <c r="KBS28" s="2511"/>
      <c r="KBT28" s="2511"/>
      <c r="KBU28" s="2511"/>
      <c r="KBV28" s="2511"/>
      <c r="KBW28" s="2511"/>
      <c r="KBX28" s="2511"/>
      <c r="KBY28" s="2511"/>
      <c r="KBZ28" s="2511"/>
      <c r="KCA28" s="2511"/>
      <c r="KCB28" s="2511"/>
      <c r="KCC28" s="2511"/>
      <c r="KCD28" s="2511"/>
      <c r="KCE28" s="2511"/>
      <c r="KCF28" s="2511"/>
      <c r="KCG28" s="2511"/>
      <c r="KCH28" s="2511"/>
      <c r="KCI28" s="2511"/>
      <c r="KCJ28" s="2511"/>
      <c r="KCK28" s="2511"/>
      <c r="KCL28" s="2511"/>
      <c r="KCM28" s="2511"/>
      <c r="KCN28" s="2511"/>
      <c r="KCO28" s="2511"/>
      <c r="KCP28" s="2511"/>
      <c r="KCQ28" s="2511"/>
      <c r="KCR28" s="2511"/>
      <c r="KCS28" s="2511"/>
      <c r="KCT28" s="2511"/>
      <c r="KCU28" s="2511"/>
      <c r="KCV28" s="2511"/>
      <c r="KCW28" s="2511"/>
      <c r="KCX28" s="2511"/>
      <c r="KCY28" s="2511"/>
      <c r="KCZ28" s="2511"/>
      <c r="KDA28" s="2511"/>
      <c r="KDB28" s="2511"/>
      <c r="KDC28" s="2511"/>
      <c r="KDD28" s="2511"/>
      <c r="KDE28" s="2511"/>
      <c r="KDF28" s="2511"/>
      <c r="KDG28" s="2511"/>
      <c r="KDH28" s="2511"/>
      <c r="KDI28" s="2511"/>
      <c r="KDJ28" s="2511"/>
      <c r="KDK28" s="2511"/>
      <c r="KDL28" s="2511"/>
      <c r="KDM28" s="2511"/>
      <c r="KDN28" s="2511"/>
      <c r="KDO28" s="2511"/>
      <c r="KDP28" s="2511"/>
      <c r="KDQ28" s="2511"/>
      <c r="KDR28" s="2511"/>
      <c r="KDS28" s="2511"/>
      <c r="KDT28" s="2511"/>
      <c r="KDU28" s="2511"/>
      <c r="KDV28" s="2511"/>
      <c r="KDW28" s="2511"/>
      <c r="KDX28" s="2511"/>
      <c r="KDY28" s="2511"/>
      <c r="KDZ28" s="2511"/>
      <c r="KEA28" s="2511"/>
      <c r="KEB28" s="2511"/>
      <c r="KEC28" s="2511"/>
      <c r="KED28" s="2511"/>
      <c r="KEE28" s="2511"/>
      <c r="KEF28" s="2511"/>
      <c r="KEG28" s="2511"/>
      <c r="KEH28" s="2511"/>
      <c r="KEI28" s="2511"/>
      <c r="KEJ28" s="2511"/>
      <c r="KEK28" s="2511"/>
      <c r="KEL28" s="2511"/>
      <c r="KEM28" s="2511"/>
      <c r="KEN28" s="2511"/>
      <c r="KEO28" s="2511"/>
      <c r="KEP28" s="2511"/>
      <c r="KEQ28" s="2511"/>
      <c r="KER28" s="2511"/>
      <c r="KES28" s="2511"/>
      <c r="KET28" s="2511"/>
      <c r="KEU28" s="2511"/>
      <c r="KEV28" s="2511"/>
      <c r="KEW28" s="2511"/>
      <c r="KEX28" s="2511"/>
      <c r="KEY28" s="2511"/>
      <c r="KEZ28" s="2511"/>
      <c r="KFA28" s="2511"/>
      <c r="KFB28" s="2511"/>
      <c r="KFC28" s="2511"/>
      <c r="KFD28" s="2511"/>
      <c r="KFE28" s="2511"/>
      <c r="KFF28" s="2511"/>
      <c r="KFG28" s="2511"/>
      <c r="KFH28" s="2511"/>
      <c r="KFI28" s="2511"/>
      <c r="KFJ28" s="2511"/>
      <c r="KFK28" s="2511"/>
      <c r="KFL28" s="2511"/>
      <c r="KFM28" s="2511"/>
      <c r="KFN28" s="2511"/>
      <c r="KFO28" s="2511"/>
      <c r="KFP28" s="2511"/>
      <c r="KFQ28" s="2511"/>
      <c r="KFR28" s="2511"/>
      <c r="KFS28" s="2511"/>
      <c r="KFT28" s="2511"/>
      <c r="KFU28" s="2511"/>
      <c r="KFV28" s="2511"/>
      <c r="KFW28" s="2511"/>
      <c r="KFX28" s="2511"/>
      <c r="KFY28" s="2511"/>
      <c r="KFZ28" s="2511"/>
      <c r="KGA28" s="2511"/>
      <c r="KGB28" s="2511"/>
      <c r="KGC28" s="2511"/>
      <c r="KGD28" s="2511"/>
      <c r="KGE28" s="2511"/>
      <c r="KGF28" s="2511"/>
      <c r="KGG28" s="2511"/>
      <c r="KGH28" s="2511"/>
      <c r="KGI28" s="2511"/>
      <c r="KGJ28" s="2511"/>
      <c r="KGK28" s="2511"/>
      <c r="KGL28" s="2511"/>
      <c r="KGM28" s="2511"/>
      <c r="KGN28" s="2511"/>
      <c r="KGO28" s="2511"/>
      <c r="KGP28" s="2511"/>
      <c r="KGQ28" s="2511"/>
      <c r="KGR28" s="2511"/>
      <c r="KGS28" s="2511"/>
      <c r="KGT28" s="2511"/>
      <c r="KGU28" s="2511"/>
      <c r="KGV28" s="2511"/>
      <c r="KGW28" s="2511"/>
      <c r="KGX28" s="2511"/>
      <c r="KGY28" s="2511"/>
      <c r="KGZ28" s="2511"/>
      <c r="KHA28" s="2511"/>
      <c r="KHB28" s="2511"/>
      <c r="KHC28" s="2511"/>
      <c r="KHD28" s="2511"/>
      <c r="KHE28" s="2511"/>
      <c r="KHF28" s="2511"/>
      <c r="KHG28" s="2511"/>
      <c r="KHH28" s="2511"/>
      <c r="KHI28" s="2511"/>
      <c r="KHJ28" s="2511"/>
      <c r="KHK28" s="2511"/>
      <c r="KHL28" s="2511"/>
      <c r="KHM28" s="2511"/>
      <c r="KHN28" s="2511"/>
      <c r="KHO28" s="2511"/>
      <c r="KHP28" s="2511"/>
      <c r="KHQ28" s="2511"/>
      <c r="KHR28" s="2511"/>
      <c r="KHS28" s="2511"/>
      <c r="KHT28" s="2511"/>
      <c r="KHU28" s="2511"/>
      <c r="KHV28" s="2511"/>
      <c r="KHW28" s="2511"/>
      <c r="KHX28" s="2511"/>
      <c r="KHY28" s="2511"/>
      <c r="KHZ28" s="2511"/>
      <c r="KIA28" s="2511"/>
      <c r="KIB28" s="2511"/>
      <c r="KIC28" s="2511"/>
      <c r="KID28" s="2511"/>
      <c r="KIE28" s="2511"/>
      <c r="KIF28" s="2511"/>
      <c r="KIG28" s="2511"/>
      <c r="KIH28" s="2511"/>
      <c r="KII28" s="2511"/>
      <c r="KIJ28" s="2511"/>
      <c r="KIK28" s="2511"/>
      <c r="KIL28" s="2511"/>
      <c r="KIM28" s="2511"/>
      <c r="KIN28" s="2511"/>
      <c r="KIO28" s="2511"/>
      <c r="KIP28" s="2511"/>
      <c r="KIQ28" s="2511"/>
      <c r="KIR28" s="2511"/>
      <c r="KIS28" s="2511"/>
      <c r="KIT28" s="2511"/>
      <c r="KIU28" s="2511"/>
      <c r="KIV28" s="2511"/>
      <c r="KIW28" s="2511"/>
      <c r="KIX28" s="2511"/>
      <c r="KIY28" s="2511"/>
      <c r="KIZ28" s="2511"/>
      <c r="KJA28" s="2511"/>
      <c r="KJB28" s="2511"/>
      <c r="KJC28" s="2511"/>
      <c r="KJD28" s="2511"/>
      <c r="KJE28" s="2511"/>
      <c r="KJF28" s="2511"/>
      <c r="KJG28" s="2511"/>
      <c r="KJH28" s="2511"/>
      <c r="KJI28" s="2511"/>
      <c r="KJJ28" s="2511"/>
      <c r="KJK28" s="2511"/>
      <c r="KJL28" s="2511"/>
      <c r="KJM28" s="2511"/>
      <c r="KJN28" s="2511"/>
      <c r="KJO28" s="2511"/>
      <c r="KJP28" s="2511"/>
      <c r="KJQ28" s="2511"/>
      <c r="KJR28" s="2511"/>
      <c r="KJS28" s="2511"/>
      <c r="KJT28" s="2511"/>
      <c r="KJU28" s="2511"/>
      <c r="KJV28" s="2511"/>
      <c r="KJW28" s="2511"/>
      <c r="KJX28" s="2511"/>
      <c r="KJY28" s="2511"/>
      <c r="KJZ28" s="2511"/>
      <c r="KKA28" s="2511"/>
      <c r="KKB28" s="2511"/>
      <c r="KKC28" s="2511"/>
      <c r="KKD28" s="2511"/>
      <c r="KKE28" s="2511"/>
      <c r="KKF28" s="2511"/>
      <c r="KKG28" s="2511"/>
      <c r="KKH28" s="2511"/>
      <c r="KKI28" s="2511"/>
      <c r="KKJ28" s="2511"/>
      <c r="KKK28" s="2511"/>
      <c r="KKL28" s="2511"/>
      <c r="KKM28" s="2511"/>
      <c r="KKN28" s="2511"/>
      <c r="KKO28" s="2511"/>
      <c r="KKP28" s="2511"/>
      <c r="KKQ28" s="2511"/>
      <c r="KKR28" s="2511"/>
      <c r="KKS28" s="2511"/>
      <c r="KKT28" s="2511"/>
      <c r="KKU28" s="2511"/>
      <c r="KKV28" s="2511"/>
      <c r="KKW28" s="2511"/>
      <c r="KKX28" s="2511"/>
      <c r="KKY28" s="2511"/>
      <c r="KKZ28" s="2511"/>
      <c r="KLA28" s="2511"/>
      <c r="KLB28" s="2511"/>
      <c r="KLC28" s="2511"/>
      <c r="KLD28" s="2511"/>
      <c r="KLE28" s="2511"/>
      <c r="KLF28" s="2511"/>
      <c r="KLG28" s="2511"/>
      <c r="KLH28" s="2511"/>
      <c r="KLI28" s="2511"/>
      <c r="KLJ28" s="2511"/>
      <c r="KLK28" s="2511"/>
      <c r="KLL28" s="2511"/>
      <c r="KLM28" s="2511"/>
      <c r="KLN28" s="2511"/>
      <c r="KLO28" s="2511"/>
      <c r="KLP28" s="2511"/>
      <c r="KLQ28" s="2511"/>
      <c r="KLR28" s="2511"/>
      <c r="KLS28" s="2511"/>
      <c r="KLT28" s="2511"/>
      <c r="KLU28" s="2511"/>
      <c r="KLV28" s="2511"/>
      <c r="KLW28" s="2511"/>
      <c r="KLX28" s="2511"/>
      <c r="KLY28" s="2511"/>
      <c r="KLZ28" s="2511"/>
      <c r="KMA28" s="2511"/>
      <c r="KMB28" s="2511"/>
      <c r="KMC28" s="2511"/>
      <c r="KMD28" s="2511"/>
      <c r="KME28" s="2511"/>
      <c r="KMF28" s="2511"/>
      <c r="KMG28" s="2511"/>
      <c r="KMH28" s="2511"/>
      <c r="KMI28" s="2511"/>
      <c r="KMJ28" s="2511"/>
      <c r="KMK28" s="2511"/>
      <c r="KML28" s="2511"/>
      <c r="KMM28" s="2511"/>
      <c r="KMN28" s="2511"/>
      <c r="KMO28" s="2511"/>
      <c r="KMP28" s="2511"/>
      <c r="KMQ28" s="2511"/>
      <c r="KMR28" s="2511"/>
      <c r="KMS28" s="2511"/>
      <c r="KMT28" s="2511"/>
      <c r="KMU28" s="2511"/>
      <c r="KMV28" s="2511"/>
      <c r="KMW28" s="2511"/>
      <c r="KMX28" s="2511"/>
      <c r="KMY28" s="2511"/>
      <c r="KMZ28" s="2511"/>
      <c r="KNA28" s="2511"/>
      <c r="KNB28" s="2511"/>
      <c r="KNC28" s="2511"/>
      <c r="KND28" s="2511"/>
      <c r="KNE28" s="2511"/>
      <c r="KNF28" s="2511"/>
      <c r="KNG28" s="2511"/>
      <c r="KNH28" s="2511"/>
      <c r="KNI28" s="2511"/>
      <c r="KNJ28" s="2511"/>
      <c r="KNK28" s="2511"/>
      <c r="KNL28" s="2511"/>
      <c r="KNM28" s="2511"/>
      <c r="KNN28" s="2511"/>
      <c r="KNO28" s="2511"/>
      <c r="KNP28" s="2511"/>
      <c r="KNQ28" s="2511"/>
      <c r="KNR28" s="2511"/>
      <c r="KNS28" s="2511"/>
      <c r="KNT28" s="2511"/>
      <c r="KNU28" s="2511"/>
      <c r="KNV28" s="2511"/>
      <c r="KNW28" s="2511"/>
      <c r="KNX28" s="2511"/>
      <c r="KNY28" s="2511"/>
      <c r="KNZ28" s="2511"/>
      <c r="KOA28" s="2511"/>
      <c r="KOB28" s="2511"/>
      <c r="KOC28" s="2511"/>
      <c r="KOD28" s="2511"/>
      <c r="KOE28" s="2511"/>
      <c r="KOF28" s="2511"/>
      <c r="KOG28" s="2511"/>
      <c r="KOH28" s="2511"/>
      <c r="KOI28" s="2511"/>
      <c r="KOJ28" s="2511"/>
      <c r="KOK28" s="2511"/>
      <c r="KOL28" s="2511"/>
      <c r="KOM28" s="2511"/>
      <c r="KON28" s="2511"/>
      <c r="KOO28" s="2511"/>
      <c r="KOP28" s="2511"/>
      <c r="KOQ28" s="2511"/>
      <c r="KOR28" s="2511"/>
      <c r="KOS28" s="2511"/>
      <c r="KOT28" s="2511"/>
      <c r="KOU28" s="2511"/>
      <c r="KOV28" s="2511"/>
      <c r="KOW28" s="2511"/>
      <c r="KOX28" s="2511"/>
      <c r="KOY28" s="2511"/>
      <c r="KOZ28" s="2511"/>
      <c r="KPA28" s="2511"/>
      <c r="KPB28" s="2511"/>
      <c r="KPC28" s="2511"/>
      <c r="KPD28" s="2511"/>
      <c r="KPE28" s="2511"/>
      <c r="KPF28" s="2511"/>
      <c r="KPG28" s="2511"/>
      <c r="KPH28" s="2511"/>
      <c r="KPI28" s="2511"/>
      <c r="KPJ28" s="2511"/>
      <c r="KPK28" s="2511"/>
      <c r="KPL28" s="2511"/>
      <c r="KPM28" s="2511"/>
      <c r="KPN28" s="2511"/>
      <c r="KPO28" s="2511"/>
      <c r="KPP28" s="2511"/>
      <c r="KPQ28" s="2511"/>
      <c r="KPR28" s="2511"/>
      <c r="KPS28" s="2511"/>
      <c r="KPT28" s="2511"/>
      <c r="KPU28" s="2511"/>
      <c r="KPV28" s="2511"/>
      <c r="KPW28" s="2511"/>
      <c r="KPX28" s="2511"/>
      <c r="KPY28" s="2511"/>
      <c r="KPZ28" s="2511"/>
      <c r="KQA28" s="2511"/>
      <c r="KQB28" s="2511"/>
      <c r="KQC28" s="2511"/>
      <c r="KQD28" s="2511"/>
      <c r="KQE28" s="2511"/>
      <c r="KQF28" s="2511"/>
      <c r="KQG28" s="2511"/>
      <c r="KQH28" s="2511"/>
      <c r="KQI28" s="2511"/>
      <c r="KQJ28" s="2511"/>
      <c r="KQK28" s="2511"/>
      <c r="KQL28" s="2511"/>
      <c r="KQM28" s="2511"/>
      <c r="KQN28" s="2511"/>
      <c r="KQO28" s="2511"/>
      <c r="KQP28" s="2511"/>
      <c r="KQQ28" s="2511"/>
      <c r="KQR28" s="2511"/>
      <c r="KQS28" s="2511"/>
      <c r="KQT28" s="2511"/>
      <c r="KQU28" s="2511"/>
      <c r="KQV28" s="2511"/>
      <c r="KQW28" s="2511"/>
      <c r="KQX28" s="2511"/>
      <c r="KQY28" s="2511"/>
      <c r="KQZ28" s="2511"/>
      <c r="KRA28" s="2511"/>
      <c r="KRB28" s="2511"/>
      <c r="KRC28" s="2511"/>
      <c r="KRD28" s="2511"/>
      <c r="KRE28" s="2511"/>
      <c r="KRF28" s="2511"/>
      <c r="KRG28" s="2511"/>
      <c r="KRH28" s="2511"/>
      <c r="KRI28" s="2511"/>
      <c r="KRJ28" s="2511"/>
      <c r="KRK28" s="2511"/>
      <c r="KRL28" s="2511"/>
      <c r="KRM28" s="2511"/>
      <c r="KRN28" s="2511"/>
      <c r="KRO28" s="2511"/>
      <c r="KRP28" s="2511"/>
      <c r="KRQ28" s="2511"/>
      <c r="KRR28" s="2511"/>
      <c r="KRS28" s="2511"/>
      <c r="KRT28" s="2511"/>
      <c r="KRU28" s="2511"/>
      <c r="KRV28" s="2511"/>
      <c r="KRW28" s="2511"/>
      <c r="KRX28" s="2511"/>
      <c r="KRY28" s="2511"/>
      <c r="KRZ28" s="2511"/>
      <c r="KSA28" s="2511"/>
      <c r="KSB28" s="2511"/>
      <c r="KSC28" s="2511"/>
      <c r="KSD28" s="2511"/>
      <c r="KSE28" s="2511"/>
      <c r="KSF28" s="2511"/>
      <c r="KSG28" s="2511"/>
      <c r="KSH28" s="2511"/>
      <c r="KSI28" s="2511"/>
      <c r="KSJ28" s="2511"/>
      <c r="KSK28" s="2511"/>
      <c r="KSL28" s="2511"/>
      <c r="KSM28" s="2511"/>
      <c r="KSN28" s="2511"/>
      <c r="KSO28" s="2511"/>
      <c r="KSP28" s="2511"/>
      <c r="KSQ28" s="2511"/>
      <c r="KSR28" s="2511"/>
      <c r="KSS28" s="2511"/>
      <c r="KST28" s="2511"/>
      <c r="KSU28" s="2511"/>
      <c r="KSV28" s="2511"/>
      <c r="KSW28" s="2511"/>
      <c r="KSX28" s="2511"/>
      <c r="KSY28" s="2511"/>
      <c r="KSZ28" s="2511"/>
      <c r="KTA28" s="2511"/>
      <c r="KTB28" s="2511"/>
      <c r="KTC28" s="2511"/>
      <c r="KTD28" s="2511"/>
      <c r="KTE28" s="2511"/>
      <c r="KTF28" s="2511"/>
      <c r="KTG28" s="2511"/>
      <c r="KTH28" s="2511"/>
      <c r="KTI28" s="2511"/>
      <c r="KTJ28" s="2511"/>
      <c r="KTK28" s="2511"/>
      <c r="KTL28" s="2511"/>
      <c r="KTM28" s="2511"/>
      <c r="KTN28" s="2511"/>
      <c r="KTO28" s="2511"/>
      <c r="KTP28" s="2511"/>
      <c r="KTQ28" s="2511"/>
      <c r="KTR28" s="2511"/>
      <c r="KTS28" s="2511"/>
      <c r="KTT28" s="2511"/>
      <c r="KTU28" s="2511"/>
      <c r="KTV28" s="2511"/>
      <c r="KTW28" s="2511"/>
      <c r="KTX28" s="2511"/>
      <c r="KTY28" s="2511"/>
      <c r="KTZ28" s="2511"/>
      <c r="KUA28" s="2511"/>
      <c r="KUB28" s="2511"/>
      <c r="KUC28" s="2511"/>
      <c r="KUD28" s="2511"/>
      <c r="KUE28" s="2511"/>
      <c r="KUF28" s="2511"/>
      <c r="KUG28" s="2511"/>
      <c r="KUH28" s="2511"/>
      <c r="KUI28" s="2511"/>
      <c r="KUJ28" s="2511"/>
      <c r="KUK28" s="2511"/>
      <c r="KUL28" s="2511"/>
      <c r="KUM28" s="2511"/>
      <c r="KUN28" s="2511"/>
      <c r="KUO28" s="2511"/>
      <c r="KUP28" s="2511"/>
      <c r="KUQ28" s="2511"/>
      <c r="KUR28" s="2511"/>
      <c r="KUS28" s="2511"/>
      <c r="KUT28" s="2511"/>
      <c r="KUU28" s="2511"/>
      <c r="KUV28" s="2511"/>
      <c r="KUW28" s="2511"/>
      <c r="KUX28" s="2511"/>
      <c r="KUY28" s="2511"/>
      <c r="KUZ28" s="2511"/>
      <c r="KVA28" s="2511"/>
      <c r="KVB28" s="2511"/>
      <c r="KVC28" s="2511"/>
      <c r="KVD28" s="2511"/>
      <c r="KVE28" s="2511"/>
      <c r="KVF28" s="2511"/>
      <c r="KVG28" s="2511"/>
      <c r="KVH28" s="2511"/>
      <c r="KVI28" s="2511"/>
      <c r="KVJ28" s="2511"/>
      <c r="KVK28" s="2511"/>
      <c r="KVL28" s="2511"/>
      <c r="KVM28" s="2511"/>
      <c r="KVN28" s="2511"/>
      <c r="KVO28" s="2511"/>
      <c r="KVP28" s="2511"/>
      <c r="KVQ28" s="2511"/>
      <c r="KVR28" s="2511"/>
      <c r="KVS28" s="2511"/>
      <c r="KVT28" s="2511"/>
      <c r="KVU28" s="2511"/>
      <c r="KVV28" s="2511"/>
      <c r="KVW28" s="2511"/>
      <c r="KVX28" s="2511"/>
      <c r="KVY28" s="2511"/>
      <c r="KVZ28" s="2511"/>
      <c r="KWA28" s="2511"/>
      <c r="KWB28" s="2511"/>
      <c r="KWC28" s="2511"/>
      <c r="KWD28" s="2511"/>
      <c r="KWE28" s="2511"/>
      <c r="KWF28" s="2511"/>
      <c r="KWG28" s="2511"/>
      <c r="KWH28" s="2511"/>
      <c r="KWI28" s="2511"/>
      <c r="KWJ28" s="2511"/>
      <c r="KWK28" s="2511"/>
      <c r="KWL28" s="2511"/>
      <c r="KWM28" s="2511"/>
      <c r="KWN28" s="2511"/>
      <c r="KWO28" s="2511"/>
      <c r="KWP28" s="2511"/>
      <c r="KWQ28" s="2511"/>
      <c r="KWR28" s="2511"/>
      <c r="KWS28" s="2511"/>
      <c r="KWT28" s="2511"/>
      <c r="KWU28" s="2511"/>
      <c r="KWV28" s="2511"/>
      <c r="KWW28" s="2511"/>
      <c r="KWX28" s="2511"/>
      <c r="KWY28" s="2511"/>
      <c r="KWZ28" s="2511"/>
      <c r="KXA28" s="2511"/>
      <c r="KXB28" s="2511"/>
      <c r="KXC28" s="2511"/>
      <c r="KXD28" s="2511"/>
      <c r="KXE28" s="2511"/>
      <c r="KXF28" s="2511"/>
      <c r="KXG28" s="2511"/>
      <c r="KXH28" s="2511"/>
      <c r="KXI28" s="2511"/>
      <c r="KXJ28" s="2511"/>
      <c r="KXK28" s="2511"/>
      <c r="KXL28" s="2511"/>
      <c r="KXM28" s="2511"/>
      <c r="KXN28" s="2511"/>
      <c r="KXO28" s="2511"/>
      <c r="KXP28" s="2511"/>
      <c r="KXQ28" s="2511"/>
      <c r="KXR28" s="2511"/>
      <c r="KXS28" s="2511"/>
      <c r="KXT28" s="2511"/>
      <c r="KXU28" s="2511"/>
      <c r="KXV28" s="2511"/>
      <c r="KXW28" s="2511"/>
      <c r="KXX28" s="2511"/>
      <c r="KXY28" s="2511"/>
      <c r="KXZ28" s="2511"/>
      <c r="KYA28" s="2511"/>
      <c r="KYB28" s="2511"/>
      <c r="KYC28" s="2511"/>
      <c r="KYD28" s="2511"/>
      <c r="KYE28" s="2511"/>
      <c r="KYF28" s="2511"/>
      <c r="KYG28" s="2511"/>
      <c r="KYH28" s="2511"/>
      <c r="KYI28" s="2511"/>
      <c r="KYJ28" s="2511"/>
      <c r="KYK28" s="2511"/>
      <c r="KYL28" s="2511"/>
      <c r="KYM28" s="2511"/>
      <c r="KYN28" s="2511"/>
      <c r="KYO28" s="2511"/>
      <c r="KYP28" s="2511"/>
      <c r="KYQ28" s="2511"/>
      <c r="KYR28" s="2511"/>
      <c r="KYS28" s="2511"/>
      <c r="KYT28" s="2511"/>
      <c r="KYU28" s="2511"/>
      <c r="KYV28" s="2511"/>
      <c r="KYW28" s="2511"/>
      <c r="KYX28" s="2511"/>
      <c r="KYY28" s="2511"/>
      <c r="KYZ28" s="2511"/>
      <c r="KZA28" s="2511"/>
      <c r="KZB28" s="2511"/>
      <c r="KZC28" s="2511"/>
      <c r="KZD28" s="2511"/>
      <c r="KZE28" s="2511"/>
      <c r="KZF28" s="2511"/>
      <c r="KZG28" s="2511"/>
      <c r="KZH28" s="2511"/>
      <c r="KZI28" s="2511"/>
      <c r="KZJ28" s="2511"/>
      <c r="KZK28" s="2511"/>
      <c r="KZL28" s="2511"/>
      <c r="KZM28" s="2511"/>
      <c r="KZN28" s="2511"/>
      <c r="KZO28" s="2511"/>
      <c r="KZP28" s="2511"/>
      <c r="KZQ28" s="2511"/>
      <c r="KZR28" s="2511"/>
      <c r="KZS28" s="2511"/>
      <c r="KZT28" s="2511"/>
      <c r="KZU28" s="2511"/>
      <c r="KZV28" s="2511"/>
      <c r="KZW28" s="2511"/>
      <c r="KZX28" s="2511"/>
      <c r="KZY28" s="2511"/>
      <c r="KZZ28" s="2511"/>
      <c r="LAA28" s="2511"/>
      <c r="LAB28" s="2511"/>
      <c r="LAC28" s="2511"/>
      <c r="LAD28" s="2511"/>
      <c r="LAE28" s="2511"/>
      <c r="LAF28" s="2511"/>
      <c r="LAG28" s="2511"/>
      <c r="LAH28" s="2511"/>
      <c r="LAI28" s="2511"/>
      <c r="LAJ28" s="2511"/>
      <c r="LAK28" s="2511"/>
      <c r="LAL28" s="2511"/>
      <c r="LAM28" s="2511"/>
      <c r="LAN28" s="2511"/>
      <c r="LAO28" s="2511"/>
      <c r="LAP28" s="2511"/>
      <c r="LAQ28" s="2511"/>
      <c r="LAR28" s="2511"/>
      <c r="LAS28" s="2511"/>
      <c r="LAT28" s="2511"/>
      <c r="LAU28" s="2511"/>
      <c r="LAV28" s="2511"/>
      <c r="LAW28" s="2511"/>
      <c r="LAX28" s="2511"/>
      <c r="LAY28" s="2511"/>
      <c r="LAZ28" s="2511"/>
      <c r="LBA28" s="2511"/>
      <c r="LBB28" s="2511"/>
      <c r="LBC28" s="2511"/>
      <c r="LBD28" s="2511"/>
      <c r="LBE28" s="2511"/>
      <c r="LBF28" s="2511"/>
      <c r="LBG28" s="2511"/>
      <c r="LBH28" s="2511"/>
      <c r="LBI28" s="2511"/>
      <c r="LBJ28" s="2511"/>
      <c r="LBK28" s="2511"/>
      <c r="LBL28" s="2511"/>
      <c r="LBM28" s="2511"/>
      <c r="LBN28" s="2511"/>
      <c r="LBO28" s="2511"/>
      <c r="LBP28" s="2511"/>
      <c r="LBQ28" s="2511"/>
      <c r="LBR28" s="2511"/>
      <c r="LBS28" s="2511"/>
      <c r="LBT28" s="2511"/>
      <c r="LBU28" s="2511"/>
      <c r="LBV28" s="2511"/>
      <c r="LBW28" s="2511"/>
      <c r="LBX28" s="2511"/>
      <c r="LBY28" s="2511"/>
      <c r="LBZ28" s="2511"/>
      <c r="LCA28" s="2511"/>
      <c r="LCB28" s="2511"/>
      <c r="LCC28" s="2511"/>
      <c r="LCD28" s="2511"/>
      <c r="LCE28" s="2511"/>
      <c r="LCF28" s="2511"/>
      <c r="LCG28" s="2511"/>
      <c r="LCH28" s="2511"/>
      <c r="LCI28" s="2511"/>
      <c r="LCJ28" s="2511"/>
      <c r="LCK28" s="2511"/>
      <c r="LCL28" s="2511"/>
      <c r="LCM28" s="2511"/>
      <c r="LCN28" s="2511"/>
      <c r="LCO28" s="2511"/>
      <c r="LCP28" s="2511"/>
      <c r="LCQ28" s="2511"/>
      <c r="LCR28" s="2511"/>
      <c r="LCS28" s="2511"/>
      <c r="LCT28" s="2511"/>
      <c r="LCU28" s="2511"/>
      <c r="LCV28" s="2511"/>
      <c r="LCW28" s="2511"/>
      <c r="LCX28" s="2511"/>
      <c r="LCY28" s="2511"/>
      <c r="LCZ28" s="2511"/>
      <c r="LDA28" s="2511"/>
      <c r="LDB28" s="2511"/>
      <c r="LDC28" s="2511"/>
      <c r="LDD28" s="2511"/>
      <c r="LDE28" s="2511"/>
      <c r="LDF28" s="2511"/>
      <c r="LDG28" s="2511"/>
      <c r="LDH28" s="2511"/>
      <c r="LDI28" s="2511"/>
      <c r="LDJ28" s="2511"/>
      <c r="LDK28" s="2511"/>
      <c r="LDL28" s="2511"/>
      <c r="LDM28" s="2511"/>
      <c r="LDN28" s="2511"/>
      <c r="LDO28" s="2511"/>
      <c r="LDP28" s="2511"/>
      <c r="LDQ28" s="2511"/>
      <c r="LDR28" s="2511"/>
      <c r="LDS28" s="2511"/>
      <c r="LDT28" s="2511"/>
      <c r="LDU28" s="2511"/>
      <c r="LDV28" s="2511"/>
      <c r="LDW28" s="2511"/>
      <c r="LDX28" s="2511"/>
      <c r="LDY28" s="2511"/>
      <c r="LDZ28" s="2511"/>
      <c r="LEA28" s="2511"/>
      <c r="LEB28" s="2511"/>
      <c r="LEC28" s="2511"/>
      <c r="LED28" s="2511"/>
      <c r="LEE28" s="2511"/>
      <c r="LEF28" s="2511"/>
      <c r="LEG28" s="2511"/>
      <c r="LEH28" s="2511"/>
      <c r="LEI28" s="2511"/>
      <c r="LEJ28" s="2511"/>
      <c r="LEK28" s="2511"/>
      <c r="LEL28" s="2511"/>
      <c r="LEM28" s="2511"/>
      <c r="LEN28" s="2511"/>
      <c r="LEO28" s="2511"/>
      <c r="LEP28" s="2511"/>
      <c r="LEQ28" s="2511"/>
      <c r="LER28" s="2511"/>
      <c r="LES28" s="2511"/>
      <c r="LET28" s="2511"/>
      <c r="LEU28" s="2511"/>
      <c r="LEV28" s="2511"/>
      <c r="LEW28" s="2511"/>
      <c r="LEX28" s="2511"/>
      <c r="LEY28" s="2511"/>
      <c r="LEZ28" s="2511"/>
      <c r="LFA28" s="2511"/>
      <c r="LFB28" s="2511"/>
      <c r="LFC28" s="2511"/>
      <c r="LFD28" s="2511"/>
      <c r="LFE28" s="2511"/>
      <c r="LFF28" s="2511"/>
      <c r="LFG28" s="2511"/>
      <c r="LFH28" s="2511"/>
      <c r="LFI28" s="2511"/>
      <c r="LFJ28" s="2511"/>
      <c r="LFK28" s="2511"/>
      <c r="LFL28" s="2511"/>
      <c r="LFM28" s="2511"/>
      <c r="LFN28" s="2511"/>
      <c r="LFO28" s="2511"/>
      <c r="LFP28" s="2511"/>
      <c r="LFQ28" s="2511"/>
      <c r="LFR28" s="2511"/>
      <c r="LFS28" s="2511"/>
      <c r="LFT28" s="2511"/>
      <c r="LFU28" s="2511"/>
      <c r="LFV28" s="2511"/>
      <c r="LFW28" s="2511"/>
      <c r="LFX28" s="2511"/>
      <c r="LFY28" s="2511"/>
      <c r="LFZ28" s="2511"/>
      <c r="LGA28" s="2511"/>
      <c r="LGB28" s="2511"/>
      <c r="LGC28" s="2511"/>
      <c r="LGD28" s="2511"/>
      <c r="LGE28" s="2511"/>
      <c r="LGF28" s="2511"/>
      <c r="LGG28" s="2511"/>
      <c r="LGH28" s="2511"/>
      <c r="LGI28" s="2511"/>
      <c r="LGJ28" s="2511"/>
      <c r="LGK28" s="2511"/>
      <c r="LGL28" s="2511"/>
      <c r="LGM28" s="2511"/>
      <c r="LGN28" s="2511"/>
      <c r="LGO28" s="2511"/>
      <c r="LGP28" s="2511"/>
      <c r="LGQ28" s="2511"/>
      <c r="LGR28" s="2511"/>
      <c r="LGS28" s="2511"/>
      <c r="LGT28" s="2511"/>
      <c r="LGU28" s="2511"/>
      <c r="LGV28" s="2511"/>
      <c r="LGW28" s="2511"/>
      <c r="LGX28" s="2511"/>
      <c r="LGY28" s="2511"/>
      <c r="LGZ28" s="2511"/>
      <c r="LHA28" s="2511"/>
      <c r="LHB28" s="2511"/>
      <c r="LHC28" s="2511"/>
      <c r="LHD28" s="2511"/>
      <c r="LHE28" s="2511"/>
      <c r="LHF28" s="2511"/>
      <c r="LHG28" s="2511"/>
      <c r="LHH28" s="2511"/>
      <c r="LHI28" s="2511"/>
      <c r="LHJ28" s="2511"/>
      <c r="LHK28" s="2511"/>
      <c r="LHL28" s="2511"/>
      <c r="LHM28" s="2511"/>
      <c r="LHN28" s="2511"/>
      <c r="LHO28" s="2511"/>
      <c r="LHP28" s="2511"/>
      <c r="LHQ28" s="2511"/>
      <c r="LHR28" s="2511"/>
      <c r="LHS28" s="2511"/>
      <c r="LHT28" s="2511"/>
      <c r="LHU28" s="2511"/>
      <c r="LHV28" s="2511"/>
      <c r="LHW28" s="2511"/>
      <c r="LHX28" s="2511"/>
      <c r="LHY28" s="2511"/>
      <c r="LHZ28" s="2511"/>
      <c r="LIA28" s="2511"/>
      <c r="LIB28" s="2511"/>
      <c r="LIC28" s="2511"/>
      <c r="LID28" s="2511"/>
      <c r="LIE28" s="2511"/>
      <c r="LIF28" s="2511"/>
      <c r="LIG28" s="2511"/>
      <c r="LIH28" s="2511"/>
      <c r="LII28" s="2511"/>
      <c r="LIJ28" s="2511"/>
      <c r="LIK28" s="2511"/>
      <c r="LIL28" s="2511"/>
      <c r="LIM28" s="2511"/>
      <c r="LIN28" s="2511"/>
      <c r="LIO28" s="2511"/>
      <c r="LIP28" s="2511"/>
      <c r="LIQ28" s="2511"/>
      <c r="LIR28" s="2511"/>
      <c r="LIS28" s="2511"/>
      <c r="LIT28" s="2511"/>
      <c r="LIU28" s="2511"/>
      <c r="LIV28" s="2511"/>
      <c r="LIW28" s="2511"/>
      <c r="LIX28" s="2511"/>
      <c r="LIY28" s="2511"/>
      <c r="LIZ28" s="2511"/>
      <c r="LJA28" s="2511"/>
      <c r="LJB28" s="2511"/>
      <c r="LJC28" s="2511"/>
      <c r="LJD28" s="2511"/>
      <c r="LJE28" s="2511"/>
      <c r="LJF28" s="2511"/>
      <c r="LJG28" s="2511"/>
      <c r="LJH28" s="2511"/>
      <c r="LJI28" s="2511"/>
      <c r="LJJ28" s="2511"/>
      <c r="LJK28" s="2511"/>
      <c r="LJL28" s="2511"/>
      <c r="LJM28" s="2511"/>
      <c r="LJN28" s="2511"/>
      <c r="LJO28" s="2511"/>
      <c r="LJP28" s="2511"/>
      <c r="LJQ28" s="2511"/>
      <c r="LJR28" s="2511"/>
      <c r="LJS28" s="2511"/>
      <c r="LJT28" s="2511"/>
      <c r="LJU28" s="2511"/>
      <c r="LJV28" s="2511"/>
      <c r="LJW28" s="2511"/>
      <c r="LJX28" s="2511"/>
      <c r="LJY28" s="2511"/>
      <c r="LJZ28" s="2511"/>
      <c r="LKA28" s="2511"/>
      <c r="LKB28" s="2511"/>
      <c r="LKC28" s="2511"/>
      <c r="LKD28" s="2511"/>
      <c r="LKE28" s="2511"/>
      <c r="LKF28" s="2511"/>
      <c r="LKG28" s="2511"/>
      <c r="LKH28" s="2511"/>
      <c r="LKI28" s="2511"/>
      <c r="LKJ28" s="2511"/>
      <c r="LKK28" s="2511"/>
      <c r="LKL28" s="2511"/>
      <c r="LKM28" s="2511"/>
      <c r="LKN28" s="2511"/>
      <c r="LKO28" s="2511"/>
      <c r="LKP28" s="2511"/>
      <c r="LKQ28" s="2511"/>
      <c r="LKR28" s="2511"/>
      <c r="LKS28" s="2511"/>
      <c r="LKT28" s="2511"/>
      <c r="LKU28" s="2511"/>
      <c r="LKV28" s="2511"/>
      <c r="LKW28" s="2511"/>
      <c r="LKX28" s="2511"/>
      <c r="LKY28" s="2511"/>
      <c r="LKZ28" s="2511"/>
      <c r="LLA28" s="2511"/>
      <c r="LLB28" s="2511"/>
      <c r="LLC28" s="2511"/>
      <c r="LLD28" s="2511"/>
      <c r="LLE28" s="2511"/>
      <c r="LLF28" s="2511"/>
      <c r="LLG28" s="2511"/>
      <c r="LLH28" s="2511"/>
      <c r="LLI28" s="2511"/>
      <c r="LLJ28" s="2511"/>
      <c r="LLK28" s="2511"/>
      <c r="LLL28" s="2511"/>
      <c r="LLM28" s="2511"/>
      <c r="LLN28" s="2511"/>
      <c r="LLO28" s="2511"/>
      <c r="LLP28" s="2511"/>
      <c r="LLQ28" s="2511"/>
      <c r="LLR28" s="2511"/>
      <c r="LLS28" s="2511"/>
      <c r="LLT28" s="2511"/>
      <c r="LLU28" s="2511"/>
      <c r="LLV28" s="2511"/>
      <c r="LLW28" s="2511"/>
      <c r="LLX28" s="2511"/>
      <c r="LLY28" s="2511"/>
      <c r="LLZ28" s="2511"/>
      <c r="LMA28" s="2511"/>
      <c r="LMB28" s="2511"/>
      <c r="LMC28" s="2511"/>
      <c r="LMD28" s="2511"/>
      <c r="LME28" s="2511"/>
      <c r="LMF28" s="2511"/>
      <c r="LMG28" s="2511"/>
      <c r="LMH28" s="2511"/>
      <c r="LMI28" s="2511"/>
      <c r="LMJ28" s="2511"/>
      <c r="LMK28" s="2511"/>
      <c r="LML28" s="2511"/>
      <c r="LMM28" s="2511"/>
      <c r="LMN28" s="2511"/>
      <c r="LMO28" s="2511"/>
      <c r="LMP28" s="2511"/>
      <c r="LMQ28" s="2511"/>
      <c r="LMR28" s="2511"/>
      <c r="LMS28" s="2511"/>
      <c r="LMT28" s="2511"/>
      <c r="LMU28" s="2511"/>
      <c r="LMV28" s="2511"/>
      <c r="LMW28" s="2511"/>
      <c r="LMX28" s="2511"/>
      <c r="LMY28" s="2511"/>
      <c r="LMZ28" s="2511"/>
      <c r="LNA28" s="2511"/>
      <c r="LNB28" s="2511"/>
      <c r="LNC28" s="2511"/>
      <c r="LND28" s="2511"/>
      <c r="LNE28" s="2511"/>
      <c r="LNF28" s="2511"/>
      <c r="LNG28" s="2511"/>
      <c r="LNH28" s="2511"/>
      <c r="LNI28" s="2511"/>
      <c r="LNJ28" s="2511"/>
      <c r="LNK28" s="2511"/>
      <c r="LNL28" s="2511"/>
      <c r="LNM28" s="2511"/>
      <c r="LNN28" s="2511"/>
      <c r="LNO28" s="2511"/>
      <c r="LNP28" s="2511"/>
      <c r="LNQ28" s="2511"/>
      <c r="LNR28" s="2511"/>
      <c r="LNS28" s="2511"/>
      <c r="LNT28" s="2511"/>
      <c r="LNU28" s="2511"/>
      <c r="LNV28" s="2511"/>
      <c r="LNW28" s="2511"/>
      <c r="LNX28" s="2511"/>
      <c r="LNY28" s="2511"/>
      <c r="LNZ28" s="2511"/>
      <c r="LOA28" s="2511"/>
      <c r="LOB28" s="2511"/>
      <c r="LOC28" s="2511"/>
      <c r="LOD28" s="2511"/>
      <c r="LOE28" s="2511"/>
      <c r="LOF28" s="2511"/>
      <c r="LOG28" s="2511"/>
      <c r="LOH28" s="2511"/>
      <c r="LOI28" s="2511"/>
      <c r="LOJ28" s="2511"/>
      <c r="LOK28" s="2511"/>
      <c r="LOL28" s="2511"/>
      <c r="LOM28" s="2511"/>
      <c r="LON28" s="2511"/>
      <c r="LOO28" s="2511"/>
      <c r="LOP28" s="2511"/>
      <c r="LOQ28" s="2511"/>
      <c r="LOR28" s="2511"/>
      <c r="LOS28" s="2511"/>
      <c r="LOT28" s="2511"/>
      <c r="LOU28" s="2511"/>
      <c r="LOV28" s="2511"/>
      <c r="LOW28" s="2511"/>
      <c r="LOX28" s="2511"/>
      <c r="LOY28" s="2511"/>
      <c r="LOZ28" s="2511"/>
      <c r="LPA28" s="2511"/>
      <c r="LPB28" s="2511"/>
      <c r="LPC28" s="2511"/>
      <c r="LPD28" s="2511"/>
      <c r="LPE28" s="2511"/>
      <c r="LPF28" s="2511"/>
      <c r="LPG28" s="2511"/>
      <c r="LPH28" s="2511"/>
      <c r="LPI28" s="2511"/>
      <c r="LPJ28" s="2511"/>
      <c r="LPK28" s="2511"/>
      <c r="LPL28" s="2511"/>
      <c r="LPM28" s="2511"/>
      <c r="LPN28" s="2511"/>
      <c r="LPO28" s="2511"/>
      <c r="LPP28" s="2511"/>
      <c r="LPQ28" s="2511"/>
      <c r="LPR28" s="2511"/>
      <c r="LPS28" s="2511"/>
      <c r="LPT28" s="2511"/>
      <c r="LPU28" s="2511"/>
      <c r="LPV28" s="2511"/>
      <c r="LPW28" s="2511"/>
      <c r="LPX28" s="2511"/>
      <c r="LPY28" s="2511"/>
      <c r="LPZ28" s="2511"/>
      <c r="LQA28" s="2511"/>
      <c r="LQB28" s="2511"/>
      <c r="LQC28" s="2511"/>
      <c r="LQD28" s="2511"/>
      <c r="LQE28" s="2511"/>
      <c r="LQF28" s="2511"/>
      <c r="LQG28" s="2511"/>
      <c r="LQH28" s="2511"/>
      <c r="LQI28" s="2511"/>
      <c r="LQJ28" s="2511"/>
      <c r="LQK28" s="2511"/>
      <c r="LQL28" s="2511"/>
      <c r="LQM28" s="2511"/>
      <c r="LQN28" s="2511"/>
      <c r="LQO28" s="2511"/>
      <c r="LQP28" s="2511"/>
      <c r="LQQ28" s="2511"/>
      <c r="LQR28" s="2511"/>
      <c r="LQS28" s="2511"/>
      <c r="LQT28" s="2511"/>
      <c r="LQU28" s="2511"/>
      <c r="LQV28" s="2511"/>
      <c r="LQW28" s="2511"/>
      <c r="LQX28" s="2511"/>
      <c r="LQY28" s="2511"/>
      <c r="LQZ28" s="2511"/>
      <c r="LRA28" s="2511"/>
      <c r="LRB28" s="2511"/>
      <c r="LRC28" s="2511"/>
      <c r="LRD28" s="2511"/>
      <c r="LRE28" s="2511"/>
      <c r="LRF28" s="2511"/>
      <c r="LRG28" s="2511"/>
      <c r="LRH28" s="2511"/>
      <c r="LRI28" s="2511"/>
      <c r="LRJ28" s="2511"/>
      <c r="LRK28" s="2511"/>
      <c r="LRL28" s="2511"/>
      <c r="LRM28" s="2511"/>
      <c r="LRN28" s="2511"/>
      <c r="LRO28" s="2511"/>
      <c r="LRP28" s="2511"/>
      <c r="LRQ28" s="2511"/>
      <c r="LRR28" s="2511"/>
      <c r="LRS28" s="2511"/>
      <c r="LRT28" s="2511"/>
      <c r="LRU28" s="2511"/>
      <c r="LRV28" s="2511"/>
      <c r="LRW28" s="2511"/>
      <c r="LRX28" s="2511"/>
      <c r="LRY28" s="2511"/>
      <c r="LRZ28" s="2511"/>
      <c r="LSA28" s="2511"/>
      <c r="LSB28" s="2511"/>
      <c r="LSC28" s="2511"/>
      <c r="LSD28" s="2511"/>
      <c r="LSE28" s="2511"/>
      <c r="LSF28" s="2511"/>
      <c r="LSG28" s="2511"/>
      <c r="LSH28" s="2511"/>
      <c r="LSI28" s="2511"/>
      <c r="LSJ28" s="2511"/>
      <c r="LSK28" s="2511"/>
      <c r="LSL28" s="2511"/>
      <c r="LSM28" s="2511"/>
      <c r="LSN28" s="2511"/>
      <c r="LSO28" s="2511"/>
      <c r="LSP28" s="2511"/>
      <c r="LSQ28" s="2511"/>
      <c r="LSR28" s="2511"/>
      <c r="LSS28" s="2511"/>
      <c r="LST28" s="2511"/>
      <c r="LSU28" s="2511"/>
      <c r="LSV28" s="2511"/>
      <c r="LSW28" s="2511"/>
      <c r="LSX28" s="2511"/>
      <c r="LSY28" s="2511"/>
      <c r="LSZ28" s="2511"/>
      <c r="LTA28" s="2511"/>
      <c r="LTB28" s="2511"/>
      <c r="LTC28" s="2511"/>
      <c r="LTD28" s="2511"/>
      <c r="LTE28" s="2511"/>
      <c r="LTF28" s="2511"/>
      <c r="LTG28" s="2511"/>
      <c r="LTH28" s="2511"/>
      <c r="LTI28" s="2511"/>
      <c r="LTJ28" s="2511"/>
      <c r="LTK28" s="2511"/>
      <c r="LTL28" s="2511"/>
      <c r="LTM28" s="2511"/>
      <c r="LTN28" s="2511"/>
      <c r="LTO28" s="2511"/>
      <c r="LTP28" s="2511"/>
      <c r="LTQ28" s="2511"/>
      <c r="LTR28" s="2511"/>
      <c r="LTS28" s="2511"/>
      <c r="LTT28" s="2511"/>
      <c r="LTU28" s="2511"/>
      <c r="LTV28" s="2511"/>
      <c r="LTW28" s="2511"/>
      <c r="LTX28" s="2511"/>
      <c r="LTY28" s="2511"/>
      <c r="LTZ28" s="2511"/>
      <c r="LUA28" s="2511"/>
      <c r="LUB28" s="2511"/>
      <c r="LUC28" s="2511"/>
      <c r="LUD28" s="2511"/>
      <c r="LUE28" s="2511"/>
      <c r="LUF28" s="2511"/>
      <c r="LUG28" s="2511"/>
      <c r="LUH28" s="2511"/>
      <c r="LUI28" s="2511"/>
      <c r="LUJ28" s="2511"/>
      <c r="LUK28" s="2511"/>
      <c r="LUL28" s="2511"/>
      <c r="LUM28" s="2511"/>
      <c r="LUN28" s="2511"/>
      <c r="LUO28" s="2511"/>
      <c r="LUP28" s="2511"/>
      <c r="LUQ28" s="2511"/>
      <c r="LUR28" s="2511"/>
      <c r="LUS28" s="2511"/>
      <c r="LUT28" s="2511"/>
      <c r="LUU28" s="2511"/>
      <c r="LUV28" s="2511"/>
      <c r="LUW28" s="2511"/>
      <c r="LUX28" s="2511"/>
      <c r="LUY28" s="2511"/>
      <c r="LUZ28" s="2511"/>
      <c r="LVA28" s="2511"/>
      <c r="LVB28" s="2511"/>
      <c r="LVC28" s="2511"/>
      <c r="LVD28" s="2511"/>
      <c r="LVE28" s="2511"/>
      <c r="LVF28" s="2511"/>
      <c r="LVG28" s="2511"/>
      <c r="LVH28" s="2511"/>
      <c r="LVI28" s="2511"/>
      <c r="LVJ28" s="2511"/>
      <c r="LVK28" s="2511"/>
      <c r="LVL28" s="2511"/>
      <c r="LVM28" s="2511"/>
      <c r="LVN28" s="2511"/>
      <c r="LVO28" s="2511"/>
      <c r="LVP28" s="2511"/>
      <c r="LVQ28" s="2511"/>
      <c r="LVR28" s="2511"/>
      <c r="LVS28" s="2511"/>
      <c r="LVT28" s="2511"/>
      <c r="LVU28" s="2511"/>
      <c r="LVV28" s="2511"/>
      <c r="LVW28" s="2511"/>
      <c r="LVX28" s="2511"/>
      <c r="LVY28" s="2511"/>
      <c r="LVZ28" s="2511"/>
      <c r="LWA28" s="2511"/>
      <c r="LWB28" s="2511"/>
      <c r="LWC28" s="2511"/>
      <c r="LWD28" s="2511"/>
      <c r="LWE28" s="2511"/>
      <c r="LWF28" s="2511"/>
      <c r="LWG28" s="2511"/>
      <c r="LWH28" s="2511"/>
      <c r="LWI28" s="2511"/>
      <c r="LWJ28" s="2511"/>
      <c r="LWK28" s="2511"/>
      <c r="LWL28" s="2511"/>
      <c r="LWM28" s="2511"/>
      <c r="LWN28" s="2511"/>
      <c r="LWO28" s="2511"/>
      <c r="LWP28" s="2511"/>
      <c r="LWQ28" s="2511"/>
      <c r="LWR28" s="2511"/>
      <c r="LWS28" s="2511"/>
      <c r="LWT28" s="2511"/>
      <c r="LWU28" s="2511"/>
      <c r="LWV28" s="2511"/>
      <c r="LWW28" s="2511"/>
      <c r="LWX28" s="2511"/>
      <c r="LWY28" s="2511"/>
      <c r="LWZ28" s="2511"/>
      <c r="LXA28" s="2511"/>
      <c r="LXB28" s="2511"/>
      <c r="LXC28" s="2511"/>
      <c r="LXD28" s="2511"/>
      <c r="LXE28" s="2511"/>
      <c r="LXF28" s="2511"/>
      <c r="LXG28" s="2511"/>
      <c r="LXH28" s="2511"/>
      <c r="LXI28" s="2511"/>
      <c r="LXJ28" s="2511"/>
      <c r="LXK28" s="2511"/>
      <c r="LXL28" s="2511"/>
      <c r="LXM28" s="2511"/>
      <c r="LXN28" s="2511"/>
      <c r="LXO28" s="2511"/>
      <c r="LXP28" s="2511"/>
      <c r="LXQ28" s="2511"/>
      <c r="LXR28" s="2511"/>
      <c r="LXS28" s="2511"/>
      <c r="LXT28" s="2511"/>
      <c r="LXU28" s="2511"/>
      <c r="LXV28" s="2511"/>
      <c r="LXW28" s="2511"/>
      <c r="LXX28" s="2511"/>
      <c r="LXY28" s="2511"/>
      <c r="LXZ28" s="2511"/>
      <c r="LYA28" s="2511"/>
      <c r="LYB28" s="2511"/>
      <c r="LYC28" s="2511"/>
      <c r="LYD28" s="2511"/>
      <c r="LYE28" s="2511"/>
      <c r="LYF28" s="2511"/>
      <c r="LYG28" s="2511"/>
      <c r="LYH28" s="2511"/>
      <c r="LYI28" s="2511"/>
      <c r="LYJ28" s="2511"/>
      <c r="LYK28" s="2511"/>
      <c r="LYL28" s="2511"/>
      <c r="LYM28" s="2511"/>
      <c r="LYN28" s="2511"/>
      <c r="LYO28" s="2511"/>
      <c r="LYP28" s="2511"/>
      <c r="LYQ28" s="2511"/>
      <c r="LYR28" s="2511"/>
      <c r="LYS28" s="2511"/>
      <c r="LYT28" s="2511"/>
      <c r="LYU28" s="2511"/>
      <c r="LYV28" s="2511"/>
      <c r="LYW28" s="2511"/>
      <c r="LYX28" s="2511"/>
      <c r="LYY28" s="2511"/>
      <c r="LYZ28" s="2511"/>
      <c r="LZA28" s="2511"/>
      <c r="LZB28" s="2511"/>
      <c r="LZC28" s="2511"/>
      <c r="LZD28" s="2511"/>
      <c r="LZE28" s="2511"/>
      <c r="LZF28" s="2511"/>
      <c r="LZG28" s="2511"/>
      <c r="LZH28" s="2511"/>
      <c r="LZI28" s="2511"/>
      <c r="LZJ28" s="2511"/>
      <c r="LZK28" s="2511"/>
      <c r="LZL28" s="2511"/>
      <c r="LZM28" s="2511"/>
      <c r="LZN28" s="2511"/>
      <c r="LZO28" s="2511"/>
      <c r="LZP28" s="2511"/>
      <c r="LZQ28" s="2511"/>
      <c r="LZR28" s="2511"/>
      <c r="LZS28" s="2511"/>
      <c r="LZT28" s="2511"/>
      <c r="LZU28" s="2511"/>
      <c r="LZV28" s="2511"/>
      <c r="LZW28" s="2511"/>
      <c r="LZX28" s="2511"/>
      <c r="LZY28" s="2511"/>
      <c r="LZZ28" s="2511"/>
      <c r="MAA28" s="2511"/>
      <c r="MAB28" s="2511"/>
      <c r="MAC28" s="2511"/>
      <c r="MAD28" s="2511"/>
      <c r="MAE28" s="2511"/>
      <c r="MAF28" s="2511"/>
      <c r="MAG28" s="2511"/>
      <c r="MAH28" s="2511"/>
      <c r="MAI28" s="2511"/>
      <c r="MAJ28" s="2511"/>
      <c r="MAK28" s="2511"/>
      <c r="MAL28" s="2511"/>
      <c r="MAM28" s="2511"/>
      <c r="MAN28" s="2511"/>
      <c r="MAO28" s="2511"/>
      <c r="MAP28" s="2511"/>
      <c r="MAQ28" s="2511"/>
      <c r="MAR28" s="2511"/>
      <c r="MAS28" s="2511"/>
      <c r="MAT28" s="2511"/>
      <c r="MAU28" s="2511"/>
      <c r="MAV28" s="2511"/>
      <c r="MAW28" s="2511"/>
      <c r="MAX28" s="2511"/>
      <c r="MAY28" s="2511"/>
      <c r="MAZ28" s="2511"/>
      <c r="MBA28" s="2511"/>
      <c r="MBB28" s="2511"/>
      <c r="MBC28" s="2511"/>
      <c r="MBD28" s="2511"/>
      <c r="MBE28" s="2511"/>
      <c r="MBF28" s="2511"/>
      <c r="MBG28" s="2511"/>
      <c r="MBH28" s="2511"/>
      <c r="MBI28" s="2511"/>
      <c r="MBJ28" s="2511"/>
      <c r="MBK28" s="2511"/>
      <c r="MBL28" s="2511"/>
      <c r="MBM28" s="2511"/>
      <c r="MBN28" s="2511"/>
      <c r="MBO28" s="2511"/>
      <c r="MBP28" s="2511"/>
      <c r="MBQ28" s="2511"/>
      <c r="MBR28" s="2511"/>
      <c r="MBS28" s="2511"/>
      <c r="MBT28" s="2511"/>
      <c r="MBU28" s="2511"/>
      <c r="MBV28" s="2511"/>
      <c r="MBW28" s="2511"/>
      <c r="MBX28" s="2511"/>
      <c r="MBY28" s="2511"/>
      <c r="MBZ28" s="2511"/>
      <c r="MCA28" s="2511"/>
      <c r="MCB28" s="2511"/>
      <c r="MCC28" s="2511"/>
      <c r="MCD28" s="2511"/>
      <c r="MCE28" s="2511"/>
      <c r="MCF28" s="2511"/>
      <c r="MCG28" s="2511"/>
      <c r="MCH28" s="2511"/>
      <c r="MCI28" s="2511"/>
      <c r="MCJ28" s="2511"/>
      <c r="MCK28" s="2511"/>
      <c r="MCL28" s="2511"/>
      <c r="MCM28" s="2511"/>
      <c r="MCN28" s="2511"/>
      <c r="MCO28" s="2511"/>
      <c r="MCP28" s="2511"/>
      <c r="MCQ28" s="2511"/>
      <c r="MCR28" s="2511"/>
      <c r="MCS28" s="2511"/>
      <c r="MCT28" s="2511"/>
      <c r="MCU28" s="2511"/>
      <c r="MCV28" s="2511"/>
      <c r="MCW28" s="2511"/>
      <c r="MCX28" s="2511"/>
      <c r="MCY28" s="2511"/>
      <c r="MCZ28" s="2511"/>
      <c r="MDA28" s="2511"/>
      <c r="MDB28" s="2511"/>
      <c r="MDC28" s="2511"/>
      <c r="MDD28" s="2511"/>
      <c r="MDE28" s="2511"/>
      <c r="MDF28" s="2511"/>
      <c r="MDG28" s="2511"/>
      <c r="MDH28" s="2511"/>
      <c r="MDI28" s="2511"/>
      <c r="MDJ28" s="2511"/>
      <c r="MDK28" s="2511"/>
      <c r="MDL28" s="2511"/>
      <c r="MDM28" s="2511"/>
      <c r="MDN28" s="2511"/>
      <c r="MDO28" s="2511"/>
      <c r="MDP28" s="2511"/>
      <c r="MDQ28" s="2511"/>
      <c r="MDR28" s="2511"/>
      <c r="MDS28" s="2511"/>
      <c r="MDT28" s="2511"/>
      <c r="MDU28" s="2511"/>
      <c r="MDV28" s="2511"/>
      <c r="MDW28" s="2511"/>
      <c r="MDX28" s="2511"/>
      <c r="MDY28" s="2511"/>
      <c r="MDZ28" s="2511"/>
      <c r="MEA28" s="2511"/>
      <c r="MEB28" s="2511"/>
      <c r="MEC28" s="2511"/>
      <c r="MED28" s="2511"/>
      <c r="MEE28" s="2511"/>
      <c r="MEF28" s="2511"/>
      <c r="MEG28" s="2511"/>
      <c r="MEH28" s="2511"/>
      <c r="MEI28" s="2511"/>
      <c r="MEJ28" s="2511"/>
      <c r="MEK28" s="2511"/>
      <c r="MEL28" s="2511"/>
      <c r="MEM28" s="2511"/>
      <c r="MEN28" s="2511"/>
      <c r="MEO28" s="2511"/>
      <c r="MEP28" s="2511"/>
      <c r="MEQ28" s="2511"/>
      <c r="MER28" s="2511"/>
      <c r="MES28" s="2511"/>
      <c r="MET28" s="2511"/>
      <c r="MEU28" s="2511"/>
      <c r="MEV28" s="2511"/>
      <c r="MEW28" s="2511"/>
      <c r="MEX28" s="2511"/>
      <c r="MEY28" s="2511"/>
      <c r="MEZ28" s="2511"/>
      <c r="MFA28" s="2511"/>
      <c r="MFB28" s="2511"/>
      <c r="MFC28" s="2511"/>
      <c r="MFD28" s="2511"/>
      <c r="MFE28" s="2511"/>
      <c r="MFF28" s="2511"/>
      <c r="MFG28" s="2511"/>
      <c r="MFH28" s="2511"/>
      <c r="MFI28" s="2511"/>
      <c r="MFJ28" s="2511"/>
      <c r="MFK28" s="2511"/>
      <c r="MFL28" s="2511"/>
      <c r="MFM28" s="2511"/>
      <c r="MFN28" s="2511"/>
      <c r="MFO28" s="2511"/>
      <c r="MFP28" s="2511"/>
      <c r="MFQ28" s="2511"/>
      <c r="MFR28" s="2511"/>
      <c r="MFS28" s="2511"/>
      <c r="MFT28" s="2511"/>
      <c r="MFU28" s="2511"/>
      <c r="MFV28" s="2511"/>
      <c r="MFW28" s="2511"/>
      <c r="MFX28" s="2511"/>
      <c r="MFY28" s="2511"/>
      <c r="MFZ28" s="2511"/>
      <c r="MGA28" s="2511"/>
      <c r="MGB28" s="2511"/>
      <c r="MGC28" s="2511"/>
      <c r="MGD28" s="2511"/>
      <c r="MGE28" s="2511"/>
      <c r="MGF28" s="2511"/>
      <c r="MGG28" s="2511"/>
      <c r="MGH28" s="2511"/>
      <c r="MGI28" s="2511"/>
      <c r="MGJ28" s="2511"/>
      <c r="MGK28" s="2511"/>
      <c r="MGL28" s="2511"/>
      <c r="MGM28" s="2511"/>
      <c r="MGN28" s="2511"/>
      <c r="MGO28" s="2511"/>
      <c r="MGP28" s="2511"/>
      <c r="MGQ28" s="2511"/>
      <c r="MGR28" s="2511"/>
      <c r="MGS28" s="2511"/>
      <c r="MGT28" s="2511"/>
      <c r="MGU28" s="2511"/>
      <c r="MGV28" s="2511"/>
      <c r="MGW28" s="2511"/>
      <c r="MGX28" s="2511"/>
      <c r="MGY28" s="2511"/>
      <c r="MGZ28" s="2511"/>
      <c r="MHA28" s="2511"/>
      <c r="MHB28" s="2511"/>
      <c r="MHC28" s="2511"/>
      <c r="MHD28" s="2511"/>
      <c r="MHE28" s="2511"/>
      <c r="MHF28" s="2511"/>
      <c r="MHG28" s="2511"/>
      <c r="MHH28" s="2511"/>
      <c r="MHI28" s="2511"/>
      <c r="MHJ28" s="2511"/>
      <c r="MHK28" s="2511"/>
      <c r="MHL28" s="2511"/>
      <c r="MHM28" s="2511"/>
      <c r="MHN28" s="2511"/>
      <c r="MHO28" s="2511"/>
      <c r="MHP28" s="2511"/>
      <c r="MHQ28" s="2511"/>
      <c r="MHR28" s="2511"/>
      <c r="MHS28" s="2511"/>
      <c r="MHT28" s="2511"/>
      <c r="MHU28" s="2511"/>
      <c r="MHV28" s="2511"/>
      <c r="MHW28" s="2511"/>
      <c r="MHX28" s="2511"/>
      <c r="MHY28" s="2511"/>
      <c r="MHZ28" s="2511"/>
      <c r="MIA28" s="2511"/>
      <c r="MIB28" s="2511"/>
      <c r="MIC28" s="2511"/>
      <c r="MID28" s="2511"/>
      <c r="MIE28" s="2511"/>
      <c r="MIF28" s="2511"/>
      <c r="MIG28" s="2511"/>
      <c r="MIH28" s="2511"/>
      <c r="MII28" s="2511"/>
      <c r="MIJ28" s="2511"/>
      <c r="MIK28" s="2511"/>
      <c r="MIL28" s="2511"/>
      <c r="MIM28" s="2511"/>
      <c r="MIN28" s="2511"/>
      <c r="MIO28" s="2511"/>
      <c r="MIP28" s="2511"/>
      <c r="MIQ28" s="2511"/>
      <c r="MIR28" s="2511"/>
      <c r="MIS28" s="2511"/>
      <c r="MIT28" s="2511"/>
      <c r="MIU28" s="2511"/>
      <c r="MIV28" s="2511"/>
      <c r="MIW28" s="2511"/>
      <c r="MIX28" s="2511"/>
      <c r="MIY28" s="2511"/>
      <c r="MIZ28" s="2511"/>
      <c r="MJA28" s="2511"/>
      <c r="MJB28" s="2511"/>
      <c r="MJC28" s="2511"/>
      <c r="MJD28" s="2511"/>
      <c r="MJE28" s="2511"/>
      <c r="MJF28" s="2511"/>
      <c r="MJG28" s="2511"/>
      <c r="MJH28" s="2511"/>
      <c r="MJI28" s="2511"/>
      <c r="MJJ28" s="2511"/>
      <c r="MJK28" s="2511"/>
      <c r="MJL28" s="2511"/>
      <c r="MJM28" s="2511"/>
      <c r="MJN28" s="2511"/>
      <c r="MJO28" s="2511"/>
      <c r="MJP28" s="2511"/>
      <c r="MJQ28" s="2511"/>
      <c r="MJR28" s="2511"/>
      <c r="MJS28" s="2511"/>
      <c r="MJT28" s="2511"/>
      <c r="MJU28" s="2511"/>
      <c r="MJV28" s="2511"/>
      <c r="MJW28" s="2511"/>
      <c r="MJX28" s="2511"/>
      <c r="MJY28" s="2511"/>
      <c r="MJZ28" s="2511"/>
      <c r="MKA28" s="2511"/>
      <c r="MKB28" s="2511"/>
      <c r="MKC28" s="2511"/>
      <c r="MKD28" s="2511"/>
      <c r="MKE28" s="2511"/>
      <c r="MKF28" s="2511"/>
      <c r="MKG28" s="2511"/>
      <c r="MKH28" s="2511"/>
      <c r="MKI28" s="2511"/>
      <c r="MKJ28" s="2511"/>
      <c r="MKK28" s="2511"/>
      <c r="MKL28" s="2511"/>
      <c r="MKM28" s="2511"/>
      <c r="MKN28" s="2511"/>
      <c r="MKO28" s="2511"/>
      <c r="MKP28" s="2511"/>
      <c r="MKQ28" s="2511"/>
      <c r="MKR28" s="2511"/>
      <c r="MKS28" s="2511"/>
      <c r="MKT28" s="2511"/>
      <c r="MKU28" s="2511"/>
      <c r="MKV28" s="2511"/>
      <c r="MKW28" s="2511"/>
      <c r="MKX28" s="2511"/>
      <c r="MKY28" s="2511"/>
      <c r="MKZ28" s="2511"/>
      <c r="MLA28" s="2511"/>
      <c r="MLB28" s="2511"/>
      <c r="MLC28" s="2511"/>
      <c r="MLD28" s="2511"/>
      <c r="MLE28" s="2511"/>
      <c r="MLF28" s="2511"/>
      <c r="MLG28" s="2511"/>
      <c r="MLH28" s="2511"/>
      <c r="MLI28" s="2511"/>
      <c r="MLJ28" s="2511"/>
      <c r="MLK28" s="2511"/>
      <c r="MLL28" s="2511"/>
      <c r="MLM28" s="2511"/>
      <c r="MLN28" s="2511"/>
      <c r="MLO28" s="2511"/>
      <c r="MLP28" s="2511"/>
      <c r="MLQ28" s="2511"/>
      <c r="MLR28" s="2511"/>
      <c r="MLS28" s="2511"/>
      <c r="MLT28" s="2511"/>
      <c r="MLU28" s="2511"/>
      <c r="MLV28" s="2511"/>
      <c r="MLW28" s="2511"/>
      <c r="MLX28" s="2511"/>
      <c r="MLY28" s="2511"/>
      <c r="MLZ28" s="2511"/>
      <c r="MMA28" s="2511"/>
      <c r="MMB28" s="2511"/>
      <c r="MMC28" s="2511"/>
      <c r="MMD28" s="2511"/>
      <c r="MME28" s="2511"/>
      <c r="MMF28" s="2511"/>
      <c r="MMG28" s="2511"/>
      <c r="MMH28" s="2511"/>
      <c r="MMI28" s="2511"/>
      <c r="MMJ28" s="2511"/>
      <c r="MMK28" s="2511"/>
      <c r="MML28" s="2511"/>
      <c r="MMM28" s="2511"/>
      <c r="MMN28" s="2511"/>
      <c r="MMO28" s="2511"/>
      <c r="MMP28" s="2511"/>
      <c r="MMQ28" s="2511"/>
      <c r="MMR28" s="2511"/>
      <c r="MMS28" s="2511"/>
      <c r="MMT28" s="2511"/>
      <c r="MMU28" s="2511"/>
      <c r="MMV28" s="2511"/>
      <c r="MMW28" s="2511"/>
      <c r="MMX28" s="2511"/>
      <c r="MMY28" s="2511"/>
      <c r="MMZ28" s="2511"/>
      <c r="MNA28" s="2511"/>
      <c r="MNB28" s="2511"/>
      <c r="MNC28" s="2511"/>
      <c r="MND28" s="2511"/>
      <c r="MNE28" s="2511"/>
      <c r="MNF28" s="2511"/>
      <c r="MNG28" s="2511"/>
      <c r="MNH28" s="2511"/>
      <c r="MNI28" s="2511"/>
      <c r="MNJ28" s="2511"/>
      <c r="MNK28" s="2511"/>
      <c r="MNL28" s="2511"/>
      <c r="MNM28" s="2511"/>
      <c r="MNN28" s="2511"/>
      <c r="MNO28" s="2511"/>
      <c r="MNP28" s="2511"/>
      <c r="MNQ28" s="2511"/>
      <c r="MNR28" s="2511"/>
      <c r="MNS28" s="2511"/>
      <c r="MNT28" s="2511"/>
      <c r="MNU28" s="2511"/>
      <c r="MNV28" s="2511"/>
      <c r="MNW28" s="2511"/>
      <c r="MNX28" s="2511"/>
      <c r="MNY28" s="2511"/>
      <c r="MNZ28" s="2511"/>
      <c r="MOA28" s="2511"/>
      <c r="MOB28" s="2511"/>
      <c r="MOC28" s="2511"/>
      <c r="MOD28" s="2511"/>
      <c r="MOE28" s="2511"/>
      <c r="MOF28" s="2511"/>
      <c r="MOG28" s="2511"/>
      <c r="MOH28" s="2511"/>
      <c r="MOI28" s="2511"/>
      <c r="MOJ28" s="2511"/>
      <c r="MOK28" s="2511"/>
      <c r="MOL28" s="2511"/>
      <c r="MOM28" s="2511"/>
      <c r="MON28" s="2511"/>
      <c r="MOO28" s="2511"/>
      <c r="MOP28" s="2511"/>
      <c r="MOQ28" s="2511"/>
      <c r="MOR28" s="2511"/>
      <c r="MOS28" s="2511"/>
      <c r="MOT28" s="2511"/>
      <c r="MOU28" s="2511"/>
      <c r="MOV28" s="2511"/>
      <c r="MOW28" s="2511"/>
      <c r="MOX28" s="2511"/>
      <c r="MOY28" s="2511"/>
      <c r="MOZ28" s="2511"/>
      <c r="MPA28" s="2511"/>
      <c r="MPB28" s="2511"/>
      <c r="MPC28" s="2511"/>
      <c r="MPD28" s="2511"/>
      <c r="MPE28" s="2511"/>
      <c r="MPF28" s="2511"/>
      <c r="MPG28" s="2511"/>
      <c r="MPH28" s="2511"/>
      <c r="MPI28" s="2511"/>
      <c r="MPJ28" s="2511"/>
      <c r="MPK28" s="2511"/>
      <c r="MPL28" s="2511"/>
      <c r="MPM28" s="2511"/>
      <c r="MPN28" s="2511"/>
      <c r="MPO28" s="2511"/>
      <c r="MPP28" s="2511"/>
      <c r="MPQ28" s="2511"/>
      <c r="MPR28" s="2511"/>
      <c r="MPS28" s="2511"/>
      <c r="MPT28" s="2511"/>
      <c r="MPU28" s="2511"/>
      <c r="MPV28" s="2511"/>
      <c r="MPW28" s="2511"/>
      <c r="MPX28" s="2511"/>
      <c r="MPY28" s="2511"/>
      <c r="MPZ28" s="2511"/>
      <c r="MQA28" s="2511"/>
      <c r="MQB28" s="2511"/>
      <c r="MQC28" s="2511"/>
      <c r="MQD28" s="2511"/>
      <c r="MQE28" s="2511"/>
      <c r="MQF28" s="2511"/>
      <c r="MQG28" s="2511"/>
      <c r="MQH28" s="2511"/>
      <c r="MQI28" s="2511"/>
      <c r="MQJ28" s="2511"/>
      <c r="MQK28" s="2511"/>
      <c r="MQL28" s="2511"/>
      <c r="MQM28" s="2511"/>
      <c r="MQN28" s="2511"/>
      <c r="MQO28" s="2511"/>
      <c r="MQP28" s="2511"/>
      <c r="MQQ28" s="2511"/>
      <c r="MQR28" s="2511"/>
      <c r="MQS28" s="2511"/>
      <c r="MQT28" s="2511"/>
      <c r="MQU28" s="2511"/>
      <c r="MQV28" s="2511"/>
      <c r="MQW28" s="2511"/>
      <c r="MQX28" s="2511"/>
      <c r="MQY28" s="2511"/>
      <c r="MQZ28" s="2511"/>
      <c r="MRA28" s="2511"/>
      <c r="MRB28" s="2511"/>
      <c r="MRC28" s="2511"/>
      <c r="MRD28" s="2511"/>
      <c r="MRE28" s="2511"/>
      <c r="MRF28" s="2511"/>
      <c r="MRG28" s="2511"/>
      <c r="MRH28" s="2511"/>
      <c r="MRI28" s="2511"/>
      <c r="MRJ28" s="2511"/>
      <c r="MRK28" s="2511"/>
      <c r="MRL28" s="2511"/>
      <c r="MRM28" s="2511"/>
      <c r="MRN28" s="2511"/>
      <c r="MRO28" s="2511"/>
      <c r="MRP28" s="2511"/>
      <c r="MRQ28" s="2511"/>
      <c r="MRR28" s="2511"/>
      <c r="MRS28" s="2511"/>
      <c r="MRT28" s="2511"/>
      <c r="MRU28" s="2511"/>
      <c r="MRV28" s="2511"/>
      <c r="MRW28" s="2511"/>
      <c r="MRX28" s="2511"/>
      <c r="MRY28" s="2511"/>
      <c r="MRZ28" s="2511"/>
      <c r="MSA28" s="2511"/>
      <c r="MSB28" s="2511"/>
      <c r="MSC28" s="2511"/>
      <c r="MSD28" s="2511"/>
      <c r="MSE28" s="2511"/>
      <c r="MSF28" s="2511"/>
      <c r="MSG28" s="2511"/>
      <c r="MSH28" s="2511"/>
      <c r="MSI28" s="2511"/>
      <c r="MSJ28" s="2511"/>
      <c r="MSK28" s="2511"/>
      <c r="MSL28" s="2511"/>
      <c r="MSM28" s="2511"/>
      <c r="MSN28" s="2511"/>
      <c r="MSO28" s="2511"/>
      <c r="MSP28" s="2511"/>
      <c r="MSQ28" s="2511"/>
      <c r="MSR28" s="2511"/>
      <c r="MSS28" s="2511"/>
      <c r="MST28" s="2511"/>
      <c r="MSU28" s="2511"/>
      <c r="MSV28" s="2511"/>
      <c r="MSW28" s="2511"/>
      <c r="MSX28" s="2511"/>
      <c r="MSY28" s="2511"/>
      <c r="MSZ28" s="2511"/>
      <c r="MTA28" s="2511"/>
      <c r="MTB28" s="2511"/>
      <c r="MTC28" s="2511"/>
      <c r="MTD28" s="2511"/>
      <c r="MTE28" s="2511"/>
      <c r="MTF28" s="2511"/>
      <c r="MTG28" s="2511"/>
      <c r="MTH28" s="2511"/>
      <c r="MTI28" s="2511"/>
      <c r="MTJ28" s="2511"/>
      <c r="MTK28" s="2511"/>
      <c r="MTL28" s="2511"/>
      <c r="MTM28" s="2511"/>
      <c r="MTN28" s="2511"/>
      <c r="MTO28" s="2511"/>
      <c r="MTP28" s="2511"/>
      <c r="MTQ28" s="2511"/>
      <c r="MTR28" s="2511"/>
      <c r="MTS28" s="2511"/>
      <c r="MTT28" s="2511"/>
      <c r="MTU28" s="2511"/>
      <c r="MTV28" s="2511"/>
      <c r="MTW28" s="2511"/>
      <c r="MTX28" s="2511"/>
      <c r="MTY28" s="2511"/>
      <c r="MTZ28" s="2511"/>
      <c r="MUA28" s="2511"/>
      <c r="MUB28" s="2511"/>
      <c r="MUC28" s="2511"/>
      <c r="MUD28" s="2511"/>
      <c r="MUE28" s="2511"/>
      <c r="MUF28" s="2511"/>
      <c r="MUG28" s="2511"/>
      <c r="MUH28" s="2511"/>
      <c r="MUI28" s="2511"/>
      <c r="MUJ28" s="2511"/>
      <c r="MUK28" s="2511"/>
      <c r="MUL28" s="2511"/>
      <c r="MUM28" s="2511"/>
      <c r="MUN28" s="2511"/>
      <c r="MUO28" s="2511"/>
      <c r="MUP28" s="2511"/>
      <c r="MUQ28" s="2511"/>
      <c r="MUR28" s="2511"/>
      <c r="MUS28" s="2511"/>
      <c r="MUT28" s="2511"/>
      <c r="MUU28" s="2511"/>
      <c r="MUV28" s="2511"/>
      <c r="MUW28" s="2511"/>
      <c r="MUX28" s="2511"/>
      <c r="MUY28" s="2511"/>
      <c r="MUZ28" s="2511"/>
      <c r="MVA28" s="2511"/>
      <c r="MVB28" s="2511"/>
      <c r="MVC28" s="2511"/>
      <c r="MVD28" s="2511"/>
      <c r="MVE28" s="2511"/>
      <c r="MVF28" s="2511"/>
      <c r="MVG28" s="2511"/>
      <c r="MVH28" s="2511"/>
      <c r="MVI28" s="2511"/>
      <c r="MVJ28" s="2511"/>
      <c r="MVK28" s="2511"/>
      <c r="MVL28" s="2511"/>
      <c r="MVM28" s="2511"/>
      <c r="MVN28" s="2511"/>
      <c r="MVO28" s="2511"/>
      <c r="MVP28" s="2511"/>
      <c r="MVQ28" s="2511"/>
      <c r="MVR28" s="2511"/>
      <c r="MVS28" s="2511"/>
      <c r="MVT28" s="2511"/>
      <c r="MVU28" s="2511"/>
      <c r="MVV28" s="2511"/>
      <c r="MVW28" s="2511"/>
      <c r="MVX28" s="2511"/>
      <c r="MVY28" s="2511"/>
      <c r="MVZ28" s="2511"/>
      <c r="MWA28" s="2511"/>
      <c r="MWB28" s="2511"/>
      <c r="MWC28" s="2511"/>
      <c r="MWD28" s="2511"/>
      <c r="MWE28" s="2511"/>
      <c r="MWF28" s="2511"/>
      <c r="MWG28" s="2511"/>
      <c r="MWH28" s="2511"/>
      <c r="MWI28" s="2511"/>
      <c r="MWJ28" s="2511"/>
      <c r="MWK28" s="2511"/>
      <c r="MWL28" s="2511"/>
      <c r="MWM28" s="2511"/>
      <c r="MWN28" s="2511"/>
      <c r="MWO28" s="2511"/>
      <c r="MWP28" s="2511"/>
      <c r="MWQ28" s="2511"/>
      <c r="MWR28" s="2511"/>
      <c r="MWS28" s="2511"/>
      <c r="MWT28" s="2511"/>
      <c r="MWU28" s="2511"/>
      <c r="MWV28" s="2511"/>
      <c r="MWW28" s="2511"/>
      <c r="MWX28" s="2511"/>
      <c r="MWY28" s="2511"/>
      <c r="MWZ28" s="2511"/>
      <c r="MXA28" s="2511"/>
      <c r="MXB28" s="2511"/>
      <c r="MXC28" s="2511"/>
      <c r="MXD28" s="2511"/>
      <c r="MXE28" s="2511"/>
      <c r="MXF28" s="2511"/>
      <c r="MXG28" s="2511"/>
      <c r="MXH28" s="2511"/>
      <c r="MXI28" s="2511"/>
      <c r="MXJ28" s="2511"/>
      <c r="MXK28" s="2511"/>
      <c r="MXL28" s="2511"/>
      <c r="MXM28" s="2511"/>
      <c r="MXN28" s="2511"/>
      <c r="MXO28" s="2511"/>
      <c r="MXP28" s="2511"/>
      <c r="MXQ28" s="2511"/>
      <c r="MXR28" s="2511"/>
      <c r="MXS28" s="2511"/>
      <c r="MXT28" s="2511"/>
      <c r="MXU28" s="2511"/>
      <c r="MXV28" s="2511"/>
      <c r="MXW28" s="2511"/>
      <c r="MXX28" s="2511"/>
      <c r="MXY28" s="2511"/>
      <c r="MXZ28" s="2511"/>
      <c r="MYA28" s="2511"/>
      <c r="MYB28" s="2511"/>
      <c r="MYC28" s="2511"/>
      <c r="MYD28" s="2511"/>
      <c r="MYE28" s="2511"/>
      <c r="MYF28" s="2511"/>
      <c r="MYG28" s="2511"/>
      <c r="MYH28" s="2511"/>
      <c r="MYI28" s="2511"/>
      <c r="MYJ28" s="2511"/>
      <c r="MYK28" s="2511"/>
      <c r="MYL28" s="2511"/>
      <c r="MYM28" s="2511"/>
      <c r="MYN28" s="2511"/>
      <c r="MYO28" s="2511"/>
      <c r="MYP28" s="2511"/>
      <c r="MYQ28" s="2511"/>
      <c r="MYR28" s="2511"/>
      <c r="MYS28" s="2511"/>
      <c r="MYT28" s="2511"/>
      <c r="MYU28" s="2511"/>
      <c r="MYV28" s="2511"/>
      <c r="MYW28" s="2511"/>
      <c r="MYX28" s="2511"/>
      <c r="MYY28" s="2511"/>
      <c r="MYZ28" s="2511"/>
      <c r="MZA28" s="2511"/>
      <c r="MZB28" s="2511"/>
      <c r="MZC28" s="2511"/>
      <c r="MZD28" s="2511"/>
      <c r="MZE28" s="2511"/>
      <c r="MZF28" s="2511"/>
      <c r="MZG28" s="2511"/>
      <c r="MZH28" s="2511"/>
      <c r="MZI28" s="2511"/>
      <c r="MZJ28" s="2511"/>
      <c r="MZK28" s="2511"/>
      <c r="MZL28" s="2511"/>
      <c r="MZM28" s="2511"/>
      <c r="MZN28" s="2511"/>
      <c r="MZO28" s="2511"/>
      <c r="MZP28" s="2511"/>
      <c r="MZQ28" s="2511"/>
      <c r="MZR28" s="2511"/>
      <c r="MZS28" s="2511"/>
      <c r="MZT28" s="2511"/>
      <c r="MZU28" s="2511"/>
      <c r="MZV28" s="2511"/>
      <c r="MZW28" s="2511"/>
      <c r="MZX28" s="2511"/>
      <c r="MZY28" s="2511"/>
      <c r="MZZ28" s="2511"/>
      <c r="NAA28" s="2511"/>
      <c r="NAB28" s="2511"/>
      <c r="NAC28" s="2511"/>
      <c r="NAD28" s="2511"/>
      <c r="NAE28" s="2511"/>
      <c r="NAF28" s="2511"/>
      <c r="NAG28" s="2511"/>
      <c r="NAH28" s="2511"/>
      <c r="NAI28" s="2511"/>
      <c r="NAJ28" s="2511"/>
      <c r="NAK28" s="2511"/>
      <c r="NAL28" s="2511"/>
      <c r="NAM28" s="2511"/>
      <c r="NAN28" s="2511"/>
      <c r="NAO28" s="2511"/>
      <c r="NAP28" s="2511"/>
      <c r="NAQ28" s="2511"/>
      <c r="NAR28" s="2511"/>
      <c r="NAS28" s="2511"/>
      <c r="NAT28" s="2511"/>
      <c r="NAU28" s="2511"/>
      <c r="NAV28" s="2511"/>
      <c r="NAW28" s="2511"/>
      <c r="NAX28" s="2511"/>
      <c r="NAY28" s="2511"/>
      <c r="NAZ28" s="2511"/>
      <c r="NBA28" s="2511"/>
      <c r="NBB28" s="2511"/>
      <c r="NBC28" s="2511"/>
      <c r="NBD28" s="2511"/>
      <c r="NBE28" s="2511"/>
      <c r="NBF28" s="2511"/>
      <c r="NBG28" s="2511"/>
      <c r="NBH28" s="2511"/>
      <c r="NBI28" s="2511"/>
      <c r="NBJ28" s="2511"/>
      <c r="NBK28" s="2511"/>
      <c r="NBL28" s="2511"/>
      <c r="NBM28" s="2511"/>
      <c r="NBN28" s="2511"/>
      <c r="NBO28" s="2511"/>
      <c r="NBP28" s="2511"/>
      <c r="NBQ28" s="2511"/>
      <c r="NBR28" s="2511"/>
      <c r="NBS28" s="2511"/>
      <c r="NBT28" s="2511"/>
      <c r="NBU28" s="2511"/>
      <c r="NBV28" s="2511"/>
      <c r="NBW28" s="2511"/>
      <c r="NBX28" s="2511"/>
      <c r="NBY28" s="2511"/>
      <c r="NBZ28" s="2511"/>
      <c r="NCA28" s="2511"/>
      <c r="NCB28" s="2511"/>
      <c r="NCC28" s="2511"/>
      <c r="NCD28" s="2511"/>
      <c r="NCE28" s="2511"/>
      <c r="NCF28" s="2511"/>
      <c r="NCG28" s="2511"/>
      <c r="NCH28" s="2511"/>
      <c r="NCI28" s="2511"/>
      <c r="NCJ28" s="2511"/>
      <c r="NCK28" s="2511"/>
      <c r="NCL28" s="2511"/>
      <c r="NCM28" s="2511"/>
      <c r="NCN28" s="2511"/>
      <c r="NCO28" s="2511"/>
      <c r="NCP28" s="2511"/>
      <c r="NCQ28" s="2511"/>
      <c r="NCR28" s="2511"/>
      <c r="NCS28" s="2511"/>
      <c r="NCT28" s="2511"/>
      <c r="NCU28" s="2511"/>
      <c r="NCV28" s="2511"/>
      <c r="NCW28" s="2511"/>
      <c r="NCX28" s="2511"/>
      <c r="NCY28" s="2511"/>
      <c r="NCZ28" s="2511"/>
      <c r="NDA28" s="2511"/>
      <c r="NDB28" s="2511"/>
      <c r="NDC28" s="2511"/>
      <c r="NDD28" s="2511"/>
      <c r="NDE28" s="2511"/>
      <c r="NDF28" s="2511"/>
      <c r="NDG28" s="2511"/>
      <c r="NDH28" s="2511"/>
      <c r="NDI28" s="2511"/>
      <c r="NDJ28" s="2511"/>
      <c r="NDK28" s="2511"/>
      <c r="NDL28" s="2511"/>
      <c r="NDM28" s="2511"/>
      <c r="NDN28" s="2511"/>
      <c r="NDO28" s="2511"/>
      <c r="NDP28" s="2511"/>
      <c r="NDQ28" s="2511"/>
      <c r="NDR28" s="2511"/>
      <c r="NDS28" s="2511"/>
      <c r="NDT28" s="2511"/>
      <c r="NDU28" s="2511"/>
      <c r="NDV28" s="2511"/>
      <c r="NDW28" s="2511"/>
      <c r="NDX28" s="2511"/>
      <c r="NDY28" s="2511"/>
      <c r="NDZ28" s="2511"/>
      <c r="NEA28" s="2511"/>
      <c r="NEB28" s="2511"/>
      <c r="NEC28" s="2511"/>
      <c r="NED28" s="2511"/>
      <c r="NEE28" s="2511"/>
      <c r="NEF28" s="2511"/>
      <c r="NEG28" s="2511"/>
      <c r="NEH28" s="2511"/>
      <c r="NEI28" s="2511"/>
      <c r="NEJ28" s="2511"/>
      <c r="NEK28" s="2511"/>
      <c r="NEL28" s="2511"/>
      <c r="NEM28" s="2511"/>
      <c r="NEN28" s="2511"/>
      <c r="NEO28" s="2511"/>
      <c r="NEP28" s="2511"/>
      <c r="NEQ28" s="2511"/>
      <c r="NER28" s="2511"/>
      <c r="NES28" s="2511"/>
      <c r="NET28" s="2511"/>
      <c r="NEU28" s="2511"/>
      <c r="NEV28" s="2511"/>
      <c r="NEW28" s="2511"/>
      <c r="NEX28" s="2511"/>
      <c r="NEY28" s="2511"/>
      <c r="NEZ28" s="2511"/>
      <c r="NFA28" s="2511"/>
      <c r="NFB28" s="2511"/>
      <c r="NFC28" s="2511"/>
      <c r="NFD28" s="2511"/>
      <c r="NFE28" s="2511"/>
      <c r="NFF28" s="2511"/>
      <c r="NFG28" s="2511"/>
      <c r="NFH28" s="2511"/>
      <c r="NFI28" s="2511"/>
      <c r="NFJ28" s="2511"/>
      <c r="NFK28" s="2511"/>
      <c r="NFL28" s="2511"/>
      <c r="NFM28" s="2511"/>
      <c r="NFN28" s="2511"/>
      <c r="NFO28" s="2511"/>
      <c r="NFP28" s="2511"/>
      <c r="NFQ28" s="2511"/>
      <c r="NFR28" s="2511"/>
      <c r="NFS28" s="2511"/>
      <c r="NFT28" s="2511"/>
      <c r="NFU28" s="2511"/>
      <c r="NFV28" s="2511"/>
      <c r="NFW28" s="2511"/>
      <c r="NFX28" s="2511"/>
      <c r="NFY28" s="2511"/>
      <c r="NFZ28" s="2511"/>
      <c r="NGA28" s="2511"/>
      <c r="NGB28" s="2511"/>
      <c r="NGC28" s="2511"/>
      <c r="NGD28" s="2511"/>
      <c r="NGE28" s="2511"/>
      <c r="NGF28" s="2511"/>
      <c r="NGG28" s="2511"/>
      <c r="NGH28" s="2511"/>
      <c r="NGI28" s="2511"/>
      <c r="NGJ28" s="2511"/>
      <c r="NGK28" s="2511"/>
      <c r="NGL28" s="2511"/>
      <c r="NGM28" s="2511"/>
      <c r="NGN28" s="2511"/>
      <c r="NGO28" s="2511"/>
      <c r="NGP28" s="2511"/>
      <c r="NGQ28" s="2511"/>
      <c r="NGR28" s="2511"/>
      <c r="NGS28" s="2511"/>
      <c r="NGT28" s="2511"/>
      <c r="NGU28" s="2511"/>
      <c r="NGV28" s="2511"/>
      <c r="NGW28" s="2511"/>
      <c r="NGX28" s="2511"/>
      <c r="NGY28" s="2511"/>
      <c r="NGZ28" s="2511"/>
      <c r="NHA28" s="2511"/>
      <c r="NHB28" s="2511"/>
      <c r="NHC28" s="2511"/>
      <c r="NHD28" s="2511"/>
      <c r="NHE28" s="2511"/>
      <c r="NHF28" s="2511"/>
      <c r="NHG28" s="2511"/>
      <c r="NHH28" s="2511"/>
      <c r="NHI28" s="2511"/>
      <c r="NHJ28" s="2511"/>
      <c r="NHK28" s="2511"/>
      <c r="NHL28" s="2511"/>
      <c r="NHM28" s="2511"/>
      <c r="NHN28" s="2511"/>
      <c r="NHO28" s="2511"/>
      <c r="NHP28" s="2511"/>
      <c r="NHQ28" s="2511"/>
      <c r="NHR28" s="2511"/>
      <c r="NHS28" s="2511"/>
      <c r="NHT28" s="2511"/>
      <c r="NHU28" s="2511"/>
      <c r="NHV28" s="2511"/>
      <c r="NHW28" s="2511"/>
      <c r="NHX28" s="2511"/>
      <c r="NHY28" s="2511"/>
      <c r="NHZ28" s="2511"/>
      <c r="NIA28" s="2511"/>
      <c r="NIB28" s="2511"/>
      <c r="NIC28" s="2511"/>
      <c r="NID28" s="2511"/>
      <c r="NIE28" s="2511"/>
      <c r="NIF28" s="2511"/>
      <c r="NIG28" s="2511"/>
      <c r="NIH28" s="2511"/>
      <c r="NII28" s="2511"/>
      <c r="NIJ28" s="2511"/>
      <c r="NIK28" s="2511"/>
      <c r="NIL28" s="2511"/>
      <c r="NIM28" s="2511"/>
      <c r="NIN28" s="2511"/>
      <c r="NIO28" s="2511"/>
      <c r="NIP28" s="2511"/>
      <c r="NIQ28" s="2511"/>
      <c r="NIR28" s="2511"/>
      <c r="NIS28" s="2511"/>
      <c r="NIT28" s="2511"/>
      <c r="NIU28" s="2511"/>
      <c r="NIV28" s="2511"/>
      <c r="NIW28" s="2511"/>
      <c r="NIX28" s="2511"/>
      <c r="NIY28" s="2511"/>
      <c r="NIZ28" s="2511"/>
      <c r="NJA28" s="2511"/>
      <c r="NJB28" s="2511"/>
      <c r="NJC28" s="2511"/>
      <c r="NJD28" s="2511"/>
      <c r="NJE28" s="2511"/>
      <c r="NJF28" s="2511"/>
      <c r="NJG28" s="2511"/>
      <c r="NJH28" s="2511"/>
      <c r="NJI28" s="2511"/>
      <c r="NJJ28" s="2511"/>
      <c r="NJK28" s="2511"/>
      <c r="NJL28" s="2511"/>
      <c r="NJM28" s="2511"/>
      <c r="NJN28" s="2511"/>
      <c r="NJO28" s="2511"/>
      <c r="NJP28" s="2511"/>
      <c r="NJQ28" s="2511"/>
      <c r="NJR28" s="2511"/>
      <c r="NJS28" s="2511"/>
      <c r="NJT28" s="2511"/>
      <c r="NJU28" s="2511"/>
      <c r="NJV28" s="2511"/>
      <c r="NJW28" s="2511"/>
      <c r="NJX28" s="2511"/>
      <c r="NJY28" s="2511"/>
      <c r="NJZ28" s="2511"/>
      <c r="NKA28" s="2511"/>
      <c r="NKB28" s="2511"/>
      <c r="NKC28" s="2511"/>
      <c r="NKD28" s="2511"/>
      <c r="NKE28" s="2511"/>
      <c r="NKF28" s="2511"/>
      <c r="NKG28" s="2511"/>
      <c r="NKH28" s="2511"/>
      <c r="NKI28" s="2511"/>
      <c r="NKJ28" s="2511"/>
      <c r="NKK28" s="2511"/>
      <c r="NKL28" s="2511"/>
      <c r="NKM28" s="2511"/>
      <c r="NKN28" s="2511"/>
      <c r="NKO28" s="2511"/>
      <c r="NKP28" s="2511"/>
      <c r="NKQ28" s="2511"/>
      <c r="NKR28" s="2511"/>
      <c r="NKS28" s="2511"/>
      <c r="NKT28" s="2511"/>
      <c r="NKU28" s="2511"/>
      <c r="NKV28" s="2511"/>
      <c r="NKW28" s="2511"/>
      <c r="NKX28" s="2511"/>
      <c r="NKY28" s="2511"/>
      <c r="NKZ28" s="2511"/>
      <c r="NLA28" s="2511"/>
      <c r="NLB28" s="2511"/>
      <c r="NLC28" s="2511"/>
      <c r="NLD28" s="2511"/>
      <c r="NLE28" s="2511"/>
      <c r="NLF28" s="2511"/>
      <c r="NLG28" s="2511"/>
      <c r="NLH28" s="2511"/>
      <c r="NLI28" s="2511"/>
      <c r="NLJ28" s="2511"/>
      <c r="NLK28" s="2511"/>
      <c r="NLL28" s="2511"/>
      <c r="NLM28" s="2511"/>
      <c r="NLN28" s="2511"/>
      <c r="NLO28" s="2511"/>
      <c r="NLP28" s="2511"/>
      <c r="NLQ28" s="2511"/>
      <c r="NLR28" s="2511"/>
      <c r="NLS28" s="2511"/>
      <c r="NLT28" s="2511"/>
      <c r="NLU28" s="2511"/>
      <c r="NLV28" s="2511"/>
      <c r="NLW28" s="2511"/>
      <c r="NLX28" s="2511"/>
      <c r="NLY28" s="2511"/>
      <c r="NLZ28" s="2511"/>
      <c r="NMA28" s="2511"/>
      <c r="NMB28" s="2511"/>
      <c r="NMC28" s="2511"/>
      <c r="NMD28" s="2511"/>
      <c r="NME28" s="2511"/>
      <c r="NMF28" s="2511"/>
      <c r="NMG28" s="2511"/>
      <c r="NMH28" s="2511"/>
      <c r="NMI28" s="2511"/>
      <c r="NMJ28" s="2511"/>
      <c r="NMK28" s="2511"/>
      <c r="NML28" s="2511"/>
      <c r="NMM28" s="2511"/>
      <c r="NMN28" s="2511"/>
      <c r="NMO28" s="2511"/>
      <c r="NMP28" s="2511"/>
      <c r="NMQ28" s="2511"/>
      <c r="NMR28" s="2511"/>
      <c r="NMS28" s="2511"/>
      <c r="NMT28" s="2511"/>
      <c r="NMU28" s="2511"/>
      <c r="NMV28" s="2511"/>
      <c r="NMW28" s="2511"/>
      <c r="NMX28" s="2511"/>
      <c r="NMY28" s="2511"/>
      <c r="NMZ28" s="2511"/>
      <c r="NNA28" s="2511"/>
      <c r="NNB28" s="2511"/>
      <c r="NNC28" s="2511"/>
      <c r="NND28" s="2511"/>
      <c r="NNE28" s="2511"/>
      <c r="NNF28" s="2511"/>
      <c r="NNG28" s="2511"/>
      <c r="NNH28" s="2511"/>
      <c r="NNI28" s="2511"/>
      <c r="NNJ28" s="2511"/>
      <c r="NNK28" s="2511"/>
      <c r="NNL28" s="2511"/>
      <c r="NNM28" s="2511"/>
      <c r="NNN28" s="2511"/>
      <c r="NNO28" s="2511"/>
      <c r="NNP28" s="2511"/>
      <c r="NNQ28" s="2511"/>
      <c r="NNR28" s="2511"/>
      <c r="NNS28" s="2511"/>
      <c r="NNT28" s="2511"/>
      <c r="NNU28" s="2511"/>
      <c r="NNV28" s="2511"/>
      <c r="NNW28" s="2511"/>
      <c r="NNX28" s="2511"/>
      <c r="NNY28" s="2511"/>
      <c r="NNZ28" s="2511"/>
      <c r="NOA28" s="2511"/>
      <c r="NOB28" s="2511"/>
      <c r="NOC28" s="2511"/>
      <c r="NOD28" s="2511"/>
      <c r="NOE28" s="2511"/>
      <c r="NOF28" s="2511"/>
      <c r="NOG28" s="2511"/>
      <c r="NOH28" s="2511"/>
      <c r="NOI28" s="2511"/>
      <c r="NOJ28" s="2511"/>
      <c r="NOK28" s="2511"/>
      <c r="NOL28" s="2511"/>
      <c r="NOM28" s="2511"/>
      <c r="NON28" s="2511"/>
      <c r="NOO28" s="2511"/>
      <c r="NOP28" s="2511"/>
      <c r="NOQ28" s="2511"/>
      <c r="NOR28" s="2511"/>
      <c r="NOS28" s="2511"/>
      <c r="NOT28" s="2511"/>
      <c r="NOU28" s="2511"/>
      <c r="NOV28" s="2511"/>
      <c r="NOW28" s="2511"/>
      <c r="NOX28" s="2511"/>
      <c r="NOY28" s="2511"/>
      <c r="NOZ28" s="2511"/>
      <c r="NPA28" s="2511"/>
      <c r="NPB28" s="2511"/>
      <c r="NPC28" s="2511"/>
      <c r="NPD28" s="2511"/>
      <c r="NPE28" s="2511"/>
      <c r="NPF28" s="2511"/>
      <c r="NPG28" s="2511"/>
      <c r="NPH28" s="2511"/>
      <c r="NPI28" s="2511"/>
      <c r="NPJ28" s="2511"/>
      <c r="NPK28" s="2511"/>
      <c r="NPL28" s="2511"/>
      <c r="NPM28" s="2511"/>
      <c r="NPN28" s="2511"/>
      <c r="NPO28" s="2511"/>
      <c r="NPP28" s="2511"/>
      <c r="NPQ28" s="2511"/>
      <c r="NPR28" s="2511"/>
      <c r="NPS28" s="2511"/>
      <c r="NPT28" s="2511"/>
      <c r="NPU28" s="2511"/>
      <c r="NPV28" s="2511"/>
      <c r="NPW28" s="2511"/>
      <c r="NPX28" s="2511"/>
      <c r="NPY28" s="2511"/>
      <c r="NPZ28" s="2511"/>
      <c r="NQA28" s="2511"/>
      <c r="NQB28" s="2511"/>
      <c r="NQC28" s="2511"/>
      <c r="NQD28" s="2511"/>
      <c r="NQE28" s="2511"/>
      <c r="NQF28" s="2511"/>
      <c r="NQG28" s="2511"/>
      <c r="NQH28" s="2511"/>
      <c r="NQI28" s="2511"/>
      <c r="NQJ28" s="2511"/>
      <c r="NQK28" s="2511"/>
      <c r="NQL28" s="2511"/>
      <c r="NQM28" s="2511"/>
      <c r="NQN28" s="2511"/>
      <c r="NQO28" s="2511"/>
      <c r="NQP28" s="2511"/>
      <c r="NQQ28" s="2511"/>
      <c r="NQR28" s="2511"/>
      <c r="NQS28" s="2511"/>
      <c r="NQT28" s="2511"/>
      <c r="NQU28" s="2511"/>
      <c r="NQV28" s="2511"/>
      <c r="NQW28" s="2511"/>
      <c r="NQX28" s="2511"/>
      <c r="NQY28" s="2511"/>
      <c r="NQZ28" s="2511"/>
      <c r="NRA28" s="2511"/>
      <c r="NRB28" s="2511"/>
      <c r="NRC28" s="2511"/>
      <c r="NRD28" s="2511"/>
      <c r="NRE28" s="2511"/>
      <c r="NRF28" s="2511"/>
      <c r="NRG28" s="2511"/>
      <c r="NRH28" s="2511"/>
      <c r="NRI28" s="2511"/>
      <c r="NRJ28" s="2511"/>
      <c r="NRK28" s="2511"/>
      <c r="NRL28" s="2511"/>
      <c r="NRM28" s="2511"/>
      <c r="NRN28" s="2511"/>
      <c r="NRO28" s="2511"/>
      <c r="NRP28" s="2511"/>
      <c r="NRQ28" s="2511"/>
      <c r="NRR28" s="2511"/>
      <c r="NRS28" s="2511"/>
      <c r="NRT28" s="2511"/>
      <c r="NRU28" s="2511"/>
      <c r="NRV28" s="2511"/>
      <c r="NRW28" s="2511"/>
      <c r="NRX28" s="2511"/>
      <c r="NRY28" s="2511"/>
      <c r="NRZ28" s="2511"/>
      <c r="NSA28" s="2511"/>
      <c r="NSB28" s="2511"/>
      <c r="NSC28" s="2511"/>
      <c r="NSD28" s="2511"/>
      <c r="NSE28" s="2511"/>
      <c r="NSF28" s="2511"/>
      <c r="NSG28" s="2511"/>
      <c r="NSH28" s="2511"/>
      <c r="NSI28" s="2511"/>
      <c r="NSJ28" s="2511"/>
      <c r="NSK28" s="2511"/>
      <c r="NSL28" s="2511"/>
      <c r="NSM28" s="2511"/>
      <c r="NSN28" s="2511"/>
      <c r="NSO28" s="2511"/>
      <c r="NSP28" s="2511"/>
      <c r="NSQ28" s="2511"/>
      <c r="NSR28" s="2511"/>
      <c r="NSS28" s="2511"/>
      <c r="NST28" s="2511"/>
      <c r="NSU28" s="2511"/>
      <c r="NSV28" s="2511"/>
      <c r="NSW28" s="2511"/>
      <c r="NSX28" s="2511"/>
      <c r="NSY28" s="2511"/>
      <c r="NSZ28" s="2511"/>
      <c r="NTA28" s="2511"/>
      <c r="NTB28" s="2511"/>
      <c r="NTC28" s="2511"/>
      <c r="NTD28" s="2511"/>
      <c r="NTE28" s="2511"/>
      <c r="NTF28" s="2511"/>
      <c r="NTG28" s="2511"/>
      <c r="NTH28" s="2511"/>
      <c r="NTI28" s="2511"/>
      <c r="NTJ28" s="2511"/>
      <c r="NTK28" s="2511"/>
      <c r="NTL28" s="2511"/>
      <c r="NTM28" s="2511"/>
      <c r="NTN28" s="2511"/>
      <c r="NTO28" s="2511"/>
      <c r="NTP28" s="2511"/>
      <c r="NTQ28" s="2511"/>
      <c r="NTR28" s="2511"/>
      <c r="NTS28" s="2511"/>
      <c r="NTT28" s="2511"/>
      <c r="NTU28" s="2511"/>
      <c r="NTV28" s="2511"/>
      <c r="NTW28" s="2511"/>
      <c r="NTX28" s="2511"/>
      <c r="NTY28" s="2511"/>
      <c r="NTZ28" s="2511"/>
      <c r="NUA28" s="2511"/>
      <c r="NUB28" s="2511"/>
      <c r="NUC28" s="2511"/>
      <c r="NUD28" s="2511"/>
      <c r="NUE28" s="2511"/>
      <c r="NUF28" s="2511"/>
      <c r="NUG28" s="2511"/>
      <c r="NUH28" s="2511"/>
      <c r="NUI28" s="2511"/>
      <c r="NUJ28" s="2511"/>
      <c r="NUK28" s="2511"/>
      <c r="NUL28" s="2511"/>
      <c r="NUM28" s="2511"/>
      <c r="NUN28" s="2511"/>
      <c r="NUO28" s="2511"/>
      <c r="NUP28" s="2511"/>
      <c r="NUQ28" s="2511"/>
      <c r="NUR28" s="2511"/>
      <c r="NUS28" s="2511"/>
      <c r="NUT28" s="2511"/>
      <c r="NUU28" s="2511"/>
      <c r="NUV28" s="2511"/>
      <c r="NUW28" s="2511"/>
      <c r="NUX28" s="2511"/>
      <c r="NUY28" s="2511"/>
      <c r="NUZ28" s="2511"/>
      <c r="NVA28" s="2511"/>
      <c r="NVB28" s="2511"/>
      <c r="NVC28" s="2511"/>
      <c r="NVD28" s="2511"/>
      <c r="NVE28" s="2511"/>
      <c r="NVF28" s="2511"/>
      <c r="NVG28" s="2511"/>
      <c r="NVH28" s="2511"/>
      <c r="NVI28" s="2511"/>
      <c r="NVJ28" s="2511"/>
      <c r="NVK28" s="2511"/>
      <c r="NVL28" s="2511"/>
      <c r="NVM28" s="2511"/>
      <c r="NVN28" s="2511"/>
      <c r="NVO28" s="2511"/>
      <c r="NVP28" s="2511"/>
      <c r="NVQ28" s="2511"/>
      <c r="NVR28" s="2511"/>
      <c r="NVS28" s="2511"/>
      <c r="NVT28" s="2511"/>
      <c r="NVU28" s="2511"/>
      <c r="NVV28" s="2511"/>
      <c r="NVW28" s="2511"/>
      <c r="NVX28" s="2511"/>
      <c r="NVY28" s="2511"/>
      <c r="NVZ28" s="2511"/>
      <c r="NWA28" s="2511"/>
      <c r="NWB28" s="2511"/>
      <c r="NWC28" s="2511"/>
      <c r="NWD28" s="2511"/>
      <c r="NWE28" s="2511"/>
      <c r="NWF28" s="2511"/>
      <c r="NWG28" s="2511"/>
      <c r="NWH28" s="2511"/>
      <c r="NWI28" s="2511"/>
      <c r="NWJ28" s="2511"/>
      <c r="NWK28" s="2511"/>
      <c r="NWL28" s="2511"/>
      <c r="NWM28" s="2511"/>
      <c r="NWN28" s="2511"/>
      <c r="NWO28" s="2511"/>
      <c r="NWP28" s="2511"/>
      <c r="NWQ28" s="2511"/>
      <c r="NWR28" s="2511"/>
      <c r="NWS28" s="2511"/>
      <c r="NWT28" s="2511"/>
      <c r="NWU28" s="2511"/>
      <c r="NWV28" s="2511"/>
      <c r="NWW28" s="2511"/>
      <c r="NWX28" s="2511"/>
      <c r="NWY28" s="2511"/>
      <c r="NWZ28" s="2511"/>
      <c r="NXA28" s="2511"/>
      <c r="NXB28" s="2511"/>
      <c r="NXC28" s="2511"/>
      <c r="NXD28" s="2511"/>
      <c r="NXE28" s="2511"/>
      <c r="NXF28" s="2511"/>
      <c r="NXG28" s="2511"/>
      <c r="NXH28" s="2511"/>
      <c r="NXI28" s="2511"/>
      <c r="NXJ28" s="2511"/>
      <c r="NXK28" s="2511"/>
      <c r="NXL28" s="2511"/>
      <c r="NXM28" s="2511"/>
      <c r="NXN28" s="2511"/>
      <c r="NXO28" s="2511"/>
      <c r="NXP28" s="2511"/>
      <c r="NXQ28" s="2511"/>
      <c r="NXR28" s="2511"/>
      <c r="NXS28" s="2511"/>
      <c r="NXT28" s="2511"/>
      <c r="NXU28" s="2511"/>
      <c r="NXV28" s="2511"/>
      <c r="NXW28" s="2511"/>
      <c r="NXX28" s="2511"/>
      <c r="NXY28" s="2511"/>
      <c r="NXZ28" s="2511"/>
      <c r="NYA28" s="2511"/>
      <c r="NYB28" s="2511"/>
      <c r="NYC28" s="2511"/>
      <c r="NYD28" s="2511"/>
      <c r="NYE28" s="2511"/>
      <c r="NYF28" s="2511"/>
      <c r="NYG28" s="2511"/>
      <c r="NYH28" s="2511"/>
      <c r="NYI28" s="2511"/>
      <c r="NYJ28" s="2511"/>
      <c r="NYK28" s="2511"/>
      <c r="NYL28" s="2511"/>
      <c r="NYM28" s="2511"/>
      <c r="NYN28" s="2511"/>
      <c r="NYO28" s="2511"/>
      <c r="NYP28" s="2511"/>
      <c r="NYQ28" s="2511"/>
      <c r="NYR28" s="2511"/>
      <c r="NYS28" s="2511"/>
      <c r="NYT28" s="2511"/>
      <c r="NYU28" s="2511"/>
      <c r="NYV28" s="2511"/>
      <c r="NYW28" s="2511"/>
      <c r="NYX28" s="2511"/>
      <c r="NYY28" s="2511"/>
      <c r="NYZ28" s="2511"/>
      <c r="NZA28" s="2511"/>
      <c r="NZB28" s="2511"/>
      <c r="NZC28" s="2511"/>
      <c r="NZD28" s="2511"/>
      <c r="NZE28" s="2511"/>
      <c r="NZF28" s="2511"/>
      <c r="NZG28" s="2511"/>
      <c r="NZH28" s="2511"/>
      <c r="NZI28" s="2511"/>
      <c r="NZJ28" s="2511"/>
      <c r="NZK28" s="2511"/>
      <c r="NZL28" s="2511"/>
      <c r="NZM28" s="2511"/>
      <c r="NZN28" s="2511"/>
      <c r="NZO28" s="2511"/>
      <c r="NZP28" s="2511"/>
      <c r="NZQ28" s="2511"/>
      <c r="NZR28" s="2511"/>
      <c r="NZS28" s="2511"/>
      <c r="NZT28" s="2511"/>
      <c r="NZU28" s="2511"/>
      <c r="NZV28" s="2511"/>
      <c r="NZW28" s="2511"/>
      <c r="NZX28" s="2511"/>
      <c r="NZY28" s="2511"/>
      <c r="NZZ28" s="2511"/>
      <c r="OAA28" s="2511"/>
      <c r="OAB28" s="2511"/>
      <c r="OAC28" s="2511"/>
      <c r="OAD28" s="2511"/>
      <c r="OAE28" s="2511"/>
      <c r="OAF28" s="2511"/>
      <c r="OAG28" s="2511"/>
      <c r="OAH28" s="2511"/>
      <c r="OAI28" s="2511"/>
      <c r="OAJ28" s="2511"/>
      <c r="OAK28" s="2511"/>
      <c r="OAL28" s="2511"/>
      <c r="OAM28" s="2511"/>
      <c r="OAN28" s="2511"/>
      <c r="OAO28" s="2511"/>
      <c r="OAP28" s="2511"/>
      <c r="OAQ28" s="2511"/>
      <c r="OAR28" s="2511"/>
      <c r="OAS28" s="2511"/>
      <c r="OAT28" s="2511"/>
      <c r="OAU28" s="2511"/>
      <c r="OAV28" s="2511"/>
      <c r="OAW28" s="2511"/>
      <c r="OAX28" s="2511"/>
      <c r="OAY28" s="2511"/>
      <c r="OAZ28" s="2511"/>
      <c r="OBA28" s="2511"/>
      <c r="OBB28" s="2511"/>
      <c r="OBC28" s="2511"/>
      <c r="OBD28" s="2511"/>
      <c r="OBE28" s="2511"/>
      <c r="OBF28" s="2511"/>
      <c r="OBG28" s="2511"/>
      <c r="OBH28" s="2511"/>
      <c r="OBI28" s="2511"/>
      <c r="OBJ28" s="2511"/>
      <c r="OBK28" s="2511"/>
      <c r="OBL28" s="2511"/>
      <c r="OBM28" s="2511"/>
      <c r="OBN28" s="2511"/>
      <c r="OBO28" s="2511"/>
      <c r="OBP28" s="2511"/>
      <c r="OBQ28" s="2511"/>
      <c r="OBR28" s="2511"/>
      <c r="OBS28" s="2511"/>
      <c r="OBT28" s="2511"/>
      <c r="OBU28" s="2511"/>
      <c r="OBV28" s="2511"/>
      <c r="OBW28" s="2511"/>
      <c r="OBX28" s="2511"/>
      <c r="OBY28" s="2511"/>
      <c r="OBZ28" s="2511"/>
      <c r="OCA28" s="2511"/>
      <c r="OCB28" s="2511"/>
      <c r="OCC28" s="2511"/>
      <c r="OCD28" s="2511"/>
      <c r="OCE28" s="2511"/>
      <c r="OCF28" s="2511"/>
      <c r="OCG28" s="2511"/>
      <c r="OCH28" s="2511"/>
      <c r="OCI28" s="2511"/>
      <c r="OCJ28" s="2511"/>
      <c r="OCK28" s="2511"/>
      <c r="OCL28" s="2511"/>
      <c r="OCM28" s="2511"/>
      <c r="OCN28" s="2511"/>
      <c r="OCO28" s="2511"/>
      <c r="OCP28" s="2511"/>
      <c r="OCQ28" s="2511"/>
      <c r="OCR28" s="2511"/>
      <c r="OCS28" s="2511"/>
      <c r="OCT28" s="2511"/>
      <c r="OCU28" s="2511"/>
      <c r="OCV28" s="2511"/>
      <c r="OCW28" s="2511"/>
      <c r="OCX28" s="2511"/>
      <c r="OCY28" s="2511"/>
      <c r="OCZ28" s="2511"/>
      <c r="ODA28" s="2511"/>
      <c r="ODB28" s="2511"/>
      <c r="ODC28" s="2511"/>
      <c r="ODD28" s="2511"/>
      <c r="ODE28" s="2511"/>
      <c r="ODF28" s="2511"/>
      <c r="ODG28" s="2511"/>
      <c r="ODH28" s="2511"/>
      <c r="ODI28" s="2511"/>
      <c r="ODJ28" s="2511"/>
      <c r="ODK28" s="2511"/>
      <c r="ODL28" s="2511"/>
      <c r="ODM28" s="2511"/>
      <c r="ODN28" s="2511"/>
      <c r="ODO28" s="2511"/>
      <c r="ODP28" s="2511"/>
      <c r="ODQ28" s="2511"/>
      <c r="ODR28" s="2511"/>
      <c r="ODS28" s="2511"/>
      <c r="ODT28" s="2511"/>
      <c r="ODU28" s="2511"/>
      <c r="ODV28" s="2511"/>
      <c r="ODW28" s="2511"/>
      <c r="ODX28" s="2511"/>
      <c r="ODY28" s="2511"/>
      <c r="ODZ28" s="2511"/>
      <c r="OEA28" s="2511"/>
      <c r="OEB28" s="2511"/>
      <c r="OEC28" s="2511"/>
      <c r="OED28" s="2511"/>
      <c r="OEE28" s="2511"/>
      <c r="OEF28" s="2511"/>
      <c r="OEG28" s="2511"/>
      <c r="OEH28" s="2511"/>
      <c r="OEI28" s="2511"/>
      <c r="OEJ28" s="2511"/>
      <c r="OEK28" s="2511"/>
      <c r="OEL28" s="2511"/>
      <c r="OEM28" s="2511"/>
      <c r="OEN28" s="2511"/>
      <c r="OEO28" s="2511"/>
      <c r="OEP28" s="2511"/>
      <c r="OEQ28" s="2511"/>
      <c r="OER28" s="2511"/>
      <c r="OES28" s="2511"/>
      <c r="OET28" s="2511"/>
      <c r="OEU28" s="2511"/>
      <c r="OEV28" s="2511"/>
      <c r="OEW28" s="2511"/>
      <c r="OEX28" s="2511"/>
      <c r="OEY28" s="2511"/>
      <c r="OEZ28" s="2511"/>
      <c r="OFA28" s="2511"/>
      <c r="OFB28" s="2511"/>
      <c r="OFC28" s="2511"/>
      <c r="OFD28" s="2511"/>
      <c r="OFE28" s="2511"/>
      <c r="OFF28" s="2511"/>
      <c r="OFG28" s="2511"/>
      <c r="OFH28" s="2511"/>
      <c r="OFI28" s="2511"/>
      <c r="OFJ28" s="2511"/>
      <c r="OFK28" s="2511"/>
      <c r="OFL28" s="2511"/>
      <c r="OFM28" s="2511"/>
      <c r="OFN28" s="2511"/>
      <c r="OFO28" s="2511"/>
      <c r="OFP28" s="2511"/>
      <c r="OFQ28" s="2511"/>
      <c r="OFR28" s="2511"/>
      <c r="OFS28" s="2511"/>
      <c r="OFT28" s="2511"/>
      <c r="OFU28" s="2511"/>
      <c r="OFV28" s="2511"/>
      <c r="OFW28" s="2511"/>
      <c r="OFX28" s="2511"/>
      <c r="OFY28" s="2511"/>
      <c r="OFZ28" s="2511"/>
      <c r="OGA28" s="2511"/>
      <c r="OGB28" s="2511"/>
      <c r="OGC28" s="2511"/>
      <c r="OGD28" s="2511"/>
      <c r="OGE28" s="2511"/>
      <c r="OGF28" s="2511"/>
      <c r="OGG28" s="2511"/>
      <c r="OGH28" s="2511"/>
      <c r="OGI28" s="2511"/>
      <c r="OGJ28" s="2511"/>
      <c r="OGK28" s="2511"/>
      <c r="OGL28" s="2511"/>
      <c r="OGM28" s="2511"/>
      <c r="OGN28" s="2511"/>
      <c r="OGO28" s="2511"/>
      <c r="OGP28" s="2511"/>
      <c r="OGQ28" s="2511"/>
      <c r="OGR28" s="2511"/>
      <c r="OGS28" s="2511"/>
      <c r="OGT28" s="2511"/>
      <c r="OGU28" s="2511"/>
      <c r="OGV28" s="2511"/>
      <c r="OGW28" s="2511"/>
      <c r="OGX28" s="2511"/>
      <c r="OGY28" s="2511"/>
      <c r="OGZ28" s="2511"/>
      <c r="OHA28" s="2511"/>
      <c r="OHB28" s="2511"/>
      <c r="OHC28" s="2511"/>
      <c r="OHD28" s="2511"/>
      <c r="OHE28" s="2511"/>
      <c r="OHF28" s="2511"/>
      <c r="OHG28" s="2511"/>
      <c r="OHH28" s="2511"/>
      <c r="OHI28" s="2511"/>
      <c r="OHJ28" s="2511"/>
      <c r="OHK28" s="2511"/>
      <c r="OHL28" s="2511"/>
      <c r="OHM28" s="2511"/>
      <c r="OHN28" s="2511"/>
      <c r="OHO28" s="2511"/>
      <c r="OHP28" s="2511"/>
      <c r="OHQ28" s="2511"/>
      <c r="OHR28" s="2511"/>
      <c r="OHS28" s="2511"/>
      <c r="OHT28" s="2511"/>
      <c r="OHU28" s="2511"/>
      <c r="OHV28" s="2511"/>
      <c r="OHW28" s="2511"/>
      <c r="OHX28" s="2511"/>
      <c r="OHY28" s="2511"/>
      <c r="OHZ28" s="2511"/>
      <c r="OIA28" s="2511"/>
      <c r="OIB28" s="2511"/>
      <c r="OIC28" s="2511"/>
      <c r="OID28" s="2511"/>
      <c r="OIE28" s="2511"/>
      <c r="OIF28" s="2511"/>
      <c r="OIG28" s="2511"/>
      <c r="OIH28" s="2511"/>
      <c r="OII28" s="2511"/>
      <c r="OIJ28" s="2511"/>
      <c r="OIK28" s="2511"/>
      <c r="OIL28" s="2511"/>
      <c r="OIM28" s="2511"/>
      <c r="OIN28" s="2511"/>
      <c r="OIO28" s="2511"/>
      <c r="OIP28" s="2511"/>
      <c r="OIQ28" s="2511"/>
      <c r="OIR28" s="2511"/>
      <c r="OIS28" s="2511"/>
      <c r="OIT28" s="2511"/>
      <c r="OIU28" s="2511"/>
      <c r="OIV28" s="2511"/>
      <c r="OIW28" s="2511"/>
      <c r="OIX28" s="2511"/>
      <c r="OIY28" s="2511"/>
      <c r="OIZ28" s="2511"/>
      <c r="OJA28" s="2511"/>
      <c r="OJB28" s="2511"/>
      <c r="OJC28" s="2511"/>
      <c r="OJD28" s="2511"/>
      <c r="OJE28" s="2511"/>
      <c r="OJF28" s="2511"/>
      <c r="OJG28" s="2511"/>
      <c r="OJH28" s="2511"/>
      <c r="OJI28" s="2511"/>
      <c r="OJJ28" s="2511"/>
      <c r="OJK28" s="2511"/>
      <c r="OJL28" s="2511"/>
      <c r="OJM28" s="2511"/>
      <c r="OJN28" s="2511"/>
      <c r="OJO28" s="2511"/>
      <c r="OJP28" s="2511"/>
      <c r="OJQ28" s="2511"/>
      <c r="OJR28" s="2511"/>
      <c r="OJS28" s="2511"/>
      <c r="OJT28" s="2511"/>
      <c r="OJU28" s="2511"/>
      <c r="OJV28" s="2511"/>
      <c r="OJW28" s="2511"/>
      <c r="OJX28" s="2511"/>
      <c r="OJY28" s="2511"/>
      <c r="OJZ28" s="2511"/>
      <c r="OKA28" s="2511"/>
      <c r="OKB28" s="2511"/>
      <c r="OKC28" s="2511"/>
      <c r="OKD28" s="2511"/>
      <c r="OKE28" s="2511"/>
      <c r="OKF28" s="2511"/>
      <c r="OKG28" s="2511"/>
      <c r="OKH28" s="2511"/>
      <c r="OKI28" s="2511"/>
      <c r="OKJ28" s="2511"/>
      <c r="OKK28" s="2511"/>
      <c r="OKL28" s="2511"/>
      <c r="OKM28" s="2511"/>
      <c r="OKN28" s="2511"/>
      <c r="OKO28" s="2511"/>
      <c r="OKP28" s="2511"/>
      <c r="OKQ28" s="2511"/>
      <c r="OKR28" s="2511"/>
      <c r="OKS28" s="2511"/>
      <c r="OKT28" s="2511"/>
      <c r="OKU28" s="2511"/>
      <c r="OKV28" s="2511"/>
      <c r="OKW28" s="2511"/>
      <c r="OKX28" s="2511"/>
      <c r="OKY28" s="2511"/>
      <c r="OKZ28" s="2511"/>
      <c r="OLA28" s="2511"/>
      <c r="OLB28" s="2511"/>
      <c r="OLC28" s="2511"/>
      <c r="OLD28" s="2511"/>
      <c r="OLE28" s="2511"/>
      <c r="OLF28" s="2511"/>
      <c r="OLG28" s="2511"/>
      <c r="OLH28" s="2511"/>
      <c r="OLI28" s="2511"/>
      <c r="OLJ28" s="2511"/>
      <c r="OLK28" s="2511"/>
      <c r="OLL28" s="2511"/>
      <c r="OLM28" s="2511"/>
      <c r="OLN28" s="2511"/>
      <c r="OLO28" s="2511"/>
      <c r="OLP28" s="2511"/>
      <c r="OLQ28" s="2511"/>
      <c r="OLR28" s="2511"/>
      <c r="OLS28" s="2511"/>
      <c r="OLT28" s="2511"/>
      <c r="OLU28" s="2511"/>
      <c r="OLV28" s="2511"/>
      <c r="OLW28" s="2511"/>
      <c r="OLX28" s="2511"/>
      <c r="OLY28" s="2511"/>
      <c r="OLZ28" s="2511"/>
      <c r="OMA28" s="2511"/>
      <c r="OMB28" s="2511"/>
      <c r="OMC28" s="2511"/>
      <c r="OMD28" s="2511"/>
      <c r="OME28" s="2511"/>
      <c r="OMF28" s="2511"/>
      <c r="OMG28" s="2511"/>
      <c r="OMH28" s="2511"/>
      <c r="OMI28" s="2511"/>
      <c r="OMJ28" s="2511"/>
      <c r="OMK28" s="2511"/>
      <c r="OML28" s="2511"/>
      <c r="OMM28" s="2511"/>
      <c r="OMN28" s="2511"/>
      <c r="OMO28" s="2511"/>
      <c r="OMP28" s="2511"/>
      <c r="OMQ28" s="2511"/>
      <c r="OMR28" s="2511"/>
      <c r="OMS28" s="2511"/>
      <c r="OMT28" s="2511"/>
      <c r="OMU28" s="2511"/>
      <c r="OMV28" s="2511"/>
      <c r="OMW28" s="2511"/>
      <c r="OMX28" s="2511"/>
      <c r="OMY28" s="2511"/>
      <c r="OMZ28" s="2511"/>
      <c r="ONA28" s="2511"/>
      <c r="ONB28" s="2511"/>
      <c r="ONC28" s="2511"/>
      <c r="OND28" s="2511"/>
      <c r="ONE28" s="2511"/>
      <c r="ONF28" s="2511"/>
      <c r="ONG28" s="2511"/>
      <c r="ONH28" s="2511"/>
      <c r="ONI28" s="2511"/>
      <c r="ONJ28" s="2511"/>
      <c r="ONK28" s="2511"/>
      <c r="ONL28" s="2511"/>
      <c r="ONM28" s="2511"/>
      <c r="ONN28" s="2511"/>
      <c r="ONO28" s="2511"/>
      <c r="ONP28" s="2511"/>
      <c r="ONQ28" s="2511"/>
      <c r="ONR28" s="2511"/>
      <c r="ONS28" s="2511"/>
      <c r="ONT28" s="2511"/>
      <c r="ONU28" s="2511"/>
      <c r="ONV28" s="2511"/>
      <c r="ONW28" s="2511"/>
      <c r="ONX28" s="2511"/>
      <c r="ONY28" s="2511"/>
      <c r="ONZ28" s="2511"/>
      <c r="OOA28" s="2511"/>
      <c r="OOB28" s="2511"/>
      <c r="OOC28" s="2511"/>
      <c r="OOD28" s="2511"/>
      <c r="OOE28" s="2511"/>
      <c r="OOF28" s="2511"/>
      <c r="OOG28" s="2511"/>
      <c r="OOH28" s="2511"/>
      <c r="OOI28" s="2511"/>
      <c r="OOJ28" s="2511"/>
      <c r="OOK28" s="2511"/>
      <c r="OOL28" s="2511"/>
      <c r="OOM28" s="2511"/>
      <c r="OON28" s="2511"/>
      <c r="OOO28" s="2511"/>
      <c r="OOP28" s="2511"/>
      <c r="OOQ28" s="2511"/>
      <c r="OOR28" s="2511"/>
      <c r="OOS28" s="2511"/>
      <c r="OOT28" s="2511"/>
      <c r="OOU28" s="2511"/>
      <c r="OOV28" s="2511"/>
      <c r="OOW28" s="2511"/>
      <c r="OOX28" s="2511"/>
      <c r="OOY28" s="2511"/>
      <c r="OOZ28" s="2511"/>
      <c r="OPA28" s="2511"/>
      <c r="OPB28" s="2511"/>
      <c r="OPC28" s="2511"/>
      <c r="OPD28" s="2511"/>
      <c r="OPE28" s="2511"/>
      <c r="OPF28" s="2511"/>
      <c r="OPG28" s="2511"/>
      <c r="OPH28" s="2511"/>
      <c r="OPI28" s="2511"/>
      <c r="OPJ28" s="2511"/>
      <c r="OPK28" s="2511"/>
      <c r="OPL28" s="2511"/>
      <c r="OPM28" s="2511"/>
      <c r="OPN28" s="2511"/>
      <c r="OPO28" s="2511"/>
      <c r="OPP28" s="2511"/>
      <c r="OPQ28" s="2511"/>
      <c r="OPR28" s="2511"/>
      <c r="OPS28" s="2511"/>
      <c r="OPT28" s="2511"/>
      <c r="OPU28" s="2511"/>
      <c r="OPV28" s="2511"/>
      <c r="OPW28" s="2511"/>
      <c r="OPX28" s="2511"/>
      <c r="OPY28" s="2511"/>
      <c r="OPZ28" s="2511"/>
      <c r="OQA28" s="2511"/>
      <c r="OQB28" s="2511"/>
      <c r="OQC28" s="2511"/>
      <c r="OQD28" s="2511"/>
      <c r="OQE28" s="2511"/>
      <c r="OQF28" s="2511"/>
      <c r="OQG28" s="2511"/>
      <c r="OQH28" s="2511"/>
      <c r="OQI28" s="2511"/>
      <c r="OQJ28" s="2511"/>
      <c r="OQK28" s="2511"/>
      <c r="OQL28" s="2511"/>
      <c r="OQM28" s="2511"/>
      <c r="OQN28" s="2511"/>
      <c r="OQO28" s="2511"/>
      <c r="OQP28" s="2511"/>
      <c r="OQQ28" s="2511"/>
      <c r="OQR28" s="2511"/>
      <c r="OQS28" s="2511"/>
      <c r="OQT28" s="2511"/>
      <c r="OQU28" s="2511"/>
      <c r="OQV28" s="2511"/>
      <c r="OQW28" s="2511"/>
      <c r="OQX28" s="2511"/>
      <c r="OQY28" s="2511"/>
      <c r="OQZ28" s="2511"/>
      <c r="ORA28" s="2511"/>
      <c r="ORB28" s="2511"/>
      <c r="ORC28" s="2511"/>
      <c r="ORD28" s="2511"/>
      <c r="ORE28" s="2511"/>
      <c r="ORF28" s="2511"/>
      <c r="ORG28" s="2511"/>
      <c r="ORH28" s="2511"/>
      <c r="ORI28" s="2511"/>
      <c r="ORJ28" s="2511"/>
      <c r="ORK28" s="2511"/>
      <c r="ORL28" s="2511"/>
      <c r="ORM28" s="2511"/>
      <c r="ORN28" s="2511"/>
      <c r="ORO28" s="2511"/>
      <c r="ORP28" s="2511"/>
      <c r="ORQ28" s="2511"/>
      <c r="ORR28" s="2511"/>
      <c r="ORS28" s="2511"/>
      <c r="ORT28" s="2511"/>
      <c r="ORU28" s="2511"/>
      <c r="ORV28" s="2511"/>
      <c r="ORW28" s="2511"/>
      <c r="ORX28" s="2511"/>
      <c r="ORY28" s="2511"/>
      <c r="ORZ28" s="2511"/>
      <c r="OSA28" s="2511"/>
      <c r="OSB28" s="2511"/>
      <c r="OSC28" s="2511"/>
      <c r="OSD28" s="2511"/>
      <c r="OSE28" s="2511"/>
      <c r="OSF28" s="2511"/>
      <c r="OSG28" s="2511"/>
      <c r="OSH28" s="2511"/>
      <c r="OSI28" s="2511"/>
      <c r="OSJ28" s="2511"/>
      <c r="OSK28" s="2511"/>
      <c r="OSL28" s="2511"/>
      <c r="OSM28" s="2511"/>
      <c r="OSN28" s="2511"/>
      <c r="OSO28" s="2511"/>
      <c r="OSP28" s="2511"/>
      <c r="OSQ28" s="2511"/>
      <c r="OSR28" s="2511"/>
      <c r="OSS28" s="2511"/>
      <c r="OST28" s="2511"/>
      <c r="OSU28" s="2511"/>
      <c r="OSV28" s="2511"/>
      <c r="OSW28" s="2511"/>
      <c r="OSX28" s="2511"/>
      <c r="OSY28" s="2511"/>
      <c r="OSZ28" s="2511"/>
      <c r="OTA28" s="2511"/>
      <c r="OTB28" s="2511"/>
      <c r="OTC28" s="2511"/>
      <c r="OTD28" s="2511"/>
      <c r="OTE28" s="2511"/>
      <c r="OTF28" s="2511"/>
      <c r="OTG28" s="2511"/>
      <c r="OTH28" s="2511"/>
      <c r="OTI28" s="2511"/>
      <c r="OTJ28" s="2511"/>
      <c r="OTK28" s="2511"/>
      <c r="OTL28" s="2511"/>
      <c r="OTM28" s="2511"/>
      <c r="OTN28" s="2511"/>
      <c r="OTO28" s="2511"/>
      <c r="OTP28" s="2511"/>
      <c r="OTQ28" s="2511"/>
      <c r="OTR28" s="2511"/>
      <c r="OTS28" s="2511"/>
      <c r="OTT28" s="2511"/>
      <c r="OTU28" s="2511"/>
      <c r="OTV28" s="2511"/>
      <c r="OTW28" s="2511"/>
      <c r="OTX28" s="2511"/>
      <c r="OTY28" s="2511"/>
      <c r="OTZ28" s="2511"/>
      <c r="OUA28" s="2511"/>
      <c r="OUB28" s="2511"/>
      <c r="OUC28" s="2511"/>
      <c r="OUD28" s="2511"/>
      <c r="OUE28" s="2511"/>
      <c r="OUF28" s="2511"/>
      <c r="OUG28" s="2511"/>
      <c r="OUH28" s="2511"/>
      <c r="OUI28" s="2511"/>
      <c r="OUJ28" s="2511"/>
      <c r="OUK28" s="2511"/>
      <c r="OUL28" s="2511"/>
      <c r="OUM28" s="2511"/>
      <c r="OUN28" s="2511"/>
      <c r="OUO28" s="2511"/>
      <c r="OUP28" s="2511"/>
      <c r="OUQ28" s="2511"/>
      <c r="OUR28" s="2511"/>
      <c r="OUS28" s="2511"/>
      <c r="OUT28" s="2511"/>
      <c r="OUU28" s="2511"/>
      <c r="OUV28" s="2511"/>
      <c r="OUW28" s="2511"/>
      <c r="OUX28" s="2511"/>
      <c r="OUY28" s="2511"/>
      <c r="OUZ28" s="2511"/>
      <c r="OVA28" s="2511"/>
      <c r="OVB28" s="2511"/>
      <c r="OVC28" s="2511"/>
      <c r="OVD28" s="2511"/>
      <c r="OVE28" s="2511"/>
      <c r="OVF28" s="2511"/>
      <c r="OVG28" s="2511"/>
      <c r="OVH28" s="2511"/>
      <c r="OVI28" s="2511"/>
      <c r="OVJ28" s="2511"/>
      <c r="OVK28" s="2511"/>
      <c r="OVL28" s="2511"/>
      <c r="OVM28" s="2511"/>
      <c r="OVN28" s="2511"/>
      <c r="OVO28" s="2511"/>
      <c r="OVP28" s="2511"/>
      <c r="OVQ28" s="2511"/>
      <c r="OVR28" s="2511"/>
      <c r="OVS28" s="2511"/>
      <c r="OVT28" s="2511"/>
      <c r="OVU28" s="2511"/>
      <c r="OVV28" s="2511"/>
      <c r="OVW28" s="2511"/>
      <c r="OVX28" s="2511"/>
      <c r="OVY28" s="2511"/>
      <c r="OVZ28" s="2511"/>
      <c r="OWA28" s="2511"/>
      <c r="OWB28" s="2511"/>
      <c r="OWC28" s="2511"/>
      <c r="OWD28" s="2511"/>
      <c r="OWE28" s="2511"/>
      <c r="OWF28" s="2511"/>
      <c r="OWG28" s="2511"/>
      <c r="OWH28" s="2511"/>
      <c r="OWI28" s="2511"/>
      <c r="OWJ28" s="2511"/>
      <c r="OWK28" s="2511"/>
      <c r="OWL28" s="2511"/>
      <c r="OWM28" s="2511"/>
      <c r="OWN28" s="2511"/>
      <c r="OWO28" s="2511"/>
      <c r="OWP28" s="2511"/>
      <c r="OWQ28" s="2511"/>
      <c r="OWR28" s="2511"/>
      <c r="OWS28" s="2511"/>
      <c r="OWT28" s="2511"/>
      <c r="OWU28" s="2511"/>
      <c r="OWV28" s="2511"/>
      <c r="OWW28" s="2511"/>
      <c r="OWX28" s="2511"/>
      <c r="OWY28" s="2511"/>
      <c r="OWZ28" s="2511"/>
      <c r="OXA28" s="2511"/>
      <c r="OXB28" s="2511"/>
      <c r="OXC28" s="2511"/>
      <c r="OXD28" s="2511"/>
      <c r="OXE28" s="2511"/>
      <c r="OXF28" s="2511"/>
      <c r="OXG28" s="2511"/>
      <c r="OXH28" s="2511"/>
      <c r="OXI28" s="2511"/>
      <c r="OXJ28" s="2511"/>
      <c r="OXK28" s="2511"/>
      <c r="OXL28" s="2511"/>
      <c r="OXM28" s="2511"/>
      <c r="OXN28" s="2511"/>
      <c r="OXO28" s="2511"/>
      <c r="OXP28" s="2511"/>
      <c r="OXQ28" s="2511"/>
      <c r="OXR28" s="2511"/>
      <c r="OXS28" s="2511"/>
      <c r="OXT28" s="2511"/>
      <c r="OXU28" s="2511"/>
      <c r="OXV28" s="2511"/>
      <c r="OXW28" s="2511"/>
      <c r="OXX28" s="2511"/>
      <c r="OXY28" s="2511"/>
      <c r="OXZ28" s="2511"/>
      <c r="OYA28" s="2511"/>
      <c r="OYB28" s="2511"/>
      <c r="OYC28" s="2511"/>
      <c r="OYD28" s="2511"/>
      <c r="OYE28" s="2511"/>
      <c r="OYF28" s="2511"/>
      <c r="OYG28" s="2511"/>
      <c r="OYH28" s="2511"/>
      <c r="OYI28" s="2511"/>
      <c r="OYJ28" s="2511"/>
      <c r="OYK28" s="2511"/>
      <c r="OYL28" s="2511"/>
      <c r="OYM28" s="2511"/>
      <c r="OYN28" s="2511"/>
      <c r="OYO28" s="2511"/>
      <c r="OYP28" s="2511"/>
      <c r="OYQ28" s="2511"/>
      <c r="OYR28" s="2511"/>
      <c r="OYS28" s="2511"/>
      <c r="OYT28" s="2511"/>
      <c r="OYU28" s="2511"/>
      <c r="OYV28" s="2511"/>
      <c r="OYW28" s="2511"/>
      <c r="OYX28" s="2511"/>
      <c r="OYY28" s="2511"/>
      <c r="OYZ28" s="2511"/>
      <c r="OZA28" s="2511"/>
      <c r="OZB28" s="2511"/>
      <c r="OZC28" s="2511"/>
      <c r="OZD28" s="2511"/>
      <c r="OZE28" s="2511"/>
      <c r="OZF28" s="2511"/>
      <c r="OZG28" s="2511"/>
      <c r="OZH28" s="2511"/>
      <c r="OZI28" s="2511"/>
      <c r="OZJ28" s="2511"/>
      <c r="OZK28" s="2511"/>
      <c r="OZL28" s="2511"/>
      <c r="OZM28" s="2511"/>
      <c r="OZN28" s="2511"/>
      <c r="OZO28" s="2511"/>
      <c r="OZP28" s="2511"/>
      <c r="OZQ28" s="2511"/>
      <c r="OZR28" s="2511"/>
      <c r="OZS28" s="2511"/>
      <c r="OZT28" s="2511"/>
      <c r="OZU28" s="2511"/>
      <c r="OZV28" s="2511"/>
      <c r="OZW28" s="2511"/>
      <c r="OZX28" s="2511"/>
      <c r="OZY28" s="2511"/>
      <c r="OZZ28" s="2511"/>
      <c r="PAA28" s="2511"/>
      <c r="PAB28" s="2511"/>
      <c r="PAC28" s="2511"/>
      <c r="PAD28" s="2511"/>
      <c r="PAE28" s="2511"/>
      <c r="PAF28" s="2511"/>
      <c r="PAG28" s="2511"/>
      <c r="PAH28" s="2511"/>
      <c r="PAI28" s="2511"/>
      <c r="PAJ28" s="2511"/>
      <c r="PAK28" s="2511"/>
      <c r="PAL28" s="2511"/>
      <c r="PAM28" s="2511"/>
      <c r="PAN28" s="2511"/>
      <c r="PAO28" s="2511"/>
      <c r="PAP28" s="2511"/>
      <c r="PAQ28" s="2511"/>
      <c r="PAR28" s="2511"/>
      <c r="PAS28" s="2511"/>
      <c r="PAT28" s="2511"/>
      <c r="PAU28" s="2511"/>
      <c r="PAV28" s="2511"/>
      <c r="PAW28" s="2511"/>
      <c r="PAX28" s="2511"/>
      <c r="PAY28" s="2511"/>
      <c r="PAZ28" s="2511"/>
      <c r="PBA28" s="2511"/>
      <c r="PBB28" s="2511"/>
      <c r="PBC28" s="2511"/>
      <c r="PBD28" s="2511"/>
      <c r="PBE28" s="2511"/>
      <c r="PBF28" s="2511"/>
      <c r="PBG28" s="2511"/>
      <c r="PBH28" s="2511"/>
      <c r="PBI28" s="2511"/>
      <c r="PBJ28" s="2511"/>
      <c r="PBK28" s="2511"/>
      <c r="PBL28" s="2511"/>
      <c r="PBM28" s="2511"/>
      <c r="PBN28" s="2511"/>
      <c r="PBO28" s="2511"/>
      <c r="PBP28" s="2511"/>
      <c r="PBQ28" s="2511"/>
      <c r="PBR28" s="2511"/>
      <c r="PBS28" s="2511"/>
      <c r="PBT28" s="2511"/>
      <c r="PBU28" s="2511"/>
      <c r="PBV28" s="2511"/>
      <c r="PBW28" s="2511"/>
      <c r="PBX28" s="2511"/>
      <c r="PBY28" s="2511"/>
      <c r="PBZ28" s="2511"/>
      <c r="PCA28" s="2511"/>
      <c r="PCB28" s="2511"/>
      <c r="PCC28" s="2511"/>
      <c r="PCD28" s="2511"/>
      <c r="PCE28" s="2511"/>
      <c r="PCF28" s="2511"/>
      <c r="PCG28" s="2511"/>
      <c r="PCH28" s="2511"/>
      <c r="PCI28" s="2511"/>
      <c r="PCJ28" s="2511"/>
      <c r="PCK28" s="2511"/>
      <c r="PCL28" s="2511"/>
      <c r="PCM28" s="2511"/>
      <c r="PCN28" s="2511"/>
      <c r="PCO28" s="2511"/>
      <c r="PCP28" s="2511"/>
      <c r="PCQ28" s="2511"/>
      <c r="PCR28" s="2511"/>
      <c r="PCS28" s="2511"/>
      <c r="PCT28" s="2511"/>
      <c r="PCU28" s="2511"/>
      <c r="PCV28" s="2511"/>
      <c r="PCW28" s="2511"/>
      <c r="PCX28" s="2511"/>
      <c r="PCY28" s="2511"/>
      <c r="PCZ28" s="2511"/>
      <c r="PDA28" s="2511"/>
      <c r="PDB28" s="2511"/>
      <c r="PDC28" s="2511"/>
      <c r="PDD28" s="2511"/>
      <c r="PDE28" s="2511"/>
      <c r="PDF28" s="2511"/>
      <c r="PDG28" s="2511"/>
      <c r="PDH28" s="2511"/>
      <c r="PDI28" s="2511"/>
      <c r="PDJ28" s="2511"/>
      <c r="PDK28" s="2511"/>
      <c r="PDL28" s="2511"/>
      <c r="PDM28" s="2511"/>
      <c r="PDN28" s="2511"/>
      <c r="PDO28" s="2511"/>
      <c r="PDP28" s="2511"/>
      <c r="PDQ28" s="2511"/>
      <c r="PDR28" s="2511"/>
      <c r="PDS28" s="2511"/>
      <c r="PDT28" s="2511"/>
      <c r="PDU28" s="2511"/>
      <c r="PDV28" s="2511"/>
      <c r="PDW28" s="2511"/>
      <c r="PDX28" s="2511"/>
      <c r="PDY28" s="2511"/>
      <c r="PDZ28" s="2511"/>
      <c r="PEA28" s="2511"/>
      <c r="PEB28" s="2511"/>
      <c r="PEC28" s="2511"/>
      <c r="PED28" s="2511"/>
      <c r="PEE28" s="2511"/>
      <c r="PEF28" s="2511"/>
      <c r="PEG28" s="2511"/>
      <c r="PEH28" s="2511"/>
      <c r="PEI28" s="2511"/>
      <c r="PEJ28" s="2511"/>
      <c r="PEK28" s="2511"/>
      <c r="PEL28" s="2511"/>
      <c r="PEM28" s="2511"/>
      <c r="PEN28" s="2511"/>
      <c r="PEO28" s="2511"/>
      <c r="PEP28" s="2511"/>
      <c r="PEQ28" s="2511"/>
      <c r="PER28" s="2511"/>
      <c r="PES28" s="2511"/>
      <c r="PET28" s="2511"/>
      <c r="PEU28" s="2511"/>
      <c r="PEV28" s="2511"/>
      <c r="PEW28" s="2511"/>
      <c r="PEX28" s="2511"/>
      <c r="PEY28" s="2511"/>
      <c r="PEZ28" s="2511"/>
      <c r="PFA28" s="2511"/>
      <c r="PFB28" s="2511"/>
      <c r="PFC28" s="2511"/>
      <c r="PFD28" s="2511"/>
      <c r="PFE28" s="2511"/>
      <c r="PFF28" s="2511"/>
      <c r="PFG28" s="2511"/>
      <c r="PFH28" s="2511"/>
      <c r="PFI28" s="2511"/>
      <c r="PFJ28" s="2511"/>
      <c r="PFK28" s="2511"/>
      <c r="PFL28" s="2511"/>
      <c r="PFM28" s="2511"/>
      <c r="PFN28" s="2511"/>
      <c r="PFO28" s="2511"/>
      <c r="PFP28" s="2511"/>
      <c r="PFQ28" s="2511"/>
      <c r="PFR28" s="2511"/>
      <c r="PFS28" s="2511"/>
      <c r="PFT28" s="2511"/>
      <c r="PFU28" s="2511"/>
      <c r="PFV28" s="2511"/>
      <c r="PFW28" s="2511"/>
      <c r="PFX28" s="2511"/>
      <c r="PFY28" s="2511"/>
      <c r="PFZ28" s="2511"/>
      <c r="PGA28" s="2511"/>
      <c r="PGB28" s="2511"/>
      <c r="PGC28" s="2511"/>
      <c r="PGD28" s="2511"/>
      <c r="PGE28" s="2511"/>
      <c r="PGF28" s="2511"/>
      <c r="PGG28" s="2511"/>
      <c r="PGH28" s="2511"/>
      <c r="PGI28" s="2511"/>
      <c r="PGJ28" s="2511"/>
      <c r="PGK28" s="2511"/>
      <c r="PGL28" s="2511"/>
      <c r="PGM28" s="2511"/>
      <c r="PGN28" s="2511"/>
      <c r="PGO28" s="2511"/>
      <c r="PGP28" s="2511"/>
      <c r="PGQ28" s="2511"/>
      <c r="PGR28" s="2511"/>
      <c r="PGS28" s="2511"/>
      <c r="PGT28" s="2511"/>
      <c r="PGU28" s="2511"/>
      <c r="PGV28" s="2511"/>
      <c r="PGW28" s="2511"/>
      <c r="PGX28" s="2511"/>
      <c r="PGY28" s="2511"/>
      <c r="PGZ28" s="2511"/>
      <c r="PHA28" s="2511"/>
      <c r="PHB28" s="2511"/>
      <c r="PHC28" s="2511"/>
      <c r="PHD28" s="2511"/>
      <c r="PHE28" s="2511"/>
      <c r="PHF28" s="2511"/>
      <c r="PHG28" s="2511"/>
      <c r="PHH28" s="2511"/>
      <c r="PHI28" s="2511"/>
      <c r="PHJ28" s="2511"/>
      <c r="PHK28" s="2511"/>
      <c r="PHL28" s="2511"/>
      <c r="PHM28" s="2511"/>
      <c r="PHN28" s="2511"/>
      <c r="PHO28" s="2511"/>
      <c r="PHP28" s="2511"/>
      <c r="PHQ28" s="2511"/>
      <c r="PHR28" s="2511"/>
      <c r="PHS28" s="2511"/>
      <c r="PHT28" s="2511"/>
      <c r="PHU28" s="2511"/>
      <c r="PHV28" s="2511"/>
      <c r="PHW28" s="2511"/>
      <c r="PHX28" s="2511"/>
      <c r="PHY28" s="2511"/>
      <c r="PHZ28" s="2511"/>
      <c r="PIA28" s="2511"/>
      <c r="PIB28" s="2511"/>
      <c r="PIC28" s="2511"/>
      <c r="PID28" s="2511"/>
      <c r="PIE28" s="2511"/>
      <c r="PIF28" s="2511"/>
      <c r="PIG28" s="2511"/>
      <c r="PIH28" s="2511"/>
      <c r="PII28" s="2511"/>
      <c r="PIJ28" s="2511"/>
      <c r="PIK28" s="2511"/>
      <c r="PIL28" s="2511"/>
      <c r="PIM28" s="2511"/>
      <c r="PIN28" s="2511"/>
      <c r="PIO28" s="2511"/>
      <c r="PIP28" s="2511"/>
      <c r="PIQ28" s="2511"/>
      <c r="PIR28" s="2511"/>
      <c r="PIS28" s="2511"/>
      <c r="PIT28" s="2511"/>
      <c r="PIU28" s="2511"/>
      <c r="PIV28" s="2511"/>
      <c r="PIW28" s="2511"/>
      <c r="PIX28" s="2511"/>
      <c r="PIY28" s="2511"/>
      <c r="PIZ28" s="2511"/>
      <c r="PJA28" s="2511"/>
      <c r="PJB28" s="2511"/>
      <c r="PJC28" s="2511"/>
      <c r="PJD28" s="2511"/>
      <c r="PJE28" s="2511"/>
      <c r="PJF28" s="2511"/>
      <c r="PJG28" s="2511"/>
      <c r="PJH28" s="2511"/>
      <c r="PJI28" s="2511"/>
      <c r="PJJ28" s="2511"/>
      <c r="PJK28" s="2511"/>
      <c r="PJL28" s="2511"/>
      <c r="PJM28" s="2511"/>
      <c r="PJN28" s="2511"/>
      <c r="PJO28" s="2511"/>
      <c r="PJP28" s="2511"/>
      <c r="PJQ28" s="2511"/>
      <c r="PJR28" s="2511"/>
      <c r="PJS28" s="2511"/>
      <c r="PJT28" s="2511"/>
      <c r="PJU28" s="2511"/>
      <c r="PJV28" s="2511"/>
      <c r="PJW28" s="2511"/>
      <c r="PJX28" s="2511"/>
      <c r="PJY28" s="2511"/>
      <c r="PJZ28" s="2511"/>
      <c r="PKA28" s="2511"/>
      <c r="PKB28" s="2511"/>
      <c r="PKC28" s="2511"/>
      <c r="PKD28" s="2511"/>
      <c r="PKE28" s="2511"/>
      <c r="PKF28" s="2511"/>
      <c r="PKG28" s="2511"/>
      <c r="PKH28" s="2511"/>
      <c r="PKI28" s="2511"/>
      <c r="PKJ28" s="2511"/>
      <c r="PKK28" s="2511"/>
      <c r="PKL28" s="2511"/>
      <c r="PKM28" s="2511"/>
      <c r="PKN28" s="2511"/>
      <c r="PKO28" s="2511"/>
      <c r="PKP28" s="2511"/>
      <c r="PKQ28" s="2511"/>
      <c r="PKR28" s="2511"/>
      <c r="PKS28" s="2511"/>
      <c r="PKT28" s="2511"/>
      <c r="PKU28" s="2511"/>
      <c r="PKV28" s="2511"/>
      <c r="PKW28" s="2511"/>
      <c r="PKX28" s="2511"/>
      <c r="PKY28" s="2511"/>
      <c r="PKZ28" s="2511"/>
      <c r="PLA28" s="2511"/>
      <c r="PLB28" s="2511"/>
      <c r="PLC28" s="2511"/>
      <c r="PLD28" s="2511"/>
      <c r="PLE28" s="2511"/>
      <c r="PLF28" s="2511"/>
      <c r="PLG28" s="2511"/>
      <c r="PLH28" s="2511"/>
      <c r="PLI28" s="2511"/>
      <c r="PLJ28" s="2511"/>
      <c r="PLK28" s="2511"/>
      <c r="PLL28" s="2511"/>
      <c r="PLM28" s="2511"/>
      <c r="PLN28" s="2511"/>
      <c r="PLO28" s="2511"/>
      <c r="PLP28" s="2511"/>
      <c r="PLQ28" s="2511"/>
      <c r="PLR28" s="2511"/>
      <c r="PLS28" s="2511"/>
      <c r="PLT28" s="2511"/>
      <c r="PLU28" s="2511"/>
      <c r="PLV28" s="2511"/>
      <c r="PLW28" s="2511"/>
      <c r="PLX28" s="2511"/>
      <c r="PLY28" s="2511"/>
      <c r="PLZ28" s="2511"/>
      <c r="PMA28" s="2511"/>
      <c r="PMB28" s="2511"/>
      <c r="PMC28" s="2511"/>
      <c r="PMD28" s="2511"/>
      <c r="PME28" s="2511"/>
      <c r="PMF28" s="2511"/>
      <c r="PMG28" s="2511"/>
      <c r="PMH28" s="2511"/>
      <c r="PMI28" s="2511"/>
      <c r="PMJ28" s="2511"/>
      <c r="PMK28" s="2511"/>
      <c r="PML28" s="2511"/>
      <c r="PMM28" s="2511"/>
      <c r="PMN28" s="2511"/>
      <c r="PMO28" s="2511"/>
      <c r="PMP28" s="2511"/>
      <c r="PMQ28" s="2511"/>
      <c r="PMR28" s="2511"/>
      <c r="PMS28" s="2511"/>
      <c r="PMT28" s="2511"/>
      <c r="PMU28" s="2511"/>
      <c r="PMV28" s="2511"/>
      <c r="PMW28" s="2511"/>
      <c r="PMX28" s="2511"/>
      <c r="PMY28" s="2511"/>
      <c r="PMZ28" s="2511"/>
      <c r="PNA28" s="2511"/>
      <c r="PNB28" s="2511"/>
      <c r="PNC28" s="2511"/>
      <c r="PND28" s="2511"/>
      <c r="PNE28" s="2511"/>
      <c r="PNF28" s="2511"/>
      <c r="PNG28" s="2511"/>
      <c r="PNH28" s="2511"/>
      <c r="PNI28" s="2511"/>
      <c r="PNJ28" s="2511"/>
      <c r="PNK28" s="2511"/>
      <c r="PNL28" s="2511"/>
      <c r="PNM28" s="2511"/>
      <c r="PNN28" s="2511"/>
      <c r="PNO28" s="2511"/>
      <c r="PNP28" s="2511"/>
      <c r="PNQ28" s="2511"/>
      <c r="PNR28" s="2511"/>
      <c r="PNS28" s="2511"/>
      <c r="PNT28" s="2511"/>
      <c r="PNU28" s="2511"/>
      <c r="PNV28" s="2511"/>
      <c r="PNW28" s="2511"/>
      <c r="PNX28" s="2511"/>
      <c r="PNY28" s="2511"/>
      <c r="PNZ28" s="2511"/>
      <c r="POA28" s="2511"/>
      <c r="POB28" s="2511"/>
      <c r="POC28" s="2511"/>
      <c r="POD28" s="2511"/>
      <c r="POE28" s="2511"/>
      <c r="POF28" s="2511"/>
      <c r="POG28" s="2511"/>
      <c r="POH28" s="2511"/>
      <c r="POI28" s="2511"/>
      <c r="POJ28" s="2511"/>
      <c r="POK28" s="2511"/>
      <c r="POL28" s="2511"/>
      <c r="POM28" s="2511"/>
      <c r="PON28" s="2511"/>
      <c r="POO28" s="2511"/>
      <c r="POP28" s="2511"/>
      <c r="POQ28" s="2511"/>
      <c r="POR28" s="2511"/>
      <c r="POS28" s="2511"/>
      <c r="POT28" s="2511"/>
      <c r="POU28" s="2511"/>
      <c r="POV28" s="2511"/>
      <c r="POW28" s="2511"/>
      <c r="POX28" s="2511"/>
      <c r="POY28" s="2511"/>
      <c r="POZ28" s="2511"/>
      <c r="PPA28" s="2511"/>
      <c r="PPB28" s="2511"/>
      <c r="PPC28" s="2511"/>
      <c r="PPD28" s="2511"/>
      <c r="PPE28" s="2511"/>
      <c r="PPF28" s="2511"/>
      <c r="PPG28" s="2511"/>
      <c r="PPH28" s="2511"/>
      <c r="PPI28" s="2511"/>
      <c r="PPJ28" s="2511"/>
      <c r="PPK28" s="2511"/>
      <c r="PPL28" s="2511"/>
      <c r="PPM28" s="2511"/>
      <c r="PPN28" s="2511"/>
      <c r="PPO28" s="2511"/>
      <c r="PPP28" s="2511"/>
      <c r="PPQ28" s="2511"/>
      <c r="PPR28" s="2511"/>
      <c r="PPS28" s="2511"/>
      <c r="PPT28" s="2511"/>
      <c r="PPU28" s="2511"/>
      <c r="PPV28" s="2511"/>
      <c r="PPW28" s="2511"/>
      <c r="PPX28" s="2511"/>
      <c r="PPY28" s="2511"/>
      <c r="PPZ28" s="2511"/>
      <c r="PQA28" s="2511"/>
      <c r="PQB28" s="2511"/>
      <c r="PQC28" s="2511"/>
      <c r="PQD28" s="2511"/>
      <c r="PQE28" s="2511"/>
      <c r="PQF28" s="2511"/>
      <c r="PQG28" s="2511"/>
      <c r="PQH28" s="2511"/>
      <c r="PQI28" s="2511"/>
      <c r="PQJ28" s="2511"/>
      <c r="PQK28" s="2511"/>
      <c r="PQL28" s="2511"/>
      <c r="PQM28" s="2511"/>
      <c r="PQN28" s="2511"/>
      <c r="PQO28" s="2511"/>
      <c r="PQP28" s="2511"/>
      <c r="PQQ28" s="2511"/>
      <c r="PQR28" s="2511"/>
      <c r="PQS28" s="2511"/>
      <c r="PQT28" s="2511"/>
      <c r="PQU28" s="2511"/>
      <c r="PQV28" s="2511"/>
      <c r="PQW28" s="2511"/>
      <c r="PQX28" s="2511"/>
      <c r="PQY28" s="2511"/>
      <c r="PQZ28" s="2511"/>
      <c r="PRA28" s="2511"/>
      <c r="PRB28" s="2511"/>
      <c r="PRC28" s="2511"/>
      <c r="PRD28" s="2511"/>
      <c r="PRE28" s="2511"/>
      <c r="PRF28" s="2511"/>
      <c r="PRG28" s="2511"/>
      <c r="PRH28" s="2511"/>
      <c r="PRI28" s="2511"/>
      <c r="PRJ28" s="2511"/>
      <c r="PRK28" s="2511"/>
      <c r="PRL28" s="2511"/>
      <c r="PRM28" s="2511"/>
      <c r="PRN28" s="2511"/>
      <c r="PRO28" s="2511"/>
      <c r="PRP28" s="2511"/>
      <c r="PRQ28" s="2511"/>
      <c r="PRR28" s="2511"/>
      <c r="PRS28" s="2511"/>
      <c r="PRT28" s="2511"/>
      <c r="PRU28" s="2511"/>
      <c r="PRV28" s="2511"/>
      <c r="PRW28" s="2511"/>
      <c r="PRX28" s="2511"/>
      <c r="PRY28" s="2511"/>
      <c r="PRZ28" s="2511"/>
      <c r="PSA28" s="2511"/>
      <c r="PSB28" s="2511"/>
      <c r="PSC28" s="2511"/>
      <c r="PSD28" s="2511"/>
      <c r="PSE28" s="2511"/>
      <c r="PSF28" s="2511"/>
      <c r="PSG28" s="2511"/>
      <c r="PSH28" s="2511"/>
      <c r="PSI28" s="2511"/>
      <c r="PSJ28" s="2511"/>
      <c r="PSK28" s="2511"/>
      <c r="PSL28" s="2511"/>
      <c r="PSM28" s="2511"/>
      <c r="PSN28" s="2511"/>
      <c r="PSO28" s="2511"/>
      <c r="PSP28" s="2511"/>
      <c r="PSQ28" s="2511"/>
      <c r="PSR28" s="2511"/>
      <c r="PSS28" s="2511"/>
      <c r="PST28" s="2511"/>
      <c r="PSU28" s="2511"/>
      <c r="PSV28" s="2511"/>
      <c r="PSW28" s="2511"/>
      <c r="PSX28" s="2511"/>
      <c r="PSY28" s="2511"/>
      <c r="PSZ28" s="2511"/>
      <c r="PTA28" s="2511"/>
      <c r="PTB28" s="2511"/>
      <c r="PTC28" s="2511"/>
      <c r="PTD28" s="2511"/>
      <c r="PTE28" s="2511"/>
      <c r="PTF28" s="2511"/>
      <c r="PTG28" s="2511"/>
      <c r="PTH28" s="2511"/>
      <c r="PTI28" s="2511"/>
      <c r="PTJ28" s="2511"/>
      <c r="PTK28" s="2511"/>
      <c r="PTL28" s="2511"/>
      <c r="PTM28" s="2511"/>
      <c r="PTN28" s="2511"/>
      <c r="PTO28" s="2511"/>
      <c r="PTP28" s="2511"/>
      <c r="PTQ28" s="2511"/>
      <c r="PTR28" s="2511"/>
      <c r="PTS28" s="2511"/>
      <c r="PTT28" s="2511"/>
      <c r="PTU28" s="2511"/>
      <c r="PTV28" s="2511"/>
      <c r="PTW28" s="2511"/>
      <c r="PTX28" s="2511"/>
      <c r="PTY28" s="2511"/>
      <c r="PTZ28" s="2511"/>
      <c r="PUA28" s="2511"/>
      <c r="PUB28" s="2511"/>
      <c r="PUC28" s="2511"/>
      <c r="PUD28" s="2511"/>
      <c r="PUE28" s="2511"/>
      <c r="PUF28" s="2511"/>
      <c r="PUG28" s="2511"/>
      <c r="PUH28" s="2511"/>
      <c r="PUI28" s="2511"/>
      <c r="PUJ28" s="2511"/>
      <c r="PUK28" s="2511"/>
      <c r="PUL28" s="2511"/>
      <c r="PUM28" s="2511"/>
      <c r="PUN28" s="2511"/>
      <c r="PUO28" s="2511"/>
      <c r="PUP28" s="2511"/>
      <c r="PUQ28" s="2511"/>
      <c r="PUR28" s="2511"/>
      <c r="PUS28" s="2511"/>
      <c r="PUT28" s="2511"/>
      <c r="PUU28" s="2511"/>
      <c r="PUV28" s="2511"/>
      <c r="PUW28" s="2511"/>
      <c r="PUX28" s="2511"/>
      <c r="PUY28" s="2511"/>
      <c r="PUZ28" s="2511"/>
      <c r="PVA28" s="2511"/>
      <c r="PVB28" s="2511"/>
      <c r="PVC28" s="2511"/>
      <c r="PVD28" s="2511"/>
      <c r="PVE28" s="2511"/>
      <c r="PVF28" s="2511"/>
      <c r="PVG28" s="2511"/>
      <c r="PVH28" s="2511"/>
      <c r="PVI28" s="2511"/>
      <c r="PVJ28" s="2511"/>
      <c r="PVK28" s="2511"/>
      <c r="PVL28" s="2511"/>
      <c r="PVM28" s="2511"/>
      <c r="PVN28" s="2511"/>
      <c r="PVO28" s="2511"/>
      <c r="PVP28" s="2511"/>
      <c r="PVQ28" s="2511"/>
      <c r="PVR28" s="2511"/>
      <c r="PVS28" s="2511"/>
      <c r="PVT28" s="2511"/>
      <c r="PVU28" s="2511"/>
      <c r="PVV28" s="2511"/>
      <c r="PVW28" s="2511"/>
      <c r="PVX28" s="2511"/>
      <c r="PVY28" s="2511"/>
      <c r="PVZ28" s="2511"/>
      <c r="PWA28" s="2511"/>
      <c r="PWB28" s="2511"/>
      <c r="PWC28" s="2511"/>
      <c r="PWD28" s="2511"/>
      <c r="PWE28" s="2511"/>
      <c r="PWF28" s="2511"/>
      <c r="PWG28" s="2511"/>
      <c r="PWH28" s="2511"/>
      <c r="PWI28" s="2511"/>
      <c r="PWJ28" s="2511"/>
      <c r="PWK28" s="2511"/>
      <c r="PWL28" s="2511"/>
      <c r="PWM28" s="2511"/>
      <c r="PWN28" s="2511"/>
      <c r="PWO28" s="2511"/>
      <c r="PWP28" s="2511"/>
      <c r="PWQ28" s="2511"/>
      <c r="PWR28" s="2511"/>
      <c r="PWS28" s="2511"/>
      <c r="PWT28" s="2511"/>
      <c r="PWU28" s="2511"/>
      <c r="PWV28" s="2511"/>
      <c r="PWW28" s="2511"/>
      <c r="PWX28" s="2511"/>
      <c r="PWY28" s="2511"/>
      <c r="PWZ28" s="2511"/>
      <c r="PXA28" s="2511"/>
      <c r="PXB28" s="2511"/>
      <c r="PXC28" s="2511"/>
      <c r="PXD28" s="2511"/>
      <c r="PXE28" s="2511"/>
      <c r="PXF28" s="2511"/>
      <c r="PXG28" s="2511"/>
      <c r="PXH28" s="2511"/>
      <c r="PXI28" s="2511"/>
      <c r="PXJ28" s="2511"/>
      <c r="PXK28" s="2511"/>
      <c r="PXL28" s="2511"/>
      <c r="PXM28" s="2511"/>
      <c r="PXN28" s="2511"/>
      <c r="PXO28" s="2511"/>
      <c r="PXP28" s="2511"/>
      <c r="PXQ28" s="2511"/>
      <c r="PXR28" s="2511"/>
      <c r="PXS28" s="2511"/>
      <c r="PXT28" s="2511"/>
      <c r="PXU28" s="2511"/>
      <c r="PXV28" s="2511"/>
      <c r="PXW28" s="2511"/>
      <c r="PXX28" s="2511"/>
      <c r="PXY28" s="2511"/>
      <c r="PXZ28" s="2511"/>
      <c r="PYA28" s="2511"/>
      <c r="PYB28" s="2511"/>
      <c r="PYC28" s="2511"/>
      <c r="PYD28" s="2511"/>
      <c r="PYE28" s="2511"/>
      <c r="PYF28" s="2511"/>
      <c r="PYG28" s="2511"/>
      <c r="PYH28" s="2511"/>
      <c r="PYI28" s="2511"/>
      <c r="PYJ28" s="2511"/>
      <c r="PYK28" s="2511"/>
      <c r="PYL28" s="2511"/>
      <c r="PYM28" s="2511"/>
      <c r="PYN28" s="2511"/>
      <c r="PYO28" s="2511"/>
      <c r="PYP28" s="2511"/>
      <c r="PYQ28" s="2511"/>
      <c r="PYR28" s="2511"/>
      <c r="PYS28" s="2511"/>
      <c r="PYT28" s="2511"/>
      <c r="PYU28" s="2511"/>
      <c r="PYV28" s="2511"/>
      <c r="PYW28" s="2511"/>
      <c r="PYX28" s="2511"/>
      <c r="PYY28" s="2511"/>
      <c r="PYZ28" s="2511"/>
      <c r="PZA28" s="2511"/>
      <c r="PZB28" s="2511"/>
      <c r="PZC28" s="2511"/>
      <c r="PZD28" s="2511"/>
      <c r="PZE28" s="2511"/>
      <c r="PZF28" s="2511"/>
      <c r="PZG28" s="2511"/>
      <c r="PZH28" s="2511"/>
      <c r="PZI28" s="2511"/>
      <c r="PZJ28" s="2511"/>
      <c r="PZK28" s="2511"/>
      <c r="PZL28" s="2511"/>
      <c r="PZM28" s="2511"/>
      <c r="PZN28" s="2511"/>
      <c r="PZO28" s="2511"/>
      <c r="PZP28" s="2511"/>
      <c r="PZQ28" s="2511"/>
      <c r="PZR28" s="2511"/>
      <c r="PZS28" s="2511"/>
      <c r="PZT28" s="2511"/>
      <c r="PZU28" s="2511"/>
      <c r="PZV28" s="2511"/>
      <c r="PZW28" s="2511"/>
      <c r="PZX28" s="2511"/>
      <c r="PZY28" s="2511"/>
      <c r="PZZ28" s="2511"/>
      <c r="QAA28" s="2511"/>
      <c r="QAB28" s="2511"/>
      <c r="QAC28" s="2511"/>
      <c r="QAD28" s="2511"/>
      <c r="QAE28" s="2511"/>
      <c r="QAF28" s="2511"/>
      <c r="QAG28" s="2511"/>
      <c r="QAH28" s="2511"/>
      <c r="QAI28" s="2511"/>
      <c r="QAJ28" s="2511"/>
      <c r="QAK28" s="2511"/>
      <c r="QAL28" s="2511"/>
      <c r="QAM28" s="2511"/>
      <c r="QAN28" s="2511"/>
      <c r="QAO28" s="2511"/>
      <c r="QAP28" s="2511"/>
      <c r="QAQ28" s="2511"/>
      <c r="QAR28" s="2511"/>
      <c r="QAS28" s="2511"/>
      <c r="QAT28" s="2511"/>
      <c r="QAU28" s="2511"/>
      <c r="QAV28" s="2511"/>
      <c r="QAW28" s="2511"/>
      <c r="QAX28" s="2511"/>
      <c r="QAY28" s="2511"/>
      <c r="QAZ28" s="2511"/>
      <c r="QBA28" s="2511"/>
      <c r="QBB28" s="2511"/>
      <c r="QBC28" s="2511"/>
      <c r="QBD28" s="2511"/>
      <c r="QBE28" s="2511"/>
      <c r="QBF28" s="2511"/>
      <c r="QBG28" s="2511"/>
      <c r="QBH28" s="2511"/>
      <c r="QBI28" s="2511"/>
      <c r="QBJ28" s="2511"/>
      <c r="QBK28" s="2511"/>
      <c r="QBL28" s="2511"/>
      <c r="QBM28" s="2511"/>
      <c r="QBN28" s="2511"/>
      <c r="QBO28" s="2511"/>
      <c r="QBP28" s="2511"/>
      <c r="QBQ28" s="2511"/>
      <c r="QBR28" s="2511"/>
      <c r="QBS28" s="2511"/>
      <c r="QBT28" s="2511"/>
      <c r="QBU28" s="2511"/>
      <c r="QBV28" s="2511"/>
      <c r="QBW28" s="2511"/>
      <c r="QBX28" s="2511"/>
      <c r="QBY28" s="2511"/>
      <c r="QBZ28" s="2511"/>
      <c r="QCA28" s="2511"/>
      <c r="QCB28" s="2511"/>
      <c r="QCC28" s="2511"/>
      <c r="QCD28" s="2511"/>
      <c r="QCE28" s="2511"/>
      <c r="QCF28" s="2511"/>
      <c r="QCG28" s="2511"/>
      <c r="QCH28" s="2511"/>
      <c r="QCI28" s="2511"/>
      <c r="QCJ28" s="2511"/>
      <c r="QCK28" s="2511"/>
      <c r="QCL28" s="2511"/>
      <c r="QCM28" s="2511"/>
      <c r="QCN28" s="2511"/>
      <c r="QCO28" s="2511"/>
      <c r="QCP28" s="2511"/>
      <c r="QCQ28" s="2511"/>
      <c r="QCR28" s="2511"/>
      <c r="QCS28" s="2511"/>
      <c r="QCT28" s="2511"/>
      <c r="QCU28" s="2511"/>
      <c r="QCV28" s="2511"/>
      <c r="QCW28" s="2511"/>
      <c r="QCX28" s="2511"/>
      <c r="QCY28" s="2511"/>
      <c r="QCZ28" s="2511"/>
      <c r="QDA28" s="2511"/>
      <c r="QDB28" s="2511"/>
      <c r="QDC28" s="2511"/>
      <c r="QDD28" s="2511"/>
      <c r="QDE28" s="2511"/>
      <c r="QDF28" s="2511"/>
      <c r="QDG28" s="2511"/>
      <c r="QDH28" s="2511"/>
      <c r="QDI28" s="2511"/>
      <c r="QDJ28" s="2511"/>
      <c r="QDK28" s="2511"/>
      <c r="QDL28" s="2511"/>
      <c r="QDM28" s="2511"/>
      <c r="QDN28" s="2511"/>
      <c r="QDO28" s="2511"/>
      <c r="QDP28" s="2511"/>
      <c r="QDQ28" s="2511"/>
      <c r="QDR28" s="2511"/>
      <c r="QDS28" s="2511"/>
      <c r="QDT28" s="2511"/>
      <c r="QDU28" s="2511"/>
      <c r="QDV28" s="2511"/>
      <c r="QDW28" s="2511"/>
      <c r="QDX28" s="2511"/>
      <c r="QDY28" s="2511"/>
      <c r="QDZ28" s="2511"/>
      <c r="QEA28" s="2511"/>
      <c r="QEB28" s="2511"/>
      <c r="QEC28" s="2511"/>
      <c r="QED28" s="2511"/>
      <c r="QEE28" s="2511"/>
      <c r="QEF28" s="2511"/>
      <c r="QEG28" s="2511"/>
      <c r="QEH28" s="2511"/>
      <c r="QEI28" s="2511"/>
      <c r="QEJ28" s="2511"/>
      <c r="QEK28" s="2511"/>
      <c r="QEL28" s="2511"/>
      <c r="QEM28" s="2511"/>
      <c r="QEN28" s="2511"/>
      <c r="QEO28" s="2511"/>
      <c r="QEP28" s="2511"/>
      <c r="QEQ28" s="2511"/>
      <c r="QER28" s="2511"/>
      <c r="QES28" s="2511"/>
      <c r="QET28" s="2511"/>
      <c r="QEU28" s="2511"/>
      <c r="QEV28" s="2511"/>
      <c r="QEW28" s="2511"/>
      <c r="QEX28" s="2511"/>
      <c r="QEY28" s="2511"/>
      <c r="QEZ28" s="2511"/>
      <c r="QFA28" s="2511"/>
      <c r="QFB28" s="2511"/>
      <c r="QFC28" s="2511"/>
      <c r="QFD28" s="2511"/>
      <c r="QFE28" s="2511"/>
      <c r="QFF28" s="2511"/>
      <c r="QFG28" s="2511"/>
      <c r="QFH28" s="2511"/>
      <c r="QFI28" s="2511"/>
      <c r="QFJ28" s="2511"/>
      <c r="QFK28" s="2511"/>
      <c r="QFL28" s="2511"/>
      <c r="QFM28" s="2511"/>
      <c r="QFN28" s="2511"/>
      <c r="QFO28" s="2511"/>
      <c r="QFP28" s="2511"/>
      <c r="QFQ28" s="2511"/>
      <c r="QFR28" s="2511"/>
      <c r="QFS28" s="2511"/>
      <c r="QFT28" s="2511"/>
      <c r="QFU28" s="2511"/>
      <c r="QFV28" s="2511"/>
      <c r="QFW28" s="2511"/>
      <c r="QFX28" s="2511"/>
      <c r="QFY28" s="2511"/>
      <c r="QFZ28" s="2511"/>
      <c r="QGA28" s="2511"/>
      <c r="QGB28" s="2511"/>
      <c r="QGC28" s="2511"/>
      <c r="QGD28" s="2511"/>
      <c r="QGE28" s="2511"/>
      <c r="QGF28" s="2511"/>
      <c r="QGG28" s="2511"/>
      <c r="QGH28" s="2511"/>
      <c r="QGI28" s="2511"/>
      <c r="QGJ28" s="2511"/>
      <c r="QGK28" s="2511"/>
      <c r="QGL28" s="2511"/>
      <c r="QGM28" s="2511"/>
      <c r="QGN28" s="2511"/>
      <c r="QGO28" s="2511"/>
      <c r="QGP28" s="2511"/>
      <c r="QGQ28" s="2511"/>
      <c r="QGR28" s="2511"/>
      <c r="QGS28" s="2511"/>
      <c r="QGT28" s="2511"/>
      <c r="QGU28" s="2511"/>
      <c r="QGV28" s="2511"/>
      <c r="QGW28" s="2511"/>
      <c r="QGX28" s="2511"/>
      <c r="QGY28" s="2511"/>
      <c r="QGZ28" s="2511"/>
      <c r="QHA28" s="2511"/>
      <c r="QHB28" s="2511"/>
      <c r="QHC28" s="2511"/>
      <c r="QHD28" s="2511"/>
      <c r="QHE28" s="2511"/>
      <c r="QHF28" s="2511"/>
      <c r="QHG28" s="2511"/>
      <c r="QHH28" s="2511"/>
      <c r="QHI28" s="2511"/>
      <c r="QHJ28" s="2511"/>
      <c r="QHK28" s="2511"/>
      <c r="QHL28" s="2511"/>
      <c r="QHM28" s="2511"/>
      <c r="QHN28" s="2511"/>
      <c r="QHO28" s="2511"/>
      <c r="QHP28" s="2511"/>
      <c r="QHQ28" s="2511"/>
      <c r="QHR28" s="2511"/>
      <c r="QHS28" s="2511"/>
      <c r="QHT28" s="2511"/>
      <c r="QHU28" s="2511"/>
      <c r="QHV28" s="2511"/>
      <c r="QHW28" s="2511"/>
      <c r="QHX28" s="2511"/>
      <c r="QHY28" s="2511"/>
      <c r="QHZ28" s="2511"/>
      <c r="QIA28" s="2511"/>
      <c r="QIB28" s="2511"/>
      <c r="QIC28" s="2511"/>
      <c r="QID28" s="2511"/>
      <c r="QIE28" s="2511"/>
      <c r="QIF28" s="2511"/>
      <c r="QIG28" s="2511"/>
      <c r="QIH28" s="2511"/>
      <c r="QII28" s="2511"/>
      <c r="QIJ28" s="2511"/>
      <c r="QIK28" s="2511"/>
      <c r="QIL28" s="2511"/>
      <c r="QIM28" s="2511"/>
      <c r="QIN28" s="2511"/>
      <c r="QIO28" s="2511"/>
      <c r="QIP28" s="2511"/>
      <c r="QIQ28" s="2511"/>
      <c r="QIR28" s="2511"/>
      <c r="QIS28" s="2511"/>
      <c r="QIT28" s="2511"/>
      <c r="QIU28" s="2511"/>
      <c r="QIV28" s="2511"/>
      <c r="QIW28" s="2511"/>
      <c r="QIX28" s="2511"/>
      <c r="QIY28" s="2511"/>
      <c r="QIZ28" s="2511"/>
      <c r="QJA28" s="2511"/>
      <c r="QJB28" s="2511"/>
      <c r="QJC28" s="2511"/>
      <c r="QJD28" s="2511"/>
      <c r="QJE28" s="2511"/>
      <c r="QJF28" s="2511"/>
      <c r="QJG28" s="2511"/>
      <c r="QJH28" s="2511"/>
      <c r="QJI28" s="2511"/>
      <c r="QJJ28" s="2511"/>
      <c r="QJK28" s="2511"/>
      <c r="QJL28" s="2511"/>
      <c r="QJM28" s="2511"/>
      <c r="QJN28" s="2511"/>
      <c r="QJO28" s="2511"/>
      <c r="QJP28" s="2511"/>
      <c r="QJQ28" s="2511"/>
      <c r="QJR28" s="2511"/>
      <c r="QJS28" s="2511"/>
      <c r="QJT28" s="2511"/>
      <c r="QJU28" s="2511"/>
      <c r="QJV28" s="2511"/>
      <c r="QJW28" s="2511"/>
      <c r="QJX28" s="2511"/>
      <c r="QJY28" s="2511"/>
      <c r="QJZ28" s="2511"/>
      <c r="QKA28" s="2511"/>
      <c r="QKB28" s="2511"/>
      <c r="QKC28" s="2511"/>
      <c r="QKD28" s="2511"/>
      <c r="QKE28" s="2511"/>
      <c r="QKF28" s="2511"/>
      <c r="QKG28" s="2511"/>
      <c r="QKH28" s="2511"/>
      <c r="QKI28" s="2511"/>
      <c r="QKJ28" s="2511"/>
      <c r="QKK28" s="2511"/>
      <c r="QKL28" s="2511"/>
      <c r="QKM28" s="2511"/>
      <c r="QKN28" s="2511"/>
      <c r="QKO28" s="2511"/>
      <c r="QKP28" s="2511"/>
      <c r="QKQ28" s="2511"/>
      <c r="QKR28" s="2511"/>
      <c r="QKS28" s="2511"/>
      <c r="QKT28" s="2511"/>
      <c r="QKU28" s="2511"/>
      <c r="QKV28" s="2511"/>
      <c r="QKW28" s="2511"/>
      <c r="QKX28" s="2511"/>
      <c r="QKY28" s="2511"/>
      <c r="QKZ28" s="2511"/>
      <c r="QLA28" s="2511"/>
      <c r="QLB28" s="2511"/>
      <c r="QLC28" s="2511"/>
      <c r="QLD28" s="2511"/>
      <c r="QLE28" s="2511"/>
      <c r="QLF28" s="2511"/>
      <c r="QLG28" s="2511"/>
      <c r="QLH28" s="2511"/>
      <c r="QLI28" s="2511"/>
      <c r="QLJ28" s="2511"/>
      <c r="QLK28" s="2511"/>
      <c r="QLL28" s="2511"/>
      <c r="QLM28" s="2511"/>
      <c r="QLN28" s="2511"/>
      <c r="QLO28" s="2511"/>
      <c r="QLP28" s="2511"/>
      <c r="QLQ28" s="2511"/>
      <c r="QLR28" s="2511"/>
      <c r="QLS28" s="2511"/>
      <c r="QLT28" s="2511"/>
      <c r="QLU28" s="2511"/>
      <c r="QLV28" s="2511"/>
      <c r="QLW28" s="2511"/>
      <c r="QLX28" s="2511"/>
      <c r="QLY28" s="2511"/>
      <c r="QLZ28" s="2511"/>
      <c r="QMA28" s="2511"/>
      <c r="QMB28" s="2511"/>
      <c r="QMC28" s="2511"/>
      <c r="QMD28" s="2511"/>
      <c r="QME28" s="2511"/>
      <c r="QMF28" s="2511"/>
      <c r="QMG28" s="2511"/>
      <c r="QMH28" s="2511"/>
      <c r="QMI28" s="2511"/>
      <c r="QMJ28" s="2511"/>
      <c r="QMK28" s="2511"/>
      <c r="QML28" s="2511"/>
      <c r="QMM28" s="2511"/>
      <c r="QMN28" s="2511"/>
      <c r="QMO28" s="2511"/>
      <c r="QMP28" s="2511"/>
      <c r="QMQ28" s="2511"/>
      <c r="QMR28" s="2511"/>
      <c r="QMS28" s="2511"/>
      <c r="QMT28" s="2511"/>
      <c r="QMU28" s="2511"/>
      <c r="QMV28" s="2511"/>
      <c r="QMW28" s="2511"/>
      <c r="QMX28" s="2511"/>
      <c r="QMY28" s="2511"/>
      <c r="QMZ28" s="2511"/>
      <c r="QNA28" s="2511"/>
      <c r="QNB28" s="2511"/>
      <c r="QNC28" s="2511"/>
      <c r="QND28" s="2511"/>
      <c r="QNE28" s="2511"/>
      <c r="QNF28" s="2511"/>
      <c r="QNG28" s="2511"/>
      <c r="QNH28" s="2511"/>
      <c r="QNI28" s="2511"/>
      <c r="QNJ28" s="2511"/>
      <c r="QNK28" s="2511"/>
      <c r="QNL28" s="2511"/>
      <c r="QNM28" s="2511"/>
      <c r="QNN28" s="2511"/>
      <c r="QNO28" s="2511"/>
      <c r="QNP28" s="2511"/>
      <c r="QNQ28" s="2511"/>
      <c r="QNR28" s="2511"/>
      <c r="QNS28" s="2511"/>
      <c r="QNT28" s="2511"/>
      <c r="QNU28" s="2511"/>
      <c r="QNV28" s="2511"/>
      <c r="QNW28" s="2511"/>
      <c r="QNX28" s="2511"/>
      <c r="QNY28" s="2511"/>
      <c r="QNZ28" s="2511"/>
      <c r="QOA28" s="2511"/>
      <c r="QOB28" s="2511"/>
      <c r="QOC28" s="2511"/>
      <c r="QOD28" s="2511"/>
      <c r="QOE28" s="2511"/>
      <c r="QOF28" s="2511"/>
      <c r="QOG28" s="2511"/>
      <c r="QOH28" s="2511"/>
      <c r="QOI28" s="2511"/>
      <c r="QOJ28" s="2511"/>
      <c r="QOK28" s="2511"/>
      <c r="QOL28" s="2511"/>
      <c r="QOM28" s="2511"/>
      <c r="QON28" s="2511"/>
      <c r="QOO28" s="2511"/>
      <c r="QOP28" s="2511"/>
      <c r="QOQ28" s="2511"/>
      <c r="QOR28" s="2511"/>
      <c r="QOS28" s="2511"/>
      <c r="QOT28" s="2511"/>
      <c r="QOU28" s="2511"/>
      <c r="QOV28" s="2511"/>
      <c r="QOW28" s="2511"/>
      <c r="QOX28" s="2511"/>
      <c r="QOY28" s="2511"/>
      <c r="QOZ28" s="2511"/>
      <c r="QPA28" s="2511"/>
      <c r="QPB28" s="2511"/>
      <c r="QPC28" s="2511"/>
      <c r="QPD28" s="2511"/>
      <c r="QPE28" s="2511"/>
      <c r="QPF28" s="2511"/>
      <c r="QPG28" s="2511"/>
      <c r="QPH28" s="2511"/>
      <c r="QPI28" s="2511"/>
      <c r="QPJ28" s="2511"/>
      <c r="QPK28" s="2511"/>
      <c r="QPL28" s="2511"/>
      <c r="QPM28" s="2511"/>
      <c r="QPN28" s="2511"/>
      <c r="QPO28" s="2511"/>
      <c r="QPP28" s="2511"/>
      <c r="QPQ28" s="2511"/>
      <c r="QPR28" s="2511"/>
      <c r="QPS28" s="2511"/>
      <c r="QPT28" s="2511"/>
      <c r="QPU28" s="2511"/>
      <c r="QPV28" s="2511"/>
      <c r="QPW28" s="2511"/>
      <c r="QPX28" s="2511"/>
      <c r="QPY28" s="2511"/>
      <c r="QPZ28" s="2511"/>
      <c r="QQA28" s="2511"/>
      <c r="QQB28" s="2511"/>
      <c r="QQC28" s="2511"/>
      <c r="QQD28" s="2511"/>
      <c r="QQE28" s="2511"/>
      <c r="QQF28" s="2511"/>
      <c r="QQG28" s="2511"/>
      <c r="QQH28" s="2511"/>
      <c r="QQI28" s="2511"/>
      <c r="QQJ28" s="2511"/>
      <c r="QQK28" s="2511"/>
      <c r="QQL28" s="2511"/>
      <c r="QQM28" s="2511"/>
      <c r="QQN28" s="2511"/>
      <c r="QQO28" s="2511"/>
      <c r="QQP28" s="2511"/>
      <c r="QQQ28" s="2511"/>
      <c r="QQR28" s="2511"/>
      <c r="QQS28" s="2511"/>
      <c r="QQT28" s="2511"/>
      <c r="QQU28" s="2511"/>
      <c r="QQV28" s="2511"/>
      <c r="QQW28" s="2511"/>
      <c r="QQX28" s="2511"/>
      <c r="QQY28" s="2511"/>
      <c r="QQZ28" s="2511"/>
      <c r="QRA28" s="2511"/>
      <c r="QRB28" s="2511"/>
      <c r="QRC28" s="2511"/>
      <c r="QRD28" s="2511"/>
      <c r="QRE28" s="2511"/>
      <c r="QRF28" s="2511"/>
      <c r="QRG28" s="2511"/>
      <c r="QRH28" s="2511"/>
      <c r="QRI28" s="2511"/>
      <c r="QRJ28" s="2511"/>
      <c r="QRK28" s="2511"/>
      <c r="QRL28" s="2511"/>
      <c r="QRM28" s="2511"/>
      <c r="QRN28" s="2511"/>
      <c r="QRO28" s="2511"/>
      <c r="QRP28" s="2511"/>
      <c r="QRQ28" s="2511"/>
      <c r="QRR28" s="2511"/>
      <c r="QRS28" s="2511"/>
      <c r="QRT28" s="2511"/>
      <c r="QRU28" s="2511"/>
      <c r="QRV28" s="2511"/>
      <c r="QRW28" s="2511"/>
      <c r="QRX28" s="2511"/>
      <c r="QRY28" s="2511"/>
      <c r="QRZ28" s="2511"/>
      <c r="QSA28" s="2511"/>
      <c r="QSB28" s="2511"/>
      <c r="QSC28" s="2511"/>
      <c r="QSD28" s="2511"/>
      <c r="QSE28" s="2511"/>
      <c r="QSF28" s="2511"/>
      <c r="QSG28" s="2511"/>
      <c r="QSH28" s="2511"/>
      <c r="QSI28" s="2511"/>
      <c r="QSJ28" s="2511"/>
      <c r="QSK28" s="2511"/>
      <c r="QSL28" s="2511"/>
      <c r="QSM28" s="2511"/>
      <c r="QSN28" s="2511"/>
      <c r="QSO28" s="2511"/>
      <c r="QSP28" s="2511"/>
      <c r="QSQ28" s="2511"/>
      <c r="QSR28" s="2511"/>
      <c r="QSS28" s="2511"/>
      <c r="QST28" s="2511"/>
      <c r="QSU28" s="2511"/>
      <c r="QSV28" s="2511"/>
      <c r="QSW28" s="2511"/>
      <c r="QSX28" s="2511"/>
      <c r="QSY28" s="2511"/>
      <c r="QSZ28" s="2511"/>
      <c r="QTA28" s="2511"/>
      <c r="QTB28" s="2511"/>
      <c r="QTC28" s="2511"/>
      <c r="QTD28" s="2511"/>
      <c r="QTE28" s="2511"/>
      <c r="QTF28" s="2511"/>
      <c r="QTG28" s="2511"/>
      <c r="QTH28" s="2511"/>
      <c r="QTI28" s="2511"/>
      <c r="QTJ28" s="2511"/>
      <c r="QTK28" s="2511"/>
      <c r="QTL28" s="2511"/>
      <c r="QTM28" s="2511"/>
      <c r="QTN28" s="2511"/>
      <c r="QTO28" s="2511"/>
      <c r="QTP28" s="2511"/>
      <c r="QTQ28" s="2511"/>
      <c r="QTR28" s="2511"/>
      <c r="QTS28" s="2511"/>
      <c r="QTT28" s="2511"/>
      <c r="QTU28" s="2511"/>
      <c r="QTV28" s="2511"/>
      <c r="QTW28" s="2511"/>
      <c r="QTX28" s="2511"/>
      <c r="QTY28" s="2511"/>
      <c r="QTZ28" s="2511"/>
      <c r="QUA28" s="2511"/>
      <c r="QUB28" s="2511"/>
      <c r="QUC28" s="2511"/>
      <c r="QUD28" s="2511"/>
      <c r="QUE28" s="2511"/>
      <c r="QUF28" s="2511"/>
      <c r="QUG28" s="2511"/>
      <c r="QUH28" s="2511"/>
      <c r="QUI28" s="2511"/>
      <c r="QUJ28" s="2511"/>
      <c r="QUK28" s="2511"/>
      <c r="QUL28" s="2511"/>
      <c r="QUM28" s="2511"/>
      <c r="QUN28" s="2511"/>
      <c r="QUO28" s="2511"/>
      <c r="QUP28" s="2511"/>
      <c r="QUQ28" s="2511"/>
      <c r="QUR28" s="2511"/>
      <c r="QUS28" s="2511"/>
      <c r="QUT28" s="2511"/>
      <c r="QUU28" s="2511"/>
      <c r="QUV28" s="2511"/>
      <c r="QUW28" s="2511"/>
      <c r="QUX28" s="2511"/>
      <c r="QUY28" s="2511"/>
      <c r="QUZ28" s="2511"/>
      <c r="QVA28" s="2511"/>
      <c r="QVB28" s="2511"/>
      <c r="QVC28" s="2511"/>
      <c r="QVD28" s="2511"/>
      <c r="QVE28" s="2511"/>
      <c r="QVF28" s="2511"/>
      <c r="QVG28" s="2511"/>
      <c r="QVH28" s="2511"/>
      <c r="QVI28" s="2511"/>
      <c r="QVJ28" s="2511"/>
      <c r="QVK28" s="2511"/>
      <c r="QVL28" s="2511"/>
      <c r="QVM28" s="2511"/>
      <c r="QVN28" s="2511"/>
      <c r="QVO28" s="2511"/>
      <c r="QVP28" s="2511"/>
      <c r="QVQ28" s="2511"/>
      <c r="QVR28" s="2511"/>
      <c r="QVS28" s="2511"/>
      <c r="QVT28" s="2511"/>
      <c r="QVU28" s="2511"/>
      <c r="QVV28" s="2511"/>
      <c r="QVW28" s="2511"/>
      <c r="QVX28" s="2511"/>
      <c r="QVY28" s="2511"/>
      <c r="QVZ28" s="2511"/>
      <c r="QWA28" s="2511"/>
      <c r="QWB28" s="2511"/>
      <c r="QWC28" s="2511"/>
      <c r="QWD28" s="2511"/>
      <c r="QWE28" s="2511"/>
      <c r="QWF28" s="2511"/>
      <c r="QWG28" s="2511"/>
      <c r="QWH28" s="2511"/>
      <c r="QWI28" s="2511"/>
      <c r="QWJ28" s="2511"/>
      <c r="QWK28" s="2511"/>
      <c r="QWL28" s="2511"/>
      <c r="QWM28" s="2511"/>
      <c r="QWN28" s="2511"/>
      <c r="QWO28" s="2511"/>
      <c r="QWP28" s="2511"/>
      <c r="QWQ28" s="2511"/>
      <c r="QWR28" s="2511"/>
      <c r="QWS28" s="2511"/>
      <c r="QWT28" s="2511"/>
      <c r="QWU28" s="2511"/>
      <c r="QWV28" s="2511"/>
      <c r="QWW28" s="2511"/>
      <c r="QWX28" s="2511"/>
      <c r="QWY28" s="2511"/>
      <c r="QWZ28" s="2511"/>
      <c r="QXA28" s="2511"/>
      <c r="QXB28" s="2511"/>
      <c r="QXC28" s="2511"/>
      <c r="QXD28" s="2511"/>
      <c r="QXE28" s="2511"/>
      <c r="QXF28" s="2511"/>
      <c r="QXG28" s="2511"/>
      <c r="QXH28" s="2511"/>
      <c r="QXI28" s="2511"/>
      <c r="QXJ28" s="2511"/>
      <c r="QXK28" s="2511"/>
      <c r="QXL28" s="2511"/>
      <c r="QXM28" s="2511"/>
      <c r="QXN28" s="2511"/>
      <c r="QXO28" s="2511"/>
      <c r="QXP28" s="2511"/>
      <c r="QXQ28" s="2511"/>
      <c r="QXR28" s="2511"/>
      <c r="QXS28" s="2511"/>
      <c r="QXT28" s="2511"/>
      <c r="QXU28" s="2511"/>
      <c r="QXV28" s="2511"/>
      <c r="QXW28" s="2511"/>
      <c r="QXX28" s="2511"/>
      <c r="QXY28" s="2511"/>
      <c r="QXZ28" s="2511"/>
      <c r="QYA28" s="2511"/>
      <c r="QYB28" s="2511"/>
      <c r="QYC28" s="2511"/>
      <c r="QYD28" s="2511"/>
      <c r="QYE28" s="2511"/>
      <c r="QYF28" s="2511"/>
      <c r="QYG28" s="2511"/>
      <c r="QYH28" s="2511"/>
      <c r="QYI28" s="2511"/>
      <c r="QYJ28" s="2511"/>
      <c r="QYK28" s="2511"/>
      <c r="QYL28" s="2511"/>
      <c r="QYM28" s="2511"/>
      <c r="QYN28" s="2511"/>
      <c r="QYO28" s="2511"/>
      <c r="QYP28" s="2511"/>
      <c r="QYQ28" s="2511"/>
      <c r="QYR28" s="2511"/>
      <c r="QYS28" s="2511"/>
      <c r="QYT28" s="2511"/>
      <c r="QYU28" s="2511"/>
      <c r="QYV28" s="2511"/>
      <c r="QYW28" s="2511"/>
      <c r="QYX28" s="2511"/>
      <c r="QYY28" s="2511"/>
      <c r="QYZ28" s="2511"/>
      <c r="QZA28" s="2511"/>
      <c r="QZB28" s="2511"/>
      <c r="QZC28" s="2511"/>
      <c r="QZD28" s="2511"/>
      <c r="QZE28" s="2511"/>
      <c r="QZF28" s="2511"/>
      <c r="QZG28" s="2511"/>
      <c r="QZH28" s="2511"/>
      <c r="QZI28" s="2511"/>
      <c r="QZJ28" s="2511"/>
      <c r="QZK28" s="2511"/>
      <c r="QZL28" s="2511"/>
      <c r="QZM28" s="2511"/>
      <c r="QZN28" s="2511"/>
      <c r="QZO28" s="2511"/>
      <c r="QZP28" s="2511"/>
      <c r="QZQ28" s="2511"/>
      <c r="QZR28" s="2511"/>
      <c r="QZS28" s="2511"/>
      <c r="QZT28" s="2511"/>
      <c r="QZU28" s="2511"/>
      <c r="QZV28" s="2511"/>
      <c r="QZW28" s="2511"/>
      <c r="QZX28" s="2511"/>
      <c r="QZY28" s="2511"/>
      <c r="QZZ28" s="2511"/>
      <c r="RAA28" s="2511"/>
      <c r="RAB28" s="2511"/>
      <c r="RAC28" s="2511"/>
      <c r="RAD28" s="2511"/>
      <c r="RAE28" s="2511"/>
      <c r="RAF28" s="2511"/>
      <c r="RAG28" s="2511"/>
      <c r="RAH28" s="2511"/>
      <c r="RAI28" s="2511"/>
      <c r="RAJ28" s="2511"/>
      <c r="RAK28" s="2511"/>
      <c r="RAL28" s="2511"/>
      <c r="RAM28" s="2511"/>
      <c r="RAN28" s="2511"/>
      <c r="RAO28" s="2511"/>
      <c r="RAP28" s="2511"/>
      <c r="RAQ28" s="2511"/>
      <c r="RAR28" s="2511"/>
      <c r="RAS28" s="2511"/>
      <c r="RAT28" s="2511"/>
      <c r="RAU28" s="2511"/>
      <c r="RAV28" s="2511"/>
      <c r="RAW28" s="2511"/>
      <c r="RAX28" s="2511"/>
      <c r="RAY28" s="2511"/>
      <c r="RAZ28" s="2511"/>
      <c r="RBA28" s="2511"/>
      <c r="RBB28" s="2511"/>
      <c r="RBC28" s="2511"/>
      <c r="RBD28" s="2511"/>
      <c r="RBE28" s="2511"/>
      <c r="RBF28" s="2511"/>
      <c r="RBG28" s="2511"/>
      <c r="RBH28" s="2511"/>
      <c r="RBI28" s="2511"/>
      <c r="RBJ28" s="2511"/>
      <c r="RBK28" s="2511"/>
      <c r="RBL28" s="2511"/>
      <c r="RBM28" s="2511"/>
      <c r="RBN28" s="2511"/>
      <c r="RBO28" s="2511"/>
      <c r="RBP28" s="2511"/>
      <c r="RBQ28" s="2511"/>
      <c r="RBR28" s="2511"/>
      <c r="RBS28" s="2511"/>
      <c r="RBT28" s="2511"/>
      <c r="RBU28" s="2511"/>
      <c r="RBV28" s="2511"/>
      <c r="RBW28" s="2511"/>
      <c r="RBX28" s="2511"/>
      <c r="RBY28" s="2511"/>
      <c r="RBZ28" s="2511"/>
      <c r="RCA28" s="2511"/>
      <c r="RCB28" s="2511"/>
      <c r="RCC28" s="2511"/>
      <c r="RCD28" s="2511"/>
      <c r="RCE28" s="2511"/>
      <c r="RCF28" s="2511"/>
      <c r="RCG28" s="2511"/>
      <c r="RCH28" s="2511"/>
      <c r="RCI28" s="2511"/>
      <c r="RCJ28" s="2511"/>
      <c r="RCK28" s="2511"/>
      <c r="RCL28" s="2511"/>
      <c r="RCM28" s="2511"/>
      <c r="RCN28" s="2511"/>
      <c r="RCO28" s="2511"/>
      <c r="RCP28" s="2511"/>
      <c r="RCQ28" s="2511"/>
      <c r="RCR28" s="2511"/>
      <c r="RCS28" s="2511"/>
      <c r="RCT28" s="2511"/>
      <c r="RCU28" s="2511"/>
      <c r="RCV28" s="2511"/>
      <c r="RCW28" s="2511"/>
      <c r="RCX28" s="2511"/>
      <c r="RCY28" s="2511"/>
      <c r="RCZ28" s="2511"/>
      <c r="RDA28" s="2511"/>
      <c r="RDB28" s="2511"/>
      <c r="RDC28" s="2511"/>
      <c r="RDD28" s="2511"/>
      <c r="RDE28" s="2511"/>
      <c r="RDF28" s="2511"/>
      <c r="RDG28" s="2511"/>
      <c r="RDH28" s="2511"/>
      <c r="RDI28" s="2511"/>
      <c r="RDJ28" s="2511"/>
      <c r="RDK28" s="2511"/>
      <c r="RDL28" s="2511"/>
      <c r="RDM28" s="2511"/>
      <c r="RDN28" s="2511"/>
      <c r="RDO28" s="2511"/>
      <c r="RDP28" s="2511"/>
      <c r="RDQ28" s="2511"/>
      <c r="RDR28" s="2511"/>
      <c r="RDS28" s="2511"/>
      <c r="RDT28" s="2511"/>
      <c r="RDU28" s="2511"/>
      <c r="RDV28" s="2511"/>
      <c r="RDW28" s="2511"/>
      <c r="RDX28" s="2511"/>
      <c r="RDY28" s="2511"/>
      <c r="RDZ28" s="2511"/>
      <c r="REA28" s="2511"/>
      <c r="REB28" s="2511"/>
      <c r="REC28" s="2511"/>
      <c r="RED28" s="2511"/>
      <c r="REE28" s="2511"/>
      <c r="REF28" s="2511"/>
      <c r="REG28" s="2511"/>
      <c r="REH28" s="2511"/>
      <c r="REI28" s="2511"/>
      <c r="REJ28" s="2511"/>
      <c r="REK28" s="2511"/>
      <c r="REL28" s="2511"/>
      <c r="REM28" s="2511"/>
      <c r="REN28" s="2511"/>
      <c r="REO28" s="2511"/>
      <c r="REP28" s="2511"/>
      <c r="REQ28" s="2511"/>
      <c r="RER28" s="2511"/>
      <c r="RES28" s="2511"/>
      <c r="RET28" s="2511"/>
      <c r="REU28" s="2511"/>
      <c r="REV28" s="2511"/>
      <c r="REW28" s="2511"/>
      <c r="REX28" s="2511"/>
      <c r="REY28" s="2511"/>
      <c r="REZ28" s="2511"/>
      <c r="RFA28" s="2511"/>
      <c r="RFB28" s="2511"/>
      <c r="RFC28" s="2511"/>
      <c r="RFD28" s="2511"/>
      <c r="RFE28" s="2511"/>
      <c r="RFF28" s="2511"/>
      <c r="RFG28" s="2511"/>
      <c r="RFH28" s="2511"/>
      <c r="RFI28" s="2511"/>
      <c r="RFJ28" s="2511"/>
      <c r="RFK28" s="2511"/>
      <c r="RFL28" s="2511"/>
      <c r="RFM28" s="2511"/>
      <c r="RFN28" s="2511"/>
      <c r="RFO28" s="2511"/>
      <c r="RFP28" s="2511"/>
      <c r="RFQ28" s="2511"/>
      <c r="RFR28" s="2511"/>
      <c r="RFS28" s="2511"/>
      <c r="RFT28" s="2511"/>
      <c r="RFU28" s="2511"/>
      <c r="RFV28" s="2511"/>
      <c r="RFW28" s="2511"/>
      <c r="RFX28" s="2511"/>
      <c r="RFY28" s="2511"/>
      <c r="RFZ28" s="2511"/>
      <c r="RGA28" s="2511"/>
      <c r="RGB28" s="2511"/>
      <c r="RGC28" s="2511"/>
      <c r="RGD28" s="2511"/>
      <c r="RGE28" s="2511"/>
      <c r="RGF28" s="2511"/>
      <c r="RGG28" s="2511"/>
      <c r="RGH28" s="2511"/>
      <c r="RGI28" s="2511"/>
      <c r="RGJ28" s="2511"/>
      <c r="RGK28" s="2511"/>
      <c r="RGL28" s="2511"/>
      <c r="RGM28" s="2511"/>
      <c r="RGN28" s="2511"/>
      <c r="RGO28" s="2511"/>
      <c r="RGP28" s="2511"/>
      <c r="RGQ28" s="2511"/>
      <c r="RGR28" s="2511"/>
      <c r="RGS28" s="2511"/>
      <c r="RGT28" s="2511"/>
      <c r="RGU28" s="2511"/>
      <c r="RGV28" s="2511"/>
      <c r="RGW28" s="2511"/>
      <c r="RGX28" s="2511"/>
      <c r="RGY28" s="2511"/>
      <c r="RGZ28" s="2511"/>
      <c r="RHA28" s="2511"/>
      <c r="RHB28" s="2511"/>
      <c r="RHC28" s="2511"/>
      <c r="RHD28" s="2511"/>
      <c r="RHE28" s="2511"/>
      <c r="RHF28" s="2511"/>
      <c r="RHG28" s="2511"/>
      <c r="RHH28" s="2511"/>
      <c r="RHI28" s="2511"/>
      <c r="RHJ28" s="2511"/>
      <c r="RHK28" s="2511"/>
      <c r="RHL28" s="2511"/>
      <c r="RHM28" s="2511"/>
      <c r="RHN28" s="2511"/>
      <c r="RHO28" s="2511"/>
      <c r="RHP28" s="2511"/>
      <c r="RHQ28" s="2511"/>
      <c r="RHR28" s="2511"/>
      <c r="RHS28" s="2511"/>
      <c r="RHT28" s="2511"/>
      <c r="RHU28" s="2511"/>
      <c r="RHV28" s="2511"/>
      <c r="RHW28" s="2511"/>
      <c r="RHX28" s="2511"/>
      <c r="RHY28" s="2511"/>
      <c r="RHZ28" s="2511"/>
      <c r="RIA28" s="2511"/>
      <c r="RIB28" s="2511"/>
      <c r="RIC28" s="2511"/>
      <c r="RID28" s="2511"/>
      <c r="RIE28" s="2511"/>
      <c r="RIF28" s="2511"/>
      <c r="RIG28" s="2511"/>
      <c r="RIH28" s="2511"/>
      <c r="RII28" s="2511"/>
      <c r="RIJ28" s="2511"/>
      <c r="RIK28" s="2511"/>
      <c r="RIL28" s="2511"/>
      <c r="RIM28" s="2511"/>
      <c r="RIN28" s="2511"/>
      <c r="RIO28" s="2511"/>
      <c r="RIP28" s="2511"/>
      <c r="RIQ28" s="2511"/>
      <c r="RIR28" s="2511"/>
      <c r="RIS28" s="2511"/>
      <c r="RIT28" s="2511"/>
      <c r="RIU28" s="2511"/>
      <c r="RIV28" s="2511"/>
      <c r="RIW28" s="2511"/>
      <c r="RIX28" s="2511"/>
      <c r="RIY28" s="2511"/>
      <c r="RIZ28" s="2511"/>
      <c r="RJA28" s="2511"/>
      <c r="RJB28" s="2511"/>
      <c r="RJC28" s="2511"/>
      <c r="RJD28" s="2511"/>
      <c r="RJE28" s="2511"/>
      <c r="RJF28" s="2511"/>
      <c r="RJG28" s="2511"/>
      <c r="RJH28" s="2511"/>
      <c r="RJI28" s="2511"/>
      <c r="RJJ28" s="2511"/>
      <c r="RJK28" s="2511"/>
      <c r="RJL28" s="2511"/>
      <c r="RJM28" s="2511"/>
      <c r="RJN28" s="2511"/>
      <c r="RJO28" s="2511"/>
      <c r="RJP28" s="2511"/>
      <c r="RJQ28" s="2511"/>
      <c r="RJR28" s="2511"/>
      <c r="RJS28" s="2511"/>
      <c r="RJT28" s="2511"/>
      <c r="RJU28" s="2511"/>
      <c r="RJV28" s="2511"/>
      <c r="RJW28" s="2511"/>
      <c r="RJX28" s="2511"/>
      <c r="RJY28" s="2511"/>
      <c r="RJZ28" s="2511"/>
      <c r="RKA28" s="2511"/>
      <c r="RKB28" s="2511"/>
      <c r="RKC28" s="2511"/>
      <c r="RKD28" s="2511"/>
      <c r="RKE28" s="2511"/>
      <c r="RKF28" s="2511"/>
      <c r="RKG28" s="2511"/>
      <c r="RKH28" s="2511"/>
      <c r="RKI28" s="2511"/>
      <c r="RKJ28" s="2511"/>
      <c r="RKK28" s="2511"/>
      <c r="RKL28" s="2511"/>
      <c r="RKM28" s="2511"/>
      <c r="RKN28" s="2511"/>
      <c r="RKO28" s="2511"/>
      <c r="RKP28" s="2511"/>
      <c r="RKQ28" s="2511"/>
      <c r="RKR28" s="2511"/>
      <c r="RKS28" s="2511"/>
      <c r="RKT28" s="2511"/>
      <c r="RKU28" s="2511"/>
      <c r="RKV28" s="2511"/>
      <c r="RKW28" s="2511"/>
      <c r="RKX28" s="2511"/>
      <c r="RKY28" s="2511"/>
      <c r="RKZ28" s="2511"/>
      <c r="RLA28" s="2511"/>
      <c r="RLB28" s="2511"/>
      <c r="RLC28" s="2511"/>
      <c r="RLD28" s="2511"/>
      <c r="RLE28" s="2511"/>
      <c r="RLF28" s="2511"/>
      <c r="RLG28" s="2511"/>
      <c r="RLH28" s="2511"/>
      <c r="RLI28" s="2511"/>
      <c r="RLJ28" s="2511"/>
      <c r="RLK28" s="2511"/>
      <c r="RLL28" s="2511"/>
      <c r="RLM28" s="2511"/>
      <c r="RLN28" s="2511"/>
      <c r="RLO28" s="2511"/>
      <c r="RLP28" s="2511"/>
      <c r="RLQ28" s="2511"/>
      <c r="RLR28" s="2511"/>
      <c r="RLS28" s="2511"/>
      <c r="RLT28" s="2511"/>
      <c r="RLU28" s="2511"/>
      <c r="RLV28" s="2511"/>
      <c r="RLW28" s="2511"/>
      <c r="RLX28" s="2511"/>
      <c r="RLY28" s="2511"/>
      <c r="RLZ28" s="2511"/>
      <c r="RMA28" s="2511"/>
      <c r="RMB28" s="2511"/>
      <c r="RMC28" s="2511"/>
      <c r="RMD28" s="2511"/>
      <c r="RME28" s="2511"/>
      <c r="RMF28" s="2511"/>
      <c r="RMG28" s="2511"/>
      <c r="RMH28" s="2511"/>
      <c r="RMI28" s="2511"/>
      <c r="RMJ28" s="2511"/>
      <c r="RMK28" s="2511"/>
      <c r="RML28" s="2511"/>
      <c r="RMM28" s="2511"/>
      <c r="RMN28" s="2511"/>
      <c r="RMO28" s="2511"/>
      <c r="RMP28" s="2511"/>
      <c r="RMQ28" s="2511"/>
      <c r="RMR28" s="2511"/>
      <c r="RMS28" s="2511"/>
      <c r="RMT28" s="2511"/>
      <c r="RMU28" s="2511"/>
      <c r="RMV28" s="2511"/>
      <c r="RMW28" s="2511"/>
      <c r="RMX28" s="2511"/>
      <c r="RMY28" s="2511"/>
      <c r="RMZ28" s="2511"/>
      <c r="RNA28" s="2511"/>
      <c r="RNB28" s="2511"/>
      <c r="RNC28" s="2511"/>
      <c r="RND28" s="2511"/>
      <c r="RNE28" s="2511"/>
      <c r="RNF28" s="2511"/>
      <c r="RNG28" s="2511"/>
      <c r="RNH28" s="2511"/>
      <c r="RNI28" s="2511"/>
      <c r="RNJ28" s="2511"/>
      <c r="RNK28" s="2511"/>
      <c r="RNL28" s="2511"/>
      <c r="RNM28" s="2511"/>
      <c r="RNN28" s="2511"/>
      <c r="RNO28" s="2511"/>
      <c r="RNP28" s="2511"/>
      <c r="RNQ28" s="2511"/>
      <c r="RNR28" s="2511"/>
      <c r="RNS28" s="2511"/>
      <c r="RNT28" s="2511"/>
      <c r="RNU28" s="2511"/>
      <c r="RNV28" s="2511"/>
      <c r="RNW28" s="2511"/>
      <c r="RNX28" s="2511"/>
      <c r="RNY28" s="2511"/>
      <c r="RNZ28" s="2511"/>
      <c r="ROA28" s="2511"/>
      <c r="ROB28" s="2511"/>
      <c r="ROC28" s="2511"/>
      <c r="ROD28" s="2511"/>
      <c r="ROE28" s="2511"/>
      <c r="ROF28" s="2511"/>
      <c r="ROG28" s="2511"/>
      <c r="ROH28" s="2511"/>
      <c r="ROI28" s="2511"/>
      <c r="ROJ28" s="2511"/>
      <c r="ROK28" s="2511"/>
      <c r="ROL28" s="2511"/>
      <c r="ROM28" s="2511"/>
      <c r="RON28" s="2511"/>
      <c r="ROO28" s="2511"/>
      <c r="ROP28" s="2511"/>
      <c r="ROQ28" s="2511"/>
      <c r="ROR28" s="2511"/>
      <c r="ROS28" s="2511"/>
      <c r="ROT28" s="2511"/>
      <c r="ROU28" s="2511"/>
      <c r="ROV28" s="2511"/>
      <c r="ROW28" s="2511"/>
      <c r="ROX28" s="2511"/>
      <c r="ROY28" s="2511"/>
      <c r="ROZ28" s="2511"/>
      <c r="RPA28" s="2511"/>
      <c r="RPB28" s="2511"/>
      <c r="RPC28" s="2511"/>
      <c r="RPD28" s="2511"/>
      <c r="RPE28" s="2511"/>
      <c r="RPF28" s="2511"/>
      <c r="RPG28" s="2511"/>
      <c r="RPH28" s="2511"/>
      <c r="RPI28" s="2511"/>
      <c r="RPJ28" s="2511"/>
      <c r="RPK28" s="2511"/>
      <c r="RPL28" s="2511"/>
      <c r="RPM28" s="2511"/>
      <c r="RPN28" s="2511"/>
      <c r="RPO28" s="2511"/>
      <c r="RPP28" s="2511"/>
      <c r="RPQ28" s="2511"/>
      <c r="RPR28" s="2511"/>
      <c r="RPS28" s="2511"/>
      <c r="RPT28" s="2511"/>
      <c r="RPU28" s="2511"/>
      <c r="RPV28" s="2511"/>
      <c r="RPW28" s="2511"/>
      <c r="RPX28" s="2511"/>
      <c r="RPY28" s="2511"/>
      <c r="RPZ28" s="2511"/>
      <c r="RQA28" s="2511"/>
      <c r="RQB28" s="2511"/>
      <c r="RQC28" s="2511"/>
      <c r="RQD28" s="2511"/>
      <c r="RQE28" s="2511"/>
      <c r="RQF28" s="2511"/>
      <c r="RQG28" s="2511"/>
      <c r="RQH28" s="2511"/>
      <c r="RQI28" s="2511"/>
      <c r="RQJ28" s="2511"/>
      <c r="RQK28" s="2511"/>
      <c r="RQL28" s="2511"/>
      <c r="RQM28" s="2511"/>
      <c r="RQN28" s="2511"/>
      <c r="RQO28" s="2511"/>
      <c r="RQP28" s="2511"/>
      <c r="RQQ28" s="2511"/>
      <c r="RQR28" s="2511"/>
      <c r="RQS28" s="2511"/>
      <c r="RQT28" s="2511"/>
      <c r="RQU28" s="2511"/>
      <c r="RQV28" s="2511"/>
      <c r="RQW28" s="2511"/>
      <c r="RQX28" s="2511"/>
      <c r="RQY28" s="2511"/>
      <c r="RQZ28" s="2511"/>
      <c r="RRA28" s="2511"/>
      <c r="RRB28" s="2511"/>
      <c r="RRC28" s="2511"/>
      <c r="RRD28" s="2511"/>
      <c r="RRE28" s="2511"/>
      <c r="RRF28" s="2511"/>
      <c r="RRG28" s="2511"/>
      <c r="RRH28" s="2511"/>
      <c r="RRI28" s="2511"/>
      <c r="RRJ28" s="2511"/>
      <c r="RRK28" s="2511"/>
      <c r="RRL28" s="2511"/>
      <c r="RRM28" s="2511"/>
      <c r="RRN28" s="2511"/>
      <c r="RRO28" s="2511"/>
      <c r="RRP28" s="2511"/>
      <c r="RRQ28" s="2511"/>
      <c r="RRR28" s="2511"/>
      <c r="RRS28" s="2511"/>
      <c r="RRT28" s="2511"/>
      <c r="RRU28" s="2511"/>
      <c r="RRV28" s="2511"/>
      <c r="RRW28" s="2511"/>
      <c r="RRX28" s="2511"/>
      <c r="RRY28" s="2511"/>
      <c r="RRZ28" s="2511"/>
      <c r="RSA28" s="2511"/>
      <c r="RSB28" s="2511"/>
      <c r="RSC28" s="2511"/>
      <c r="RSD28" s="2511"/>
      <c r="RSE28" s="2511"/>
      <c r="RSF28" s="2511"/>
      <c r="RSG28" s="2511"/>
      <c r="RSH28" s="2511"/>
      <c r="RSI28" s="2511"/>
      <c r="RSJ28" s="2511"/>
      <c r="RSK28" s="2511"/>
      <c r="RSL28" s="2511"/>
      <c r="RSM28" s="2511"/>
      <c r="RSN28" s="2511"/>
      <c r="RSO28" s="2511"/>
      <c r="RSP28" s="2511"/>
      <c r="RSQ28" s="2511"/>
      <c r="RSR28" s="2511"/>
      <c r="RSS28" s="2511"/>
      <c r="RST28" s="2511"/>
      <c r="RSU28" s="2511"/>
      <c r="RSV28" s="2511"/>
      <c r="RSW28" s="2511"/>
      <c r="RSX28" s="2511"/>
      <c r="RSY28" s="2511"/>
      <c r="RSZ28" s="2511"/>
      <c r="RTA28" s="2511"/>
      <c r="RTB28" s="2511"/>
      <c r="RTC28" s="2511"/>
      <c r="RTD28" s="2511"/>
      <c r="RTE28" s="2511"/>
      <c r="RTF28" s="2511"/>
      <c r="RTG28" s="2511"/>
      <c r="RTH28" s="2511"/>
      <c r="RTI28" s="2511"/>
      <c r="RTJ28" s="2511"/>
      <c r="RTK28" s="2511"/>
      <c r="RTL28" s="2511"/>
      <c r="RTM28" s="2511"/>
      <c r="RTN28" s="2511"/>
      <c r="RTO28" s="2511"/>
      <c r="RTP28" s="2511"/>
      <c r="RTQ28" s="2511"/>
      <c r="RTR28" s="2511"/>
      <c r="RTS28" s="2511"/>
      <c r="RTT28" s="2511"/>
      <c r="RTU28" s="2511"/>
      <c r="RTV28" s="2511"/>
      <c r="RTW28" s="2511"/>
      <c r="RTX28" s="2511"/>
      <c r="RTY28" s="2511"/>
      <c r="RTZ28" s="2511"/>
      <c r="RUA28" s="2511"/>
      <c r="RUB28" s="2511"/>
      <c r="RUC28" s="2511"/>
      <c r="RUD28" s="2511"/>
      <c r="RUE28" s="2511"/>
      <c r="RUF28" s="2511"/>
      <c r="RUG28" s="2511"/>
      <c r="RUH28" s="2511"/>
      <c r="RUI28" s="2511"/>
      <c r="RUJ28" s="2511"/>
      <c r="RUK28" s="2511"/>
      <c r="RUL28" s="2511"/>
      <c r="RUM28" s="2511"/>
      <c r="RUN28" s="2511"/>
      <c r="RUO28" s="2511"/>
      <c r="RUP28" s="2511"/>
      <c r="RUQ28" s="2511"/>
      <c r="RUR28" s="2511"/>
      <c r="RUS28" s="2511"/>
      <c r="RUT28" s="2511"/>
      <c r="RUU28" s="2511"/>
      <c r="RUV28" s="2511"/>
      <c r="RUW28" s="2511"/>
      <c r="RUX28" s="2511"/>
      <c r="RUY28" s="2511"/>
      <c r="RUZ28" s="2511"/>
      <c r="RVA28" s="2511"/>
      <c r="RVB28" s="2511"/>
      <c r="RVC28" s="2511"/>
      <c r="RVD28" s="2511"/>
      <c r="RVE28" s="2511"/>
      <c r="RVF28" s="2511"/>
      <c r="RVG28" s="2511"/>
      <c r="RVH28" s="2511"/>
      <c r="RVI28" s="2511"/>
      <c r="RVJ28" s="2511"/>
      <c r="RVK28" s="2511"/>
      <c r="RVL28" s="2511"/>
      <c r="RVM28" s="2511"/>
      <c r="RVN28" s="2511"/>
      <c r="RVO28" s="2511"/>
      <c r="RVP28" s="2511"/>
      <c r="RVQ28" s="2511"/>
      <c r="RVR28" s="2511"/>
      <c r="RVS28" s="2511"/>
      <c r="RVT28" s="2511"/>
      <c r="RVU28" s="2511"/>
      <c r="RVV28" s="2511"/>
      <c r="RVW28" s="2511"/>
      <c r="RVX28" s="2511"/>
      <c r="RVY28" s="2511"/>
      <c r="RVZ28" s="2511"/>
      <c r="RWA28" s="2511"/>
      <c r="RWB28" s="2511"/>
      <c r="RWC28" s="2511"/>
      <c r="RWD28" s="2511"/>
      <c r="RWE28" s="2511"/>
      <c r="RWF28" s="2511"/>
      <c r="RWG28" s="2511"/>
      <c r="RWH28" s="2511"/>
      <c r="RWI28" s="2511"/>
      <c r="RWJ28" s="2511"/>
      <c r="RWK28" s="2511"/>
      <c r="RWL28" s="2511"/>
      <c r="RWM28" s="2511"/>
      <c r="RWN28" s="2511"/>
      <c r="RWO28" s="2511"/>
      <c r="RWP28" s="2511"/>
      <c r="RWQ28" s="2511"/>
      <c r="RWR28" s="2511"/>
      <c r="RWS28" s="2511"/>
      <c r="RWT28" s="2511"/>
      <c r="RWU28" s="2511"/>
      <c r="RWV28" s="2511"/>
      <c r="RWW28" s="2511"/>
      <c r="RWX28" s="2511"/>
      <c r="RWY28" s="2511"/>
      <c r="RWZ28" s="2511"/>
      <c r="RXA28" s="2511"/>
      <c r="RXB28" s="2511"/>
      <c r="RXC28" s="2511"/>
      <c r="RXD28" s="2511"/>
      <c r="RXE28" s="2511"/>
      <c r="RXF28" s="2511"/>
      <c r="RXG28" s="2511"/>
      <c r="RXH28" s="2511"/>
      <c r="RXI28" s="2511"/>
      <c r="RXJ28" s="2511"/>
      <c r="RXK28" s="2511"/>
      <c r="RXL28" s="2511"/>
      <c r="RXM28" s="2511"/>
      <c r="RXN28" s="2511"/>
      <c r="RXO28" s="2511"/>
      <c r="RXP28" s="2511"/>
      <c r="RXQ28" s="2511"/>
      <c r="RXR28" s="2511"/>
      <c r="RXS28" s="2511"/>
      <c r="RXT28" s="2511"/>
      <c r="RXU28" s="2511"/>
      <c r="RXV28" s="2511"/>
      <c r="RXW28" s="2511"/>
      <c r="RXX28" s="2511"/>
      <c r="RXY28" s="2511"/>
      <c r="RXZ28" s="2511"/>
      <c r="RYA28" s="2511"/>
      <c r="RYB28" s="2511"/>
      <c r="RYC28" s="2511"/>
      <c r="RYD28" s="2511"/>
      <c r="RYE28" s="2511"/>
      <c r="RYF28" s="2511"/>
      <c r="RYG28" s="2511"/>
      <c r="RYH28" s="2511"/>
      <c r="RYI28" s="2511"/>
      <c r="RYJ28" s="2511"/>
      <c r="RYK28" s="2511"/>
      <c r="RYL28" s="2511"/>
      <c r="RYM28" s="2511"/>
      <c r="RYN28" s="2511"/>
      <c r="RYO28" s="2511"/>
      <c r="RYP28" s="2511"/>
      <c r="RYQ28" s="2511"/>
      <c r="RYR28" s="2511"/>
      <c r="RYS28" s="2511"/>
      <c r="RYT28" s="2511"/>
      <c r="RYU28" s="2511"/>
      <c r="RYV28" s="2511"/>
      <c r="RYW28" s="2511"/>
      <c r="RYX28" s="2511"/>
      <c r="RYY28" s="2511"/>
      <c r="RYZ28" s="2511"/>
      <c r="RZA28" s="2511"/>
      <c r="RZB28" s="2511"/>
      <c r="RZC28" s="2511"/>
      <c r="RZD28" s="2511"/>
      <c r="RZE28" s="2511"/>
      <c r="RZF28" s="2511"/>
      <c r="RZG28" s="2511"/>
      <c r="RZH28" s="2511"/>
      <c r="RZI28" s="2511"/>
      <c r="RZJ28" s="2511"/>
      <c r="RZK28" s="2511"/>
      <c r="RZL28" s="2511"/>
      <c r="RZM28" s="2511"/>
      <c r="RZN28" s="2511"/>
      <c r="RZO28" s="2511"/>
      <c r="RZP28" s="2511"/>
      <c r="RZQ28" s="2511"/>
      <c r="RZR28" s="2511"/>
      <c r="RZS28" s="2511"/>
      <c r="RZT28" s="2511"/>
      <c r="RZU28" s="2511"/>
      <c r="RZV28" s="2511"/>
      <c r="RZW28" s="2511"/>
      <c r="RZX28" s="2511"/>
      <c r="RZY28" s="2511"/>
      <c r="RZZ28" s="2511"/>
      <c r="SAA28" s="2511"/>
      <c r="SAB28" s="2511"/>
      <c r="SAC28" s="2511"/>
      <c r="SAD28" s="2511"/>
      <c r="SAE28" s="2511"/>
      <c r="SAF28" s="2511"/>
      <c r="SAG28" s="2511"/>
      <c r="SAH28" s="2511"/>
      <c r="SAI28" s="2511"/>
      <c r="SAJ28" s="2511"/>
      <c r="SAK28" s="2511"/>
      <c r="SAL28" s="2511"/>
      <c r="SAM28" s="2511"/>
      <c r="SAN28" s="2511"/>
      <c r="SAO28" s="2511"/>
      <c r="SAP28" s="2511"/>
      <c r="SAQ28" s="2511"/>
      <c r="SAR28" s="2511"/>
      <c r="SAS28" s="2511"/>
      <c r="SAT28" s="2511"/>
      <c r="SAU28" s="2511"/>
      <c r="SAV28" s="2511"/>
      <c r="SAW28" s="2511"/>
      <c r="SAX28" s="2511"/>
      <c r="SAY28" s="2511"/>
      <c r="SAZ28" s="2511"/>
      <c r="SBA28" s="2511"/>
      <c r="SBB28" s="2511"/>
      <c r="SBC28" s="2511"/>
      <c r="SBD28" s="2511"/>
      <c r="SBE28" s="2511"/>
      <c r="SBF28" s="2511"/>
      <c r="SBG28" s="2511"/>
      <c r="SBH28" s="2511"/>
      <c r="SBI28" s="2511"/>
      <c r="SBJ28" s="2511"/>
      <c r="SBK28" s="2511"/>
      <c r="SBL28" s="2511"/>
      <c r="SBM28" s="2511"/>
      <c r="SBN28" s="2511"/>
      <c r="SBO28" s="2511"/>
      <c r="SBP28" s="2511"/>
      <c r="SBQ28" s="2511"/>
      <c r="SBR28" s="2511"/>
      <c r="SBS28" s="2511"/>
      <c r="SBT28" s="2511"/>
      <c r="SBU28" s="2511"/>
      <c r="SBV28" s="2511"/>
      <c r="SBW28" s="2511"/>
      <c r="SBX28" s="2511"/>
      <c r="SBY28" s="2511"/>
      <c r="SBZ28" s="2511"/>
      <c r="SCA28" s="2511"/>
      <c r="SCB28" s="2511"/>
      <c r="SCC28" s="2511"/>
      <c r="SCD28" s="2511"/>
      <c r="SCE28" s="2511"/>
      <c r="SCF28" s="2511"/>
      <c r="SCG28" s="2511"/>
      <c r="SCH28" s="2511"/>
      <c r="SCI28" s="2511"/>
      <c r="SCJ28" s="2511"/>
      <c r="SCK28" s="2511"/>
      <c r="SCL28" s="2511"/>
      <c r="SCM28" s="2511"/>
      <c r="SCN28" s="2511"/>
      <c r="SCO28" s="2511"/>
      <c r="SCP28" s="2511"/>
      <c r="SCQ28" s="2511"/>
      <c r="SCR28" s="2511"/>
      <c r="SCS28" s="2511"/>
      <c r="SCT28" s="2511"/>
      <c r="SCU28" s="2511"/>
      <c r="SCV28" s="2511"/>
      <c r="SCW28" s="2511"/>
      <c r="SCX28" s="2511"/>
      <c r="SCY28" s="2511"/>
      <c r="SCZ28" s="2511"/>
      <c r="SDA28" s="2511"/>
      <c r="SDB28" s="2511"/>
      <c r="SDC28" s="2511"/>
      <c r="SDD28" s="2511"/>
      <c r="SDE28" s="2511"/>
      <c r="SDF28" s="2511"/>
      <c r="SDG28" s="2511"/>
      <c r="SDH28" s="2511"/>
      <c r="SDI28" s="2511"/>
      <c r="SDJ28" s="2511"/>
      <c r="SDK28" s="2511"/>
      <c r="SDL28" s="2511"/>
      <c r="SDM28" s="2511"/>
      <c r="SDN28" s="2511"/>
      <c r="SDO28" s="2511"/>
      <c r="SDP28" s="2511"/>
      <c r="SDQ28" s="2511"/>
      <c r="SDR28" s="2511"/>
      <c r="SDS28" s="2511"/>
      <c r="SDT28" s="2511"/>
      <c r="SDU28" s="2511"/>
      <c r="SDV28" s="2511"/>
      <c r="SDW28" s="2511"/>
      <c r="SDX28" s="2511"/>
      <c r="SDY28" s="2511"/>
      <c r="SDZ28" s="2511"/>
      <c r="SEA28" s="2511"/>
      <c r="SEB28" s="2511"/>
      <c r="SEC28" s="2511"/>
      <c r="SED28" s="2511"/>
      <c r="SEE28" s="2511"/>
      <c r="SEF28" s="2511"/>
      <c r="SEG28" s="2511"/>
      <c r="SEH28" s="2511"/>
      <c r="SEI28" s="2511"/>
      <c r="SEJ28" s="2511"/>
      <c r="SEK28" s="2511"/>
      <c r="SEL28" s="2511"/>
      <c r="SEM28" s="2511"/>
      <c r="SEN28" s="2511"/>
      <c r="SEO28" s="2511"/>
      <c r="SEP28" s="2511"/>
      <c r="SEQ28" s="2511"/>
      <c r="SER28" s="2511"/>
      <c r="SES28" s="2511"/>
      <c r="SET28" s="2511"/>
      <c r="SEU28" s="2511"/>
      <c r="SEV28" s="2511"/>
      <c r="SEW28" s="2511"/>
      <c r="SEX28" s="2511"/>
      <c r="SEY28" s="2511"/>
      <c r="SEZ28" s="2511"/>
      <c r="SFA28" s="2511"/>
      <c r="SFB28" s="2511"/>
      <c r="SFC28" s="2511"/>
      <c r="SFD28" s="2511"/>
      <c r="SFE28" s="2511"/>
      <c r="SFF28" s="2511"/>
      <c r="SFG28" s="2511"/>
      <c r="SFH28" s="2511"/>
      <c r="SFI28" s="2511"/>
      <c r="SFJ28" s="2511"/>
      <c r="SFK28" s="2511"/>
      <c r="SFL28" s="2511"/>
      <c r="SFM28" s="2511"/>
      <c r="SFN28" s="2511"/>
      <c r="SFO28" s="2511"/>
      <c r="SFP28" s="2511"/>
      <c r="SFQ28" s="2511"/>
      <c r="SFR28" s="2511"/>
      <c r="SFS28" s="2511"/>
      <c r="SFT28" s="2511"/>
      <c r="SFU28" s="2511"/>
      <c r="SFV28" s="2511"/>
      <c r="SFW28" s="2511"/>
      <c r="SFX28" s="2511"/>
      <c r="SFY28" s="2511"/>
      <c r="SFZ28" s="2511"/>
      <c r="SGA28" s="2511"/>
      <c r="SGB28" s="2511"/>
      <c r="SGC28" s="2511"/>
      <c r="SGD28" s="2511"/>
      <c r="SGE28" s="2511"/>
      <c r="SGF28" s="2511"/>
      <c r="SGG28" s="2511"/>
      <c r="SGH28" s="2511"/>
      <c r="SGI28" s="2511"/>
      <c r="SGJ28" s="2511"/>
      <c r="SGK28" s="2511"/>
      <c r="SGL28" s="2511"/>
      <c r="SGM28" s="2511"/>
      <c r="SGN28" s="2511"/>
      <c r="SGO28" s="2511"/>
      <c r="SGP28" s="2511"/>
      <c r="SGQ28" s="2511"/>
      <c r="SGR28" s="2511"/>
      <c r="SGS28" s="2511"/>
      <c r="SGT28" s="2511"/>
      <c r="SGU28" s="2511"/>
      <c r="SGV28" s="2511"/>
      <c r="SGW28" s="2511"/>
      <c r="SGX28" s="2511"/>
      <c r="SGY28" s="2511"/>
      <c r="SGZ28" s="2511"/>
      <c r="SHA28" s="2511"/>
      <c r="SHB28" s="2511"/>
      <c r="SHC28" s="2511"/>
      <c r="SHD28" s="2511"/>
      <c r="SHE28" s="2511"/>
      <c r="SHF28" s="2511"/>
      <c r="SHG28" s="2511"/>
      <c r="SHH28" s="2511"/>
      <c r="SHI28" s="2511"/>
      <c r="SHJ28" s="2511"/>
      <c r="SHK28" s="2511"/>
      <c r="SHL28" s="2511"/>
      <c r="SHM28" s="2511"/>
      <c r="SHN28" s="2511"/>
      <c r="SHO28" s="2511"/>
      <c r="SHP28" s="2511"/>
      <c r="SHQ28" s="2511"/>
      <c r="SHR28" s="2511"/>
      <c r="SHS28" s="2511"/>
      <c r="SHT28" s="2511"/>
      <c r="SHU28" s="2511"/>
      <c r="SHV28" s="2511"/>
      <c r="SHW28" s="2511"/>
      <c r="SHX28" s="2511"/>
      <c r="SHY28" s="2511"/>
      <c r="SHZ28" s="2511"/>
      <c r="SIA28" s="2511"/>
      <c r="SIB28" s="2511"/>
      <c r="SIC28" s="2511"/>
      <c r="SID28" s="2511"/>
      <c r="SIE28" s="2511"/>
      <c r="SIF28" s="2511"/>
      <c r="SIG28" s="2511"/>
      <c r="SIH28" s="2511"/>
      <c r="SII28" s="2511"/>
      <c r="SIJ28" s="2511"/>
      <c r="SIK28" s="2511"/>
      <c r="SIL28" s="2511"/>
      <c r="SIM28" s="2511"/>
      <c r="SIN28" s="2511"/>
      <c r="SIO28" s="2511"/>
      <c r="SIP28" s="2511"/>
      <c r="SIQ28" s="2511"/>
      <c r="SIR28" s="2511"/>
      <c r="SIS28" s="2511"/>
      <c r="SIT28" s="2511"/>
      <c r="SIU28" s="2511"/>
      <c r="SIV28" s="2511"/>
      <c r="SIW28" s="2511"/>
      <c r="SIX28" s="2511"/>
      <c r="SIY28" s="2511"/>
      <c r="SIZ28" s="2511"/>
      <c r="SJA28" s="2511"/>
      <c r="SJB28" s="2511"/>
      <c r="SJC28" s="2511"/>
      <c r="SJD28" s="2511"/>
      <c r="SJE28" s="2511"/>
      <c r="SJF28" s="2511"/>
      <c r="SJG28" s="2511"/>
      <c r="SJH28" s="2511"/>
      <c r="SJI28" s="2511"/>
      <c r="SJJ28" s="2511"/>
      <c r="SJK28" s="2511"/>
      <c r="SJL28" s="2511"/>
      <c r="SJM28" s="2511"/>
      <c r="SJN28" s="2511"/>
      <c r="SJO28" s="2511"/>
      <c r="SJP28" s="2511"/>
      <c r="SJQ28" s="2511"/>
      <c r="SJR28" s="2511"/>
      <c r="SJS28" s="2511"/>
      <c r="SJT28" s="2511"/>
      <c r="SJU28" s="2511"/>
      <c r="SJV28" s="2511"/>
      <c r="SJW28" s="2511"/>
      <c r="SJX28" s="2511"/>
      <c r="SJY28" s="2511"/>
      <c r="SJZ28" s="2511"/>
      <c r="SKA28" s="2511"/>
      <c r="SKB28" s="2511"/>
      <c r="SKC28" s="2511"/>
      <c r="SKD28" s="2511"/>
      <c r="SKE28" s="2511"/>
      <c r="SKF28" s="2511"/>
      <c r="SKG28" s="2511"/>
      <c r="SKH28" s="2511"/>
      <c r="SKI28" s="2511"/>
      <c r="SKJ28" s="2511"/>
      <c r="SKK28" s="2511"/>
      <c r="SKL28" s="2511"/>
      <c r="SKM28" s="2511"/>
      <c r="SKN28" s="2511"/>
      <c r="SKO28" s="2511"/>
      <c r="SKP28" s="2511"/>
      <c r="SKQ28" s="2511"/>
      <c r="SKR28" s="2511"/>
      <c r="SKS28" s="2511"/>
      <c r="SKT28" s="2511"/>
      <c r="SKU28" s="2511"/>
      <c r="SKV28" s="2511"/>
      <c r="SKW28" s="2511"/>
      <c r="SKX28" s="2511"/>
      <c r="SKY28" s="2511"/>
      <c r="SKZ28" s="2511"/>
      <c r="SLA28" s="2511"/>
      <c r="SLB28" s="2511"/>
      <c r="SLC28" s="2511"/>
      <c r="SLD28" s="2511"/>
      <c r="SLE28" s="2511"/>
      <c r="SLF28" s="2511"/>
      <c r="SLG28" s="2511"/>
      <c r="SLH28" s="2511"/>
      <c r="SLI28" s="2511"/>
      <c r="SLJ28" s="2511"/>
      <c r="SLK28" s="2511"/>
      <c r="SLL28" s="2511"/>
      <c r="SLM28" s="2511"/>
      <c r="SLN28" s="2511"/>
      <c r="SLO28" s="2511"/>
      <c r="SLP28" s="2511"/>
      <c r="SLQ28" s="2511"/>
      <c r="SLR28" s="2511"/>
      <c r="SLS28" s="2511"/>
      <c r="SLT28" s="2511"/>
      <c r="SLU28" s="2511"/>
      <c r="SLV28" s="2511"/>
      <c r="SLW28" s="2511"/>
      <c r="SLX28" s="2511"/>
      <c r="SLY28" s="2511"/>
      <c r="SLZ28" s="2511"/>
      <c r="SMA28" s="2511"/>
      <c r="SMB28" s="2511"/>
      <c r="SMC28" s="2511"/>
      <c r="SMD28" s="2511"/>
      <c r="SME28" s="2511"/>
      <c r="SMF28" s="2511"/>
      <c r="SMG28" s="2511"/>
      <c r="SMH28" s="2511"/>
      <c r="SMI28" s="2511"/>
      <c r="SMJ28" s="2511"/>
      <c r="SMK28" s="2511"/>
      <c r="SML28" s="2511"/>
      <c r="SMM28" s="2511"/>
      <c r="SMN28" s="2511"/>
      <c r="SMO28" s="2511"/>
      <c r="SMP28" s="2511"/>
      <c r="SMQ28" s="2511"/>
      <c r="SMR28" s="2511"/>
      <c r="SMS28" s="2511"/>
      <c r="SMT28" s="2511"/>
      <c r="SMU28" s="2511"/>
      <c r="SMV28" s="2511"/>
      <c r="SMW28" s="2511"/>
      <c r="SMX28" s="2511"/>
      <c r="SMY28" s="2511"/>
      <c r="SMZ28" s="2511"/>
      <c r="SNA28" s="2511"/>
      <c r="SNB28" s="2511"/>
      <c r="SNC28" s="2511"/>
      <c r="SND28" s="2511"/>
      <c r="SNE28" s="2511"/>
      <c r="SNF28" s="2511"/>
      <c r="SNG28" s="2511"/>
      <c r="SNH28" s="2511"/>
      <c r="SNI28" s="2511"/>
      <c r="SNJ28" s="2511"/>
      <c r="SNK28" s="2511"/>
      <c r="SNL28" s="2511"/>
      <c r="SNM28" s="2511"/>
      <c r="SNN28" s="2511"/>
      <c r="SNO28" s="2511"/>
      <c r="SNP28" s="2511"/>
      <c r="SNQ28" s="2511"/>
      <c r="SNR28" s="2511"/>
      <c r="SNS28" s="2511"/>
      <c r="SNT28" s="2511"/>
      <c r="SNU28" s="2511"/>
      <c r="SNV28" s="2511"/>
      <c r="SNW28" s="2511"/>
      <c r="SNX28" s="2511"/>
      <c r="SNY28" s="2511"/>
      <c r="SNZ28" s="2511"/>
      <c r="SOA28" s="2511"/>
      <c r="SOB28" s="2511"/>
      <c r="SOC28" s="2511"/>
      <c r="SOD28" s="2511"/>
      <c r="SOE28" s="2511"/>
      <c r="SOF28" s="2511"/>
      <c r="SOG28" s="2511"/>
      <c r="SOH28" s="2511"/>
      <c r="SOI28" s="2511"/>
      <c r="SOJ28" s="2511"/>
      <c r="SOK28" s="2511"/>
      <c r="SOL28" s="2511"/>
      <c r="SOM28" s="2511"/>
      <c r="SON28" s="2511"/>
      <c r="SOO28" s="2511"/>
      <c r="SOP28" s="2511"/>
      <c r="SOQ28" s="2511"/>
      <c r="SOR28" s="2511"/>
      <c r="SOS28" s="2511"/>
      <c r="SOT28" s="2511"/>
      <c r="SOU28" s="2511"/>
      <c r="SOV28" s="2511"/>
      <c r="SOW28" s="2511"/>
      <c r="SOX28" s="2511"/>
      <c r="SOY28" s="2511"/>
      <c r="SOZ28" s="2511"/>
      <c r="SPA28" s="2511"/>
      <c r="SPB28" s="2511"/>
      <c r="SPC28" s="2511"/>
      <c r="SPD28" s="2511"/>
      <c r="SPE28" s="2511"/>
      <c r="SPF28" s="2511"/>
      <c r="SPG28" s="2511"/>
      <c r="SPH28" s="2511"/>
      <c r="SPI28" s="2511"/>
      <c r="SPJ28" s="2511"/>
      <c r="SPK28" s="2511"/>
      <c r="SPL28" s="2511"/>
      <c r="SPM28" s="2511"/>
      <c r="SPN28" s="2511"/>
      <c r="SPO28" s="2511"/>
      <c r="SPP28" s="2511"/>
      <c r="SPQ28" s="2511"/>
      <c r="SPR28" s="2511"/>
      <c r="SPS28" s="2511"/>
      <c r="SPT28" s="2511"/>
      <c r="SPU28" s="2511"/>
      <c r="SPV28" s="2511"/>
      <c r="SPW28" s="2511"/>
      <c r="SPX28" s="2511"/>
      <c r="SPY28" s="2511"/>
      <c r="SPZ28" s="2511"/>
      <c r="SQA28" s="2511"/>
      <c r="SQB28" s="2511"/>
      <c r="SQC28" s="2511"/>
      <c r="SQD28" s="2511"/>
      <c r="SQE28" s="2511"/>
      <c r="SQF28" s="2511"/>
      <c r="SQG28" s="2511"/>
      <c r="SQH28" s="2511"/>
      <c r="SQI28" s="2511"/>
      <c r="SQJ28" s="2511"/>
      <c r="SQK28" s="2511"/>
      <c r="SQL28" s="2511"/>
      <c r="SQM28" s="2511"/>
      <c r="SQN28" s="2511"/>
      <c r="SQO28" s="2511"/>
      <c r="SQP28" s="2511"/>
      <c r="SQQ28" s="2511"/>
      <c r="SQR28" s="2511"/>
      <c r="SQS28" s="2511"/>
      <c r="SQT28" s="2511"/>
      <c r="SQU28" s="2511"/>
      <c r="SQV28" s="2511"/>
      <c r="SQW28" s="2511"/>
      <c r="SQX28" s="2511"/>
      <c r="SQY28" s="2511"/>
      <c r="SQZ28" s="2511"/>
      <c r="SRA28" s="2511"/>
      <c r="SRB28" s="2511"/>
      <c r="SRC28" s="2511"/>
      <c r="SRD28" s="2511"/>
      <c r="SRE28" s="2511"/>
      <c r="SRF28" s="2511"/>
      <c r="SRG28" s="2511"/>
      <c r="SRH28" s="2511"/>
      <c r="SRI28" s="2511"/>
      <c r="SRJ28" s="2511"/>
      <c r="SRK28" s="2511"/>
      <c r="SRL28" s="2511"/>
      <c r="SRM28" s="2511"/>
      <c r="SRN28" s="2511"/>
      <c r="SRO28" s="2511"/>
      <c r="SRP28" s="2511"/>
      <c r="SRQ28" s="2511"/>
      <c r="SRR28" s="2511"/>
      <c r="SRS28" s="2511"/>
      <c r="SRT28" s="2511"/>
      <c r="SRU28" s="2511"/>
      <c r="SRV28" s="2511"/>
      <c r="SRW28" s="2511"/>
      <c r="SRX28" s="2511"/>
      <c r="SRY28" s="2511"/>
      <c r="SRZ28" s="2511"/>
      <c r="SSA28" s="2511"/>
      <c r="SSB28" s="2511"/>
      <c r="SSC28" s="2511"/>
      <c r="SSD28" s="2511"/>
      <c r="SSE28" s="2511"/>
      <c r="SSF28" s="2511"/>
      <c r="SSG28" s="2511"/>
      <c r="SSH28" s="2511"/>
      <c r="SSI28" s="2511"/>
      <c r="SSJ28" s="2511"/>
      <c r="SSK28" s="2511"/>
      <c r="SSL28" s="2511"/>
      <c r="SSM28" s="2511"/>
      <c r="SSN28" s="2511"/>
      <c r="SSO28" s="2511"/>
      <c r="SSP28" s="2511"/>
      <c r="SSQ28" s="2511"/>
      <c r="SSR28" s="2511"/>
      <c r="SSS28" s="2511"/>
      <c r="SST28" s="2511"/>
      <c r="SSU28" s="2511"/>
      <c r="SSV28" s="2511"/>
      <c r="SSW28" s="2511"/>
      <c r="SSX28" s="2511"/>
      <c r="SSY28" s="2511"/>
      <c r="SSZ28" s="2511"/>
      <c r="STA28" s="2511"/>
      <c r="STB28" s="2511"/>
      <c r="STC28" s="2511"/>
      <c r="STD28" s="2511"/>
      <c r="STE28" s="2511"/>
      <c r="STF28" s="2511"/>
      <c r="STG28" s="2511"/>
      <c r="STH28" s="2511"/>
      <c r="STI28" s="2511"/>
      <c r="STJ28" s="2511"/>
      <c r="STK28" s="2511"/>
      <c r="STL28" s="2511"/>
      <c r="STM28" s="2511"/>
      <c r="STN28" s="2511"/>
      <c r="STO28" s="2511"/>
      <c r="STP28" s="2511"/>
      <c r="STQ28" s="2511"/>
      <c r="STR28" s="2511"/>
      <c r="STS28" s="2511"/>
      <c r="STT28" s="2511"/>
      <c r="STU28" s="2511"/>
      <c r="STV28" s="2511"/>
      <c r="STW28" s="2511"/>
      <c r="STX28" s="2511"/>
      <c r="STY28" s="2511"/>
      <c r="STZ28" s="2511"/>
      <c r="SUA28" s="2511"/>
      <c r="SUB28" s="2511"/>
      <c r="SUC28" s="2511"/>
      <c r="SUD28" s="2511"/>
      <c r="SUE28" s="2511"/>
      <c r="SUF28" s="2511"/>
      <c r="SUG28" s="2511"/>
      <c r="SUH28" s="2511"/>
      <c r="SUI28" s="2511"/>
      <c r="SUJ28" s="2511"/>
      <c r="SUK28" s="2511"/>
      <c r="SUL28" s="2511"/>
      <c r="SUM28" s="2511"/>
      <c r="SUN28" s="2511"/>
      <c r="SUO28" s="2511"/>
      <c r="SUP28" s="2511"/>
      <c r="SUQ28" s="2511"/>
      <c r="SUR28" s="2511"/>
      <c r="SUS28" s="2511"/>
      <c r="SUT28" s="2511"/>
      <c r="SUU28" s="2511"/>
      <c r="SUV28" s="2511"/>
      <c r="SUW28" s="2511"/>
      <c r="SUX28" s="2511"/>
      <c r="SUY28" s="2511"/>
      <c r="SUZ28" s="2511"/>
      <c r="SVA28" s="2511"/>
      <c r="SVB28" s="2511"/>
      <c r="SVC28" s="2511"/>
      <c r="SVD28" s="2511"/>
      <c r="SVE28" s="2511"/>
      <c r="SVF28" s="2511"/>
      <c r="SVG28" s="2511"/>
      <c r="SVH28" s="2511"/>
      <c r="SVI28" s="2511"/>
      <c r="SVJ28" s="2511"/>
      <c r="SVK28" s="2511"/>
      <c r="SVL28" s="2511"/>
      <c r="SVM28" s="2511"/>
      <c r="SVN28" s="2511"/>
      <c r="SVO28" s="2511"/>
      <c r="SVP28" s="2511"/>
      <c r="SVQ28" s="2511"/>
      <c r="SVR28" s="2511"/>
      <c r="SVS28" s="2511"/>
      <c r="SVT28" s="2511"/>
      <c r="SVU28" s="2511"/>
      <c r="SVV28" s="2511"/>
      <c r="SVW28" s="2511"/>
      <c r="SVX28" s="2511"/>
      <c r="SVY28" s="2511"/>
      <c r="SVZ28" s="2511"/>
      <c r="SWA28" s="2511"/>
      <c r="SWB28" s="2511"/>
      <c r="SWC28" s="2511"/>
      <c r="SWD28" s="2511"/>
      <c r="SWE28" s="2511"/>
      <c r="SWF28" s="2511"/>
      <c r="SWG28" s="2511"/>
      <c r="SWH28" s="2511"/>
      <c r="SWI28" s="2511"/>
      <c r="SWJ28" s="2511"/>
      <c r="SWK28" s="2511"/>
      <c r="SWL28" s="2511"/>
      <c r="SWM28" s="2511"/>
      <c r="SWN28" s="2511"/>
      <c r="SWO28" s="2511"/>
      <c r="SWP28" s="2511"/>
      <c r="SWQ28" s="2511"/>
      <c r="SWR28" s="2511"/>
      <c r="SWS28" s="2511"/>
      <c r="SWT28" s="2511"/>
      <c r="SWU28" s="2511"/>
      <c r="SWV28" s="2511"/>
      <c r="SWW28" s="2511"/>
      <c r="SWX28" s="2511"/>
      <c r="SWY28" s="2511"/>
      <c r="SWZ28" s="2511"/>
      <c r="SXA28" s="2511"/>
      <c r="SXB28" s="2511"/>
      <c r="SXC28" s="2511"/>
      <c r="SXD28" s="2511"/>
      <c r="SXE28" s="2511"/>
      <c r="SXF28" s="2511"/>
      <c r="SXG28" s="2511"/>
      <c r="SXH28" s="2511"/>
      <c r="SXI28" s="2511"/>
      <c r="SXJ28" s="2511"/>
      <c r="SXK28" s="2511"/>
      <c r="SXL28" s="2511"/>
      <c r="SXM28" s="2511"/>
      <c r="SXN28" s="2511"/>
      <c r="SXO28" s="2511"/>
      <c r="SXP28" s="2511"/>
      <c r="SXQ28" s="2511"/>
      <c r="SXR28" s="2511"/>
      <c r="SXS28" s="2511"/>
      <c r="SXT28" s="2511"/>
      <c r="SXU28" s="2511"/>
      <c r="SXV28" s="2511"/>
      <c r="SXW28" s="2511"/>
      <c r="SXX28" s="2511"/>
      <c r="SXY28" s="2511"/>
      <c r="SXZ28" s="2511"/>
      <c r="SYA28" s="2511"/>
      <c r="SYB28" s="2511"/>
      <c r="SYC28" s="2511"/>
      <c r="SYD28" s="2511"/>
      <c r="SYE28" s="2511"/>
      <c r="SYF28" s="2511"/>
      <c r="SYG28" s="2511"/>
      <c r="SYH28" s="2511"/>
      <c r="SYI28" s="2511"/>
      <c r="SYJ28" s="2511"/>
      <c r="SYK28" s="2511"/>
      <c r="SYL28" s="2511"/>
      <c r="SYM28" s="2511"/>
      <c r="SYN28" s="2511"/>
      <c r="SYO28" s="2511"/>
      <c r="SYP28" s="2511"/>
      <c r="SYQ28" s="2511"/>
      <c r="SYR28" s="2511"/>
      <c r="SYS28" s="2511"/>
      <c r="SYT28" s="2511"/>
      <c r="SYU28" s="2511"/>
      <c r="SYV28" s="2511"/>
      <c r="SYW28" s="2511"/>
      <c r="SYX28" s="2511"/>
      <c r="SYY28" s="2511"/>
      <c r="SYZ28" s="2511"/>
      <c r="SZA28" s="2511"/>
      <c r="SZB28" s="2511"/>
      <c r="SZC28" s="2511"/>
      <c r="SZD28" s="2511"/>
      <c r="SZE28" s="2511"/>
      <c r="SZF28" s="2511"/>
      <c r="SZG28" s="2511"/>
      <c r="SZH28" s="2511"/>
      <c r="SZI28" s="2511"/>
      <c r="SZJ28" s="2511"/>
      <c r="SZK28" s="2511"/>
      <c r="SZL28" s="2511"/>
      <c r="SZM28" s="2511"/>
      <c r="SZN28" s="2511"/>
      <c r="SZO28" s="2511"/>
      <c r="SZP28" s="2511"/>
      <c r="SZQ28" s="2511"/>
      <c r="SZR28" s="2511"/>
      <c r="SZS28" s="2511"/>
      <c r="SZT28" s="2511"/>
      <c r="SZU28" s="2511"/>
      <c r="SZV28" s="2511"/>
      <c r="SZW28" s="2511"/>
      <c r="SZX28" s="2511"/>
      <c r="SZY28" s="2511"/>
      <c r="SZZ28" s="2511"/>
      <c r="TAA28" s="2511"/>
      <c r="TAB28" s="2511"/>
      <c r="TAC28" s="2511"/>
      <c r="TAD28" s="2511"/>
      <c r="TAE28" s="2511"/>
      <c r="TAF28" s="2511"/>
      <c r="TAG28" s="2511"/>
      <c r="TAH28" s="2511"/>
      <c r="TAI28" s="2511"/>
      <c r="TAJ28" s="2511"/>
      <c r="TAK28" s="2511"/>
      <c r="TAL28" s="2511"/>
      <c r="TAM28" s="2511"/>
      <c r="TAN28" s="2511"/>
      <c r="TAO28" s="2511"/>
      <c r="TAP28" s="2511"/>
      <c r="TAQ28" s="2511"/>
      <c r="TAR28" s="2511"/>
      <c r="TAS28" s="2511"/>
      <c r="TAT28" s="2511"/>
      <c r="TAU28" s="2511"/>
      <c r="TAV28" s="2511"/>
      <c r="TAW28" s="2511"/>
      <c r="TAX28" s="2511"/>
      <c r="TAY28" s="2511"/>
      <c r="TAZ28" s="2511"/>
      <c r="TBA28" s="2511"/>
      <c r="TBB28" s="2511"/>
      <c r="TBC28" s="2511"/>
      <c r="TBD28" s="2511"/>
      <c r="TBE28" s="2511"/>
      <c r="TBF28" s="2511"/>
      <c r="TBG28" s="2511"/>
      <c r="TBH28" s="2511"/>
      <c r="TBI28" s="2511"/>
      <c r="TBJ28" s="2511"/>
      <c r="TBK28" s="2511"/>
      <c r="TBL28" s="2511"/>
      <c r="TBM28" s="2511"/>
      <c r="TBN28" s="2511"/>
      <c r="TBO28" s="2511"/>
      <c r="TBP28" s="2511"/>
      <c r="TBQ28" s="2511"/>
      <c r="TBR28" s="2511"/>
      <c r="TBS28" s="2511"/>
      <c r="TBT28" s="2511"/>
      <c r="TBU28" s="2511"/>
      <c r="TBV28" s="2511"/>
      <c r="TBW28" s="2511"/>
      <c r="TBX28" s="2511"/>
      <c r="TBY28" s="2511"/>
      <c r="TBZ28" s="2511"/>
      <c r="TCA28" s="2511"/>
      <c r="TCB28" s="2511"/>
      <c r="TCC28" s="2511"/>
      <c r="TCD28" s="2511"/>
      <c r="TCE28" s="2511"/>
      <c r="TCF28" s="2511"/>
      <c r="TCG28" s="2511"/>
      <c r="TCH28" s="2511"/>
      <c r="TCI28" s="2511"/>
      <c r="TCJ28" s="2511"/>
      <c r="TCK28" s="2511"/>
      <c r="TCL28" s="2511"/>
      <c r="TCM28" s="2511"/>
      <c r="TCN28" s="2511"/>
      <c r="TCO28" s="2511"/>
      <c r="TCP28" s="2511"/>
      <c r="TCQ28" s="2511"/>
      <c r="TCR28" s="2511"/>
      <c r="TCS28" s="2511"/>
      <c r="TCT28" s="2511"/>
      <c r="TCU28" s="2511"/>
      <c r="TCV28" s="2511"/>
      <c r="TCW28" s="2511"/>
      <c r="TCX28" s="2511"/>
      <c r="TCY28" s="2511"/>
      <c r="TCZ28" s="2511"/>
      <c r="TDA28" s="2511"/>
      <c r="TDB28" s="2511"/>
      <c r="TDC28" s="2511"/>
      <c r="TDD28" s="2511"/>
      <c r="TDE28" s="2511"/>
      <c r="TDF28" s="2511"/>
      <c r="TDG28" s="2511"/>
      <c r="TDH28" s="2511"/>
      <c r="TDI28" s="2511"/>
      <c r="TDJ28" s="2511"/>
      <c r="TDK28" s="2511"/>
      <c r="TDL28" s="2511"/>
      <c r="TDM28" s="2511"/>
      <c r="TDN28" s="2511"/>
      <c r="TDO28" s="2511"/>
      <c r="TDP28" s="2511"/>
      <c r="TDQ28" s="2511"/>
      <c r="TDR28" s="2511"/>
      <c r="TDS28" s="2511"/>
      <c r="TDT28" s="2511"/>
      <c r="TDU28" s="2511"/>
      <c r="TDV28" s="2511"/>
      <c r="TDW28" s="2511"/>
      <c r="TDX28" s="2511"/>
      <c r="TDY28" s="2511"/>
      <c r="TDZ28" s="2511"/>
      <c r="TEA28" s="2511"/>
      <c r="TEB28" s="2511"/>
      <c r="TEC28" s="2511"/>
      <c r="TED28" s="2511"/>
      <c r="TEE28" s="2511"/>
      <c r="TEF28" s="2511"/>
      <c r="TEG28" s="2511"/>
      <c r="TEH28" s="2511"/>
      <c r="TEI28" s="2511"/>
      <c r="TEJ28" s="2511"/>
      <c r="TEK28" s="2511"/>
      <c r="TEL28" s="2511"/>
      <c r="TEM28" s="2511"/>
      <c r="TEN28" s="2511"/>
      <c r="TEO28" s="2511"/>
      <c r="TEP28" s="2511"/>
      <c r="TEQ28" s="2511"/>
      <c r="TER28" s="2511"/>
      <c r="TES28" s="2511"/>
      <c r="TET28" s="2511"/>
      <c r="TEU28" s="2511"/>
      <c r="TEV28" s="2511"/>
      <c r="TEW28" s="2511"/>
      <c r="TEX28" s="2511"/>
      <c r="TEY28" s="2511"/>
      <c r="TEZ28" s="2511"/>
      <c r="TFA28" s="2511"/>
      <c r="TFB28" s="2511"/>
      <c r="TFC28" s="2511"/>
      <c r="TFD28" s="2511"/>
      <c r="TFE28" s="2511"/>
      <c r="TFF28" s="2511"/>
      <c r="TFG28" s="2511"/>
      <c r="TFH28" s="2511"/>
      <c r="TFI28" s="2511"/>
      <c r="TFJ28" s="2511"/>
      <c r="TFK28" s="2511"/>
      <c r="TFL28" s="2511"/>
      <c r="TFM28" s="2511"/>
      <c r="TFN28" s="2511"/>
      <c r="TFO28" s="2511"/>
      <c r="TFP28" s="2511"/>
      <c r="TFQ28" s="2511"/>
      <c r="TFR28" s="2511"/>
      <c r="TFS28" s="2511"/>
      <c r="TFT28" s="2511"/>
      <c r="TFU28" s="2511"/>
      <c r="TFV28" s="2511"/>
      <c r="TFW28" s="2511"/>
      <c r="TFX28" s="2511"/>
      <c r="TFY28" s="2511"/>
      <c r="TFZ28" s="2511"/>
      <c r="TGA28" s="2511"/>
      <c r="TGB28" s="2511"/>
      <c r="TGC28" s="2511"/>
      <c r="TGD28" s="2511"/>
      <c r="TGE28" s="2511"/>
      <c r="TGF28" s="2511"/>
      <c r="TGG28" s="2511"/>
      <c r="TGH28" s="2511"/>
      <c r="TGI28" s="2511"/>
      <c r="TGJ28" s="2511"/>
      <c r="TGK28" s="2511"/>
      <c r="TGL28" s="2511"/>
      <c r="TGM28" s="2511"/>
      <c r="TGN28" s="2511"/>
      <c r="TGO28" s="2511"/>
      <c r="TGP28" s="2511"/>
      <c r="TGQ28" s="2511"/>
      <c r="TGR28" s="2511"/>
      <c r="TGS28" s="2511"/>
      <c r="TGT28" s="2511"/>
      <c r="TGU28" s="2511"/>
      <c r="TGV28" s="2511"/>
      <c r="TGW28" s="2511"/>
      <c r="TGX28" s="2511"/>
      <c r="TGY28" s="2511"/>
      <c r="TGZ28" s="2511"/>
      <c r="THA28" s="2511"/>
      <c r="THB28" s="2511"/>
      <c r="THC28" s="2511"/>
      <c r="THD28" s="2511"/>
      <c r="THE28" s="2511"/>
      <c r="THF28" s="2511"/>
      <c r="THG28" s="2511"/>
      <c r="THH28" s="2511"/>
      <c r="THI28" s="2511"/>
      <c r="THJ28" s="2511"/>
      <c r="THK28" s="2511"/>
      <c r="THL28" s="2511"/>
      <c r="THM28" s="2511"/>
      <c r="THN28" s="2511"/>
      <c r="THO28" s="2511"/>
      <c r="THP28" s="2511"/>
      <c r="THQ28" s="2511"/>
      <c r="THR28" s="2511"/>
      <c r="THS28" s="2511"/>
      <c r="THT28" s="2511"/>
      <c r="THU28" s="2511"/>
      <c r="THV28" s="2511"/>
      <c r="THW28" s="2511"/>
      <c r="THX28" s="2511"/>
      <c r="THY28" s="2511"/>
      <c r="THZ28" s="2511"/>
      <c r="TIA28" s="2511"/>
      <c r="TIB28" s="2511"/>
      <c r="TIC28" s="2511"/>
      <c r="TID28" s="2511"/>
      <c r="TIE28" s="2511"/>
      <c r="TIF28" s="2511"/>
      <c r="TIG28" s="2511"/>
      <c r="TIH28" s="2511"/>
      <c r="TII28" s="2511"/>
      <c r="TIJ28" s="2511"/>
      <c r="TIK28" s="2511"/>
      <c r="TIL28" s="2511"/>
      <c r="TIM28" s="2511"/>
      <c r="TIN28" s="2511"/>
      <c r="TIO28" s="2511"/>
      <c r="TIP28" s="2511"/>
      <c r="TIQ28" s="2511"/>
      <c r="TIR28" s="2511"/>
      <c r="TIS28" s="2511"/>
      <c r="TIT28" s="2511"/>
      <c r="TIU28" s="2511"/>
      <c r="TIV28" s="2511"/>
      <c r="TIW28" s="2511"/>
      <c r="TIX28" s="2511"/>
      <c r="TIY28" s="2511"/>
      <c r="TIZ28" s="2511"/>
      <c r="TJA28" s="2511"/>
      <c r="TJB28" s="2511"/>
      <c r="TJC28" s="2511"/>
      <c r="TJD28" s="2511"/>
      <c r="TJE28" s="2511"/>
      <c r="TJF28" s="2511"/>
      <c r="TJG28" s="2511"/>
      <c r="TJH28" s="2511"/>
      <c r="TJI28" s="2511"/>
      <c r="TJJ28" s="2511"/>
      <c r="TJK28" s="2511"/>
      <c r="TJL28" s="2511"/>
      <c r="TJM28" s="2511"/>
      <c r="TJN28" s="2511"/>
      <c r="TJO28" s="2511"/>
      <c r="TJP28" s="2511"/>
      <c r="TJQ28" s="2511"/>
      <c r="TJR28" s="2511"/>
      <c r="TJS28" s="2511"/>
      <c r="TJT28" s="2511"/>
      <c r="TJU28" s="2511"/>
      <c r="TJV28" s="2511"/>
      <c r="TJW28" s="2511"/>
      <c r="TJX28" s="2511"/>
      <c r="TJY28" s="2511"/>
      <c r="TJZ28" s="2511"/>
      <c r="TKA28" s="2511"/>
      <c r="TKB28" s="2511"/>
      <c r="TKC28" s="2511"/>
      <c r="TKD28" s="2511"/>
      <c r="TKE28" s="2511"/>
      <c r="TKF28" s="2511"/>
      <c r="TKG28" s="2511"/>
      <c r="TKH28" s="2511"/>
      <c r="TKI28" s="2511"/>
      <c r="TKJ28" s="2511"/>
      <c r="TKK28" s="2511"/>
      <c r="TKL28" s="2511"/>
      <c r="TKM28" s="2511"/>
      <c r="TKN28" s="2511"/>
      <c r="TKO28" s="2511"/>
      <c r="TKP28" s="2511"/>
      <c r="TKQ28" s="2511"/>
      <c r="TKR28" s="2511"/>
      <c r="TKS28" s="2511"/>
      <c r="TKT28" s="2511"/>
      <c r="TKU28" s="2511"/>
      <c r="TKV28" s="2511"/>
      <c r="TKW28" s="2511"/>
      <c r="TKX28" s="2511"/>
      <c r="TKY28" s="2511"/>
      <c r="TKZ28" s="2511"/>
      <c r="TLA28" s="2511"/>
      <c r="TLB28" s="2511"/>
      <c r="TLC28" s="2511"/>
      <c r="TLD28" s="2511"/>
      <c r="TLE28" s="2511"/>
      <c r="TLF28" s="2511"/>
      <c r="TLG28" s="2511"/>
      <c r="TLH28" s="2511"/>
      <c r="TLI28" s="2511"/>
      <c r="TLJ28" s="2511"/>
      <c r="TLK28" s="2511"/>
      <c r="TLL28" s="2511"/>
      <c r="TLM28" s="2511"/>
      <c r="TLN28" s="2511"/>
      <c r="TLO28" s="2511"/>
      <c r="TLP28" s="2511"/>
      <c r="TLQ28" s="2511"/>
      <c r="TLR28" s="2511"/>
      <c r="TLS28" s="2511"/>
      <c r="TLT28" s="2511"/>
      <c r="TLU28" s="2511"/>
      <c r="TLV28" s="2511"/>
      <c r="TLW28" s="2511"/>
      <c r="TLX28" s="2511"/>
      <c r="TLY28" s="2511"/>
      <c r="TLZ28" s="2511"/>
      <c r="TMA28" s="2511"/>
      <c r="TMB28" s="2511"/>
      <c r="TMC28" s="2511"/>
      <c r="TMD28" s="2511"/>
      <c r="TME28" s="2511"/>
      <c r="TMF28" s="2511"/>
      <c r="TMG28" s="2511"/>
      <c r="TMH28" s="2511"/>
      <c r="TMI28" s="2511"/>
      <c r="TMJ28" s="2511"/>
      <c r="TMK28" s="2511"/>
      <c r="TML28" s="2511"/>
      <c r="TMM28" s="2511"/>
      <c r="TMN28" s="2511"/>
      <c r="TMO28" s="2511"/>
      <c r="TMP28" s="2511"/>
      <c r="TMQ28" s="2511"/>
      <c r="TMR28" s="2511"/>
      <c r="TMS28" s="2511"/>
      <c r="TMT28" s="2511"/>
      <c r="TMU28" s="2511"/>
      <c r="TMV28" s="2511"/>
      <c r="TMW28" s="2511"/>
      <c r="TMX28" s="2511"/>
      <c r="TMY28" s="2511"/>
      <c r="TMZ28" s="2511"/>
      <c r="TNA28" s="2511"/>
      <c r="TNB28" s="2511"/>
      <c r="TNC28" s="2511"/>
      <c r="TND28" s="2511"/>
      <c r="TNE28" s="2511"/>
      <c r="TNF28" s="2511"/>
      <c r="TNG28" s="2511"/>
      <c r="TNH28" s="2511"/>
      <c r="TNI28" s="2511"/>
      <c r="TNJ28" s="2511"/>
      <c r="TNK28" s="2511"/>
      <c r="TNL28" s="2511"/>
      <c r="TNM28" s="2511"/>
      <c r="TNN28" s="2511"/>
      <c r="TNO28" s="2511"/>
      <c r="TNP28" s="2511"/>
      <c r="TNQ28" s="2511"/>
      <c r="TNR28" s="2511"/>
      <c r="TNS28" s="2511"/>
      <c r="TNT28" s="2511"/>
      <c r="TNU28" s="2511"/>
      <c r="TNV28" s="2511"/>
      <c r="TNW28" s="2511"/>
      <c r="TNX28" s="2511"/>
      <c r="TNY28" s="2511"/>
      <c r="TNZ28" s="2511"/>
      <c r="TOA28" s="2511"/>
      <c r="TOB28" s="2511"/>
      <c r="TOC28" s="2511"/>
      <c r="TOD28" s="2511"/>
      <c r="TOE28" s="2511"/>
      <c r="TOF28" s="2511"/>
      <c r="TOG28" s="2511"/>
      <c r="TOH28" s="2511"/>
      <c r="TOI28" s="2511"/>
      <c r="TOJ28" s="2511"/>
      <c r="TOK28" s="2511"/>
      <c r="TOL28" s="2511"/>
      <c r="TOM28" s="2511"/>
      <c r="TON28" s="2511"/>
      <c r="TOO28" s="2511"/>
      <c r="TOP28" s="2511"/>
      <c r="TOQ28" s="2511"/>
      <c r="TOR28" s="2511"/>
      <c r="TOS28" s="2511"/>
      <c r="TOT28" s="2511"/>
      <c r="TOU28" s="2511"/>
      <c r="TOV28" s="2511"/>
      <c r="TOW28" s="2511"/>
      <c r="TOX28" s="2511"/>
      <c r="TOY28" s="2511"/>
      <c r="TOZ28" s="2511"/>
      <c r="TPA28" s="2511"/>
      <c r="TPB28" s="2511"/>
      <c r="TPC28" s="2511"/>
      <c r="TPD28" s="2511"/>
      <c r="TPE28" s="2511"/>
      <c r="TPF28" s="2511"/>
      <c r="TPG28" s="2511"/>
      <c r="TPH28" s="2511"/>
      <c r="TPI28" s="2511"/>
      <c r="TPJ28" s="2511"/>
      <c r="TPK28" s="2511"/>
      <c r="TPL28" s="2511"/>
      <c r="TPM28" s="2511"/>
      <c r="TPN28" s="2511"/>
      <c r="TPO28" s="2511"/>
      <c r="TPP28" s="2511"/>
      <c r="TPQ28" s="2511"/>
      <c r="TPR28" s="2511"/>
      <c r="TPS28" s="2511"/>
      <c r="TPT28" s="2511"/>
      <c r="TPU28" s="2511"/>
      <c r="TPV28" s="2511"/>
      <c r="TPW28" s="2511"/>
      <c r="TPX28" s="2511"/>
      <c r="TPY28" s="2511"/>
      <c r="TPZ28" s="2511"/>
      <c r="TQA28" s="2511"/>
      <c r="TQB28" s="2511"/>
      <c r="TQC28" s="2511"/>
      <c r="TQD28" s="2511"/>
      <c r="TQE28" s="2511"/>
      <c r="TQF28" s="2511"/>
      <c r="TQG28" s="2511"/>
      <c r="TQH28" s="2511"/>
      <c r="TQI28" s="2511"/>
      <c r="TQJ28" s="2511"/>
      <c r="TQK28" s="2511"/>
      <c r="TQL28" s="2511"/>
      <c r="TQM28" s="2511"/>
      <c r="TQN28" s="2511"/>
      <c r="TQO28" s="2511"/>
      <c r="TQP28" s="2511"/>
      <c r="TQQ28" s="2511"/>
      <c r="TQR28" s="2511"/>
      <c r="TQS28" s="2511"/>
      <c r="TQT28" s="2511"/>
      <c r="TQU28" s="2511"/>
      <c r="TQV28" s="2511"/>
      <c r="TQW28" s="2511"/>
      <c r="TQX28" s="2511"/>
      <c r="TQY28" s="2511"/>
      <c r="TQZ28" s="2511"/>
      <c r="TRA28" s="2511"/>
      <c r="TRB28" s="2511"/>
      <c r="TRC28" s="2511"/>
      <c r="TRD28" s="2511"/>
      <c r="TRE28" s="2511"/>
      <c r="TRF28" s="2511"/>
      <c r="TRG28" s="2511"/>
      <c r="TRH28" s="2511"/>
      <c r="TRI28" s="2511"/>
      <c r="TRJ28" s="2511"/>
      <c r="TRK28" s="2511"/>
      <c r="TRL28" s="2511"/>
      <c r="TRM28" s="2511"/>
      <c r="TRN28" s="2511"/>
      <c r="TRO28" s="2511"/>
      <c r="TRP28" s="2511"/>
      <c r="TRQ28" s="2511"/>
      <c r="TRR28" s="2511"/>
      <c r="TRS28" s="2511"/>
      <c r="TRT28" s="2511"/>
      <c r="TRU28" s="2511"/>
      <c r="TRV28" s="2511"/>
      <c r="TRW28" s="2511"/>
      <c r="TRX28" s="2511"/>
      <c r="TRY28" s="2511"/>
      <c r="TRZ28" s="2511"/>
      <c r="TSA28" s="2511"/>
      <c r="TSB28" s="2511"/>
      <c r="TSC28" s="2511"/>
      <c r="TSD28" s="2511"/>
      <c r="TSE28" s="2511"/>
      <c r="TSF28" s="2511"/>
      <c r="TSG28" s="2511"/>
      <c r="TSH28" s="2511"/>
      <c r="TSI28" s="2511"/>
      <c r="TSJ28" s="2511"/>
      <c r="TSK28" s="2511"/>
      <c r="TSL28" s="2511"/>
      <c r="TSM28" s="2511"/>
      <c r="TSN28" s="2511"/>
      <c r="TSO28" s="2511"/>
      <c r="TSP28" s="2511"/>
      <c r="TSQ28" s="2511"/>
      <c r="TSR28" s="2511"/>
      <c r="TSS28" s="2511"/>
      <c r="TST28" s="2511"/>
      <c r="TSU28" s="2511"/>
      <c r="TSV28" s="2511"/>
      <c r="TSW28" s="2511"/>
      <c r="TSX28" s="2511"/>
      <c r="TSY28" s="2511"/>
      <c r="TSZ28" s="2511"/>
      <c r="TTA28" s="2511"/>
      <c r="TTB28" s="2511"/>
      <c r="TTC28" s="2511"/>
      <c r="TTD28" s="2511"/>
      <c r="TTE28" s="2511"/>
      <c r="TTF28" s="2511"/>
      <c r="TTG28" s="2511"/>
      <c r="TTH28" s="2511"/>
      <c r="TTI28" s="2511"/>
      <c r="TTJ28" s="2511"/>
      <c r="TTK28" s="2511"/>
      <c r="TTL28" s="2511"/>
      <c r="TTM28" s="2511"/>
      <c r="TTN28" s="2511"/>
      <c r="TTO28" s="2511"/>
      <c r="TTP28" s="2511"/>
      <c r="TTQ28" s="2511"/>
      <c r="TTR28" s="2511"/>
      <c r="TTS28" s="2511"/>
      <c r="TTT28" s="2511"/>
      <c r="TTU28" s="2511"/>
      <c r="TTV28" s="2511"/>
      <c r="TTW28" s="2511"/>
      <c r="TTX28" s="2511"/>
      <c r="TTY28" s="2511"/>
      <c r="TTZ28" s="2511"/>
      <c r="TUA28" s="2511"/>
      <c r="TUB28" s="2511"/>
      <c r="TUC28" s="2511"/>
      <c r="TUD28" s="2511"/>
      <c r="TUE28" s="2511"/>
      <c r="TUF28" s="2511"/>
      <c r="TUG28" s="2511"/>
      <c r="TUH28" s="2511"/>
      <c r="TUI28" s="2511"/>
      <c r="TUJ28" s="2511"/>
      <c r="TUK28" s="2511"/>
      <c r="TUL28" s="2511"/>
      <c r="TUM28" s="2511"/>
      <c r="TUN28" s="2511"/>
      <c r="TUO28" s="2511"/>
      <c r="TUP28" s="2511"/>
      <c r="TUQ28" s="2511"/>
      <c r="TUR28" s="2511"/>
      <c r="TUS28" s="2511"/>
      <c r="TUT28" s="2511"/>
      <c r="TUU28" s="2511"/>
      <c r="TUV28" s="2511"/>
      <c r="TUW28" s="2511"/>
      <c r="TUX28" s="2511"/>
      <c r="TUY28" s="2511"/>
      <c r="TUZ28" s="2511"/>
      <c r="TVA28" s="2511"/>
      <c r="TVB28" s="2511"/>
      <c r="TVC28" s="2511"/>
      <c r="TVD28" s="2511"/>
      <c r="TVE28" s="2511"/>
      <c r="TVF28" s="2511"/>
      <c r="TVG28" s="2511"/>
      <c r="TVH28" s="2511"/>
      <c r="TVI28" s="2511"/>
      <c r="TVJ28" s="2511"/>
      <c r="TVK28" s="2511"/>
      <c r="TVL28" s="2511"/>
      <c r="TVM28" s="2511"/>
      <c r="TVN28" s="2511"/>
      <c r="TVO28" s="2511"/>
      <c r="TVP28" s="2511"/>
      <c r="TVQ28" s="2511"/>
      <c r="TVR28" s="2511"/>
      <c r="TVS28" s="2511"/>
      <c r="TVT28" s="2511"/>
      <c r="TVU28" s="2511"/>
      <c r="TVV28" s="2511"/>
      <c r="TVW28" s="2511"/>
      <c r="TVX28" s="2511"/>
      <c r="TVY28" s="2511"/>
      <c r="TVZ28" s="2511"/>
      <c r="TWA28" s="2511"/>
      <c r="TWB28" s="2511"/>
      <c r="TWC28" s="2511"/>
      <c r="TWD28" s="2511"/>
      <c r="TWE28" s="2511"/>
      <c r="TWF28" s="2511"/>
      <c r="TWG28" s="2511"/>
      <c r="TWH28" s="2511"/>
      <c r="TWI28" s="2511"/>
      <c r="TWJ28" s="2511"/>
      <c r="TWK28" s="2511"/>
      <c r="TWL28" s="2511"/>
      <c r="TWM28" s="2511"/>
      <c r="TWN28" s="2511"/>
      <c r="TWO28" s="2511"/>
      <c r="TWP28" s="2511"/>
      <c r="TWQ28" s="2511"/>
      <c r="TWR28" s="2511"/>
      <c r="TWS28" s="2511"/>
      <c r="TWT28" s="2511"/>
      <c r="TWU28" s="2511"/>
      <c r="TWV28" s="2511"/>
      <c r="TWW28" s="2511"/>
      <c r="TWX28" s="2511"/>
      <c r="TWY28" s="2511"/>
      <c r="TWZ28" s="2511"/>
      <c r="TXA28" s="2511"/>
      <c r="TXB28" s="2511"/>
      <c r="TXC28" s="2511"/>
      <c r="TXD28" s="2511"/>
      <c r="TXE28" s="2511"/>
      <c r="TXF28" s="2511"/>
      <c r="TXG28" s="2511"/>
      <c r="TXH28" s="2511"/>
      <c r="TXI28" s="2511"/>
      <c r="TXJ28" s="2511"/>
      <c r="TXK28" s="2511"/>
      <c r="TXL28" s="2511"/>
      <c r="TXM28" s="2511"/>
      <c r="TXN28" s="2511"/>
      <c r="TXO28" s="2511"/>
      <c r="TXP28" s="2511"/>
      <c r="TXQ28" s="2511"/>
      <c r="TXR28" s="2511"/>
      <c r="TXS28" s="2511"/>
      <c r="TXT28" s="2511"/>
      <c r="TXU28" s="2511"/>
      <c r="TXV28" s="2511"/>
      <c r="TXW28" s="2511"/>
      <c r="TXX28" s="2511"/>
      <c r="TXY28" s="2511"/>
      <c r="TXZ28" s="2511"/>
      <c r="TYA28" s="2511"/>
      <c r="TYB28" s="2511"/>
      <c r="TYC28" s="2511"/>
      <c r="TYD28" s="2511"/>
      <c r="TYE28" s="2511"/>
      <c r="TYF28" s="2511"/>
      <c r="TYG28" s="2511"/>
      <c r="TYH28" s="2511"/>
      <c r="TYI28" s="2511"/>
      <c r="TYJ28" s="2511"/>
      <c r="TYK28" s="2511"/>
      <c r="TYL28" s="2511"/>
      <c r="TYM28" s="2511"/>
      <c r="TYN28" s="2511"/>
      <c r="TYO28" s="2511"/>
      <c r="TYP28" s="2511"/>
      <c r="TYQ28" s="2511"/>
      <c r="TYR28" s="2511"/>
      <c r="TYS28" s="2511"/>
      <c r="TYT28" s="2511"/>
      <c r="TYU28" s="2511"/>
      <c r="TYV28" s="2511"/>
      <c r="TYW28" s="2511"/>
      <c r="TYX28" s="2511"/>
      <c r="TYY28" s="2511"/>
      <c r="TYZ28" s="2511"/>
      <c r="TZA28" s="2511"/>
      <c r="TZB28" s="2511"/>
      <c r="TZC28" s="2511"/>
      <c r="TZD28" s="2511"/>
      <c r="TZE28" s="2511"/>
      <c r="TZF28" s="2511"/>
      <c r="TZG28" s="2511"/>
      <c r="TZH28" s="2511"/>
      <c r="TZI28" s="2511"/>
      <c r="TZJ28" s="2511"/>
      <c r="TZK28" s="2511"/>
      <c r="TZL28" s="2511"/>
      <c r="TZM28" s="2511"/>
      <c r="TZN28" s="2511"/>
      <c r="TZO28" s="2511"/>
      <c r="TZP28" s="2511"/>
      <c r="TZQ28" s="2511"/>
      <c r="TZR28" s="2511"/>
      <c r="TZS28" s="2511"/>
      <c r="TZT28" s="2511"/>
      <c r="TZU28" s="2511"/>
      <c r="TZV28" s="2511"/>
      <c r="TZW28" s="2511"/>
      <c r="TZX28" s="2511"/>
      <c r="TZY28" s="2511"/>
      <c r="TZZ28" s="2511"/>
      <c r="UAA28" s="2511"/>
      <c r="UAB28" s="2511"/>
      <c r="UAC28" s="2511"/>
      <c r="UAD28" s="2511"/>
      <c r="UAE28" s="2511"/>
      <c r="UAF28" s="2511"/>
      <c r="UAG28" s="2511"/>
      <c r="UAH28" s="2511"/>
      <c r="UAI28" s="2511"/>
      <c r="UAJ28" s="2511"/>
      <c r="UAK28" s="2511"/>
      <c r="UAL28" s="2511"/>
      <c r="UAM28" s="2511"/>
      <c r="UAN28" s="2511"/>
      <c r="UAO28" s="2511"/>
      <c r="UAP28" s="2511"/>
      <c r="UAQ28" s="2511"/>
      <c r="UAR28" s="2511"/>
      <c r="UAS28" s="2511"/>
      <c r="UAT28" s="2511"/>
      <c r="UAU28" s="2511"/>
      <c r="UAV28" s="2511"/>
      <c r="UAW28" s="2511"/>
      <c r="UAX28" s="2511"/>
      <c r="UAY28" s="2511"/>
      <c r="UAZ28" s="2511"/>
      <c r="UBA28" s="2511"/>
      <c r="UBB28" s="2511"/>
      <c r="UBC28" s="2511"/>
      <c r="UBD28" s="2511"/>
      <c r="UBE28" s="2511"/>
      <c r="UBF28" s="2511"/>
      <c r="UBG28" s="2511"/>
      <c r="UBH28" s="2511"/>
      <c r="UBI28" s="2511"/>
      <c r="UBJ28" s="2511"/>
      <c r="UBK28" s="2511"/>
      <c r="UBL28" s="2511"/>
      <c r="UBM28" s="2511"/>
      <c r="UBN28" s="2511"/>
      <c r="UBO28" s="2511"/>
      <c r="UBP28" s="2511"/>
      <c r="UBQ28" s="2511"/>
      <c r="UBR28" s="2511"/>
      <c r="UBS28" s="2511"/>
      <c r="UBT28" s="2511"/>
      <c r="UBU28" s="2511"/>
      <c r="UBV28" s="2511"/>
      <c r="UBW28" s="2511"/>
      <c r="UBX28" s="2511"/>
      <c r="UBY28" s="2511"/>
      <c r="UBZ28" s="2511"/>
      <c r="UCA28" s="2511"/>
      <c r="UCB28" s="2511"/>
      <c r="UCC28" s="2511"/>
      <c r="UCD28" s="2511"/>
      <c r="UCE28" s="2511"/>
      <c r="UCF28" s="2511"/>
      <c r="UCG28" s="2511"/>
      <c r="UCH28" s="2511"/>
      <c r="UCI28" s="2511"/>
      <c r="UCJ28" s="2511"/>
      <c r="UCK28" s="2511"/>
      <c r="UCL28" s="2511"/>
      <c r="UCM28" s="2511"/>
      <c r="UCN28" s="2511"/>
      <c r="UCO28" s="2511"/>
      <c r="UCP28" s="2511"/>
      <c r="UCQ28" s="2511"/>
      <c r="UCR28" s="2511"/>
      <c r="UCS28" s="2511"/>
      <c r="UCT28" s="2511"/>
      <c r="UCU28" s="2511"/>
      <c r="UCV28" s="2511"/>
      <c r="UCW28" s="2511"/>
      <c r="UCX28" s="2511"/>
      <c r="UCY28" s="2511"/>
      <c r="UCZ28" s="2511"/>
      <c r="UDA28" s="2511"/>
      <c r="UDB28" s="2511"/>
      <c r="UDC28" s="2511"/>
      <c r="UDD28" s="2511"/>
      <c r="UDE28" s="2511"/>
      <c r="UDF28" s="2511"/>
      <c r="UDG28" s="2511"/>
      <c r="UDH28" s="2511"/>
      <c r="UDI28" s="2511"/>
      <c r="UDJ28" s="2511"/>
      <c r="UDK28" s="2511"/>
      <c r="UDL28" s="2511"/>
      <c r="UDM28" s="2511"/>
      <c r="UDN28" s="2511"/>
      <c r="UDO28" s="2511"/>
      <c r="UDP28" s="2511"/>
      <c r="UDQ28" s="2511"/>
      <c r="UDR28" s="2511"/>
      <c r="UDS28" s="2511"/>
      <c r="UDT28" s="2511"/>
      <c r="UDU28" s="2511"/>
      <c r="UDV28" s="2511"/>
      <c r="UDW28" s="2511"/>
      <c r="UDX28" s="2511"/>
      <c r="UDY28" s="2511"/>
      <c r="UDZ28" s="2511"/>
      <c r="UEA28" s="2511"/>
      <c r="UEB28" s="2511"/>
      <c r="UEC28" s="2511"/>
      <c r="UED28" s="2511"/>
      <c r="UEE28" s="2511"/>
      <c r="UEF28" s="2511"/>
      <c r="UEG28" s="2511"/>
      <c r="UEH28" s="2511"/>
      <c r="UEI28" s="2511"/>
      <c r="UEJ28" s="2511"/>
      <c r="UEK28" s="2511"/>
      <c r="UEL28" s="2511"/>
      <c r="UEM28" s="2511"/>
      <c r="UEN28" s="2511"/>
      <c r="UEO28" s="2511"/>
      <c r="UEP28" s="2511"/>
      <c r="UEQ28" s="2511"/>
      <c r="UER28" s="2511"/>
      <c r="UES28" s="2511"/>
      <c r="UET28" s="2511"/>
      <c r="UEU28" s="2511"/>
      <c r="UEV28" s="2511"/>
      <c r="UEW28" s="2511"/>
      <c r="UEX28" s="2511"/>
      <c r="UEY28" s="2511"/>
      <c r="UEZ28" s="2511"/>
      <c r="UFA28" s="2511"/>
      <c r="UFB28" s="2511"/>
      <c r="UFC28" s="2511"/>
      <c r="UFD28" s="2511"/>
      <c r="UFE28" s="2511"/>
      <c r="UFF28" s="2511"/>
      <c r="UFG28" s="2511"/>
      <c r="UFH28" s="2511"/>
      <c r="UFI28" s="2511"/>
      <c r="UFJ28" s="2511"/>
      <c r="UFK28" s="2511"/>
      <c r="UFL28" s="2511"/>
      <c r="UFM28" s="2511"/>
      <c r="UFN28" s="2511"/>
      <c r="UFO28" s="2511"/>
      <c r="UFP28" s="2511"/>
      <c r="UFQ28" s="2511"/>
      <c r="UFR28" s="2511"/>
      <c r="UFS28" s="2511"/>
      <c r="UFT28" s="2511"/>
      <c r="UFU28" s="2511"/>
      <c r="UFV28" s="2511"/>
      <c r="UFW28" s="2511"/>
      <c r="UFX28" s="2511"/>
      <c r="UFY28" s="2511"/>
      <c r="UFZ28" s="2511"/>
      <c r="UGA28" s="2511"/>
      <c r="UGB28" s="2511"/>
      <c r="UGC28" s="2511"/>
      <c r="UGD28" s="2511"/>
      <c r="UGE28" s="2511"/>
      <c r="UGF28" s="2511"/>
      <c r="UGG28" s="2511"/>
      <c r="UGH28" s="2511"/>
      <c r="UGI28" s="2511"/>
      <c r="UGJ28" s="2511"/>
      <c r="UGK28" s="2511"/>
      <c r="UGL28" s="2511"/>
      <c r="UGM28" s="2511"/>
      <c r="UGN28" s="2511"/>
      <c r="UGO28" s="2511"/>
      <c r="UGP28" s="2511"/>
      <c r="UGQ28" s="2511"/>
      <c r="UGR28" s="2511"/>
      <c r="UGS28" s="2511"/>
      <c r="UGT28" s="2511"/>
      <c r="UGU28" s="2511"/>
      <c r="UGV28" s="2511"/>
      <c r="UGW28" s="2511"/>
      <c r="UGX28" s="2511"/>
      <c r="UGY28" s="2511"/>
      <c r="UGZ28" s="2511"/>
      <c r="UHA28" s="2511"/>
      <c r="UHB28" s="2511"/>
      <c r="UHC28" s="2511"/>
      <c r="UHD28" s="2511"/>
      <c r="UHE28" s="2511"/>
      <c r="UHF28" s="2511"/>
      <c r="UHG28" s="2511"/>
      <c r="UHH28" s="2511"/>
      <c r="UHI28" s="2511"/>
      <c r="UHJ28" s="2511"/>
      <c r="UHK28" s="2511"/>
      <c r="UHL28" s="2511"/>
      <c r="UHM28" s="2511"/>
      <c r="UHN28" s="2511"/>
      <c r="UHO28" s="2511"/>
      <c r="UHP28" s="2511"/>
      <c r="UHQ28" s="2511"/>
      <c r="UHR28" s="2511"/>
      <c r="UHS28" s="2511"/>
      <c r="UHT28" s="2511"/>
      <c r="UHU28" s="2511"/>
      <c r="UHV28" s="2511"/>
      <c r="UHW28" s="2511"/>
      <c r="UHX28" s="2511"/>
      <c r="UHY28" s="2511"/>
      <c r="UHZ28" s="2511"/>
      <c r="UIA28" s="2511"/>
      <c r="UIB28" s="2511"/>
      <c r="UIC28" s="2511"/>
      <c r="UID28" s="2511"/>
      <c r="UIE28" s="2511"/>
      <c r="UIF28" s="2511"/>
      <c r="UIG28" s="2511"/>
      <c r="UIH28" s="2511"/>
      <c r="UII28" s="2511"/>
      <c r="UIJ28" s="2511"/>
      <c r="UIK28" s="2511"/>
      <c r="UIL28" s="2511"/>
      <c r="UIM28" s="2511"/>
      <c r="UIN28" s="2511"/>
      <c r="UIO28" s="2511"/>
      <c r="UIP28" s="2511"/>
      <c r="UIQ28" s="2511"/>
      <c r="UIR28" s="2511"/>
      <c r="UIS28" s="2511"/>
      <c r="UIT28" s="2511"/>
      <c r="UIU28" s="2511"/>
      <c r="UIV28" s="2511"/>
      <c r="UIW28" s="2511"/>
      <c r="UIX28" s="2511"/>
      <c r="UIY28" s="2511"/>
      <c r="UIZ28" s="2511"/>
      <c r="UJA28" s="2511"/>
      <c r="UJB28" s="2511"/>
      <c r="UJC28" s="2511"/>
      <c r="UJD28" s="2511"/>
      <c r="UJE28" s="2511"/>
      <c r="UJF28" s="2511"/>
      <c r="UJG28" s="2511"/>
      <c r="UJH28" s="2511"/>
      <c r="UJI28" s="2511"/>
      <c r="UJJ28" s="2511"/>
      <c r="UJK28" s="2511"/>
      <c r="UJL28" s="2511"/>
      <c r="UJM28" s="2511"/>
      <c r="UJN28" s="2511"/>
      <c r="UJO28" s="2511"/>
      <c r="UJP28" s="2511"/>
      <c r="UJQ28" s="2511"/>
      <c r="UJR28" s="2511"/>
      <c r="UJS28" s="2511"/>
      <c r="UJT28" s="2511"/>
      <c r="UJU28" s="2511"/>
      <c r="UJV28" s="2511"/>
      <c r="UJW28" s="2511"/>
      <c r="UJX28" s="2511"/>
      <c r="UJY28" s="2511"/>
      <c r="UJZ28" s="2511"/>
      <c r="UKA28" s="2511"/>
      <c r="UKB28" s="2511"/>
      <c r="UKC28" s="2511"/>
      <c r="UKD28" s="2511"/>
      <c r="UKE28" s="2511"/>
      <c r="UKF28" s="2511"/>
      <c r="UKG28" s="2511"/>
      <c r="UKH28" s="2511"/>
      <c r="UKI28" s="2511"/>
      <c r="UKJ28" s="2511"/>
      <c r="UKK28" s="2511"/>
      <c r="UKL28" s="2511"/>
      <c r="UKM28" s="2511"/>
      <c r="UKN28" s="2511"/>
      <c r="UKO28" s="2511"/>
      <c r="UKP28" s="2511"/>
      <c r="UKQ28" s="2511"/>
      <c r="UKR28" s="2511"/>
      <c r="UKS28" s="2511"/>
      <c r="UKT28" s="2511"/>
      <c r="UKU28" s="2511"/>
      <c r="UKV28" s="2511"/>
      <c r="UKW28" s="2511"/>
      <c r="UKX28" s="2511"/>
      <c r="UKY28" s="2511"/>
      <c r="UKZ28" s="2511"/>
      <c r="ULA28" s="2511"/>
      <c r="ULB28" s="2511"/>
      <c r="ULC28" s="2511"/>
      <c r="ULD28" s="2511"/>
      <c r="ULE28" s="2511"/>
      <c r="ULF28" s="2511"/>
      <c r="ULG28" s="2511"/>
      <c r="ULH28" s="2511"/>
      <c r="ULI28" s="2511"/>
      <c r="ULJ28" s="2511"/>
      <c r="ULK28" s="2511"/>
      <c r="ULL28" s="2511"/>
      <c r="ULM28" s="2511"/>
      <c r="ULN28" s="2511"/>
      <c r="ULO28" s="2511"/>
      <c r="ULP28" s="2511"/>
      <c r="ULQ28" s="2511"/>
      <c r="ULR28" s="2511"/>
      <c r="ULS28" s="2511"/>
      <c r="ULT28" s="2511"/>
      <c r="ULU28" s="2511"/>
      <c r="ULV28" s="2511"/>
      <c r="ULW28" s="2511"/>
      <c r="ULX28" s="2511"/>
      <c r="ULY28" s="2511"/>
      <c r="ULZ28" s="2511"/>
      <c r="UMA28" s="2511"/>
      <c r="UMB28" s="2511"/>
      <c r="UMC28" s="2511"/>
      <c r="UMD28" s="2511"/>
      <c r="UME28" s="2511"/>
      <c r="UMF28" s="2511"/>
      <c r="UMG28" s="2511"/>
      <c r="UMH28" s="2511"/>
      <c r="UMI28" s="2511"/>
      <c r="UMJ28" s="2511"/>
      <c r="UMK28" s="2511"/>
      <c r="UML28" s="2511"/>
      <c r="UMM28" s="2511"/>
      <c r="UMN28" s="2511"/>
      <c r="UMO28" s="2511"/>
      <c r="UMP28" s="2511"/>
      <c r="UMQ28" s="2511"/>
      <c r="UMR28" s="2511"/>
      <c r="UMS28" s="2511"/>
      <c r="UMT28" s="2511"/>
      <c r="UMU28" s="2511"/>
      <c r="UMV28" s="2511"/>
      <c r="UMW28" s="2511"/>
      <c r="UMX28" s="2511"/>
      <c r="UMY28" s="2511"/>
      <c r="UMZ28" s="2511"/>
      <c r="UNA28" s="2511"/>
      <c r="UNB28" s="2511"/>
      <c r="UNC28" s="2511"/>
      <c r="UND28" s="2511"/>
      <c r="UNE28" s="2511"/>
      <c r="UNF28" s="2511"/>
      <c r="UNG28" s="2511"/>
      <c r="UNH28" s="2511"/>
      <c r="UNI28" s="2511"/>
      <c r="UNJ28" s="2511"/>
      <c r="UNK28" s="2511"/>
      <c r="UNL28" s="2511"/>
      <c r="UNM28" s="2511"/>
      <c r="UNN28" s="2511"/>
      <c r="UNO28" s="2511"/>
      <c r="UNP28" s="2511"/>
      <c r="UNQ28" s="2511"/>
      <c r="UNR28" s="2511"/>
      <c r="UNS28" s="2511"/>
      <c r="UNT28" s="2511"/>
      <c r="UNU28" s="2511"/>
      <c r="UNV28" s="2511"/>
      <c r="UNW28" s="2511"/>
      <c r="UNX28" s="2511"/>
      <c r="UNY28" s="2511"/>
      <c r="UNZ28" s="2511"/>
      <c r="UOA28" s="2511"/>
      <c r="UOB28" s="2511"/>
      <c r="UOC28" s="2511"/>
      <c r="UOD28" s="2511"/>
      <c r="UOE28" s="2511"/>
      <c r="UOF28" s="2511"/>
      <c r="UOG28" s="2511"/>
      <c r="UOH28" s="2511"/>
      <c r="UOI28" s="2511"/>
      <c r="UOJ28" s="2511"/>
      <c r="UOK28" s="2511"/>
      <c r="UOL28" s="2511"/>
      <c r="UOM28" s="2511"/>
      <c r="UON28" s="2511"/>
      <c r="UOO28" s="2511"/>
      <c r="UOP28" s="2511"/>
      <c r="UOQ28" s="2511"/>
      <c r="UOR28" s="2511"/>
      <c r="UOS28" s="2511"/>
      <c r="UOT28" s="2511"/>
      <c r="UOU28" s="2511"/>
      <c r="UOV28" s="2511"/>
      <c r="UOW28" s="2511"/>
      <c r="UOX28" s="2511"/>
      <c r="UOY28" s="2511"/>
      <c r="UOZ28" s="2511"/>
      <c r="UPA28" s="2511"/>
      <c r="UPB28" s="2511"/>
      <c r="UPC28" s="2511"/>
      <c r="UPD28" s="2511"/>
      <c r="UPE28" s="2511"/>
      <c r="UPF28" s="2511"/>
      <c r="UPG28" s="2511"/>
      <c r="UPH28" s="2511"/>
      <c r="UPI28" s="2511"/>
      <c r="UPJ28" s="2511"/>
      <c r="UPK28" s="2511"/>
      <c r="UPL28" s="2511"/>
      <c r="UPM28" s="2511"/>
      <c r="UPN28" s="2511"/>
      <c r="UPO28" s="2511"/>
      <c r="UPP28" s="2511"/>
      <c r="UPQ28" s="2511"/>
      <c r="UPR28" s="2511"/>
      <c r="UPS28" s="2511"/>
      <c r="UPT28" s="2511"/>
      <c r="UPU28" s="2511"/>
      <c r="UPV28" s="2511"/>
      <c r="UPW28" s="2511"/>
      <c r="UPX28" s="2511"/>
      <c r="UPY28" s="2511"/>
      <c r="UPZ28" s="2511"/>
      <c r="UQA28" s="2511"/>
      <c r="UQB28" s="2511"/>
      <c r="UQC28" s="2511"/>
      <c r="UQD28" s="2511"/>
      <c r="UQE28" s="2511"/>
      <c r="UQF28" s="2511"/>
      <c r="UQG28" s="2511"/>
      <c r="UQH28" s="2511"/>
      <c r="UQI28" s="2511"/>
      <c r="UQJ28" s="2511"/>
      <c r="UQK28" s="2511"/>
      <c r="UQL28" s="2511"/>
      <c r="UQM28" s="2511"/>
      <c r="UQN28" s="2511"/>
      <c r="UQO28" s="2511"/>
      <c r="UQP28" s="2511"/>
      <c r="UQQ28" s="2511"/>
      <c r="UQR28" s="2511"/>
      <c r="UQS28" s="2511"/>
      <c r="UQT28" s="2511"/>
      <c r="UQU28" s="2511"/>
      <c r="UQV28" s="2511"/>
      <c r="UQW28" s="2511"/>
      <c r="UQX28" s="2511"/>
      <c r="UQY28" s="2511"/>
      <c r="UQZ28" s="2511"/>
      <c r="URA28" s="2511"/>
      <c r="URB28" s="2511"/>
      <c r="URC28" s="2511"/>
      <c r="URD28" s="2511"/>
      <c r="URE28" s="2511"/>
      <c r="URF28" s="2511"/>
      <c r="URG28" s="2511"/>
      <c r="URH28" s="2511"/>
      <c r="URI28" s="2511"/>
      <c r="URJ28" s="2511"/>
      <c r="URK28" s="2511"/>
      <c r="URL28" s="2511"/>
      <c r="URM28" s="2511"/>
      <c r="URN28" s="2511"/>
      <c r="URO28" s="2511"/>
      <c r="URP28" s="2511"/>
      <c r="URQ28" s="2511"/>
      <c r="URR28" s="2511"/>
      <c r="URS28" s="2511"/>
      <c r="URT28" s="2511"/>
      <c r="URU28" s="2511"/>
      <c r="URV28" s="2511"/>
      <c r="URW28" s="2511"/>
      <c r="URX28" s="2511"/>
      <c r="URY28" s="2511"/>
      <c r="URZ28" s="2511"/>
      <c r="USA28" s="2511"/>
      <c r="USB28" s="2511"/>
      <c r="USC28" s="2511"/>
      <c r="USD28" s="2511"/>
      <c r="USE28" s="2511"/>
      <c r="USF28" s="2511"/>
      <c r="USG28" s="2511"/>
      <c r="USH28" s="2511"/>
      <c r="USI28" s="2511"/>
      <c r="USJ28" s="2511"/>
      <c r="USK28" s="2511"/>
      <c r="USL28" s="2511"/>
      <c r="USM28" s="2511"/>
      <c r="USN28" s="2511"/>
      <c r="USO28" s="2511"/>
      <c r="USP28" s="2511"/>
      <c r="USQ28" s="2511"/>
      <c r="USR28" s="2511"/>
      <c r="USS28" s="2511"/>
      <c r="UST28" s="2511"/>
      <c r="USU28" s="2511"/>
      <c r="USV28" s="2511"/>
      <c r="USW28" s="2511"/>
      <c r="USX28" s="2511"/>
      <c r="USY28" s="2511"/>
      <c r="USZ28" s="2511"/>
      <c r="UTA28" s="2511"/>
      <c r="UTB28" s="2511"/>
      <c r="UTC28" s="2511"/>
      <c r="UTD28" s="2511"/>
      <c r="UTE28" s="2511"/>
      <c r="UTF28" s="2511"/>
      <c r="UTG28" s="2511"/>
      <c r="UTH28" s="2511"/>
      <c r="UTI28" s="2511"/>
      <c r="UTJ28" s="2511"/>
      <c r="UTK28" s="2511"/>
      <c r="UTL28" s="2511"/>
      <c r="UTM28" s="2511"/>
      <c r="UTN28" s="2511"/>
      <c r="UTO28" s="2511"/>
      <c r="UTP28" s="2511"/>
      <c r="UTQ28" s="2511"/>
      <c r="UTR28" s="2511"/>
      <c r="UTS28" s="2511"/>
      <c r="UTT28" s="2511"/>
      <c r="UTU28" s="2511"/>
      <c r="UTV28" s="2511"/>
      <c r="UTW28" s="2511"/>
      <c r="UTX28" s="2511"/>
      <c r="UTY28" s="2511"/>
      <c r="UTZ28" s="2511"/>
      <c r="UUA28" s="2511"/>
      <c r="UUB28" s="2511"/>
      <c r="UUC28" s="2511"/>
      <c r="UUD28" s="2511"/>
      <c r="UUE28" s="2511"/>
      <c r="UUF28" s="2511"/>
      <c r="UUG28" s="2511"/>
      <c r="UUH28" s="2511"/>
      <c r="UUI28" s="2511"/>
      <c r="UUJ28" s="2511"/>
      <c r="UUK28" s="2511"/>
      <c r="UUL28" s="2511"/>
      <c r="UUM28" s="2511"/>
      <c r="UUN28" s="2511"/>
      <c r="UUO28" s="2511"/>
      <c r="UUP28" s="2511"/>
      <c r="UUQ28" s="2511"/>
      <c r="UUR28" s="2511"/>
      <c r="UUS28" s="2511"/>
      <c r="UUT28" s="2511"/>
      <c r="UUU28" s="2511"/>
      <c r="UUV28" s="2511"/>
      <c r="UUW28" s="2511"/>
      <c r="UUX28" s="2511"/>
      <c r="UUY28" s="2511"/>
      <c r="UUZ28" s="2511"/>
      <c r="UVA28" s="2511"/>
      <c r="UVB28" s="2511"/>
      <c r="UVC28" s="2511"/>
      <c r="UVD28" s="2511"/>
      <c r="UVE28" s="2511"/>
      <c r="UVF28" s="2511"/>
      <c r="UVG28" s="2511"/>
      <c r="UVH28" s="2511"/>
      <c r="UVI28" s="2511"/>
      <c r="UVJ28" s="2511"/>
      <c r="UVK28" s="2511"/>
      <c r="UVL28" s="2511"/>
      <c r="UVM28" s="2511"/>
      <c r="UVN28" s="2511"/>
      <c r="UVO28" s="2511"/>
      <c r="UVP28" s="2511"/>
      <c r="UVQ28" s="2511"/>
      <c r="UVR28" s="2511"/>
      <c r="UVS28" s="2511"/>
      <c r="UVT28" s="2511"/>
      <c r="UVU28" s="2511"/>
      <c r="UVV28" s="2511"/>
      <c r="UVW28" s="2511"/>
      <c r="UVX28" s="2511"/>
      <c r="UVY28" s="2511"/>
      <c r="UVZ28" s="2511"/>
      <c r="UWA28" s="2511"/>
      <c r="UWB28" s="2511"/>
      <c r="UWC28" s="2511"/>
      <c r="UWD28" s="2511"/>
      <c r="UWE28" s="2511"/>
      <c r="UWF28" s="2511"/>
      <c r="UWG28" s="2511"/>
      <c r="UWH28" s="2511"/>
      <c r="UWI28" s="2511"/>
      <c r="UWJ28" s="2511"/>
      <c r="UWK28" s="2511"/>
      <c r="UWL28" s="2511"/>
      <c r="UWM28" s="2511"/>
      <c r="UWN28" s="2511"/>
      <c r="UWO28" s="2511"/>
      <c r="UWP28" s="2511"/>
      <c r="UWQ28" s="2511"/>
      <c r="UWR28" s="2511"/>
      <c r="UWS28" s="2511"/>
      <c r="UWT28" s="2511"/>
      <c r="UWU28" s="2511"/>
      <c r="UWV28" s="2511"/>
      <c r="UWW28" s="2511"/>
      <c r="UWX28" s="2511"/>
      <c r="UWY28" s="2511"/>
      <c r="UWZ28" s="2511"/>
      <c r="UXA28" s="2511"/>
      <c r="UXB28" s="2511"/>
      <c r="UXC28" s="2511"/>
      <c r="UXD28" s="2511"/>
      <c r="UXE28" s="2511"/>
      <c r="UXF28" s="2511"/>
      <c r="UXG28" s="2511"/>
      <c r="UXH28" s="2511"/>
      <c r="UXI28" s="2511"/>
      <c r="UXJ28" s="2511"/>
      <c r="UXK28" s="2511"/>
      <c r="UXL28" s="2511"/>
      <c r="UXM28" s="2511"/>
      <c r="UXN28" s="2511"/>
      <c r="UXO28" s="2511"/>
      <c r="UXP28" s="2511"/>
      <c r="UXQ28" s="2511"/>
      <c r="UXR28" s="2511"/>
      <c r="UXS28" s="2511"/>
      <c r="UXT28" s="2511"/>
      <c r="UXU28" s="2511"/>
      <c r="UXV28" s="2511"/>
      <c r="UXW28" s="2511"/>
      <c r="UXX28" s="2511"/>
      <c r="UXY28" s="2511"/>
      <c r="UXZ28" s="2511"/>
      <c r="UYA28" s="2511"/>
      <c r="UYB28" s="2511"/>
      <c r="UYC28" s="2511"/>
      <c r="UYD28" s="2511"/>
      <c r="UYE28" s="2511"/>
      <c r="UYF28" s="2511"/>
      <c r="UYG28" s="2511"/>
      <c r="UYH28" s="2511"/>
      <c r="UYI28" s="2511"/>
      <c r="UYJ28" s="2511"/>
      <c r="UYK28" s="2511"/>
      <c r="UYL28" s="2511"/>
      <c r="UYM28" s="2511"/>
      <c r="UYN28" s="2511"/>
      <c r="UYO28" s="2511"/>
      <c r="UYP28" s="2511"/>
      <c r="UYQ28" s="2511"/>
      <c r="UYR28" s="2511"/>
      <c r="UYS28" s="2511"/>
      <c r="UYT28" s="2511"/>
      <c r="UYU28" s="2511"/>
      <c r="UYV28" s="2511"/>
      <c r="UYW28" s="2511"/>
      <c r="UYX28" s="2511"/>
      <c r="UYY28" s="2511"/>
      <c r="UYZ28" s="2511"/>
      <c r="UZA28" s="2511"/>
      <c r="UZB28" s="2511"/>
      <c r="UZC28" s="2511"/>
      <c r="UZD28" s="2511"/>
      <c r="UZE28" s="2511"/>
      <c r="UZF28" s="2511"/>
      <c r="UZG28" s="2511"/>
      <c r="UZH28" s="2511"/>
      <c r="UZI28" s="2511"/>
      <c r="UZJ28" s="2511"/>
      <c r="UZK28" s="2511"/>
      <c r="UZL28" s="2511"/>
      <c r="UZM28" s="2511"/>
      <c r="UZN28" s="2511"/>
      <c r="UZO28" s="2511"/>
      <c r="UZP28" s="2511"/>
      <c r="UZQ28" s="2511"/>
      <c r="UZR28" s="2511"/>
      <c r="UZS28" s="2511"/>
      <c r="UZT28" s="2511"/>
      <c r="UZU28" s="2511"/>
      <c r="UZV28" s="2511"/>
      <c r="UZW28" s="2511"/>
      <c r="UZX28" s="2511"/>
      <c r="UZY28" s="2511"/>
      <c r="UZZ28" s="2511"/>
      <c r="VAA28" s="2511"/>
      <c r="VAB28" s="2511"/>
      <c r="VAC28" s="2511"/>
      <c r="VAD28" s="2511"/>
      <c r="VAE28" s="2511"/>
      <c r="VAF28" s="2511"/>
      <c r="VAG28" s="2511"/>
      <c r="VAH28" s="2511"/>
      <c r="VAI28" s="2511"/>
      <c r="VAJ28" s="2511"/>
      <c r="VAK28" s="2511"/>
      <c r="VAL28" s="2511"/>
      <c r="VAM28" s="2511"/>
      <c r="VAN28" s="2511"/>
      <c r="VAO28" s="2511"/>
      <c r="VAP28" s="2511"/>
      <c r="VAQ28" s="2511"/>
      <c r="VAR28" s="2511"/>
      <c r="VAS28" s="2511"/>
      <c r="VAT28" s="2511"/>
      <c r="VAU28" s="2511"/>
      <c r="VAV28" s="2511"/>
      <c r="VAW28" s="2511"/>
      <c r="VAX28" s="2511"/>
      <c r="VAY28" s="2511"/>
      <c r="VAZ28" s="2511"/>
      <c r="VBA28" s="2511"/>
      <c r="VBB28" s="2511"/>
      <c r="VBC28" s="2511"/>
      <c r="VBD28" s="2511"/>
      <c r="VBE28" s="2511"/>
      <c r="VBF28" s="2511"/>
      <c r="VBG28" s="2511"/>
      <c r="VBH28" s="2511"/>
      <c r="VBI28" s="2511"/>
      <c r="VBJ28" s="2511"/>
      <c r="VBK28" s="2511"/>
      <c r="VBL28" s="2511"/>
      <c r="VBM28" s="2511"/>
      <c r="VBN28" s="2511"/>
      <c r="VBO28" s="2511"/>
      <c r="VBP28" s="2511"/>
      <c r="VBQ28" s="2511"/>
      <c r="VBR28" s="2511"/>
      <c r="VBS28" s="2511"/>
      <c r="VBT28" s="2511"/>
      <c r="VBU28" s="2511"/>
      <c r="VBV28" s="2511"/>
      <c r="VBW28" s="2511"/>
      <c r="VBX28" s="2511"/>
      <c r="VBY28" s="2511"/>
      <c r="VBZ28" s="2511"/>
      <c r="VCA28" s="2511"/>
      <c r="VCB28" s="2511"/>
      <c r="VCC28" s="2511"/>
      <c r="VCD28" s="2511"/>
      <c r="VCE28" s="2511"/>
      <c r="VCF28" s="2511"/>
      <c r="VCG28" s="2511"/>
      <c r="VCH28" s="2511"/>
      <c r="VCI28" s="2511"/>
      <c r="VCJ28" s="2511"/>
      <c r="VCK28" s="2511"/>
      <c r="VCL28" s="2511"/>
      <c r="VCM28" s="2511"/>
      <c r="VCN28" s="2511"/>
      <c r="VCO28" s="2511"/>
      <c r="VCP28" s="2511"/>
      <c r="VCQ28" s="2511"/>
      <c r="VCR28" s="2511"/>
      <c r="VCS28" s="2511"/>
      <c r="VCT28" s="2511"/>
      <c r="VCU28" s="2511"/>
      <c r="VCV28" s="2511"/>
      <c r="VCW28" s="2511"/>
      <c r="VCX28" s="2511"/>
      <c r="VCY28" s="2511"/>
      <c r="VCZ28" s="2511"/>
      <c r="VDA28" s="2511"/>
      <c r="VDB28" s="2511"/>
      <c r="VDC28" s="2511"/>
      <c r="VDD28" s="2511"/>
      <c r="VDE28" s="2511"/>
      <c r="VDF28" s="2511"/>
      <c r="VDG28" s="2511"/>
      <c r="VDH28" s="2511"/>
      <c r="VDI28" s="2511"/>
      <c r="VDJ28" s="2511"/>
      <c r="VDK28" s="2511"/>
      <c r="VDL28" s="2511"/>
      <c r="VDM28" s="2511"/>
      <c r="VDN28" s="2511"/>
      <c r="VDO28" s="2511"/>
      <c r="VDP28" s="2511"/>
      <c r="VDQ28" s="2511"/>
      <c r="VDR28" s="2511"/>
      <c r="VDS28" s="2511"/>
      <c r="VDT28" s="2511"/>
      <c r="VDU28" s="2511"/>
      <c r="VDV28" s="2511"/>
      <c r="VDW28" s="2511"/>
      <c r="VDX28" s="2511"/>
      <c r="VDY28" s="2511"/>
      <c r="VDZ28" s="2511"/>
      <c r="VEA28" s="2511"/>
      <c r="VEB28" s="2511"/>
      <c r="VEC28" s="2511"/>
      <c r="VED28" s="2511"/>
      <c r="VEE28" s="2511"/>
      <c r="VEF28" s="2511"/>
      <c r="VEG28" s="2511"/>
      <c r="VEH28" s="2511"/>
      <c r="VEI28" s="2511"/>
      <c r="VEJ28" s="2511"/>
      <c r="VEK28" s="2511"/>
      <c r="VEL28" s="2511"/>
      <c r="VEM28" s="2511"/>
      <c r="VEN28" s="2511"/>
      <c r="VEO28" s="2511"/>
      <c r="VEP28" s="2511"/>
      <c r="VEQ28" s="2511"/>
      <c r="VER28" s="2511"/>
      <c r="VES28" s="2511"/>
      <c r="VET28" s="2511"/>
      <c r="VEU28" s="2511"/>
      <c r="VEV28" s="2511"/>
      <c r="VEW28" s="2511"/>
      <c r="VEX28" s="2511"/>
      <c r="VEY28" s="2511"/>
      <c r="VEZ28" s="2511"/>
      <c r="VFA28" s="2511"/>
      <c r="VFB28" s="2511"/>
      <c r="VFC28" s="2511"/>
      <c r="VFD28" s="2511"/>
      <c r="VFE28" s="2511"/>
      <c r="VFF28" s="2511"/>
      <c r="VFG28" s="2511"/>
      <c r="VFH28" s="2511"/>
      <c r="VFI28" s="2511"/>
      <c r="VFJ28" s="2511"/>
      <c r="VFK28" s="2511"/>
      <c r="VFL28" s="2511"/>
      <c r="VFM28" s="2511"/>
      <c r="VFN28" s="2511"/>
      <c r="VFO28" s="2511"/>
      <c r="VFP28" s="2511"/>
      <c r="VFQ28" s="2511"/>
      <c r="VFR28" s="2511"/>
      <c r="VFS28" s="2511"/>
      <c r="VFT28" s="2511"/>
      <c r="VFU28" s="2511"/>
      <c r="VFV28" s="2511"/>
      <c r="VFW28" s="2511"/>
      <c r="VFX28" s="2511"/>
      <c r="VFY28" s="2511"/>
      <c r="VFZ28" s="2511"/>
      <c r="VGA28" s="2511"/>
      <c r="VGB28" s="2511"/>
      <c r="VGC28" s="2511"/>
      <c r="VGD28" s="2511"/>
      <c r="VGE28" s="2511"/>
      <c r="VGF28" s="2511"/>
      <c r="VGG28" s="2511"/>
      <c r="VGH28" s="2511"/>
      <c r="VGI28" s="2511"/>
      <c r="VGJ28" s="2511"/>
      <c r="VGK28" s="2511"/>
      <c r="VGL28" s="2511"/>
      <c r="VGM28" s="2511"/>
      <c r="VGN28" s="2511"/>
      <c r="VGO28" s="2511"/>
      <c r="VGP28" s="2511"/>
      <c r="VGQ28" s="2511"/>
      <c r="VGR28" s="2511"/>
      <c r="VGS28" s="2511"/>
      <c r="VGT28" s="2511"/>
      <c r="VGU28" s="2511"/>
      <c r="VGV28" s="2511"/>
      <c r="VGW28" s="2511"/>
      <c r="VGX28" s="2511"/>
      <c r="VGY28" s="2511"/>
      <c r="VGZ28" s="2511"/>
      <c r="VHA28" s="2511"/>
      <c r="VHB28" s="2511"/>
      <c r="VHC28" s="2511"/>
      <c r="VHD28" s="2511"/>
      <c r="VHE28" s="2511"/>
      <c r="VHF28" s="2511"/>
      <c r="VHG28" s="2511"/>
      <c r="VHH28" s="2511"/>
      <c r="VHI28" s="2511"/>
      <c r="VHJ28" s="2511"/>
      <c r="VHK28" s="2511"/>
      <c r="VHL28" s="2511"/>
      <c r="VHM28" s="2511"/>
      <c r="VHN28" s="2511"/>
      <c r="VHO28" s="2511"/>
      <c r="VHP28" s="2511"/>
      <c r="VHQ28" s="2511"/>
      <c r="VHR28" s="2511"/>
      <c r="VHS28" s="2511"/>
      <c r="VHT28" s="2511"/>
      <c r="VHU28" s="2511"/>
      <c r="VHV28" s="2511"/>
      <c r="VHW28" s="2511"/>
      <c r="VHX28" s="2511"/>
      <c r="VHY28" s="2511"/>
      <c r="VHZ28" s="2511"/>
      <c r="VIA28" s="2511"/>
      <c r="VIB28" s="2511"/>
      <c r="VIC28" s="2511"/>
      <c r="VID28" s="2511"/>
      <c r="VIE28" s="2511"/>
      <c r="VIF28" s="2511"/>
      <c r="VIG28" s="2511"/>
      <c r="VIH28" s="2511"/>
      <c r="VII28" s="2511"/>
      <c r="VIJ28" s="2511"/>
      <c r="VIK28" s="2511"/>
      <c r="VIL28" s="2511"/>
      <c r="VIM28" s="2511"/>
      <c r="VIN28" s="2511"/>
      <c r="VIO28" s="2511"/>
      <c r="VIP28" s="2511"/>
      <c r="VIQ28" s="2511"/>
      <c r="VIR28" s="2511"/>
      <c r="VIS28" s="2511"/>
      <c r="VIT28" s="2511"/>
      <c r="VIU28" s="2511"/>
      <c r="VIV28" s="2511"/>
      <c r="VIW28" s="2511"/>
      <c r="VIX28" s="2511"/>
      <c r="VIY28" s="2511"/>
      <c r="VIZ28" s="2511"/>
      <c r="VJA28" s="2511"/>
      <c r="VJB28" s="2511"/>
      <c r="VJC28" s="2511"/>
      <c r="VJD28" s="2511"/>
      <c r="VJE28" s="2511"/>
      <c r="VJF28" s="2511"/>
      <c r="VJG28" s="2511"/>
      <c r="VJH28" s="2511"/>
      <c r="VJI28" s="2511"/>
      <c r="VJJ28" s="2511"/>
      <c r="VJK28" s="2511"/>
      <c r="VJL28" s="2511"/>
      <c r="VJM28" s="2511"/>
      <c r="VJN28" s="2511"/>
      <c r="VJO28" s="2511"/>
      <c r="VJP28" s="2511"/>
      <c r="VJQ28" s="2511"/>
      <c r="VJR28" s="2511"/>
      <c r="VJS28" s="2511"/>
      <c r="VJT28" s="2511"/>
      <c r="VJU28" s="2511"/>
      <c r="VJV28" s="2511"/>
      <c r="VJW28" s="2511"/>
      <c r="VJX28" s="2511"/>
      <c r="VJY28" s="2511"/>
      <c r="VJZ28" s="2511"/>
      <c r="VKA28" s="2511"/>
      <c r="VKB28" s="2511"/>
      <c r="VKC28" s="2511"/>
      <c r="VKD28" s="2511"/>
      <c r="VKE28" s="2511"/>
      <c r="VKF28" s="2511"/>
      <c r="VKG28" s="2511"/>
      <c r="VKH28" s="2511"/>
      <c r="VKI28" s="2511"/>
      <c r="VKJ28" s="2511"/>
      <c r="VKK28" s="2511"/>
      <c r="VKL28" s="2511"/>
      <c r="VKM28" s="2511"/>
      <c r="VKN28" s="2511"/>
      <c r="VKO28" s="2511"/>
      <c r="VKP28" s="2511"/>
      <c r="VKQ28" s="2511"/>
      <c r="VKR28" s="2511"/>
      <c r="VKS28" s="2511"/>
      <c r="VKT28" s="2511"/>
      <c r="VKU28" s="2511"/>
      <c r="VKV28" s="2511"/>
      <c r="VKW28" s="2511"/>
      <c r="VKX28" s="2511"/>
      <c r="VKY28" s="2511"/>
      <c r="VKZ28" s="2511"/>
      <c r="VLA28" s="2511"/>
      <c r="VLB28" s="2511"/>
      <c r="VLC28" s="2511"/>
      <c r="VLD28" s="2511"/>
      <c r="VLE28" s="2511"/>
      <c r="VLF28" s="2511"/>
      <c r="VLG28" s="2511"/>
      <c r="VLH28" s="2511"/>
      <c r="VLI28" s="2511"/>
      <c r="VLJ28" s="2511"/>
      <c r="VLK28" s="2511"/>
      <c r="VLL28" s="2511"/>
      <c r="VLM28" s="2511"/>
      <c r="VLN28" s="2511"/>
      <c r="VLO28" s="2511"/>
      <c r="VLP28" s="2511"/>
      <c r="VLQ28" s="2511"/>
      <c r="VLR28" s="2511"/>
      <c r="VLS28" s="2511"/>
      <c r="VLT28" s="2511"/>
      <c r="VLU28" s="2511"/>
      <c r="VLV28" s="2511"/>
      <c r="VLW28" s="2511"/>
      <c r="VLX28" s="2511"/>
      <c r="VLY28" s="2511"/>
      <c r="VLZ28" s="2511"/>
      <c r="VMA28" s="2511"/>
      <c r="VMB28" s="2511"/>
      <c r="VMC28" s="2511"/>
      <c r="VMD28" s="2511"/>
      <c r="VME28" s="2511"/>
      <c r="VMF28" s="2511"/>
      <c r="VMG28" s="2511"/>
      <c r="VMH28" s="2511"/>
      <c r="VMI28" s="2511"/>
      <c r="VMJ28" s="2511"/>
      <c r="VMK28" s="2511"/>
      <c r="VML28" s="2511"/>
      <c r="VMM28" s="2511"/>
      <c r="VMN28" s="2511"/>
      <c r="VMO28" s="2511"/>
      <c r="VMP28" s="2511"/>
      <c r="VMQ28" s="2511"/>
      <c r="VMR28" s="2511"/>
      <c r="VMS28" s="2511"/>
      <c r="VMT28" s="2511"/>
      <c r="VMU28" s="2511"/>
      <c r="VMV28" s="2511"/>
      <c r="VMW28" s="2511"/>
      <c r="VMX28" s="2511"/>
      <c r="VMY28" s="2511"/>
      <c r="VMZ28" s="2511"/>
      <c r="VNA28" s="2511"/>
      <c r="VNB28" s="2511"/>
      <c r="VNC28" s="2511"/>
      <c r="VND28" s="2511"/>
      <c r="VNE28" s="2511"/>
      <c r="VNF28" s="2511"/>
      <c r="VNG28" s="2511"/>
      <c r="VNH28" s="2511"/>
      <c r="VNI28" s="2511"/>
      <c r="VNJ28" s="2511"/>
      <c r="VNK28" s="2511"/>
      <c r="VNL28" s="2511"/>
      <c r="VNM28" s="2511"/>
      <c r="VNN28" s="2511"/>
      <c r="VNO28" s="2511"/>
      <c r="VNP28" s="2511"/>
      <c r="VNQ28" s="2511"/>
      <c r="VNR28" s="2511"/>
      <c r="VNS28" s="2511"/>
      <c r="VNT28" s="2511"/>
      <c r="VNU28" s="2511"/>
      <c r="VNV28" s="2511"/>
      <c r="VNW28" s="2511"/>
      <c r="VNX28" s="2511"/>
      <c r="VNY28" s="2511"/>
      <c r="VNZ28" s="2511"/>
      <c r="VOA28" s="2511"/>
      <c r="VOB28" s="2511"/>
      <c r="VOC28" s="2511"/>
      <c r="VOD28" s="2511"/>
      <c r="VOE28" s="2511"/>
      <c r="VOF28" s="2511"/>
      <c r="VOG28" s="2511"/>
      <c r="VOH28" s="2511"/>
      <c r="VOI28" s="2511"/>
      <c r="VOJ28" s="2511"/>
      <c r="VOK28" s="2511"/>
      <c r="VOL28" s="2511"/>
      <c r="VOM28" s="2511"/>
      <c r="VON28" s="2511"/>
      <c r="VOO28" s="2511"/>
      <c r="VOP28" s="2511"/>
      <c r="VOQ28" s="2511"/>
      <c r="VOR28" s="2511"/>
      <c r="VOS28" s="2511"/>
      <c r="VOT28" s="2511"/>
      <c r="VOU28" s="2511"/>
      <c r="VOV28" s="2511"/>
      <c r="VOW28" s="2511"/>
      <c r="VOX28" s="2511"/>
      <c r="VOY28" s="2511"/>
      <c r="VOZ28" s="2511"/>
      <c r="VPA28" s="2511"/>
      <c r="VPB28" s="2511"/>
      <c r="VPC28" s="2511"/>
      <c r="VPD28" s="2511"/>
      <c r="VPE28" s="2511"/>
      <c r="VPF28" s="2511"/>
      <c r="VPG28" s="2511"/>
      <c r="VPH28" s="2511"/>
      <c r="VPI28" s="2511"/>
      <c r="VPJ28" s="2511"/>
      <c r="VPK28" s="2511"/>
      <c r="VPL28" s="2511"/>
      <c r="VPM28" s="2511"/>
      <c r="VPN28" s="2511"/>
      <c r="VPO28" s="2511"/>
      <c r="VPP28" s="2511"/>
      <c r="VPQ28" s="2511"/>
      <c r="VPR28" s="2511"/>
      <c r="VPS28" s="2511"/>
      <c r="VPT28" s="2511"/>
      <c r="VPU28" s="2511"/>
      <c r="VPV28" s="2511"/>
      <c r="VPW28" s="2511"/>
      <c r="VPX28" s="2511"/>
      <c r="VPY28" s="2511"/>
      <c r="VPZ28" s="2511"/>
      <c r="VQA28" s="2511"/>
      <c r="VQB28" s="2511"/>
      <c r="VQC28" s="2511"/>
      <c r="VQD28" s="2511"/>
      <c r="VQE28" s="2511"/>
      <c r="VQF28" s="2511"/>
      <c r="VQG28" s="2511"/>
      <c r="VQH28" s="2511"/>
      <c r="VQI28" s="2511"/>
      <c r="VQJ28" s="2511"/>
      <c r="VQK28" s="2511"/>
      <c r="VQL28" s="2511"/>
      <c r="VQM28" s="2511"/>
      <c r="VQN28" s="2511"/>
      <c r="VQO28" s="2511"/>
      <c r="VQP28" s="2511"/>
      <c r="VQQ28" s="2511"/>
      <c r="VQR28" s="2511"/>
      <c r="VQS28" s="2511"/>
      <c r="VQT28" s="2511"/>
      <c r="VQU28" s="2511"/>
      <c r="VQV28" s="2511"/>
      <c r="VQW28" s="2511"/>
      <c r="VQX28" s="2511"/>
      <c r="VQY28" s="2511"/>
      <c r="VQZ28" s="2511"/>
      <c r="VRA28" s="2511"/>
      <c r="VRB28" s="2511"/>
      <c r="VRC28" s="2511"/>
      <c r="VRD28" s="2511"/>
      <c r="VRE28" s="2511"/>
      <c r="VRF28" s="2511"/>
      <c r="VRG28" s="2511"/>
      <c r="VRH28" s="2511"/>
      <c r="VRI28" s="2511"/>
      <c r="VRJ28" s="2511"/>
      <c r="VRK28" s="2511"/>
      <c r="VRL28" s="2511"/>
      <c r="VRM28" s="2511"/>
      <c r="VRN28" s="2511"/>
      <c r="VRO28" s="2511"/>
      <c r="VRP28" s="2511"/>
      <c r="VRQ28" s="2511"/>
      <c r="VRR28" s="2511"/>
      <c r="VRS28" s="2511"/>
      <c r="VRT28" s="2511"/>
      <c r="VRU28" s="2511"/>
      <c r="VRV28" s="2511"/>
      <c r="VRW28" s="2511"/>
      <c r="VRX28" s="2511"/>
      <c r="VRY28" s="2511"/>
      <c r="VRZ28" s="2511"/>
      <c r="VSA28" s="2511"/>
      <c r="VSB28" s="2511"/>
      <c r="VSC28" s="2511"/>
      <c r="VSD28" s="2511"/>
      <c r="VSE28" s="2511"/>
      <c r="VSF28" s="2511"/>
      <c r="VSG28" s="2511"/>
      <c r="VSH28" s="2511"/>
      <c r="VSI28" s="2511"/>
      <c r="VSJ28" s="2511"/>
      <c r="VSK28" s="2511"/>
      <c r="VSL28" s="2511"/>
      <c r="VSM28" s="2511"/>
      <c r="VSN28" s="2511"/>
      <c r="VSO28" s="2511"/>
      <c r="VSP28" s="2511"/>
      <c r="VSQ28" s="2511"/>
      <c r="VSR28" s="2511"/>
      <c r="VSS28" s="2511"/>
      <c r="VST28" s="2511"/>
      <c r="VSU28" s="2511"/>
      <c r="VSV28" s="2511"/>
      <c r="VSW28" s="2511"/>
      <c r="VSX28" s="2511"/>
      <c r="VSY28" s="2511"/>
      <c r="VSZ28" s="2511"/>
      <c r="VTA28" s="2511"/>
      <c r="VTB28" s="2511"/>
      <c r="VTC28" s="2511"/>
      <c r="VTD28" s="2511"/>
      <c r="VTE28" s="2511"/>
      <c r="VTF28" s="2511"/>
      <c r="VTG28" s="2511"/>
      <c r="VTH28" s="2511"/>
      <c r="VTI28" s="2511"/>
      <c r="VTJ28" s="2511"/>
      <c r="VTK28" s="2511"/>
      <c r="VTL28" s="2511"/>
      <c r="VTM28" s="2511"/>
      <c r="VTN28" s="2511"/>
      <c r="VTO28" s="2511"/>
      <c r="VTP28" s="2511"/>
      <c r="VTQ28" s="2511"/>
      <c r="VTR28" s="2511"/>
      <c r="VTS28" s="2511"/>
      <c r="VTT28" s="2511"/>
      <c r="VTU28" s="2511"/>
      <c r="VTV28" s="2511"/>
      <c r="VTW28" s="2511"/>
      <c r="VTX28" s="2511"/>
      <c r="VTY28" s="2511"/>
      <c r="VTZ28" s="2511"/>
      <c r="VUA28" s="2511"/>
      <c r="VUB28" s="2511"/>
      <c r="VUC28" s="2511"/>
      <c r="VUD28" s="2511"/>
      <c r="VUE28" s="2511"/>
      <c r="VUF28" s="2511"/>
      <c r="VUG28" s="2511"/>
      <c r="VUH28" s="2511"/>
      <c r="VUI28" s="2511"/>
      <c r="VUJ28" s="2511"/>
      <c r="VUK28" s="2511"/>
      <c r="VUL28" s="2511"/>
      <c r="VUM28" s="2511"/>
      <c r="VUN28" s="2511"/>
      <c r="VUO28" s="2511"/>
      <c r="VUP28" s="2511"/>
      <c r="VUQ28" s="2511"/>
      <c r="VUR28" s="2511"/>
      <c r="VUS28" s="2511"/>
      <c r="VUT28" s="2511"/>
      <c r="VUU28" s="2511"/>
      <c r="VUV28" s="2511"/>
      <c r="VUW28" s="2511"/>
      <c r="VUX28" s="2511"/>
      <c r="VUY28" s="2511"/>
      <c r="VUZ28" s="2511"/>
      <c r="VVA28" s="2511"/>
      <c r="VVB28" s="2511"/>
      <c r="VVC28" s="2511"/>
      <c r="VVD28" s="2511"/>
      <c r="VVE28" s="2511"/>
      <c r="VVF28" s="2511"/>
      <c r="VVG28" s="2511"/>
      <c r="VVH28" s="2511"/>
      <c r="VVI28" s="2511"/>
      <c r="VVJ28" s="2511"/>
      <c r="VVK28" s="2511"/>
      <c r="VVL28" s="2511"/>
      <c r="VVM28" s="2511"/>
      <c r="VVN28" s="2511"/>
      <c r="VVO28" s="2511"/>
      <c r="VVP28" s="2511"/>
      <c r="VVQ28" s="2511"/>
      <c r="VVR28" s="2511"/>
      <c r="VVS28" s="2511"/>
      <c r="VVT28" s="2511"/>
      <c r="VVU28" s="2511"/>
      <c r="VVV28" s="2511"/>
      <c r="VVW28" s="2511"/>
      <c r="VVX28" s="2511"/>
      <c r="VVY28" s="2511"/>
      <c r="VVZ28" s="2511"/>
      <c r="VWA28" s="2511"/>
      <c r="VWB28" s="2511"/>
      <c r="VWC28" s="2511"/>
      <c r="VWD28" s="2511"/>
      <c r="VWE28" s="2511"/>
      <c r="VWF28" s="2511"/>
      <c r="VWG28" s="2511"/>
      <c r="VWH28" s="2511"/>
      <c r="VWI28" s="2511"/>
      <c r="VWJ28" s="2511"/>
      <c r="VWK28" s="2511"/>
      <c r="VWL28" s="2511"/>
      <c r="VWM28" s="2511"/>
      <c r="VWN28" s="2511"/>
      <c r="VWO28" s="2511"/>
      <c r="VWP28" s="2511"/>
      <c r="VWQ28" s="2511"/>
      <c r="VWR28" s="2511"/>
      <c r="VWS28" s="2511"/>
      <c r="VWT28" s="2511"/>
      <c r="VWU28" s="2511"/>
      <c r="VWV28" s="2511"/>
      <c r="VWW28" s="2511"/>
      <c r="VWX28" s="2511"/>
      <c r="VWY28" s="2511"/>
      <c r="VWZ28" s="2511"/>
      <c r="VXA28" s="2511"/>
      <c r="VXB28" s="2511"/>
      <c r="VXC28" s="2511"/>
      <c r="VXD28" s="2511"/>
      <c r="VXE28" s="2511"/>
      <c r="VXF28" s="2511"/>
      <c r="VXG28" s="2511"/>
      <c r="VXH28" s="2511"/>
      <c r="VXI28" s="2511"/>
      <c r="VXJ28" s="2511"/>
      <c r="VXK28" s="2511"/>
      <c r="VXL28" s="2511"/>
      <c r="VXM28" s="2511"/>
      <c r="VXN28" s="2511"/>
      <c r="VXO28" s="2511"/>
      <c r="VXP28" s="2511"/>
      <c r="VXQ28" s="2511"/>
      <c r="VXR28" s="2511"/>
      <c r="VXS28" s="2511"/>
      <c r="VXT28" s="2511"/>
      <c r="VXU28" s="2511"/>
      <c r="VXV28" s="2511"/>
      <c r="VXW28" s="2511"/>
      <c r="VXX28" s="2511"/>
      <c r="VXY28" s="2511"/>
      <c r="VXZ28" s="2511"/>
      <c r="VYA28" s="2511"/>
      <c r="VYB28" s="2511"/>
      <c r="VYC28" s="2511"/>
      <c r="VYD28" s="2511"/>
      <c r="VYE28" s="2511"/>
      <c r="VYF28" s="2511"/>
      <c r="VYG28" s="2511"/>
      <c r="VYH28" s="2511"/>
      <c r="VYI28" s="2511"/>
      <c r="VYJ28" s="2511"/>
      <c r="VYK28" s="2511"/>
      <c r="VYL28" s="2511"/>
      <c r="VYM28" s="2511"/>
      <c r="VYN28" s="2511"/>
      <c r="VYO28" s="2511"/>
      <c r="VYP28" s="2511"/>
      <c r="VYQ28" s="2511"/>
      <c r="VYR28" s="2511"/>
      <c r="VYS28" s="2511"/>
      <c r="VYT28" s="2511"/>
      <c r="VYU28" s="2511"/>
      <c r="VYV28" s="2511"/>
      <c r="VYW28" s="2511"/>
      <c r="VYX28" s="2511"/>
      <c r="VYY28" s="2511"/>
      <c r="VYZ28" s="2511"/>
      <c r="VZA28" s="2511"/>
      <c r="VZB28" s="2511"/>
      <c r="VZC28" s="2511"/>
      <c r="VZD28" s="2511"/>
      <c r="VZE28" s="2511"/>
      <c r="VZF28" s="2511"/>
      <c r="VZG28" s="2511"/>
      <c r="VZH28" s="2511"/>
      <c r="VZI28" s="2511"/>
      <c r="VZJ28" s="2511"/>
      <c r="VZK28" s="2511"/>
      <c r="VZL28" s="2511"/>
      <c r="VZM28" s="2511"/>
      <c r="VZN28" s="2511"/>
      <c r="VZO28" s="2511"/>
      <c r="VZP28" s="2511"/>
      <c r="VZQ28" s="2511"/>
      <c r="VZR28" s="2511"/>
      <c r="VZS28" s="2511"/>
      <c r="VZT28" s="2511"/>
      <c r="VZU28" s="2511"/>
      <c r="VZV28" s="2511"/>
      <c r="VZW28" s="2511"/>
      <c r="VZX28" s="2511"/>
      <c r="VZY28" s="2511"/>
      <c r="VZZ28" s="2511"/>
      <c r="WAA28" s="2511"/>
      <c r="WAB28" s="2511"/>
      <c r="WAC28" s="2511"/>
      <c r="WAD28" s="2511"/>
      <c r="WAE28" s="2511"/>
      <c r="WAF28" s="2511"/>
      <c r="WAG28" s="2511"/>
      <c r="WAH28" s="2511"/>
      <c r="WAI28" s="2511"/>
      <c r="WAJ28" s="2511"/>
      <c r="WAK28" s="2511"/>
      <c r="WAL28" s="2511"/>
      <c r="WAM28" s="2511"/>
      <c r="WAN28" s="2511"/>
      <c r="WAO28" s="2511"/>
      <c r="WAP28" s="2511"/>
      <c r="WAQ28" s="2511"/>
      <c r="WAR28" s="2511"/>
      <c r="WAS28" s="2511"/>
      <c r="WAT28" s="2511"/>
      <c r="WAU28" s="2511"/>
      <c r="WAV28" s="2511"/>
      <c r="WAW28" s="2511"/>
      <c r="WAX28" s="2511"/>
      <c r="WAY28" s="2511"/>
      <c r="WAZ28" s="2511"/>
      <c r="WBA28" s="2511"/>
      <c r="WBB28" s="2511"/>
      <c r="WBC28" s="2511"/>
      <c r="WBD28" s="2511"/>
      <c r="WBE28" s="2511"/>
      <c r="WBF28" s="2511"/>
      <c r="WBG28" s="2511"/>
      <c r="WBH28" s="2511"/>
      <c r="WBI28" s="2511"/>
      <c r="WBJ28" s="2511"/>
      <c r="WBK28" s="2511"/>
      <c r="WBL28" s="2511"/>
      <c r="WBM28" s="2511"/>
      <c r="WBN28" s="2511"/>
      <c r="WBO28" s="2511"/>
      <c r="WBP28" s="2511"/>
      <c r="WBQ28" s="2511"/>
      <c r="WBR28" s="2511"/>
      <c r="WBS28" s="2511"/>
      <c r="WBT28" s="2511"/>
      <c r="WBU28" s="2511"/>
      <c r="WBV28" s="2511"/>
      <c r="WBW28" s="2511"/>
      <c r="WBX28" s="2511"/>
      <c r="WBY28" s="2511"/>
      <c r="WBZ28" s="2511"/>
      <c r="WCA28" s="2511"/>
      <c r="WCB28" s="2511"/>
      <c r="WCC28" s="2511"/>
      <c r="WCD28" s="2511"/>
      <c r="WCE28" s="2511"/>
      <c r="WCF28" s="2511"/>
      <c r="WCG28" s="2511"/>
      <c r="WCH28" s="2511"/>
      <c r="WCI28" s="2511"/>
      <c r="WCJ28" s="2511"/>
      <c r="WCK28" s="2511"/>
      <c r="WCL28" s="2511"/>
      <c r="WCM28" s="2511"/>
      <c r="WCN28" s="2511"/>
      <c r="WCO28" s="2511"/>
      <c r="WCP28" s="2511"/>
      <c r="WCQ28" s="2511"/>
      <c r="WCR28" s="2511"/>
      <c r="WCS28" s="2511"/>
      <c r="WCT28" s="2511"/>
      <c r="WCU28" s="2511"/>
      <c r="WCV28" s="2511"/>
      <c r="WCW28" s="2511"/>
      <c r="WCX28" s="2511"/>
      <c r="WCY28" s="2511"/>
      <c r="WCZ28" s="2511"/>
      <c r="WDA28" s="2511"/>
      <c r="WDB28" s="2511"/>
      <c r="WDC28" s="2511"/>
      <c r="WDD28" s="2511"/>
      <c r="WDE28" s="2511"/>
      <c r="WDF28" s="2511"/>
      <c r="WDG28" s="2511"/>
      <c r="WDH28" s="2511"/>
      <c r="WDI28" s="2511"/>
      <c r="WDJ28" s="2511"/>
      <c r="WDK28" s="2511"/>
      <c r="WDL28" s="2511"/>
      <c r="WDM28" s="2511"/>
      <c r="WDN28" s="2511"/>
      <c r="WDO28" s="2511"/>
      <c r="WDP28" s="2511"/>
      <c r="WDQ28" s="2511"/>
      <c r="WDR28" s="2511"/>
      <c r="WDS28" s="2511"/>
      <c r="WDT28" s="2511"/>
      <c r="WDU28" s="2511"/>
      <c r="WDV28" s="2511"/>
      <c r="WDW28" s="2511"/>
      <c r="WDX28" s="2511"/>
      <c r="WDY28" s="2511"/>
      <c r="WDZ28" s="2511"/>
      <c r="WEA28" s="2511"/>
      <c r="WEB28" s="2511"/>
      <c r="WEC28" s="2511"/>
      <c r="WED28" s="2511"/>
      <c r="WEE28" s="2511"/>
      <c r="WEF28" s="2511"/>
      <c r="WEG28" s="2511"/>
      <c r="WEH28" s="2511"/>
      <c r="WEI28" s="2511"/>
      <c r="WEJ28" s="2511"/>
      <c r="WEK28" s="2511"/>
      <c r="WEL28" s="2511"/>
      <c r="WEM28" s="2511"/>
      <c r="WEN28" s="2511"/>
      <c r="WEO28" s="2511"/>
      <c r="WEP28" s="2511"/>
      <c r="WEQ28" s="2511"/>
      <c r="WER28" s="2511"/>
      <c r="WES28" s="2511"/>
      <c r="WET28" s="2511"/>
      <c r="WEU28" s="2511"/>
      <c r="WEV28" s="2511"/>
      <c r="WEW28" s="2511"/>
      <c r="WEX28" s="2511"/>
      <c r="WEY28" s="2511"/>
      <c r="WEZ28" s="2511"/>
      <c r="WFA28" s="2511"/>
      <c r="WFB28" s="2511"/>
      <c r="WFC28" s="2511"/>
      <c r="WFD28" s="2511"/>
      <c r="WFE28" s="2511"/>
      <c r="WFF28" s="2511"/>
      <c r="WFG28" s="2511"/>
      <c r="WFH28" s="2511"/>
      <c r="WFI28" s="2511"/>
      <c r="WFJ28" s="2511"/>
      <c r="WFK28" s="2511"/>
      <c r="WFL28" s="2511"/>
      <c r="WFM28" s="2511"/>
      <c r="WFN28" s="2511"/>
      <c r="WFO28" s="2511"/>
      <c r="WFP28" s="2511"/>
      <c r="WFQ28" s="2511"/>
      <c r="WFR28" s="2511"/>
      <c r="WFS28" s="2511"/>
      <c r="WFT28" s="2511"/>
      <c r="WFU28" s="2511"/>
      <c r="WFV28" s="2511"/>
      <c r="WFW28" s="2511"/>
      <c r="WFX28" s="2511"/>
      <c r="WFY28" s="2511"/>
      <c r="WFZ28" s="2511"/>
      <c r="WGA28" s="2511"/>
      <c r="WGB28" s="2511"/>
      <c r="WGC28" s="2511"/>
      <c r="WGD28" s="2511"/>
      <c r="WGE28" s="2511"/>
      <c r="WGF28" s="2511"/>
      <c r="WGG28" s="2511"/>
      <c r="WGH28" s="2511"/>
      <c r="WGI28" s="2511"/>
      <c r="WGJ28" s="2511"/>
      <c r="WGK28" s="2511"/>
      <c r="WGL28" s="2511"/>
      <c r="WGM28" s="2511"/>
      <c r="WGN28" s="2511"/>
      <c r="WGO28" s="2511"/>
      <c r="WGP28" s="2511"/>
      <c r="WGQ28" s="2511"/>
      <c r="WGR28" s="2511"/>
      <c r="WGS28" s="2511"/>
      <c r="WGT28" s="2511"/>
      <c r="WGU28" s="2511"/>
      <c r="WGV28" s="2511"/>
      <c r="WGW28" s="2511"/>
      <c r="WGX28" s="2511"/>
      <c r="WGY28" s="2511"/>
      <c r="WGZ28" s="2511"/>
      <c r="WHA28" s="2511"/>
      <c r="WHB28" s="2511"/>
      <c r="WHC28" s="2511"/>
      <c r="WHD28" s="2511"/>
      <c r="WHE28" s="2511"/>
      <c r="WHF28" s="2511"/>
      <c r="WHG28" s="2511"/>
      <c r="WHH28" s="2511"/>
      <c r="WHI28" s="2511"/>
      <c r="WHJ28" s="2511"/>
      <c r="WHK28" s="2511"/>
      <c r="WHL28" s="2511"/>
      <c r="WHM28" s="2511"/>
      <c r="WHN28" s="2511"/>
      <c r="WHO28" s="2511"/>
      <c r="WHP28" s="2511"/>
      <c r="WHQ28" s="2511"/>
      <c r="WHR28" s="2511"/>
      <c r="WHS28" s="2511"/>
      <c r="WHT28" s="2511"/>
      <c r="WHU28" s="2511"/>
      <c r="WHV28" s="2511"/>
      <c r="WHW28" s="2511"/>
      <c r="WHX28" s="2511"/>
      <c r="WHY28" s="2511"/>
      <c r="WHZ28" s="2511"/>
      <c r="WIA28" s="2511"/>
      <c r="WIB28" s="2511"/>
      <c r="WIC28" s="2511"/>
      <c r="WID28" s="2511"/>
      <c r="WIE28" s="2511"/>
      <c r="WIF28" s="2511"/>
      <c r="WIG28" s="2511"/>
      <c r="WIH28" s="2511"/>
      <c r="WII28" s="2511"/>
      <c r="WIJ28" s="2511"/>
      <c r="WIK28" s="2511"/>
      <c r="WIL28" s="2511"/>
      <c r="WIM28" s="2511"/>
      <c r="WIN28" s="2511"/>
      <c r="WIO28" s="2511"/>
      <c r="WIP28" s="2511"/>
      <c r="WIQ28" s="2511"/>
      <c r="WIR28" s="2511"/>
      <c r="WIS28" s="2511"/>
      <c r="WIT28" s="2511"/>
      <c r="WIU28" s="2511"/>
      <c r="WIV28" s="2511"/>
      <c r="WIW28" s="2511"/>
      <c r="WIX28" s="2511"/>
      <c r="WIY28" s="2511"/>
      <c r="WIZ28" s="2511"/>
      <c r="WJA28" s="2511"/>
      <c r="WJB28" s="2511"/>
      <c r="WJC28" s="2511"/>
      <c r="WJD28" s="2511"/>
      <c r="WJE28" s="2511"/>
      <c r="WJF28" s="2511"/>
      <c r="WJG28" s="2511"/>
      <c r="WJH28" s="2511"/>
      <c r="WJI28" s="2511"/>
      <c r="WJJ28" s="2511"/>
      <c r="WJK28" s="2511"/>
      <c r="WJL28" s="2511"/>
      <c r="WJM28" s="2511"/>
      <c r="WJN28" s="2511"/>
      <c r="WJO28" s="2511"/>
      <c r="WJP28" s="2511"/>
      <c r="WJQ28" s="2511"/>
      <c r="WJR28" s="2511"/>
      <c r="WJS28" s="2511"/>
      <c r="WJT28" s="2511"/>
      <c r="WJU28" s="2511"/>
      <c r="WJV28" s="2511"/>
      <c r="WJW28" s="2511"/>
      <c r="WJX28" s="2511"/>
      <c r="WJY28" s="2511"/>
      <c r="WJZ28" s="2511"/>
      <c r="WKA28" s="2511"/>
      <c r="WKB28" s="2511"/>
      <c r="WKC28" s="2511"/>
      <c r="WKD28" s="2511"/>
      <c r="WKE28" s="2511"/>
      <c r="WKF28" s="2511"/>
      <c r="WKG28" s="2511"/>
      <c r="WKH28" s="2511"/>
      <c r="WKI28" s="2511"/>
      <c r="WKJ28" s="2511"/>
      <c r="WKK28" s="2511"/>
      <c r="WKL28" s="2511"/>
      <c r="WKM28" s="2511"/>
      <c r="WKN28" s="2511"/>
      <c r="WKO28" s="2511"/>
      <c r="WKP28" s="2511"/>
      <c r="WKQ28" s="2511"/>
      <c r="WKR28" s="2511"/>
      <c r="WKS28" s="2511"/>
      <c r="WKT28" s="2511"/>
      <c r="WKU28" s="2511"/>
      <c r="WKV28" s="2511"/>
      <c r="WKW28" s="2511"/>
      <c r="WKX28" s="2511"/>
      <c r="WKY28" s="2511"/>
      <c r="WKZ28" s="2511"/>
      <c r="WLA28" s="2511"/>
      <c r="WLB28" s="2511"/>
      <c r="WLC28" s="2511"/>
      <c r="WLD28" s="2511"/>
      <c r="WLE28" s="2511"/>
      <c r="WLF28" s="2511"/>
      <c r="WLG28" s="2511"/>
      <c r="WLH28" s="2511"/>
      <c r="WLI28" s="2511"/>
      <c r="WLJ28" s="2511"/>
      <c r="WLK28" s="2511"/>
      <c r="WLL28" s="2511"/>
      <c r="WLM28" s="2511"/>
      <c r="WLN28" s="2511"/>
      <c r="WLO28" s="2511"/>
      <c r="WLP28" s="2511"/>
      <c r="WLQ28" s="2511"/>
      <c r="WLR28" s="2511"/>
      <c r="WLS28" s="2511"/>
      <c r="WLT28" s="2511"/>
      <c r="WLU28" s="2511"/>
      <c r="WLV28" s="2511"/>
      <c r="WLW28" s="2511"/>
      <c r="WLX28" s="2511"/>
      <c r="WLY28" s="2511"/>
      <c r="WLZ28" s="2511"/>
      <c r="WMA28" s="2511"/>
      <c r="WMB28" s="2511"/>
      <c r="WMC28" s="2511"/>
      <c r="WMD28" s="2511"/>
      <c r="WME28" s="2511"/>
      <c r="WMF28" s="2511"/>
      <c r="WMG28" s="2511"/>
      <c r="WMH28" s="2511"/>
      <c r="WMI28" s="2511"/>
      <c r="WMJ28" s="2511"/>
      <c r="WMK28" s="2511"/>
      <c r="WML28" s="2511"/>
      <c r="WMM28" s="2511"/>
      <c r="WMN28" s="2511"/>
      <c r="WMO28" s="2511"/>
      <c r="WMP28" s="2511"/>
      <c r="WMQ28" s="2511"/>
      <c r="WMR28" s="2511"/>
      <c r="WMS28" s="2511"/>
      <c r="WMT28" s="2511"/>
      <c r="WMU28" s="2511"/>
      <c r="WMV28" s="2511"/>
      <c r="WMW28" s="2511"/>
      <c r="WMX28" s="2511"/>
      <c r="WMY28" s="2511"/>
      <c r="WMZ28" s="2511"/>
      <c r="WNA28" s="2511"/>
      <c r="WNB28" s="2511"/>
      <c r="WNC28" s="2511"/>
      <c r="WND28" s="2511"/>
      <c r="WNE28" s="2511"/>
      <c r="WNF28" s="2511"/>
      <c r="WNG28" s="2511"/>
      <c r="WNH28" s="2511"/>
      <c r="WNI28" s="2511"/>
      <c r="WNJ28" s="2511"/>
      <c r="WNK28" s="2511"/>
      <c r="WNL28" s="2511"/>
      <c r="WNM28" s="2511"/>
      <c r="WNN28" s="2511"/>
      <c r="WNO28" s="2511"/>
      <c r="WNP28" s="2511"/>
      <c r="WNQ28" s="2511"/>
      <c r="WNR28" s="2511"/>
      <c r="WNS28" s="2511"/>
      <c r="WNT28" s="2511"/>
      <c r="WNU28" s="2511"/>
      <c r="WNV28" s="2511"/>
      <c r="WNW28" s="2511"/>
      <c r="WNX28" s="2511"/>
      <c r="WNY28" s="2511"/>
      <c r="WNZ28" s="2511"/>
      <c r="WOA28" s="2511"/>
      <c r="WOB28" s="2511"/>
      <c r="WOC28" s="2511"/>
      <c r="WOD28" s="2511"/>
      <c r="WOE28" s="2511"/>
      <c r="WOF28" s="2511"/>
      <c r="WOG28" s="2511"/>
      <c r="WOH28" s="2511"/>
      <c r="WOI28" s="2511"/>
      <c r="WOJ28" s="2511"/>
      <c r="WOK28" s="2511"/>
      <c r="WOL28" s="2511"/>
      <c r="WOM28" s="2511"/>
      <c r="WON28" s="2511"/>
      <c r="WOO28" s="2511"/>
      <c r="WOP28" s="2511"/>
      <c r="WOQ28" s="2511"/>
      <c r="WOR28" s="2511"/>
      <c r="WOS28" s="2511"/>
      <c r="WOT28" s="2511"/>
      <c r="WOU28" s="2511"/>
      <c r="WOV28" s="2511"/>
      <c r="WOW28" s="2511"/>
      <c r="WOX28" s="2511"/>
      <c r="WOY28" s="2511"/>
      <c r="WOZ28" s="2511"/>
      <c r="WPA28" s="2511"/>
      <c r="WPB28" s="2511"/>
      <c r="WPC28" s="2511"/>
      <c r="WPD28" s="2511"/>
      <c r="WPE28" s="2511"/>
      <c r="WPF28" s="2511"/>
      <c r="WPG28" s="2511"/>
      <c r="WPH28" s="2511"/>
      <c r="WPI28" s="2511"/>
      <c r="WPJ28" s="2511"/>
      <c r="WPK28" s="2511"/>
      <c r="WPL28" s="2511"/>
      <c r="WPM28" s="2511"/>
      <c r="WPN28" s="2511"/>
      <c r="WPO28" s="2511"/>
      <c r="WPP28" s="2511"/>
      <c r="WPQ28" s="2511"/>
      <c r="WPR28" s="2511"/>
      <c r="WPS28" s="2511"/>
      <c r="WPT28" s="2511"/>
      <c r="WPU28" s="2511"/>
      <c r="WPV28" s="2511"/>
      <c r="WPW28" s="2511"/>
      <c r="WPX28" s="2511"/>
      <c r="WPY28" s="2511"/>
      <c r="WPZ28" s="2511"/>
      <c r="WQA28" s="2511"/>
      <c r="WQB28" s="2511"/>
      <c r="WQC28" s="2511"/>
      <c r="WQD28" s="2511"/>
      <c r="WQE28" s="2511"/>
      <c r="WQF28" s="2511"/>
      <c r="WQG28" s="2511"/>
      <c r="WQH28" s="2511"/>
      <c r="WQI28" s="2511"/>
      <c r="WQJ28" s="2511"/>
      <c r="WQK28" s="2511"/>
      <c r="WQL28" s="2511"/>
      <c r="WQM28" s="2511"/>
      <c r="WQN28" s="2511"/>
      <c r="WQO28" s="2511"/>
      <c r="WQP28" s="2511"/>
      <c r="WQQ28" s="2511"/>
      <c r="WQR28" s="2511"/>
      <c r="WQS28" s="2511"/>
      <c r="WQT28" s="2511"/>
      <c r="WQU28" s="2511"/>
      <c r="WQV28" s="2511"/>
      <c r="WQW28" s="2511"/>
      <c r="WQX28" s="2511"/>
      <c r="WQY28" s="2511"/>
      <c r="WQZ28" s="2511"/>
      <c r="WRA28" s="2511"/>
      <c r="WRB28" s="2511"/>
      <c r="WRC28" s="2511"/>
      <c r="WRD28" s="2511"/>
      <c r="WRE28" s="2511"/>
      <c r="WRF28" s="2511"/>
      <c r="WRG28" s="2511"/>
      <c r="WRH28" s="2511"/>
      <c r="WRI28" s="2511"/>
      <c r="WRJ28" s="2511"/>
      <c r="WRK28" s="2511"/>
      <c r="WRL28" s="2511"/>
      <c r="WRM28" s="2511"/>
      <c r="WRN28" s="2511"/>
      <c r="WRO28" s="2511"/>
      <c r="WRP28" s="2511"/>
      <c r="WRQ28" s="2511"/>
      <c r="WRR28" s="2511"/>
      <c r="WRS28" s="2511"/>
      <c r="WRT28" s="2511"/>
      <c r="WRU28" s="2511"/>
      <c r="WRV28" s="2511"/>
      <c r="WRW28" s="2511"/>
      <c r="WRX28" s="2511"/>
      <c r="WRY28" s="2511"/>
      <c r="WRZ28" s="2511"/>
      <c r="WSA28" s="2511"/>
      <c r="WSB28" s="2511"/>
      <c r="WSC28" s="2511"/>
      <c r="WSD28" s="2511"/>
      <c r="WSE28" s="2511"/>
      <c r="WSF28" s="2511"/>
      <c r="WSG28" s="2511"/>
      <c r="WSH28" s="2511"/>
      <c r="WSI28" s="2511"/>
      <c r="WSJ28" s="2511"/>
      <c r="WSK28" s="2511"/>
      <c r="WSL28" s="2511"/>
      <c r="WSM28" s="2511"/>
      <c r="WSN28" s="2511"/>
      <c r="WSO28" s="2511"/>
      <c r="WSP28" s="2511"/>
      <c r="WSQ28" s="2511"/>
      <c r="WSR28" s="2511"/>
      <c r="WSS28" s="2511"/>
      <c r="WST28" s="2511"/>
      <c r="WSU28" s="2511"/>
      <c r="WSV28" s="2511"/>
      <c r="WSW28" s="2511"/>
      <c r="WSX28" s="2511"/>
      <c r="WSY28" s="2511"/>
      <c r="WSZ28" s="2511"/>
      <c r="WTA28" s="2511"/>
      <c r="WTB28" s="2511"/>
      <c r="WTC28" s="2511"/>
      <c r="WTD28" s="2511"/>
      <c r="WTE28" s="2511"/>
      <c r="WTF28" s="2511"/>
      <c r="WTG28" s="2511"/>
      <c r="WTH28" s="2511"/>
      <c r="WTI28" s="2511"/>
      <c r="WTJ28" s="2511"/>
      <c r="WTK28" s="2511"/>
      <c r="WTL28" s="2511"/>
      <c r="WTM28" s="2511"/>
      <c r="WTN28" s="2511"/>
      <c r="WTO28" s="2511"/>
      <c r="WTP28" s="2511"/>
      <c r="WTQ28" s="2511"/>
      <c r="WTR28" s="2511"/>
      <c r="WTS28" s="2511"/>
      <c r="WTT28" s="2511"/>
      <c r="WTU28" s="2511"/>
      <c r="WTV28" s="2511"/>
      <c r="WTW28" s="2511"/>
      <c r="WTX28" s="2511"/>
      <c r="WTY28" s="2511"/>
      <c r="WTZ28" s="2511"/>
      <c r="WUA28" s="2511"/>
      <c r="WUB28" s="2511"/>
      <c r="WUC28" s="2511"/>
      <c r="WUD28" s="2511"/>
      <c r="WUE28" s="2511"/>
      <c r="WUF28" s="2511"/>
      <c r="WUG28" s="2511"/>
      <c r="WUH28" s="2511"/>
      <c r="WUI28" s="2511"/>
      <c r="WUJ28" s="2511"/>
      <c r="WUK28" s="2511"/>
      <c r="WUL28" s="2511"/>
      <c r="WUM28" s="2511"/>
      <c r="WUN28" s="2511"/>
      <c r="WUO28" s="2511"/>
      <c r="WUP28" s="2511"/>
      <c r="WUQ28" s="2511"/>
      <c r="WUR28" s="2511"/>
      <c r="WUS28" s="2511"/>
      <c r="WUT28" s="2511"/>
      <c r="WUU28" s="2511"/>
      <c r="WUV28" s="2511"/>
      <c r="WUW28" s="2511"/>
      <c r="WUX28" s="2511"/>
      <c r="WUY28" s="2511"/>
      <c r="WUZ28" s="2511"/>
      <c r="WVA28" s="2511"/>
      <c r="WVB28" s="2511"/>
      <c r="WVC28" s="2511"/>
      <c r="WVD28" s="2511"/>
      <c r="WVE28" s="2511"/>
      <c r="WVF28" s="2511"/>
      <c r="WVG28" s="2511"/>
      <c r="WVH28" s="2511"/>
      <c r="WVI28" s="2511"/>
      <c r="WVJ28" s="2511"/>
      <c r="WVK28" s="2511"/>
      <c r="WVL28" s="2511"/>
      <c r="WVM28" s="2511"/>
      <c r="WVN28" s="2511"/>
      <c r="WVO28" s="2511"/>
      <c r="WVP28" s="2511"/>
      <c r="WVQ28" s="2511"/>
      <c r="WVR28" s="2511"/>
      <c r="WVS28" s="2511"/>
      <c r="WVT28" s="2511"/>
      <c r="WVU28" s="2511"/>
      <c r="WVV28" s="2511"/>
      <c r="WVW28" s="2511"/>
      <c r="WVX28" s="2511"/>
      <c r="WVY28" s="2511"/>
      <c r="WVZ28" s="2511"/>
      <c r="WWA28" s="2511"/>
      <c r="WWB28" s="2511"/>
      <c r="WWC28" s="2511"/>
      <c r="WWD28" s="2511"/>
      <c r="WWE28" s="2511"/>
      <c r="WWF28" s="2511"/>
      <c r="WWG28" s="2511"/>
      <c r="WWH28" s="2511"/>
      <c r="WWI28" s="2511"/>
      <c r="WWJ28" s="2511"/>
      <c r="WWK28" s="2511"/>
      <c r="WWL28" s="2511"/>
      <c r="WWM28" s="2511"/>
      <c r="WWN28" s="2511"/>
      <c r="WWO28" s="2511"/>
      <c r="WWP28" s="2511"/>
      <c r="WWQ28" s="2511"/>
      <c r="WWR28" s="2511"/>
      <c r="WWS28" s="2511"/>
      <c r="WWT28" s="2511"/>
      <c r="WWU28" s="2511"/>
      <c r="WWV28" s="2511"/>
      <c r="WWW28" s="2511"/>
      <c r="WWX28" s="2511"/>
      <c r="WWY28" s="2511"/>
      <c r="WWZ28" s="2511"/>
      <c r="WXA28" s="2511"/>
      <c r="WXB28" s="2511"/>
      <c r="WXC28" s="2511"/>
      <c r="WXD28" s="2511"/>
      <c r="WXE28" s="2511"/>
      <c r="WXF28" s="2511"/>
      <c r="WXG28" s="2511"/>
      <c r="WXH28" s="2511"/>
      <c r="WXI28" s="2511"/>
      <c r="WXJ28" s="2511"/>
      <c r="WXK28" s="2511"/>
      <c r="WXL28" s="2511"/>
      <c r="WXM28" s="2511"/>
      <c r="WXN28" s="2511"/>
      <c r="WXO28" s="2511"/>
      <c r="WXP28" s="2511"/>
      <c r="WXQ28" s="2511"/>
      <c r="WXR28" s="2511"/>
      <c r="WXS28" s="2511"/>
      <c r="WXT28" s="2511"/>
      <c r="WXU28" s="2511"/>
      <c r="WXV28" s="2511"/>
      <c r="WXW28" s="2511"/>
      <c r="WXX28" s="2511"/>
      <c r="WXY28" s="2511"/>
      <c r="WXZ28" s="2511"/>
      <c r="WYA28" s="2511"/>
      <c r="WYB28" s="2511"/>
      <c r="WYC28" s="2511"/>
      <c r="WYD28" s="2511"/>
      <c r="WYE28" s="2511"/>
      <c r="WYF28" s="2511"/>
      <c r="WYG28" s="2511"/>
      <c r="WYH28" s="2511"/>
      <c r="WYI28" s="2511"/>
      <c r="WYJ28" s="2511"/>
      <c r="WYK28" s="2511"/>
      <c r="WYL28" s="2511"/>
      <c r="WYM28" s="2511"/>
      <c r="WYN28" s="2511"/>
      <c r="WYO28" s="2511"/>
      <c r="WYP28" s="2511"/>
      <c r="WYQ28" s="2511"/>
      <c r="WYR28" s="2511"/>
      <c r="WYS28" s="2511"/>
      <c r="WYT28" s="2511"/>
      <c r="WYU28" s="2511"/>
      <c r="WYV28" s="2511"/>
      <c r="WYW28" s="2511"/>
      <c r="WYX28" s="2511"/>
      <c r="WYY28" s="2511"/>
      <c r="WYZ28" s="2511"/>
      <c r="WZA28" s="2511"/>
      <c r="WZB28" s="2511"/>
      <c r="WZC28" s="2511"/>
      <c r="WZD28" s="2511"/>
      <c r="WZE28" s="2511"/>
      <c r="WZF28" s="2511"/>
      <c r="WZG28" s="2511"/>
      <c r="WZH28" s="2511"/>
      <c r="WZI28" s="2511"/>
      <c r="WZJ28" s="2511"/>
      <c r="WZK28" s="2511"/>
      <c r="WZL28" s="2511"/>
      <c r="WZM28" s="2511"/>
      <c r="WZN28" s="2511"/>
      <c r="WZO28" s="2511"/>
      <c r="WZP28" s="2511"/>
      <c r="WZQ28" s="2511"/>
      <c r="WZR28" s="2511"/>
      <c r="WZS28" s="2511"/>
      <c r="WZT28" s="2511"/>
      <c r="WZU28" s="2511"/>
      <c r="WZV28" s="2511"/>
      <c r="WZW28" s="2511"/>
      <c r="WZX28" s="2511"/>
      <c r="WZY28" s="2511"/>
      <c r="WZZ28" s="2511"/>
      <c r="XAA28" s="2511"/>
      <c r="XAB28" s="2511"/>
      <c r="XAC28" s="2511"/>
      <c r="XAD28" s="2511"/>
      <c r="XAE28" s="2511"/>
      <c r="XAF28" s="2511"/>
      <c r="XAG28" s="2511"/>
      <c r="XAH28" s="2511"/>
      <c r="XAI28" s="2511"/>
      <c r="XAJ28" s="2511"/>
      <c r="XAK28" s="2511"/>
      <c r="XAL28" s="2511"/>
      <c r="XAM28" s="2511"/>
      <c r="XAN28" s="2511"/>
      <c r="XAO28" s="2511"/>
      <c r="XAP28" s="2511"/>
      <c r="XAQ28" s="2511"/>
      <c r="XAR28" s="2511"/>
      <c r="XAS28" s="2511"/>
      <c r="XAT28" s="2511"/>
      <c r="XAU28" s="2511"/>
      <c r="XAV28" s="2511"/>
      <c r="XAW28" s="2511"/>
      <c r="XAX28" s="2511"/>
      <c r="XAY28" s="2511"/>
      <c r="XAZ28" s="2511"/>
      <c r="XBA28" s="2511"/>
      <c r="XBB28" s="2511"/>
      <c r="XBC28" s="2511"/>
      <c r="XBD28" s="2511"/>
      <c r="XBE28" s="2511"/>
      <c r="XBF28" s="2511"/>
      <c r="XBG28" s="2511"/>
      <c r="XBH28" s="2511"/>
      <c r="XBI28" s="2511"/>
      <c r="XBJ28" s="2511"/>
      <c r="XBK28" s="2511"/>
      <c r="XBL28" s="2511"/>
      <c r="XBM28" s="2511"/>
      <c r="XBN28" s="2511"/>
      <c r="XBO28" s="2511"/>
      <c r="XBP28" s="2511"/>
      <c r="XBQ28" s="2511"/>
      <c r="XBR28" s="2511"/>
      <c r="XBS28" s="2511"/>
      <c r="XBT28" s="2511"/>
      <c r="XBU28" s="2511"/>
      <c r="XBV28" s="2511"/>
      <c r="XBW28" s="2511"/>
      <c r="XBX28" s="2511"/>
      <c r="XBY28" s="2511"/>
      <c r="XBZ28" s="2511"/>
      <c r="XCA28" s="2511"/>
      <c r="XCB28" s="2511"/>
      <c r="XCC28" s="2511"/>
      <c r="XCD28" s="2511"/>
      <c r="XCE28" s="2511"/>
      <c r="XCF28" s="2511"/>
      <c r="XCG28" s="2511"/>
      <c r="XCH28" s="2511"/>
      <c r="XCI28" s="2511"/>
      <c r="XCJ28" s="2511"/>
      <c r="XCK28" s="2511"/>
      <c r="XCL28" s="2511"/>
      <c r="XCM28" s="2511"/>
      <c r="XCN28" s="2511"/>
      <c r="XCO28" s="2511"/>
      <c r="XCP28" s="2511"/>
      <c r="XCQ28" s="2511"/>
      <c r="XCR28" s="2511"/>
      <c r="XCS28" s="2511"/>
      <c r="XCT28" s="2511"/>
      <c r="XCU28" s="2511"/>
      <c r="XCV28" s="2511"/>
      <c r="XCW28" s="2511"/>
      <c r="XCX28" s="2511"/>
      <c r="XCY28" s="2511"/>
      <c r="XCZ28" s="2511"/>
      <c r="XDA28" s="2511"/>
      <c r="XDB28" s="2511"/>
      <c r="XDC28" s="2511"/>
      <c r="XDD28" s="2511"/>
      <c r="XDE28" s="2511"/>
      <c r="XDF28" s="2511"/>
      <c r="XDG28" s="2511"/>
      <c r="XDH28" s="2511"/>
      <c r="XDI28" s="2511"/>
      <c r="XDJ28" s="2511"/>
      <c r="XDK28" s="2511"/>
      <c r="XDL28" s="2511"/>
      <c r="XDM28" s="2511"/>
      <c r="XDN28" s="2511"/>
      <c r="XDO28" s="2511"/>
      <c r="XDP28" s="2511"/>
      <c r="XDQ28" s="2511"/>
      <c r="XDR28" s="2511"/>
      <c r="XDS28" s="2511"/>
      <c r="XDT28" s="2511"/>
      <c r="XDU28" s="2511"/>
      <c r="XDV28" s="2511"/>
      <c r="XDW28" s="2511"/>
      <c r="XDX28" s="2511"/>
      <c r="XDY28" s="2511"/>
      <c r="XDZ28" s="2511"/>
      <c r="XEA28" s="2511"/>
      <c r="XEB28" s="2511"/>
      <c r="XEC28" s="2511"/>
      <c r="XED28" s="2511"/>
      <c r="XEE28" s="2511"/>
      <c r="XEF28" s="2511"/>
      <c r="XEG28" s="2511"/>
      <c r="XEH28" s="2511"/>
      <c r="XEI28" s="2511"/>
      <c r="XEJ28" s="2511"/>
      <c r="XEK28" s="2511"/>
      <c r="XEL28" s="2511"/>
      <c r="XEM28" s="2511"/>
      <c r="XEN28" s="2511"/>
      <c r="XEO28" s="2511"/>
      <c r="XEP28" s="2511"/>
      <c r="XEQ28" s="2511"/>
      <c r="XER28" s="2511"/>
      <c r="XES28" s="2511"/>
      <c r="XET28" s="2511"/>
      <c r="XEU28" s="2511"/>
      <c r="XEV28" s="2511"/>
      <c r="XEW28" s="2511"/>
      <c r="XEX28" s="2511"/>
      <c r="XEY28" s="2511"/>
      <c r="XEZ28" s="2511"/>
      <c r="XFA28" s="2511"/>
      <c r="XFB28" s="2511"/>
      <c r="XFC28" s="2511"/>
      <c r="XFD28" s="2511"/>
    </row>
    <row r="29" spans="1:16384">
      <c r="A29" s="2512" t="s">
        <v>1332</v>
      </c>
      <c r="B29" s="2512"/>
      <c r="C29" s="2512"/>
      <c r="D29" s="2512"/>
      <c r="E29" s="2512"/>
      <c r="F29" s="2512"/>
      <c r="G29" s="2512"/>
      <c r="H29" s="2512"/>
      <c r="I29" s="2512"/>
      <c r="J29" s="2512"/>
      <c r="K29" s="2512"/>
      <c r="L29" s="2512"/>
      <c r="M29" s="2512"/>
      <c r="N29" s="2512"/>
      <c r="O29" s="2512"/>
      <c r="P29" s="2512"/>
      <c r="Q29" s="2512"/>
    </row>
    <row r="30" spans="1:16384" s="723" customFormat="1" ht="45" customHeight="1">
      <c r="A30" s="2511" t="s">
        <v>1333</v>
      </c>
      <c r="B30" s="2511"/>
      <c r="C30" s="2511"/>
      <c r="D30" s="2511"/>
      <c r="E30" s="2511"/>
      <c r="F30" s="2511"/>
      <c r="G30" s="2511"/>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c r="DT30" s="2511"/>
      <c r="DU30" s="2511"/>
      <c r="DV30" s="2511"/>
      <c r="DW30" s="2511"/>
      <c r="DX30" s="2511"/>
      <c r="DY30" s="2511"/>
      <c r="DZ30" s="2511"/>
      <c r="EA30" s="2511"/>
      <c r="EB30" s="2511"/>
      <c r="EC30" s="2511"/>
      <c r="ED30" s="2511"/>
      <c r="EE30" s="2511"/>
      <c r="EF30" s="2511"/>
      <c r="EG30" s="2511"/>
      <c r="EH30" s="2511"/>
      <c r="EI30" s="2511"/>
      <c r="EJ30" s="2511"/>
      <c r="EK30" s="2511"/>
      <c r="EL30" s="2511"/>
      <c r="EM30" s="2511"/>
      <c r="EN30" s="2511"/>
      <c r="EO30" s="2511"/>
      <c r="EP30" s="2511"/>
      <c r="EQ30" s="2511"/>
      <c r="ER30" s="2511"/>
      <c r="ES30" s="2511"/>
      <c r="ET30" s="2511"/>
      <c r="EU30" s="2511"/>
      <c r="EV30" s="2511"/>
      <c r="EW30" s="2511"/>
      <c r="EX30" s="2511"/>
      <c r="EY30" s="2511"/>
      <c r="EZ30" s="2511"/>
      <c r="FA30" s="2511"/>
      <c r="FB30" s="2511"/>
      <c r="FC30" s="2511"/>
      <c r="FD30" s="2511"/>
      <c r="FE30" s="2511"/>
      <c r="FF30" s="2511"/>
      <c r="FG30" s="2511"/>
      <c r="FH30" s="2511"/>
      <c r="FI30" s="2511"/>
      <c r="FJ30" s="2511"/>
      <c r="FK30" s="2511"/>
      <c r="FL30" s="2511"/>
      <c r="FM30" s="2511"/>
      <c r="FN30" s="2511"/>
      <c r="FO30" s="2511"/>
      <c r="FP30" s="2511"/>
      <c r="FQ30" s="2511"/>
      <c r="FR30" s="2511"/>
      <c r="FS30" s="2511"/>
      <c r="FT30" s="2511"/>
      <c r="FU30" s="2511"/>
      <c r="FV30" s="2511"/>
      <c r="FW30" s="2511"/>
      <c r="FX30" s="2511"/>
      <c r="FY30" s="2511"/>
      <c r="FZ30" s="2511"/>
      <c r="GA30" s="2511"/>
      <c r="GB30" s="2511"/>
      <c r="GC30" s="2511"/>
      <c r="GD30" s="2511"/>
      <c r="GE30" s="2511"/>
      <c r="GF30" s="2511"/>
      <c r="GG30" s="2511"/>
      <c r="GH30" s="2511"/>
      <c r="GI30" s="2511"/>
      <c r="GJ30" s="2511"/>
      <c r="GK30" s="2511"/>
      <c r="GL30" s="2511"/>
      <c r="GM30" s="2511"/>
      <c r="GN30" s="2511"/>
      <c r="GO30" s="2511"/>
      <c r="GP30" s="2511"/>
      <c r="GQ30" s="2511"/>
      <c r="GR30" s="2511"/>
      <c r="GS30" s="2511"/>
      <c r="GT30" s="2511"/>
      <c r="GU30" s="2511"/>
      <c r="GV30" s="2511"/>
      <c r="GW30" s="2511"/>
      <c r="GX30" s="2511"/>
      <c r="GY30" s="2511"/>
      <c r="GZ30" s="2511"/>
      <c r="HA30" s="2511"/>
      <c r="HB30" s="2511"/>
      <c r="HC30" s="2511"/>
      <c r="HD30" s="2511"/>
      <c r="HE30" s="2511"/>
      <c r="HF30" s="2511"/>
      <c r="HG30" s="2511"/>
      <c r="HH30" s="2511"/>
      <c r="HI30" s="2511"/>
      <c r="HJ30" s="2511"/>
      <c r="HK30" s="2511"/>
      <c r="HL30" s="2511"/>
      <c r="HM30" s="2511"/>
      <c r="HN30" s="2511"/>
      <c r="HO30" s="2511"/>
      <c r="HP30" s="2511"/>
      <c r="HQ30" s="2511"/>
      <c r="HR30" s="2511"/>
      <c r="HS30" s="2511"/>
      <c r="HT30" s="2511"/>
      <c r="HU30" s="2511"/>
      <c r="HV30" s="2511"/>
      <c r="HW30" s="2511"/>
      <c r="HX30" s="2511"/>
      <c r="HY30" s="2511"/>
      <c r="HZ30" s="2511"/>
      <c r="IA30" s="2511"/>
      <c r="IB30" s="2511"/>
      <c r="IC30" s="2511"/>
      <c r="ID30" s="2511"/>
      <c r="IE30" s="2511"/>
      <c r="IF30" s="2511"/>
      <c r="IG30" s="2511"/>
      <c r="IH30" s="2511"/>
      <c r="II30" s="2511"/>
      <c r="IJ30" s="2511"/>
      <c r="IK30" s="2511"/>
      <c r="IL30" s="2511"/>
      <c r="IM30" s="2511"/>
      <c r="IN30" s="2511"/>
      <c r="IO30" s="2511"/>
      <c r="IP30" s="2511"/>
      <c r="IQ30" s="2511"/>
      <c r="IR30" s="2511"/>
      <c r="IS30" s="2511"/>
      <c r="IT30" s="2511"/>
      <c r="IU30" s="2511"/>
      <c r="IV30" s="2511"/>
      <c r="IW30" s="2511"/>
      <c r="IX30" s="2511"/>
      <c r="IY30" s="2511"/>
      <c r="IZ30" s="2511"/>
      <c r="JA30" s="2511"/>
      <c r="JB30" s="2511"/>
      <c r="JC30" s="2511"/>
      <c r="JD30" s="2511"/>
      <c r="JE30" s="2511"/>
      <c r="JF30" s="2511"/>
      <c r="JG30" s="2511"/>
      <c r="JH30" s="2511"/>
      <c r="JI30" s="2511"/>
      <c r="JJ30" s="2511"/>
      <c r="JK30" s="2511"/>
      <c r="JL30" s="2511"/>
      <c r="JM30" s="2511"/>
      <c r="JN30" s="2511"/>
      <c r="JO30" s="2511"/>
      <c r="JP30" s="2511"/>
      <c r="JQ30" s="2511"/>
      <c r="JR30" s="2511"/>
      <c r="JS30" s="2511"/>
      <c r="JT30" s="2511"/>
      <c r="JU30" s="2511"/>
      <c r="JV30" s="2511"/>
      <c r="JW30" s="2511"/>
      <c r="JX30" s="2511"/>
      <c r="JY30" s="2511"/>
      <c r="JZ30" s="2511"/>
      <c r="KA30" s="2511"/>
      <c r="KB30" s="2511"/>
      <c r="KC30" s="2511"/>
      <c r="KD30" s="2511"/>
      <c r="KE30" s="2511"/>
      <c r="KF30" s="2511"/>
      <c r="KG30" s="2511"/>
      <c r="KH30" s="2511"/>
      <c r="KI30" s="2511"/>
      <c r="KJ30" s="2511"/>
      <c r="KK30" s="2511"/>
      <c r="KL30" s="2511"/>
      <c r="KM30" s="2511"/>
      <c r="KN30" s="2511"/>
      <c r="KO30" s="2511"/>
      <c r="KP30" s="2511"/>
      <c r="KQ30" s="2511"/>
      <c r="KR30" s="2511"/>
      <c r="KS30" s="2511"/>
      <c r="KT30" s="2511"/>
      <c r="KU30" s="2511"/>
      <c r="KV30" s="2511"/>
      <c r="KW30" s="2511"/>
      <c r="KX30" s="2511"/>
      <c r="KY30" s="2511"/>
      <c r="KZ30" s="2511"/>
      <c r="LA30" s="2511"/>
      <c r="LB30" s="2511"/>
      <c r="LC30" s="2511"/>
      <c r="LD30" s="2511"/>
      <c r="LE30" s="2511"/>
      <c r="LF30" s="2511"/>
      <c r="LG30" s="2511"/>
      <c r="LH30" s="2511"/>
      <c r="LI30" s="2511"/>
      <c r="LJ30" s="2511"/>
      <c r="LK30" s="2511"/>
      <c r="LL30" s="2511"/>
      <c r="LM30" s="2511"/>
      <c r="LN30" s="2511"/>
      <c r="LO30" s="2511"/>
      <c r="LP30" s="2511"/>
      <c r="LQ30" s="2511"/>
      <c r="LR30" s="2511"/>
      <c r="LS30" s="2511"/>
      <c r="LT30" s="2511"/>
      <c r="LU30" s="2511"/>
      <c r="LV30" s="2511"/>
      <c r="LW30" s="2511"/>
      <c r="LX30" s="2511"/>
      <c r="LY30" s="2511"/>
      <c r="LZ30" s="2511"/>
      <c r="MA30" s="2511"/>
      <c r="MB30" s="2511"/>
      <c r="MC30" s="2511"/>
      <c r="MD30" s="2511"/>
      <c r="ME30" s="2511"/>
      <c r="MF30" s="2511"/>
      <c r="MG30" s="2511"/>
      <c r="MH30" s="2511"/>
      <c r="MI30" s="2511"/>
      <c r="MJ30" s="2511"/>
      <c r="MK30" s="2511"/>
      <c r="ML30" s="2511"/>
      <c r="MM30" s="2511"/>
      <c r="MN30" s="2511"/>
      <c r="MO30" s="2511"/>
      <c r="MP30" s="2511"/>
      <c r="MQ30" s="2511"/>
      <c r="MR30" s="2511"/>
      <c r="MS30" s="2511"/>
      <c r="MT30" s="2511"/>
      <c r="MU30" s="2511"/>
      <c r="MV30" s="2511"/>
      <c r="MW30" s="2511"/>
      <c r="MX30" s="2511"/>
      <c r="MY30" s="2511"/>
      <c r="MZ30" s="2511"/>
      <c r="NA30" s="2511"/>
      <c r="NB30" s="2511"/>
      <c r="NC30" s="2511"/>
      <c r="ND30" s="2511"/>
      <c r="NE30" s="2511"/>
      <c r="NF30" s="2511"/>
      <c r="NG30" s="2511"/>
      <c r="NH30" s="2511"/>
      <c r="NI30" s="2511"/>
      <c r="NJ30" s="2511"/>
      <c r="NK30" s="2511"/>
      <c r="NL30" s="2511"/>
      <c r="NM30" s="2511"/>
      <c r="NN30" s="2511"/>
      <c r="NO30" s="2511"/>
      <c r="NP30" s="2511"/>
      <c r="NQ30" s="2511"/>
      <c r="NR30" s="2511"/>
      <c r="NS30" s="2511"/>
      <c r="NT30" s="2511"/>
      <c r="NU30" s="2511"/>
      <c r="NV30" s="2511"/>
      <c r="NW30" s="2511"/>
      <c r="NX30" s="2511"/>
      <c r="NY30" s="2511"/>
      <c r="NZ30" s="2511"/>
      <c r="OA30" s="2511"/>
      <c r="OB30" s="2511"/>
      <c r="OC30" s="2511"/>
      <c r="OD30" s="2511"/>
      <c r="OE30" s="2511"/>
      <c r="OF30" s="2511"/>
      <c r="OG30" s="2511"/>
      <c r="OH30" s="2511"/>
      <c r="OI30" s="2511"/>
      <c r="OJ30" s="2511"/>
      <c r="OK30" s="2511"/>
      <c r="OL30" s="2511"/>
      <c r="OM30" s="2511"/>
      <c r="ON30" s="2511"/>
      <c r="OO30" s="2511"/>
      <c r="OP30" s="2511"/>
      <c r="OQ30" s="2511"/>
      <c r="OR30" s="2511"/>
      <c r="OS30" s="2511"/>
      <c r="OT30" s="2511"/>
      <c r="OU30" s="2511"/>
      <c r="OV30" s="2511"/>
      <c r="OW30" s="2511"/>
      <c r="OX30" s="2511"/>
      <c r="OY30" s="2511"/>
      <c r="OZ30" s="2511"/>
      <c r="PA30" s="2511"/>
      <c r="PB30" s="2511"/>
      <c r="PC30" s="2511"/>
      <c r="PD30" s="2511"/>
      <c r="PE30" s="2511"/>
      <c r="PF30" s="2511"/>
      <c r="PG30" s="2511"/>
      <c r="PH30" s="2511"/>
      <c r="PI30" s="2511"/>
      <c r="PJ30" s="2511"/>
      <c r="PK30" s="2511"/>
      <c r="PL30" s="2511"/>
      <c r="PM30" s="2511"/>
      <c r="PN30" s="2511"/>
      <c r="PO30" s="2511"/>
      <c r="PP30" s="2511"/>
      <c r="PQ30" s="2511"/>
      <c r="PR30" s="2511"/>
      <c r="PS30" s="2511"/>
      <c r="PT30" s="2511"/>
      <c r="PU30" s="2511"/>
      <c r="PV30" s="2511"/>
      <c r="PW30" s="2511"/>
      <c r="PX30" s="2511"/>
      <c r="PY30" s="2511"/>
      <c r="PZ30" s="2511"/>
      <c r="QA30" s="2511"/>
      <c r="QB30" s="2511"/>
      <c r="QC30" s="2511"/>
      <c r="QD30" s="2511"/>
      <c r="QE30" s="2511"/>
      <c r="QF30" s="2511"/>
      <c r="QG30" s="2511"/>
      <c r="QH30" s="2511"/>
      <c r="QI30" s="2511"/>
      <c r="QJ30" s="2511"/>
      <c r="QK30" s="2511"/>
      <c r="QL30" s="2511"/>
      <c r="QM30" s="2511"/>
      <c r="QN30" s="2511"/>
      <c r="QO30" s="2511"/>
      <c r="QP30" s="2511"/>
      <c r="QQ30" s="2511"/>
      <c r="QR30" s="2511"/>
      <c r="QS30" s="2511"/>
      <c r="QT30" s="2511"/>
      <c r="QU30" s="2511"/>
      <c r="QV30" s="2511"/>
      <c r="QW30" s="2511"/>
      <c r="QX30" s="2511"/>
      <c r="QY30" s="2511"/>
      <c r="QZ30" s="2511"/>
      <c r="RA30" s="2511"/>
      <c r="RB30" s="2511"/>
      <c r="RC30" s="2511"/>
      <c r="RD30" s="2511"/>
      <c r="RE30" s="2511"/>
      <c r="RF30" s="2511"/>
      <c r="RG30" s="2511"/>
      <c r="RH30" s="2511"/>
      <c r="RI30" s="2511"/>
      <c r="RJ30" s="2511"/>
      <c r="RK30" s="2511"/>
      <c r="RL30" s="2511"/>
      <c r="RM30" s="2511"/>
      <c r="RN30" s="2511"/>
      <c r="RO30" s="2511"/>
      <c r="RP30" s="2511"/>
      <c r="RQ30" s="2511"/>
      <c r="RR30" s="2511"/>
      <c r="RS30" s="2511"/>
      <c r="RT30" s="2511"/>
      <c r="RU30" s="2511"/>
      <c r="RV30" s="2511"/>
      <c r="RW30" s="2511"/>
      <c r="RX30" s="2511"/>
      <c r="RY30" s="2511"/>
      <c r="RZ30" s="2511"/>
      <c r="SA30" s="2511"/>
      <c r="SB30" s="2511"/>
      <c r="SC30" s="2511"/>
      <c r="SD30" s="2511"/>
      <c r="SE30" s="2511"/>
      <c r="SF30" s="2511"/>
      <c r="SG30" s="2511"/>
      <c r="SH30" s="2511"/>
      <c r="SI30" s="2511"/>
      <c r="SJ30" s="2511"/>
      <c r="SK30" s="2511"/>
      <c r="SL30" s="2511"/>
      <c r="SM30" s="2511"/>
      <c r="SN30" s="2511"/>
      <c r="SO30" s="2511"/>
      <c r="SP30" s="2511"/>
      <c r="SQ30" s="2511"/>
      <c r="SR30" s="2511"/>
      <c r="SS30" s="2511"/>
      <c r="ST30" s="2511"/>
      <c r="SU30" s="2511"/>
      <c r="SV30" s="2511"/>
      <c r="SW30" s="2511"/>
      <c r="SX30" s="2511"/>
      <c r="SY30" s="2511"/>
      <c r="SZ30" s="2511"/>
      <c r="TA30" s="2511"/>
      <c r="TB30" s="2511"/>
      <c r="TC30" s="2511"/>
      <c r="TD30" s="2511"/>
      <c r="TE30" s="2511"/>
      <c r="TF30" s="2511"/>
      <c r="TG30" s="2511"/>
      <c r="TH30" s="2511"/>
      <c r="TI30" s="2511"/>
      <c r="TJ30" s="2511"/>
      <c r="TK30" s="2511"/>
      <c r="TL30" s="2511"/>
      <c r="TM30" s="2511"/>
      <c r="TN30" s="2511"/>
      <c r="TO30" s="2511"/>
      <c r="TP30" s="2511"/>
      <c r="TQ30" s="2511"/>
      <c r="TR30" s="2511"/>
      <c r="TS30" s="2511"/>
      <c r="TT30" s="2511"/>
      <c r="TU30" s="2511"/>
      <c r="TV30" s="2511"/>
      <c r="TW30" s="2511"/>
      <c r="TX30" s="2511"/>
      <c r="TY30" s="2511"/>
      <c r="TZ30" s="2511"/>
      <c r="UA30" s="2511"/>
      <c r="UB30" s="2511"/>
      <c r="UC30" s="2511"/>
      <c r="UD30" s="2511"/>
      <c r="UE30" s="2511"/>
      <c r="UF30" s="2511"/>
      <c r="UG30" s="2511"/>
      <c r="UH30" s="2511"/>
      <c r="UI30" s="2511"/>
      <c r="UJ30" s="2511"/>
      <c r="UK30" s="2511"/>
      <c r="UL30" s="2511"/>
      <c r="UM30" s="2511"/>
      <c r="UN30" s="2511"/>
      <c r="UO30" s="2511"/>
      <c r="UP30" s="2511"/>
      <c r="UQ30" s="2511"/>
      <c r="UR30" s="2511"/>
      <c r="US30" s="2511"/>
      <c r="UT30" s="2511"/>
      <c r="UU30" s="2511"/>
      <c r="UV30" s="2511"/>
      <c r="UW30" s="2511"/>
      <c r="UX30" s="2511"/>
      <c r="UY30" s="2511"/>
      <c r="UZ30" s="2511"/>
      <c r="VA30" s="2511"/>
      <c r="VB30" s="2511"/>
      <c r="VC30" s="2511"/>
      <c r="VD30" s="2511"/>
      <c r="VE30" s="2511"/>
      <c r="VF30" s="2511"/>
      <c r="VG30" s="2511"/>
      <c r="VH30" s="2511"/>
      <c r="VI30" s="2511"/>
      <c r="VJ30" s="2511"/>
      <c r="VK30" s="2511"/>
      <c r="VL30" s="2511"/>
      <c r="VM30" s="2511"/>
      <c r="VN30" s="2511"/>
      <c r="VO30" s="2511"/>
      <c r="VP30" s="2511"/>
      <c r="VQ30" s="2511"/>
      <c r="VR30" s="2511"/>
      <c r="VS30" s="2511"/>
      <c r="VT30" s="2511"/>
      <c r="VU30" s="2511"/>
      <c r="VV30" s="2511"/>
      <c r="VW30" s="2511"/>
      <c r="VX30" s="2511"/>
      <c r="VY30" s="2511"/>
      <c r="VZ30" s="2511"/>
      <c r="WA30" s="2511"/>
      <c r="WB30" s="2511"/>
      <c r="WC30" s="2511"/>
      <c r="WD30" s="2511"/>
      <c r="WE30" s="2511"/>
      <c r="WF30" s="2511"/>
      <c r="WG30" s="2511"/>
      <c r="WH30" s="2511"/>
      <c r="WI30" s="2511"/>
      <c r="WJ30" s="2511"/>
      <c r="WK30" s="2511"/>
      <c r="WL30" s="2511"/>
      <c r="WM30" s="2511"/>
      <c r="WN30" s="2511"/>
      <c r="WO30" s="2511"/>
      <c r="WP30" s="2511"/>
      <c r="WQ30" s="2511"/>
      <c r="WR30" s="2511"/>
      <c r="WS30" s="2511"/>
      <c r="WT30" s="2511"/>
      <c r="WU30" s="2511"/>
      <c r="WV30" s="2511"/>
      <c r="WW30" s="2511"/>
      <c r="WX30" s="2511"/>
      <c r="WY30" s="2511"/>
      <c r="WZ30" s="2511"/>
      <c r="XA30" s="2511"/>
      <c r="XB30" s="2511"/>
      <c r="XC30" s="2511"/>
      <c r="XD30" s="2511"/>
      <c r="XE30" s="2511"/>
      <c r="XF30" s="2511"/>
      <c r="XG30" s="2511"/>
      <c r="XH30" s="2511"/>
      <c r="XI30" s="2511"/>
      <c r="XJ30" s="2511"/>
      <c r="XK30" s="2511"/>
      <c r="XL30" s="2511"/>
      <c r="XM30" s="2511"/>
      <c r="XN30" s="2511"/>
      <c r="XO30" s="2511"/>
      <c r="XP30" s="2511"/>
      <c r="XQ30" s="2511"/>
      <c r="XR30" s="2511"/>
      <c r="XS30" s="2511"/>
      <c r="XT30" s="2511"/>
      <c r="XU30" s="2511"/>
      <c r="XV30" s="2511"/>
      <c r="XW30" s="2511"/>
      <c r="XX30" s="2511"/>
      <c r="XY30" s="2511"/>
      <c r="XZ30" s="2511"/>
      <c r="YA30" s="2511"/>
      <c r="YB30" s="2511"/>
      <c r="YC30" s="2511"/>
      <c r="YD30" s="2511"/>
      <c r="YE30" s="2511"/>
      <c r="YF30" s="2511"/>
      <c r="YG30" s="2511"/>
      <c r="YH30" s="2511"/>
      <c r="YI30" s="2511"/>
      <c r="YJ30" s="2511"/>
      <c r="YK30" s="2511"/>
      <c r="YL30" s="2511"/>
      <c r="YM30" s="2511"/>
      <c r="YN30" s="2511"/>
      <c r="YO30" s="2511"/>
      <c r="YP30" s="2511"/>
      <c r="YQ30" s="2511"/>
      <c r="YR30" s="2511"/>
      <c r="YS30" s="2511"/>
      <c r="YT30" s="2511"/>
      <c r="YU30" s="2511"/>
      <c r="YV30" s="2511"/>
      <c r="YW30" s="2511"/>
      <c r="YX30" s="2511"/>
      <c r="YY30" s="2511"/>
      <c r="YZ30" s="2511"/>
      <c r="ZA30" s="2511"/>
      <c r="ZB30" s="2511"/>
      <c r="ZC30" s="2511"/>
      <c r="ZD30" s="2511"/>
      <c r="ZE30" s="2511"/>
      <c r="ZF30" s="2511"/>
      <c r="ZG30" s="2511"/>
      <c r="ZH30" s="2511"/>
      <c r="ZI30" s="2511"/>
      <c r="ZJ30" s="2511"/>
      <c r="ZK30" s="2511"/>
      <c r="ZL30" s="2511"/>
      <c r="ZM30" s="2511"/>
      <c r="ZN30" s="2511"/>
      <c r="ZO30" s="2511"/>
      <c r="ZP30" s="2511"/>
      <c r="ZQ30" s="2511"/>
      <c r="ZR30" s="2511"/>
      <c r="ZS30" s="2511"/>
      <c r="ZT30" s="2511"/>
      <c r="ZU30" s="2511"/>
      <c r="ZV30" s="2511"/>
      <c r="ZW30" s="2511"/>
      <c r="ZX30" s="2511"/>
      <c r="ZY30" s="2511"/>
      <c r="ZZ30" s="2511"/>
      <c r="AAA30" s="2511"/>
      <c r="AAB30" s="2511"/>
      <c r="AAC30" s="2511"/>
      <c r="AAD30" s="2511"/>
      <c r="AAE30" s="2511"/>
      <c r="AAF30" s="2511"/>
      <c r="AAG30" s="2511"/>
      <c r="AAH30" s="2511"/>
      <c r="AAI30" s="2511"/>
      <c r="AAJ30" s="2511"/>
      <c r="AAK30" s="2511"/>
      <c r="AAL30" s="2511"/>
      <c r="AAM30" s="2511"/>
      <c r="AAN30" s="2511"/>
      <c r="AAO30" s="2511"/>
      <c r="AAP30" s="2511"/>
      <c r="AAQ30" s="2511"/>
      <c r="AAR30" s="2511"/>
      <c r="AAS30" s="2511"/>
      <c r="AAT30" s="2511"/>
      <c r="AAU30" s="2511"/>
      <c r="AAV30" s="2511"/>
      <c r="AAW30" s="2511"/>
      <c r="AAX30" s="2511"/>
      <c r="AAY30" s="2511"/>
      <c r="AAZ30" s="2511"/>
      <c r="ABA30" s="2511"/>
      <c r="ABB30" s="2511"/>
      <c r="ABC30" s="2511"/>
      <c r="ABD30" s="2511"/>
      <c r="ABE30" s="2511"/>
      <c r="ABF30" s="2511"/>
      <c r="ABG30" s="2511"/>
      <c r="ABH30" s="2511"/>
      <c r="ABI30" s="2511"/>
      <c r="ABJ30" s="2511"/>
      <c r="ABK30" s="2511"/>
      <c r="ABL30" s="2511"/>
      <c r="ABM30" s="2511"/>
      <c r="ABN30" s="2511"/>
      <c r="ABO30" s="2511"/>
      <c r="ABP30" s="2511"/>
      <c r="ABQ30" s="2511"/>
      <c r="ABR30" s="2511"/>
      <c r="ABS30" s="2511"/>
      <c r="ABT30" s="2511"/>
      <c r="ABU30" s="2511"/>
      <c r="ABV30" s="2511"/>
      <c r="ABW30" s="2511"/>
      <c r="ABX30" s="2511"/>
      <c r="ABY30" s="2511"/>
      <c r="ABZ30" s="2511"/>
      <c r="ACA30" s="2511"/>
      <c r="ACB30" s="2511"/>
      <c r="ACC30" s="2511"/>
      <c r="ACD30" s="2511"/>
      <c r="ACE30" s="2511"/>
      <c r="ACF30" s="2511"/>
      <c r="ACG30" s="2511"/>
      <c r="ACH30" s="2511"/>
      <c r="ACI30" s="2511"/>
      <c r="ACJ30" s="2511"/>
      <c r="ACK30" s="2511"/>
      <c r="ACL30" s="2511"/>
      <c r="ACM30" s="2511"/>
      <c r="ACN30" s="2511"/>
      <c r="ACO30" s="2511"/>
      <c r="ACP30" s="2511"/>
      <c r="ACQ30" s="2511"/>
      <c r="ACR30" s="2511"/>
      <c r="ACS30" s="2511"/>
      <c r="ACT30" s="2511"/>
      <c r="ACU30" s="2511"/>
      <c r="ACV30" s="2511"/>
      <c r="ACW30" s="2511"/>
      <c r="ACX30" s="2511"/>
      <c r="ACY30" s="2511"/>
      <c r="ACZ30" s="2511"/>
      <c r="ADA30" s="2511"/>
      <c r="ADB30" s="2511"/>
      <c r="ADC30" s="2511"/>
      <c r="ADD30" s="2511"/>
      <c r="ADE30" s="2511"/>
      <c r="ADF30" s="2511"/>
      <c r="ADG30" s="2511"/>
      <c r="ADH30" s="2511"/>
      <c r="ADI30" s="2511"/>
      <c r="ADJ30" s="2511"/>
      <c r="ADK30" s="2511"/>
      <c r="ADL30" s="2511"/>
      <c r="ADM30" s="2511"/>
      <c r="ADN30" s="2511"/>
      <c r="ADO30" s="2511"/>
      <c r="ADP30" s="2511"/>
      <c r="ADQ30" s="2511"/>
      <c r="ADR30" s="2511"/>
      <c r="ADS30" s="2511"/>
      <c r="ADT30" s="2511"/>
      <c r="ADU30" s="2511"/>
      <c r="ADV30" s="2511"/>
      <c r="ADW30" s="2511"/>
      <c r="ADX30" s="2511"/>
      <c r="ADY30" s="2511"/>
      <c r="ADZ30" s="2511"/>
      <c r="AEA30" s="2511"/>
      <c r="AEB30" s="2511"/>
      <c r="AEC30" s="2511"/>
      <c r="AED30" s="2511"/>
      <c r="AEE30" s="2511"/>
      <c r="AEF30" s="2511"/>
      <c r="AEG30" s="2511"/>
      <c r="AEH30" s="2511"/>
      <c r="AEI30" s="2511"/>
      <c r="AEJ30" s="2511"/>
      <c r="AEK30" s="2511"/>
      <c r="AEL30" s="2511"/>
      <c r="AEM30" s="2511"/>
      <c r="AEN30" s="2511"/>
      <c r="AEO30" s="2511"/>
      <c r="AEP30" s="2511"/>
      <c r="AEQ30" s="2511"/>
      <c r="AER30" s="2511"/>
      <c r="AES30" s="2511"/>
      <c r="AET30" s="2511"/>
      <c r="AEU30" s="2511"/>
      <c r="AEV30" s="2511"/>
      <c r="AEW30" s="2511"/>
      <c r="AEX30" s="2511"/>
      <c r="AEY30" s="2511"/>
      <c r="AEZ30" s="2511"/>
      <c r="AFA30" s="2511"/>
      <c r="AFB30" s="2511"/>
      <c r="AFC30" s="2511"/>
      <c r="AFD30" s="2511"/>
      <c r="AFE30" s="2511"/>
      <c r="AFF30" s="2511"/>
      <c r="AFG30" s="2511"/>
      <c r="AFH30" s="2511"/>
      <c r="AFI30" s="2511"/>
      <c r="AFJ30" s="2511"/>
      <c r="AFK30" s="2511"/>
      <c r="AFL30" s="2511"/>
      <c r="AFM30" s="2511"/>
      <c r="AFN30" s="2511"/>
      <c r="AFO30" s="2511"/>
      <c r="AFP30" s="2511"/>
      <c r="AFQ30" s="2511"/>
      <c r="AFR30" s="2511"/>
      <c r="AFS30" s="2511"/>
      <c r="AFT30" s="2511"/>
      <c r="AFU30" s="2511"/>
      <c r="AFV30" s="2511"/>
      <c r="AFW30" s="2511"/>
      <c r="AFX30" s="2511"/>
      <c r="AFY30" s="2511"/>
      <c r="AFZ30" s="2511"/>
      <c r="AGA30" s="2511"/>
      <c r="AGB30" s="2511"/>
      <c r="AGC30" s="2511"/>
      <c r="AGD30" s="2511"/>
      <c r="AGE30" s="2511"/>
      <c r="AGF30" s="2511"/>
      <c r="AGG30" s="2511"/>
      <c r="AGH30" s="2511"/>
      <c r="AGI30" s="2511"/>
      <c r="AGJ30" s="2511"/>
      <c r="AGK30" s="2511"/>
      <c r="AGL30" s="2511"/>
      <c r="AGM30" s="2511"/>
      <c r="AGN30" s="2511"/>
      <c r="AGO30" s="2511"/>
      <c r="AGP30" s="2511"/>
      <c r="AGQ30" s="2511"/>
      <c r="AGR30" s="2511"/>
      <c r="AGS30" s="2511"/>
      <c r="AGT30" s="2511"/>
      <c r="AGU30" s="2511"/>
      <c r="AGV30" s="2511"/>
      <c r="AGW30" s="2511"/>
      <c r="AGX30" s="2511"/>
      <c r="AGY30" s="2511"/>
      <c r="AGZ30" s="2511"/>
      <c r="AHA30" s="2511"/>
      <c r="AHB30" s="2511"/>
      <c r="AHC30" s="2511"/>
      <c r="AHD30" s="2511"/>
      <c r="AHE30" s="2511"/>
      <c r="AHF30" s="2511"/>
      <c r="AHG30" s="2511"/>
      <c r="AHH30" s="2511"/>
      <c r="AHI30" s="2511"/>
      <c r="AHJ30" s="2511"/>
      <c r="AHK30" s="2511"/>
      <c r="AHL30" s="2511"/>
      <c r="AHM30" s="2511"/>
      <c r="AHN30" s="2511"/>
      <c r="AHO30" s="2511"/>
      <c r="AHP30" s="2511"/>
      <c r="AHQ30" s="2511"/>
      <c r="AHR30" s="2511"/>
      <c r="AHS30" s="2511"/>
      <c r="AHT30" s="2511"/>
      <c r="AHU30" s="2511"/>
      <c r="AHV30" s="2511"/>
      <c r="AHW30" s="2511"/>
      <c r="AHX30" s="2511"/>
      <c r="AHY30" s="2511"/>
      <c r="AHZ30" s="2511"/>
      <c r="AIA30" s="2511"/>
      <c r="AIB30" s="2511"/>
      <c r="AIC30" s="2511"/>
      <c r="AID30" s="2511"/>
      <c r="AIE30" s="2511"/>
      <c r="AIF30" s="2511"/>
      <c r="AIG30" s="2511"/>
      <c r="AIH30" s="2511"/>
      <c r="AII30" s="2511"/>
      <c r="AIJ30" s="2511"/>
      <c r="AIK30" s="2511"/>
      <c r="AIL30" s="2511"/>
      <c r="AIM30" s="2511"/>
      <c r="AIN30" s="2511"/>
      <c r="AIO30" s="2511"/>
      <c r="AIP30" s="2511"/>
      <c r="AIQ30" s="2511"/>
      <c r="AIR30" s="2511"/>
      <c r="AIS30" s="2511"/>
      <c r="AIT30" s="2511"/>
      <c r="AIU30" s="2511"/>
      <c r="AIV30" s="2511"/>
      <c r="AIW30" s="2511"/>
      <c r="AIX30" s="2511"/>
      <c r="AIY30" s="2511"/>
      <c r="AIZ30" s="2511"/>
      <c r="AJA30" s="2511"/>
      <c r="AJB30" s="2511"/>
      <c r="AJC30" s="2511"/>
      <c r="AJD30" s="2511"/>
      <c r="AJE30" s="2511"/>
      <c r="AJF30" s="2511"/>
      <c r="AJG30" s="2511"/>
      <c r="AJH30" s="2511"/>
      <c r="AJI30" s="2511"/>
      <c r="AJJ30" s="2511"/>
      <c r="AJK30" s="2511"/>
      <c r="AJL30" s="2511"/>
      <c r="AJM30" s="2511"/>
      <c r="AJN30" s="2511"/>
      <c r="AJO30" s="2511"/>
      <c r="AJP30" s="2511"/>
      <c r="AJQ30" s="2511"/>
      <c r="AJR30" s="2511"/>
      <c r="AJS30" s="2511"/>
      <c r="AJT30" s="2511"/>
      <c r="AJU30" s="2511"/>
      <c r="AJV30" s="2511"/>
      <c r="AJW30" s="2511"/>
      <c r="AJX30" s="2511"/>
      <c r="AJY30" s="2511"/>
      <c r="AJZ30" s="2511"/>
      <c r="AKA30" s="2511"/>
      <c r="AKB30" s="2511"/>
      <c r="AKC30" s="2511"/>
      <c r="AKD30" s="2511"/>
      <c r="AKE30" s="2511"/>
      <c r="AKF30" s="2511"/>
      <c r="AKG30" s="2511"/>
      <c r="AKH30" s="2511"/>
      <c r="AKI30" s="2511"/>
      <c r="AKJ30" s="2511"/>
      <c r="AKK30" s="2511"/>
      <c r="AKL30" s="2511"/>
      <c r="AKM30" s="2511"/>
      <c r="AKN30" s="2511"/>
      <c r="AKO30" s="2511"/>
      <c r="AKP30" s="2511"/>
      <c r="AKQ30" s="2511"/>
      <c r="AKR30" s="2511"/>
      <c r="AKS30" s="2511"/>
      <c r="AKT30" s="2511"/>
      <c r="AKU30" s="2511"/>
      <c r="AKV30" s="2511"/>
      <c r="AKW30" s="2511"/>
      <c r="AKX30" s="2511"/>
      <c r="AKY30" s="2511"/>
      <c r="AKZ30" s="2511"/>
      <c r="ALA30" s="2511"/>
      <c r="ALB30" s="2511"/>
      <c r="ALC30" s="2511"/>
      <c r="ALD30" s="2511"/>
      <c r="ALE30" s="2511"/>
      <c r="ALF30" s="2511"/>
      <c r="ALG30" s="2511"/>
      <c r="ALH30" s="2511"/>
      <c r="ALI30" s="2511"/>
      <c r="ALJ30" s="2511"/>
      <c r="ALK30" s="2511"/>
      <c r="ALL30" s="2511"/>
      <c r="ALM30" s="2511"/>
      <c r="ALN30" s="2511"/>
      <c r="ALO30" s="2511"/>
      <c r="ALP30" s="2511"/>
      <c r="ALQ30" s="2511"/>
      <c r="ALR30" s="2511"/>
      <c r="ALS30" s="2511"/>
      <c r="ALT30" s="2511"/>
      <c r="ALU30" s="2511"/>
      <c r="ALV30" s="2511"/>
      <c r="ALW30" s="2511"/>
      <c r="ALX30" s="2511"/>
      <c r="ALY30" s="2511"/>
      <c r="ALZ30" s="2511"/>
      <c r="AMA30" s="2511"/>
      <c r="AMB30" s="2511"/>
      <c r="AMC30" s="2511"/>
      <c r="AMD30" s="2511"/>
      <c r="AME30" s="2511"/>
      <c r="AMF30" s="2511"/>
      <c r="AMG30" s="2511"/>
      <c r="AMH30" s="2511"/>
      <c r="AMI30" s="2511"/>
      <c r="AMJ30" s="2511"/>
      <c r="AMK30" s="2511"/>
      <c r="AML30" s="2511"/>
      <c r="AMM30" s="2511"/>
      <c r="AMN30" s="2511"/>
      <c r="AMO30" s="2511"/>
      <c r="AMP30" s="2511"/>
      <c r="AMQ30" s="2511"/>
      <c r="AMR30" s="2511"/>
      <c r="AMS30" s="2511"/>
      <c r="AMT30" s="2511"/>
      <c r="AMU30" s="2511"/>
      <c r="AMV30" s="2511"/>
      <c r="AMW30" s="2511"/>
      <c r="AMX30" s="2511"/>
      <c r="AMY30" s="2511"/>
      <c r="AMZ30" s="2511"/>
      <c r="ANA30" s="2511"/>
      <c r="ANB30" s="2511"/>
      <c r="ANC30" s="2511"/>
      <c r="AND30" s="2511"/>
      <c r="ANE30" s="2511"/>
      <c r="ANF30" s="2511"/>
      <c r="ANG30" s="2511"/>
      <c r="ANH30" s="2511"/>
      <c r="ANI30" s="2511"/>
      <c r="ANJ30" s="2511"/>
      <c r="ANK30" s="2511"/>
      <c r="ANL30" s="2511"/>
      <c r="ANM30" s="2511"/>
      <c r="ANN30" s="2511"/>
      <c r="ANO30" s="2511"/>
      <c r="ANP30" s="2511"/>
      <c r="ANQ30" s="2511"/>
      <c r="ANR30" s="2511"/>
      <c r="ANS30" s="2511"/>
      <c r="ANT30" s="2511"/>
      <c r="ANU30" s="2511"/>
      <c r="ANV30" s="2511"/>
      <c r="ANW30" s="2511"/>
      <c r="ANX30" s="2511"/>
      <c r="ANY30" s="2511"/>
      <c r="ANZ30" s="2511"/>
      <c r="AOA30" s="2511"/>
      <c r="AOB30" s="2511"/>
      <c r="AOC30" s="2511"/>
      <c r="AOD30" s="2511"/>
      <c r="AOE30" s="2511"/>
      <c r="AOF30" s="2511"/>
      <c r="AOG30" s="2511"/>
      <c r="AOH30" s="2511"/>
      <c r="AOI30" s="2511"/>
      <c r="AOJ30" s="2511"/>
      <c r="AOK30" s="2511"/>
      <c r="AOL30" s="2511"/>
      <c r="AOM30" s="2511"/>
      <c r="AON30" s="2511"/>
      <c r="AOO30" s="2511"/>
      <c r="AOP30" s="2511"/>
      <c r="AOQ30" s="2511"/>
      <c r="AOR30" s="2511"/>
      <c r="AOS30" s="2511"/>
      <c r="AOT30" s="2511"/>
      <c r="AOU30" s="2511"/>
      <c r="AOV30" s="2511"/>
      <c r="AOW30" s="2511"/>
      <c r="AOX30" s="2511"/>
      <c r="AOY30" s="2511"/>
      <c r="AOZ30" s="2511"/>
      <c r="APA30" s="2511"/>
      <c r="APB30" s="2511"/>
      <c r="APC30" s="2511"/>
      <c r="APD30" s="2511"/>
      <c r="APE30" s="2511"/>
      <c r="APF30" s="2511"/>
      <c r="APG30" s="2511"/>
      <c r="APH30" s="2511"/>
      <c r="API30" s="2511"/>
      <c r="APJ30" s="2511"/>
      <c r="APK30" s="2511"/>
      <c r="APL30" s="2511"/>
      <c r="APM30" s="2511"/>
      <c r="APN30" s="2511"/>
      <c r="APO30" s="2511"/>
      <c r="APP30" s="2511"/>
      <c r="APQ30" s="2511"/>
      <c r="APR30" s="2511"/>
      <c r="APS30" s="2511"/>
      <c r="APT30" s="2511"/>
      <c r="APU30" s="2511"/>
      <c r="APV30" s="2511"/>
      <c r="APW30" s="2511"/>
      <c r="APX30" s="2511"/>
      <c r="APY30" s="2511"/>
      <c r="APZ30" s="2511"/>
      <c r="AQA30" s="2511"/>
      <c r="AQB30" s="2511"/>
      <c r="AQC30" s="2511"/>
      <c r="AQD30" s="2511"/>
      <c r="AQE30" s="2511"/>
      <c r="AQF30" s="2511"/>
      <c r="AQG30" s="2511"/>
      <c r="AQH30" s="2511"/>
      <c r="AQI30" s="2511"/>
      <c r="AQJ30" s="2511"/>
      <c r="AQK30" s="2511"/>
      <c r="AQL30" s="2511"/>
      <c r="AQM30" s="2511"/>
      <c r="AQN30" s="2511"/>
      <c r="AQO30" s="2511"/>
      <c r="AQP30" s="2511"/>
      <c r="AQQ30" s="2511"/>
      <c r="AQR30" s="2511"/>
      <c r="AQS30" s="2511"/>
      <c r="AQT30" s="2511"/>
      <c r="AQU30" s="2511"/>
      <c r="AQV30" s="2511"/>
      <c r="AQW30" s="2511"/>
      <c r="AQX30" s="2511"/>
      <c r="AQY30" s="2511"/>
      <c r="AQZ30" s="2511"/>
      <c r="ARA30" s="2511"/>
      <c r="ARB30" s="2511"/>
      <c r="ARC30" s="2511"/>
      <c r="ARD30" s="2511"/>
      <c r="ARE30" s="2511"/>
      <c r="ARF30" s="2511"/>
      <c r="ARG30" s="2511"/>
      <c r="ARH30" s="2511"/>
      <c r="ARI30" s="2511"/>
      <c r="ARJ30" s="2511"/>
      <c r="ARK30" s="2511"/>
      <c r="ARL30" s="2511"/>
      <c r="ARM30" s="2511"/>
      <c r="ARN30" s="2511"/>
      <c r="ARO30" s="2511"/>
      <c r="ARP30" s="2511"/>
      <c r="ARQ30" s="2511"/>
      <c r="ARR30" s="2511"/>
      <c r="ARS30" s="2511"/>
      <c r="ART30" s="2511"/>
      <c r="ARU30" s="2511"/>
      <c r="ARV30" s="2511"/>
      <c r="ARW30" s="2511"/>
      <c r="ARX30" s="2511"/>
      <c r="ARY30" s="2511"/>
      <c r="ARZ30" s="2511"/>
      <c r="ASA30" s="2511"/>
      <c r="ASB30" s="2511"/>
      <c r="ASC30" s="2511"/>
      <c r="ASD30" s="2511"/>
      <c r="ASE30" s="2511"/>
      <c r="ASF30" s="2511"/>
      <c r="ASG30" s="2511"/>
      <c r="ASH30" s="2511"/>
      <c r="ASI30" s="2511"/>
      <c r="ASJ30" s="2511"/>
      <c r="ASK30" s="2511"/>
      <c r="ASL30" s="2511"/>
      <c r="ASM30" s="2511"/>
      <c r="ASN30" s="2511"/>
      <c r="ASO30" s="2511"/>
      <c r="ASP30" s="2511"/>
      <c r="ASQ30" s="2511"/>
      <c r="ASR30" s="2511"/>
      <c r="ASS30" s="2511"/>
      <c r="AST30" s="2511"/>
      <c r="ASU30" s="2511"/>
      <c r="ASV30" s="2511"/>
      <c r="ASW30" s="2511"/>
      <c r="ASX30" s="2511"/>
      <c r="ASY30" s="2511"/>
      <c r="ASZ30" s="2511"/>
      <c r="ATA30" s="2511"/>
      <c r="ATB30" s="2511"/>
      <c r="ATC30" s="2511"/>
      <c r="ATD30" s="2511"/>
      <c r="ATE30" s="2511"/>
      <c r="ATF30" s="2511"/>
      <c r="ATG30" s="2511"/>
      <c r="ATH30" s="2511"/>
      <c r="ATI30" s="2511"/>
      <c r="ATJ30" s="2511"/>
      <c r="ATK30" s="2511"/>
      <c r="ATL30" s="2511"/>
      <c r="ATM30" s="2511"/>
      <c r="ATN30" s="2511"/>
      <c r="ATO30" s="2511"/>
      <c r="ATP30" s="2511"/>
      <c r="ATQ30" s="2511"/>
      <c r="ATR30" s="2511"/>
      <c r="ATS30" s="2511"/>
      <c r="ATT30" s="2511"/>
      <c r="ATU30" s="2511"/>
      <c r="ATV30" s="2511"/>
      <c r="ATW30" s="2511"/>
      <c r="ATX30" s="2511"/>
      <c r="ATY30" s="2511"/>
      <c r="ATZ30" s="2511"/>
      <c r="AUA30" s="2511"/>
      <c r="AUB30" s="2511"/>
      <c r="AUC30" s="2511"/>
      <c r="AUD30" s="2511"/>
      <c r="AUE30" s="2511"/>
      <c r="AUF30" s="2511"/>
      <c r="AUG30" s="2511"/>
      <c r="AUH30" s="2511"/>
      <c r="AUI30" s="2511"/>
      <c r="AUJ30" s="2511"/>
      <c r="AUK30" s="2511"/>
      <c r="AUL30" s="2511"/>
      <c r="AUM30" s="2511"/>
      <c r="AUN30" s="2511"/>
      <c r="AUO30" s="2511"/>
      <c r="AUP30" s="2511"/>
      <c r="AUQ30" s="2511"/>
      <c r="AUR30" s="2511"/>
      <c r="AUS30" s="2511"/>
      <c r="AUT30" s="2511"/>
      <c r="AUU30" s="2511"/>
      <c r="AUV30" s="2511"/>
      <c r="AUW30" s="2511"/>
      <c r="AUX30" s="2511"/>
      <c r="AUY30" s="2511"/>
      <c r="AUZ30" s="2511"/>
      <c r="AVA30" s="2511"/>
      <c r="AVB30" s="2511"/>
      <c r="AVC30" s="2511"/>
      <c r="AVD30" s="2511"/>
      <c r="AVE30" s="2511"/>
      <c r="AVF30" s="2511"/>
      <c r="AVG30" s="2511"/>
      <c r="AVH30" s="2511"/>
      <c r="AVI30" s="2511"/>
      <c r="AVJ30" s="2511"/>
      <c r="AVK30" s="2511"/>
      <c r="AVL30" s="2511"/>
      <c r="AVM30" s="2511"/>
      <c r="AVN30" s="2511"/>
      <c r="AVO30" s="2511"/>
      <c r="AVP30" s="2511"/>
      <c r="AVQ30" s="2511"/>
      <c r="AVR30" s="2511"/>
      <c r="AVS30" s="2511"/>
      <c r="AVT30" s="2511"/>
      <c r="AVU30" s="2511"/>
      <c r="AVV30" s="2511"/>
      <c r="AVW30" s="2511"/>
      <c r="AVX30" s="2511"/>
      <c r="AVY30" s="2511"/>
      <c r="AVZ30" s="2511"/>
      <c r="AWA30" s="2511"/>
      <c r="AWB30" s="2511"/>
      <c r="AWC30" s="2511"/>
      <c r="AWD30" s="2511"/>
      <c r="AWE30" s="2511"/>
      <c r="AWF30" s="2511"/>
      <c r="AWG30" s="2511"/>
      <c r="AWH30" s="2511"/>
      <c r="AWI30" s="2511"/>
      <c r="AWJ30" s="2511"/>
      <c r="AWK30" s="2511"/>
      <c r="AWL30" s="2511"/>
      <c r="AWM30" s="2511"/>
      <c r="AWN30" s="2511"/>
      <c r="AWO30" s="2511"/>
      <c r="AWP30" s="2511"/>
      <c r="AWQ30" s="2511"/>
      <c r="AWR30" s="2511"/>
      <c r="AWS30" s="2511"/>
      <c r="AWT30" s="2511"/>
      <c r="AWU30" s="2511"/>
      <c r="AWV30" s="2511"/>
      <c r="AWW30" s="2511"/>
      <c r="AWX30" s="2511"/>
      <c r="AWY30" s="2511"/>
      <c r="AWZ30" s="2511"/>
      <c r="AXA30" s="2511"/>
      <c r="AXB30" s="2511"/>
      <c r="AXC30" s="2511"/>
      <c r="AXD30" s="2511"/>
      <c r="AXE30" s="2511"/>
      <c r="AXF30" s="2511"/>
      <c r="AXG30" s="2511"/>
      <c r="AXH30" s="2511"/>
      <c r="AXI30" s="2511"/>
      <c r="AXJ30" s="2511"/>
      <c r="AXK30" s="2511"/>
      <c r="AXL30" s="2511"/>
      <c r="AXM30" s="2511"/>
      <c r="AXN30" s="2511"/>
      <c r="AXO30" s="2511"/>
      <c r="AXP30" s="2511"/>
      <c r="AXQ30" s="2511"/>
      <c r="AXR30" s="2511"/>
      <c r="AXS30" s="2511"/>
      <c r="AXT30" s="2511"/>
      <c r="AXU30" s="2511"/>
      <c r="AXV30" s="2511"/>
      <c r="AXW30" s="2511"/>
      <c r="AXX30" s="2511"/>
      <c r="AXY30" s="2511"/>
      <c r="AXZ30" s="2511"/>
      <c r="AYA30" s="2511"/>
      <c r="AYB30" s="2511"/>
      <c r="AYC30" s="2511"/>
      <c r="AYD30" s="2511"/>
      <c r="AYE30" s="2511"/>
      <c r="AYF30" s="2511"/>
      <c r="AYG30" s="2511"/>
      <c r="AYH30" s="2511"/>
      <c r="AYI30" s="2511"/>
      <c r="AYJ30" s="2511"/>
      <c r="AYK30" s="2511"/>
      <c r="AYL30" s="2511"/>
      <c r="AYM30" s="2511"/>
      <c r="AYN30" s="2511"/>
      <c r="AYO30" s="2511"/>
      <c r="AYP30" s="2511"/>
      <c r="AYQ30" s="2511"/>
      <c r="AYR30" s="2511"/>
      <c r="AYS30" s="2511"/>
      <c r="AYT30" s="2511"/>
      <c r="AYU30" s="2511"/>
      <c r="AYV30" s="2511"/>
      <c r="AYW30" s="2511"/>
      <c r="AYX30" s="2511"/>
      <c r="AYY30" s="2511"/>
      <c r="AYZ30" s="2511"/>
      <c r="AZA30" s="2511"/>
      <c r="AZB30" s="2511"/>
      <c r="AZC30" s="2511"/>
      <c r="AZD30" s="2511"/>
      <c r="AZE30" s="2511"/>
      <c r="AZF30" s="2511"/>
      <c r="AZG30" s="2511"/>
      <c r="AZH30" s="2511"/>
      <c r="AZI30" s="2511"/>
      <c r="AZJ30" s="2511"/>
      <c r="AZK30" s="2511"/>
      <c r="AZL30" s="2511"/>
      <c r="AZM30" s="2511"/>
      <c r="AZN30" s="2511"/>
      <c r="AZO30" s="2511"/>
      <c r="AZP30" s="2511"/>
      <c r="AZQ30" s="2511"/>
      <c r="AZR30" s="2511"/>
      <c r="AZS30" s="2511"/>
      <c r="AZT30" s="2511"/>
      <c r="AZU30" s="2511"/>
      <c r="AZV30" s="2511"/>
      <c r="AZW30" s="2511"/>
      <c r="AZX30" s="2511"/>
      <c r="AZY30" s="2511"/>
      <c r="AZZ30" s="2511"/>
      <c r="BAA30" s="2511"/>
      <c r="BAB30" s="2511"/>
      <c r="BAC30" s="2511"/>
      <c r="BAD30" s="2511"/>
      <c r="BAE30" s="2511"/>
      <c r="BAF30" s="2511"/>
      <c r="BAG30" s="2511"/>
      <c r="BAH30" s="2511"/>
      <c r="BAI30" s="2511"/>
      <c r="BAJ30" s="2511"/>
      <c r="BAK30" s="2511"/>
      <c r="BAL30" s="2511"/>
      <c r="BAM30" s="2511"/>
      <c r="BAN30" s="2511"/>
      <c r="BAO30" s="2511"/>
      <c r="BAP30" s="2511"/>
      <c r="BAQ30" s="2511"/>
      <c r="BAR30" s="2511"/>
      <c r="BAS30" s="2511"/>
      <c r="BAT30" s="2511"/>
      <c r="BAU30" s="2511"/>
      <c r="BAV30" s="2511"/>
      <c r="BAW30" s="2511"/>
      <c r="BAX30" s="2511"/>
      <c r="BAY30" s="2511"/>
      <c r="BAZ30" s="2511"/>
      <c r="BBA30" s="2511"/>
      <c r="BBB30" s="2511"/>
      <c r="BBC30" s="2511"/>
      <c r="BBD30" s="2511"/>
      <c r="BBE30" s="2511"/>
      <c r="BBF30" s="2511"/>
      <c r="BBG30" s="2511"/>
      <c r="BBH30" s="2511"/>
      <c r="BBI30" s="2511"/>
      <c r="BBJ30" s="2511"/>
      <c r="BBK30" s="2511"/>
      <c r="BBL30" s="2511"/>
      <c r="BBM30" s="2511"/>
      <c r="BBN30" s="2511"/>
      <c r="BBO30" s="2511"/>
      <c r="BBP30" s="2511"/>
      <c r="BBQ30" s="2511"/>
      <c r="BBR30" s="2511"/>
      <c r="BBS30" s="2511"/>
      <c r="BBT30" s="2511"/>
      <c r="BBU30" s="2511"/>
      <c r="BBV30" s="2511"/>
      <c r="BBW30" s="2511"/>
      <c r="BBX30" s="2511"/>
      <c r="BBY30" s="2511"/>
      <c r="BBZ30" s="2511"/>
      <c r="BCA30" s="2511"/>
      <c r="BCB30" s="2511"/>
      <c r="BCC30" s="2511"/>
      <c r="BCD30" s="2511"/>
      <c r="BCE30" s="2511"/>
      <c r="BCF30" s="2511"/>
      <c r="BCG30" s="2511"/>
      <c r="BCH30" s="2511"/>
      <c r="BCI30" s="2511"/>
      <c r="BCJ30" s="2511"/>
      <c r="BCK30" s="2511"/>
      <c r="BCL30" s="2511"/>
      <c r="BCM30" s="2511"/>
      <c r="BCN30" s="2511"/>
      <c r="BCO30" s="2511"/>
      <c r="BCP30" s="2511"/>
      <c r="BCQ30" s="2511"/>
      <c r="BCR30" s="2511"/>
      <c r="BCS30" s="2511"/>
      <c r="BCT30" s="2511"/>
      <c r="BCU30" s="2511"/>
      <c r="BCV30" s="2511"/>
      <c r="BCW30" s="2511"/>
      <c r="BCX30" s="2511"/>
      <c r="BCY30" s="2511"/>
      <c r="BCZ30" s="2511"/>
      <c r="BDA30" s="2511"/>
      <c r="BDB30" s="2511"/>
      <c r="BDC30" s="2511"/>
      <c r="BDD30" s="2511"/>
      <c r="BDE30" s="2511"/>
      <c r="BDF30" s="2511"/>
      <c r="BDG30" s="2511"/>
      <c r="BDH30" s="2511"/>
      <c r="BDI30" s="2511"/>
      <c r="BDJ30" s="2511"/>
      <c r="BDK30" s="2511"/>
      <c r="BDL30" s="2511"/>
      <c r="BDM30" s="2511"/>
      <c r="BDN30" s="2511"/>
      <c r="BDO30" s="2511"/>
      <c r="BDP30" s="2511"/>
      <c r="BDQ30" s="2511"/>
      <c r="BDR30" s="2511"/>
      <c r="BDS30" s="2511"/>
      <c r="BDT30" s="2511"/>
      <c r="BDU30" s="2511"/>
      <c r="BDV30" s="2511"/>
      <c r="BDW30" s="2511"/>
      <c r="BDX30" s="2511"/>
      <c r="BDY30" s="2511"/>
      <c r="BDZ30" s="2511"/>
      <c r="BEA30" s="2511"/>
      <c r="BEB30" s="2511"/>
      <c r="BEC30" s="2511"/>
      <c r="BED30" s="2511"/>
      <c r="BEE30" s="2511"/>
      <c r="BEF30" s="2511"/>
      <c r="BEG30" s="2511"/>
      <c r="BEH30" s="2511"/>
      <c r="BEI30" s="2511"/>
      <c r="BEJ30" s="2511"/>
      <c r="BEK30" s="2511"/>
      <c r="BEL30" s="2511"/>
      <c r="BEM30" s="2511"/>
      <c r="BEN30" s="2511"/>
      <c r="BEO30" s="2511"/>
      <c r="BEP30" s="2511"/>
      <c r="BEQ30" s="2511"/>
      <c r="BER30" s="2511"/>
      <c r="BES30" s="2511"/>
      <c r="BET30" s="2511"/>
      <c r="BEU30" s="2511"/>
      <c r="BEV30" s="2511"/>
      <c r="BEW30" s="2511"/>
      <c r="BEX30" s="2511"/>
      <c r="BEY30" s="2511"/>
      <c r="BEZ30" s="2511"/>
      <c r="BFA30" s="2511"/>
      <c r="BFB30" s="2511"/>
      <c r="BFC30" s="2511"/>
      <c r="BFD30" s="2511"/>
      <c r="BFE30" s="2511"/>
      <c r="BFF30" s="2511"/>
      <c r="BFG30" s="2511"/>
      <c r="BFH30" s="2511"/>
      <c r="BFI30" s="2511"/>
      <c r="BFJ30" s="2511"/>
      <c r="BFK30" s="2511"/>
      <c r="BFL30" s="2511"/>
      <c r="BFM30" s="2511"/>
      <c r="BFN30" s="2511"/>
      <c r="BFO30" s="2511"/>
      <c r="BFP30" s="2511"/>
      <c r="BFQ30" s="2511"/>
      <c r="BFR30" s="2511"/>
      <c r="BFS30" s="2511"/>
      <c r="BFT30" s="2511"/>
      <c r="BFU30" s="2511"/>
      <c r="BFV30" s="2511"/>
      <c r="BFW30" s="2511"/>
      <c r="BFX30" s="2511"/>
      <c r="BFY30" s="2511"/>
      <c r="BFZ30" s="2511"/>
      <c r="BGA30" s="2511"/>
      <c r="BGB30" s="2511"/>
      <c r="BGC30" s="2511"/>
      <c r="BGD30" s="2511"/>
      <c r="BGE30" s="2511"/>
      <c r="BGF30" s="2511"/>
      <c r="BGG30" s="2511"/>
      <c r="BGH30" s="2511"/>
      <c r="BGI30" s="2511"/>
      <c r="BGJ30" s="2511"/>
      <c r="BGK30" s="2511"/>
      <c r="BGL30" s="2511"/>
      <c r="BGM30" s="2511"/>
      <c r="BGN30" s="2511"/>
      <c r="BGO30" s="2511"/>
      <c r="BGP30" s="2511"/>
      <c r="BGQ30" s="2511"/>
      <c r="BGR30" s="2511"/>
      <c r="BGS30" s="2511"/>
      <c r="BGT30" s="2511"/>
      <c r="BGU30" s="2511"/>
      <c r="BGV30" s="2511"/>
      <c r="BGW30" s="2511"/>
      <c r="BGX30" s="2511"/>
      <c r="BGY30" s="2511"/>
      <c r="BGZ30" s="2511"/>
      <c r="BHA30" s="2511"/>
      <c r="BHB30" s="2511"/>
      <c r="BHC30" s="2511"/>
      <c r="BHD30" s="2511"/>
      <c r="BHE30" s="2511"/>
      <c r="BHF30" s="2511"/>
      <c r="BHG30" s="2511"/>
      <c r="BHH30" s="2511"/>
      <c r="BHI30" s="2511"/>
      <c r="BHJ30" s="2511"/>
      <c r="BHK30" s="2511"/>
      <c r="BHL30" s="2511"/>
      <c r="BHM30" s="2511"/>
      <c r="BHN30" s="2511"/>
      <c r="BHO30" s="2511"/>
      <c r="BHP30" s="2511"/>
      <c r="BHQ30" s="2511"/>
      <c r="BHR30" s="2511"/>
      <c r="BHS30" s="2511"/>
      <c r="BHT30" s="2511"/>
      <c r="BHU30" s="2511"/>
      <c r="BHV30" s="2511"/>
      <c r="BHW30" s="2511"/>
      <c r="BHX30" s="2511"/>
      <c r="BHY30" s="2511"/>
      <c r="BHZ30" s="2511"/>
      <c r="BIA30" s="2511"/>
      <c r="BIB30" s="2511"/>
      <c r="BIC30" s="2511"/>
      <c r="BID30" s="2511"/>
      <c r="BIE30" s="2511"/>
      <c r="BIF30" s="2511"/>
      <c r="BIG30" s="2511"/>
      <c r="BIH30" s="2511"/>
      <c r="BII30" s="2511"/>
      <c r="BIJ30" s="2511"/>
      <c r="BIK30" s="2511"/>
      <c r="BIL30" s="2511"/>
      <c r="BIM30" s="2511"/>
      <c r="BIN30" s="2511"/>
      <c r="BIO30" s="2511"/>
      <c r="BIP30" s="2511"/>
      <c r="BIQ30" s="2511"/>
      <c r="BIR30" s="2511"/>
      <c r="BIS30" s="2511"/>
      <c r="BIT30" s="2511"/>
      <c r="BIU30" s="2511"/>
      <c r="BIV30" s="2511"/>
      <c r="BIW30" s="2511"/>
      <c r="BIX30" s="2511"/>
      <c r="BIY30" s="2511"/>
      <c r="BIZ30" s="2511"/>
      <c r="BJA30" s="2511"/>
      <c r="BJB30" s="2511"/>
      <c r="BJC30" s="2511"/>
      <c r="BJD30" s="2511"/>
      <c r="BJE30" s="2511"/>
      <c r="BJF30" s="2511"/>
      <c r="BJG30" s="2511"/>
      <c r="BJH30" s="2511"/>
      <c r="BJI30" s="2511"/>
      <c r="BJJ30" s="2511"/>
      <c r="BJK30" s="2511"/>
      <c r="BJL30" s="2511"/>
      <c r="BJM30" s="2511"/>
      <c r="BJN30" s="2511"/>
      <c r="BJO30" s="2511"/>
      <c r="BJP30" s="2511"/>
      <c r="BJQ30" s="2511"/>
      <c r="BJR30" s="2511"/>
      <c r="BJS30" s="2511"/>
      <c r="BJT30" s="2511"/>
      <c r="BJU30" s="2511"/>
      <c r="BJV30" s="2511"/>
      <c r="BJW30" s="2511"/>
      <c r="BJX30" s="2511"/>
      <c r="BJY30" s="2511"/>
      <c r="BJZ30" s="2511"/>
      <c r="BKA30" s="2511"/>
      <c r="BKB30" s="2511"/>
      <c r="BKC30" s="2511"/>
      <c r="BKD30" s="2511"/>
      <c r="BKE30" s="2511"/>
      <c r="BKF30" s="2511"/>
      <c r="BKG30" s="2511"/>
      <c r="BKH30" s="2511"/>
      <c r="BKI30" s="2511"/>
      <c r="BKJ30" s="2511"/>
      <c r="BKK30" s="2511"/>
      <c r="BKL30" s="2511"/>
      <c r="BKM30" s="2511"/>
      <c r="BKN30" s="2511"/>
      <c r="BKO30" s="2511"/>
      <c r="BKP30" s="2511"/>
      <c r="BKQ30" s="2511"/>
      <c r="BKR30" s="2511"/>
      <c r="BKS30" s="2511"/>
      <c r="BKT30" s="2511"/>
      <c r="BKU30" s="2511"/>
      <c r="BKV30" s="2511"/>
      <c r="BKW30" s="2511"/>
      <c r="BKX30" s="2511"/>
      <c r="BKY30" s="2511"/>
      <c r="BKZ30" s="2511"/>
      <c r="BLA30" s="2511"/>
      <c r="BLB30" s="2511"/>
      <c r="BLC30" s="2511"/>
      <c r="BLD30" s="2511"/>
      <c r="BLE30" s="2511"/>
      <c r="BLF30" s="2511"/>
      <c r="BLG30" s="2511"/>
      <c r="BLH30" s="2511"/>
      <c r="BLI30" s="2511"/>
      <c r="BLJ30" s="2511"/>
      <c r="BLK30" s="2511"/>
      <c r="BLL30" s="2511"/>
      <c r="BLM30" s="2511"/>
      <c r="BLN30" s="2511"/>
      <c r="BLO30" s="2511"/>
      <c r="BLP30" s="2511"/>
      <c r="BLQ30" s="2511"/>
      <c r="BLR30" s="2511"/>
      <c r="BLS30" s="2511"/>
      <c r="BLT30" s="2511"/>
      <c r="BLU30" s="2511"/>
      <c r="BLV30" s="2511"/>
      <c r="BLW30" s="2511"/>
      <c r="BLX30" s="2511"/>
      <c r="BLY30" s="2511"/>
      <c r="BLZ30" s="2511"/>
      <c r="BMA30" s="2511"/>
      <c r="BMB30" s="2511"/>
      <c r="BMC30" s="2511"/>
      <c r="BMD30" s="2511"/>
      <c r="BME30" s="2511"/>
      <c r="BMF30" s="2511"/>
      <c r="BMG30" s="2511"/>
      <c r="BMH30" s="2511"/>
      <c r="BMI30" s="2511"/>
      <c r="BMJ30" s="2511"/>
      <c r="BMK30" s="2511"/>
      <c r="BML30" s="2511"/>
      <c r="BMM30" s="2511"/>
      <c r="BMN30" s="2511"/>
      <c r="BMO30" s="2511"/>
      <c r="BMP30" s="2511"/>
      <c r="BMQ30" s="2511"/>
      <c r="BMR30" s="2511"/>
      <c r="BMS30" s="2511"/>
      <c r="BMT30" s="2511"/>
      <c r="BMU30" s="2511"/>
      <c r="BMV30" s="2511"/>
      <c r="BMW30" s="2511"/>
      <c r="BMX30" s="2511"/>
      <c r="BMY30" s="2511"/>
      <c r="BMZ30" s="2511"/>
      <c r="BNA30" s="2511"/>
      <c r="BNB30" s="2511"/>
      <c r="BNC30" s="2511"/>
      <c r="BND30" s="2511"/>
      <c r="BNE30" s="2511"/>
      <c r="BNF30" s="2511"/>
      <c r="BNG30" s="2511"/>
      <c r="BNH30" s="2511"/>
      <c r="BNI30" s="2511"/>
      <c r="BNJ30" s="2511"/>
      <c r="BNK30" s="2511"/>
      <c r="BNL30" s="2511"/>
      <c r="BNM30" s="2511"/>
      <c r="BNN30" s="2511"/>
      <c r="BNO30" s="2511"/>
      <c r="BNP30" s="2511"/>
      <c r="BNQ30" s="2511"/>
      <c r="BNR30" s="2511"/>
      <c r="BNS30" s="2511"/>
      <c r="BNT30" s="2511"/>
      <c r="BNU30" s="2511"/>
      <c r="BNV30" s="2511"/>
      <c r="BNW30" s="2511"/>
      <c r="BNX30" s="2511"/>
      <c r="BNY30" s="2511"/>
      <c r="BNZ30" s="2511"/>
      <c r="BOA30" s="2511"/>
      <c r="BOB30" s="2511"/>
      <c r="BOC30" s="2511"/>
      <c r="BOD30" s="2511"/>
      <c r="BOE30" s="2511"/>
      <c r="BOF30" s="2511"/>
      <c r="BOG30" s="2511"/>
      <c r="BOH30" s="2511"/>
      <c r="BOI30" s="2511"/>
      <c r="BOJ30" s="2511"/>
      <c r="BOK30" s="2511"/>
      <c r="BOL30" s="2511"/>
      <c r="BOM30" s="2511"/>
      <c r="BON30" s="2511"/>
      <c r="BOO30" s="2511"/>
      <c r="BOP30" s="2511"/>
      <c r="BOQ30" s="2511"/>
      <c r="BOR30" s="2511"/>
      <c r="BOS30" s="2511"/>
      <c r="BOT30" s="2511"/>
      <c r="BOU30" s="2511"/>
      <c r="BOV30" s="2511"/>
      <c r="BOW30" s="2511"/>
      <c r="BOX30" s="2511"/>
      <c r="BOY30" s="2511"/>
      <c r="BOZ30" s="2511"/>
      <c r="BPA30" s="2511"/>
      <c r="BPB30" s="2511"/>
      <c r="BPC30" s="2511"/>
      <c r="BPD30" s="2511"/>
      <c r="BPE30" s="2511"/>
      <c r="BPF30" s="2511"/>
      <c r="BPG30" s="2511"/>
      <c r="BPH30" s="2511"/>
      <c r="BPI30" s="2511"/>
      <c r="BPJ30" s="2511"/>
      <c r="BPK30" s="2511"/>
      <c r="BPL30" s="2511"/>
      <c r="BPM30" s="2511"/>
      <c r="BPN30" s="2511"/>
      <c r="BPO30" s="2511"/>
      <c r="BPP30" s="2511"/>
      <c r="BPQ30" s="2511"/>
      <c r="BPR30" s="2511"/>
      <c r="BPS30" s="2511"/>
      <c r="BPT30" s="2511"/>
      <c r="BPU30" s="2511"/>
      <c r="BPV30" s="2511"/>
      <c r="BPW30" s="2511"/>
      <c r="BPX30" s="2511"/>
      <c r="BPY30" s="2511"/>
      <c r="BPZ30" s="2511"/>
      <c r="BQA30" s="2511"/>
      <c r="BQB30" s="2511"/>
      <c r="BQC30" s="2511"/>
      <c r="BQD30" s="2511"/>
      <c r="BQE30" s="2511"/>
      <c r="BQF30" s="2511"/>
      <c r="BQG30" s="2511"/>
      <c r="BQH30" s="2511"/>
      <c r="BQI30" s="2511"/>
      <c r="BQJ30" s="2511"/>
      <c r="BQK30" s="2511"/>
      <c r="BQL30" s="2511"/>
      <c r="BQM30" s="2511"/>
      <c r="BQN30" s="2511"/>
      <c r="BQO30" s="2511"/>
      <c r="BQP30" s="2511"/>
      <c r="BQQ30" s="2511"/>
      <c r="BQR30" s="2511"/>
      <c r="BQS30" s="2511"/>
      <c r="BQT30" s="2511"/>
      <c r="BQU30" s="2511"/>
      <c r="BQV30" s="2511"/>
      <c r="BQW30" s="2511"/>
      <c r="BQX30" s="2511"/>
      <c r="BQY30" s="2511"/>
      <c r="BQZ30" s="2511"/>
      <c r="BRA30" s="2511"/>
      <c r="BRB30" s="2511"/>
      <c r="BRC30" s="2511"/>
      <c r="BRD30" s="2511"/>
      <c r="BRE30" s="2511"/>
      <c r="BRF30" s="2511"/>
      <c r="BRG30" s="2511"/>
      <c r="BRH30" s="2511"/>
      <c r="BRI30" s="2511"/>
      <c r="BRJ30" s="2511"/>
      <c r="BRK30" s="2511"/>
      <c r="BRL30" s="2511"/>
      <c r="BRM30" s="2511"/>
      <c r="BRN30" s="2511"/>
      <c r="BRO30" s="2511"/>
      <c r="BRP30" s="2511"/>
      <c r="BRQ30" s="2511"/>
      <c r="BRR30" s="2511"/>
      <c r="BRS30" s="2511"/>
      <c r="BRT30" s="2511"/>
      <c r="BRU30" s="2511"/>
      <c r="BRV30" s="2511"/>
      <c r="BRW30" s="2511"/>
      <c r="BRX30" s="2511"/>
      <c r="BRY30" s="2511"/>
      <c r="BRZ30" s="2511"/>
      <c r="BSA30" s="2511"/>
      <c r="BSB30" s="2511"/>
      <c r="BSC30" s="2511"/>
      <c r="BSD30" s="2511"/>
      <c r="BSE30" s="2511"/>
      <c r="BSF30" s="2511"/>
      <c r="BSG30" s="2511"/>
      <c r="BSH30" s="2511"/>
      <c r="BSI30" s="2511"/>
      <c r="BSJ30" s="2511"/>
      <c r="BSK30" s="2511"/>
      <c r="BSL30" s="2511"/>
      <c r="BSM30" s="2511"/>
      <c r="BSN30" s="2511"/>
      <c r="BSO30" s="2511"/>
      <c r="BSP30" s="2511"/>
      <c r="BSQ30" s="2511"/>
      <c r="BSR30" s="2511"/>
      <c r="BSS30" s="2511"/>
      <c r="BST30" s="2511"/>
      <c r="BSU30" s="2511"/>
      <c r="BSV30" s="2511"/>
      <c r="BSW30" s="2511"/>
      <c r="BSX30" s="2511"/>
      <c r="BSY30" s="2511"/>
      <c r="BSZ30" s="2511"/>
      <c r="BTA30" s="2511"/>
      <c r="BTB30" s="2511"/>
      <c r="BTC30" s="2511"/>
      <c r="BTD30" s="2511"/>
      <c r="BTE30" s="2511"/>
      <c r="BTF30" s="2511"/>
      <c r="BTG30" s="2511"/>
      <c r="BTH30" s="2511"/>
      <c r="BTI30" s="2511"/>
      <c r="BTJ30" s="2511"/>
      <c r="BTK30" s="2511"/>
      <c r="BTL30" s="2511"/>
      <c r="BTM30" s="2511"/>
      <c r="BTN30" s="2511"/>
      <c r="BTO30" s="2511"/>
      <c r="BTP30" s="2511"/>
      <c r="BTQ30" s="2511"/>
      <c r="BTR30" s="2511"/>
      <c r="BTS30" s="2511"/>
      <c r="BTT30" s="2511"/>
      <c r="BTU30" s="2511"/>
      <c r="BTV30" s="2511"/>
      <c r="BTW30" s="2511"/>
      <c r="BTX30" s="2511"/>
      <c r="BTY30" s="2511"/>
      <c r="BTZ30" s="2511"/>
      <c r="BUA30" s="2511"/>
      <c r="BUB30" s="2511"/>
      <c r="BUC30" s="2511"/>
      <c r="BUD30" s="2511"/>
      <c r="BUE30" s="2511"/>
      <c r="BUF30" s="2511"/>
      <c r="BUG30" s="2511"/>
      <c r="BUH30" s="2511"/>
      <c r="BUI30" s="2511"/>
      <c r="BUJ30" s="2511"/>
      <c r="BUK30" s="2511"/>
      <c r="BUL30" s="2511"/>
      <c r="BUM30" s="2511"/>
      <c r="BUN30" s="2511"/>
      <c r="BUO30" s="2511"/>
      <c r="BUP30" s="2511"/>
      <c r="BUQ30" s="2511"/>
      <c r="BUR30" s="2511"/>
      <c r="BUS30" s="2511"/>
      <c r="BUT30" s="2511"/>
      <c r="BUU30" s="2511"/>
      <c r="BUV30" s="2511"/>
      <c r="BUW30" s="2511"/>
      <c r="BUX30" s="2511"/>
      <c r="BUY30" s="2511"/>
      <c r="BUZ30" s="2511"/>
      <c r="BVA30" s="2511"/>
      <c r="BVB30" s="2511"/>
      <c r="BVC30" s="2511"/>
      <c r="BVD30" s="2511"/>
      <c r="BVE30" s="2511"/>
      <c r="BVF30" s="2511"/>
      <c r="BVG30" s="2511"/>
      <c r="BVH30" s="2511"/>
      <c r="BVI30" s="2511"/>
      <c r="BVJ30" s="2511"/>
      <c r="BVK30" s="2511"/>
      <c r="BVL30" s="2511"/>
      <c r="BVM30" s="2511"/>
      <c r="BVN30" s="2511"/>
      <c r="BVO30" s="2511"/>
      <c r="BVP30" s="2511"/>
      <c r="BVQ30" s="2511"/>
      <c r="BVR30" s="2511"/>
      <c r="BVS30" s="2511"/>
      <c r="BVT30" s="2511"/>
      <c r="BVU30" s="2511"/>
      <c r="BVV30" s="2511"/>
      <c r="BVW30" s="2511"/>
      <c r="BVX30" s="2511"/>
      <c r="BVY30" s="2511"/>
      <c r="BVZ30" s="2511"/>
      <c r="BWA30" s="2511"/>
      <c r="BWB30" s="2511"/>
      <c r="BWC30" s="2511"/>
      <c r="BWD30" s="2511"/>
      <c r="BWE30" s="2511"/>
      <c r="BWF30" s="2511"/>
      <c r="BWG30" s="2511"/>
      <c r="BWH30" s="2511"/>
      <c r="BWI30" s="2511"/>
      <c r="BWJ30" s="2511"/>
      <c r="BWK30" s="2511"/>
      <c r="BWL30" s="2511"/>
      <c r="BWM30" s="2511"/>
      <c r="BWN30" s="2511"/>
      <c r="BWO30" s="2511"/>
      <c r="BWP30" s="2511"/>
      <c r="BWQ30" s="2511"/>
      <c r="BWR30" s="2511"/>
      <c r="BWS30" s="2511"/>
      <c r="BWT30" s="2511"/>
      <c r="BWU30" s="2511"/>
      <c r="BWV30" s="2511"/>
      <c r="BWW30" s="2511"/>
      <c r="BWX30" s="2511"/>
      <c r="BWY30" s="2511"/>
      <c r="BWZ30" s="2511"/>
      <c r="BXA30" s="2511"/>
      <c r="BXB30" s="2511"/>
      <c r="BXC30" s="2511"/>
      <c r="BXD30" s="2511"/>
      <c r="BXE30" s="2511"/>
      <c r="BXF30" s="2511"/>
      <c r="BXG30" s="2511"/>
      <c r="BXH30" s="2511"/>
      <c r="BXI30" s="2511"/>
      <c r="BXJ30" s="2511"/>
      <c r="BXK30" s="2511"/>
      <c r="BXL30" s="2511"/>
      <c r="BXM30" s="2511"/>
      <c r="BXN30" s="2511"/>
      <c r="BXO30" s="2511"/>
      <c r="BXP30" s="2511"/>
      <c r="BXQ30" s="2511"/>
      <c r="BXR30" s="2511"/>
      <c r="BXS30" s="2511"/>
      <c r="BXT30" s="2511"/>
      <c r="BXU30" s="2511"/>
      <c r="BXV30" s="2511"/>
      <c r="BXW30" s="2511"/>
      <c r="BXX30" s="2511"/>
      <c r="BXY30" s="2511"/>
      <c r="BXZ30" s="2511"/>
      <c r="BYA30" s="2511"/>
      <c r="BYB30" s="2511"/>
      <c r="BYC30" s="2511"/>
      <c r="BYD30" s="2511"/>
      <c r="BYE30" s="2511"/>
      <c r="BYF30" s="2511"/>
      <c r="BYG30" s="2511"/>
      <c r="BYH30" s="2511"/>
      <c r="BYI30" s="2511"/>
      <c r="BYJ30" s="2511"/>
      <c r="BYK30" s="2511"/>
      <c r="BYL30" s="2511"/>
      <c r="BYM30" s="2511"/>
      <c r="BYN30" s="2511"/>
      <c r="BYO30" s="2511"/>
      <c r="BYP30" s="2511"/>
      <c r="BYQ30" s="2511"/>
      <c r="BYR30" s="2511"/>
      <c r="BYS30" s="2511"/>
      <c r="BYT30" s="2511"/>
      <c r="BYU30" s="2511"/>
      <c r="BYV30" s="2511"/>
      <c r="BYW30" s="2511"/>
      <c r="BYX30" s="2511"/>
      <c r="BYY30" s="2511"/>
      <c r="BYZ30" s="2511"/>
      <c r="BZA30" s="2511"/>
      <c r="BZB30" s="2511"/>
      <c r="BZC30" s="2511"/>
      <c r="BZD30" s="2511"/>
      <c r="BZE30" s="2511"/>
      <c r="BZF30" s="2511"/>
      <c r="BZG30" s="2511"/>
      <c r="BZH30" s="2511"/>
      <c r="BZI30" s="2511"/>
      <c r="BZJ30" s="2511"/>
      <c r="BZK30" s="2511"/>
      <c r="BZL30" s="2511"/>
      <c r="BZM30" s="2511"/>
      <c r="BZN30" s="2511"/>
      <c r="BZO30" s="2511"/>
      <c r="BZP30" s="2511"/>
      <c r="BZQ30" s="2511"/>
      <c r="BZR30" s="2511"/>
      <c r="BZS30" s="2511"/>
      <c r="BZT30" s="2511"/>
      <c r="BZU30" s="2511"/>
      <c r="BZV30" s="2511"/>
      <c r="BZW30" s="2511"/>
      <c r="BZX30" s="2511"/>
      <c r="BZY30" s="2511"/>
      <c r="BZZ30" s="2511"/>
      <c r="CAA30" s="2511"/>
      <c r="CAB30" s="2511"/>
      <c r="CAC30" s="2511"/>
      <c r="CAD30" s="2511"/>
      <c r="CAE30" s="2511"/>
      <c r="CAF30" s="2511"/>
      <c r="CAG30" s="2511"/>
      <c r="CAH30" s="2511"/>
      <c r="CAI30" s="2511"/>
      <c r="CAJ30" s="2511"/>
      <c r="CAK30" s="2511"/>
      <c r="CAL30" s="2511"/>
      <c r="CAM30" s="2511"/>
      <c r="CAN30" s="2511"/>
      <c r="CAO30" s="2511"/>
      <c r="CAP30" s="2511"/>
      <c r="CAQ30" s="2511"/>
      <c r="CAR30" s="2511"/>
      <c r="CAS30" s="2511"/>
      <c r="CAT30" s="2511"/>
      <c r="CAU30" s="2511"/>
      <c r="CAV30" s="2511"/>
      <c r="CAW30" s="2511"/>
      <c r="CAX30" s="2511"/>
      <c r="CAY30" s="2511"/>
      <c r="CAZ30" s="2511"/>
      <c r="CBA30" s="2511"/>
      <c r="CBB30" s="2511"/>
      <c r="CBC30" s="2511"/>
      <c r="CBD30" s="2511"/>
      <c r="CBE30" s="2511"/>
      <c r="CBF30" s="2511"/>
      <c r="CBG30" s="2511"/>
      <c r="CBH30" s="2511"/>
      <c r="CBI30" s="2511"/>
      <c r="CBJ30" s="2511"/>
      <c r="CBK30" s="2511"/>
      <c r="CBL30" s="2511"/>
      <c r="CBM30" s="2511"/>
      <c r="CBN30" s="2511"/>
      <c r="CBO30" s="2511"/>
      <c r="CBP30" s="2511"/>
      <c r="CBQ30" s="2511"/>
      <c r="CBR30" s="2511"/>
      <c r="CBS30" s="2511"/>
      <c r="CBT30" s="2511"/>
      <c r="CBU30" s="2511"/>
      <c r="CBV30" s="2511"/>
      <c r="CBW30" s="2511"/>
      <c r="CBX30" s="2511"/>
      <c r="CBY30" s="2511"/>
      <c r="CBZ30" s="2511"/>
      <c r="CCA30" s="2511"/>
      <c r="CCB30" s="2511"/>
      <c r="CCC30" s="2511"/>
      <c r="CCD30" s="2511"/>
      <c r="CCE30" s="2511"/>
      <c r="CCF30" s="2511"/>
      <c r="CCG30" s="2511"/>
      <c r="CCH30" s="2511"/>
      <c r="CCI30" s="2511"/>
      <c r="CCJ30" s="2511"/>
      <c r="CCK30" s="2511"/>
      <c r="CCL30" s="2511"/>
      <c r="CCM30" s="2511"/>
      <c r="CCN30" s="2511"/>
      <c r="CCO30" s="2511"/>
      <c r="CCP30" s="2511"/>
      <c r="CCQ30" s="2511"/>
      <c r="CCR30" s="2511"/>
      <c r="CCS30" s="2511"/>
      <c r="CCT30" s="2511"/>
      <c r="CCU30" s="2511"/>
      <c r="CCV30" s="2511"/>
      <c r="CCW30" s="2511"/>
      <c r="CCX30" s="2511"/>
      <c r="CCY30" s="2511"/>
      <c r="CCZ30" s="2511"/>
      <c r="CDA30" s="2511"/>
      <c r="CDB30" s="2511"/>
      <c r="CDC30" s="2511"/>
      <c r="CDD30" s="2511"/>
      <c r="CDE30" s="2511"/>
      <c r="CDF30" s="2511"/>
      <c r="CDG30" s="2511"/>
      <c r="CDH30" s="2511"/>
      <c r="CDI30" s="2511"/>
      <c r="CDJ30" s="2511"/>
      <c r="CDK30" s="2511"/>
      <c r="CDL30" s="2511"/>
      <c r="CDM30" s="2511"/>
      <c r="CDN30" s="2511"/>
      <c r="CDO30" s="2511"/>
      <c r="CDP30" s="2511"/>
      <c r="CDQ30" s="2511"/>
      <c r="CDR30" s="2511"/>
      <c r="CDS30" s="2511"/>
      <c r="CDT30" s="2511"/>
      <c r="CDU30" s="2511"/>
      <c r="CDV30" s="2511"/>
      <c r="CDW30" s="2511"/>
      <c r="CDX30" s="2511"/>
      <c r="CDY30" s="2511"/>
      <c r="CDZ30" s="2511"/>
      <c r="CEA30" s="2511"/>
      <c r="CEB30" s="2511"/>
      <c r="CEC30" s="2511"/>
      <c r="CED30" s="2511"/>
      <c r="CEE30" s="2511"/>
      <c r="CEF30" s="2511"/>
      <c r="CEG30" s="2511"/>
      <c r="CEH30" s="2511"/>
      <c r="CEI30" s="2511"/>
      <c r="CEJ30" s="2511"/>
      <c r="CEK30" s="2511"/>
      <c r="CEL30" s="2511"/>
      <c r="CEM30" s="2511"/>
      <c r="CEN30" s="2511"/>
      <c r="CEO30" s="2511"/>
      <c r="CEP30" s="2511"/>
      <c r="CEQ30" s="2511"/>
      <c r="CER30" s="2511"/>
      <c r="CES30" s="2511"/>
      <c r="CET30" s="2511"/>
      <c r="CEU30" s="2511"/>
      <c r="CEV30" s="2511"/>
      <c r="CEW30" s="2511"/>
      <c r="CEX30" s="2511"/>
      <c r="CEY30" s="2511"/>
      <c r="CEZ30" s="2511"/>
      <c r="CFA30" s="2511"/>
      <c r="CFB30" s="2511"/>
      <c r="CFC30" s="2511"/>
      <c r="CFD30" s="2511"/>
      <c r="CFE30" s="2511"/>
      <c r="CFF30" s="2511"/>
      <c r="CFG30" s="2511"/>
      <c r="CFH30" s="2511"/>
      <c r="CFI30" s="2511"/>
      <c r="CFJ30" s="2511"/>
      <c r="CFK30" s="2511"/>
      <c r="CFL30" s="2511"/>
      <c r="CFM30" s="2511"/>
      <c r="CFN30" s="2511"/>
      <c r="CFO30" s="2511"/>
      <c r="CFP30" s="2511"/>
      <c r="CFQ30" s="2511"/>
      <c r="CFR30" s="2511"/>
      <c r="CFS30" s="2511"/>
      <c r="CFT30" s="2511"/>
      <c r="CFU30" s="2511"/>
      <c r="CFV30" s="2511"/>
      <c r="CFW30" s="2511"/>
      <c r="CFX30" s="2511"/>
      <c r="CFY30" s="2511"/>
      <c r="CFZ30" s="2511"/>
      <c r="CGA30" s="2511"/>
      <c r="CGB30" s="2511"/>
      <c r="CGC30" s="2511"/>
      <c r="CGD30" s="2511"/>
      <c r="CGE30" s="2511"/>
      <c r="CGF30" s="2511"/>
      <c r="CGG30" s="2511"/>
      <c r="CGH30" s="2511"/>
      <c r="CGI30" s="2511"/>
      <c r="CGJ30" s="2511"/>
      <c r="CGK30" s="2511"/>
      <c r="CGL30" s="2511"/>
      <c r="CGM30" s="2511"/>
      <c r="CGN30" s="2511"/>
      <c r="CGO30" s="2511"/>
      <c r="CGP30" s="2511"/>
      <c r="CGQ30" s="2511"/>
      <c r="CGR30" s="2511"/>
      <c r="CGS30" s="2511"/>
      <c r="CGT30" s="2511"/>
      <c r="CGU30" s="2511"/>
      <c r="CGV30" s="2511"/>
      <c r="CGW30" s="2511"/>
      <c r="CGX30" s="2511"/>
      <c r="CGY30" s="2511"/>
      <c r="CGZ30" s="2511"/>
      <c r="CHA30" s="2511"/>
      <c r="CHB30" s="2511"/>
      <c r="CHC30" s="2511"/>
      <c r="CHD30" s="2511"/>
      <c r="CHE30" s="2511"/>
      <c r="CHF30" s="2511"/>
      <c r="CHG30" s="2511"/>
      <c r="CHH30" s="2511"/>
      <c r="CHI30" s="2511"/>
      <c r="CHJ30" s="2511"/>
      <c r="CHK30" s="2511"/>
      <c r="CHL30" s="2511"/>
      <c r="CHM30" s="2511"/>
      <c r="CHN30" s="2511"/>
      <c r="CHO30" s="2511"/>
      <c r="CHP30" s="2511"/>
      <c r="CHQ30" s="2511"/>
      <c r="CHR30" s="2511"/>
      <c r="CHS30" s="2511"/>
      <c r="CHT30" s="2511"/>
      <c r="CHU30" s="2511"/>
      <c r="CHV30" s="2511"/>
      <c r="CHW30" s="2511"/>
      <c r="CHX30" s="2511"/>
      <c r="CHY30" s="2511"/>
      <c r="CHZ30" s="2511"/>
      <c r="CIA30" s="2511"/>
      <c r="CIB30" s="2511"/>
      <c r="CIC30" s="2511"/>
      <c r="CID30" s="2511"/>
      <c r="CIE30" s="2511"/>
      <c r="CIF30" s="2511"/>
      <c r="CIG30" s="2511"/>
      <c r="CIH30" s="2511"/>
      <c r="CII30" s="2511"/>
      <c r="CIJ30" s="2511"/>
      <c r="CIK30" s="2511"/>
      <c r="CIL30" s="2511"/>
      <c r="CIM30" s="2511"/>
      <c r="CIN30" s="2511"/>
      <c r="CIO30" s="2511"/>
      <c r="CIP30" s="2511"/>
      <c r="CIQ30" s="2511"/>
      <c r="CIR30" s="2511"/>
      <c r="CIS30" s="2511"/>
      <c r="CIT30" s="2511"/>
      <c r="CIU30" s="2511"/>
      <c r="CIV30" s="2511"/>
      <c r="CIW30" s="2511"/>
      <c r="CIX30" s="2511"/>
      <c r="CIY30" s="2511"/>
      <c r="CIZ30" s="2511"/>
      <c r="CJA30" s="2511"/>
      <c r="CJB30" s="2511"/>
      <c r="CJC30" s="2511"/>
      <c r="CJD30" s="2511"/>
      <c r="CJE30" s="2511"/>
      <c r="CJF30" s="2511"/>
      <c r="CJG30" s="2511"/>
      <c r="CJH30" s="2511"/>
      <c r="CJI30" s="2511"/>
      <c r="CJJ30" s="2511"/>
      <c r="CJK30" s="2511"/>
      <c r="CJL30" s="2511"/>
      <c r="CJM30" s="2511"/>
      <c r="CJN30" s="2511"/>
      <c r="CJO30" s="2511"/>
      <c r="CJP30" s="2511"/>
      <c r="CJQ30" s="2511"/>
      <c r="CJR30" s="2511"/>
      <c r="CJS30" s="2511"/>
      <c r="CJT30" s="2511"/>
      <c r="CJU30" s="2511"/>
      <c r="CJV30" s="2511"/>
      <c r="CJW30" s="2511"/>
      <c r="CJX30" s="2511"/>
      <c r="CJY30" s="2511"/>
      <c r="CJZ30" s="2511"/>
      <c r="CKA30" s="2511"/>
      <c r="CKB30" s="2511"/>
      <c r="CKC30" s="2511"/>
      <c r="CKD30" s="2511"/>
      <c r="CKE30" s="2511"/>
      <c r="CKF30" s="2511"/>
      <c r="CKG30" s="2511"/>
      <c r="CKH30" s="2511"/>
      <c r="CKI30" s="2511"/>
      <c r="CKJ30" s="2511"/>
      <c r="CKK30" s="2511"/>
      <c r="CKL30" s="2511"/>
      <c r="CKM30" s="2511"/>
      <c r="CKN30" s="2511"/>
      <c r="CKO30" s="2511"/>
      <c r="CKP30" s="2511"/>
      <c r="CKQ30" s="2511"/>
      <c r="CKR30" s="2511"/>
      <c r="CKS30" s="2511"/>
      <c r="CKT30" s="2511"/>
      <c r="CKU30" s="2511"/>
      <c r="CKV30" s="2511"/>
      <c r="CKW30" s="2511"/>
      <c r="CKX30" s="2511"/>
      <c r="CKY30" s="2511"/>
      <c r="CKZ30" s="2511"/>
      <c r="CLA30" s="2511"/>
      <c r="CLB30" s="2511"/>
      <c r="CLC30" s="2511"/>
      <c r="CLD30" s="2511"/>
      <c r="CLE30" s="2511"/>
      <c r="CLF30" s="2511"/>
      <c r="CLG30" s="2511"/>
      <c r="CLH30" s="2511"/>
      <c r="CLI30" s="2511"/>
      <c r="CLJ30" s="2511"/>
      <c r="CLK30" s="2511"/>
      <c r="CLL30" s="2511"/>
      <c r="CLM30" s="2511"/>
      <c r="CLN30" s="2511"/>
      <c r="CLO30" s="2511"/>
      <c r="CLP30" s="2511"/>
      <c r="CLQ30" s="2511"/>
      <c r="CLR30" s="2511"/>
      <c r="CLS30" s="2511"/>
      <c r="CLT30" s="2511"/>
      <c r="CLU30" s="2511"/>
      <c r="CLV30" s="2511"/>
      <c r="CLW30" s="2511"/>
      <c r="CLX30" s="2511"/>
      <c r="CLY30" s="2511"/>
      <c r="CLZ30" s="2511"/>
      <c r="CMA30" s="2511"/>
      <c r="CMB30" s="2511"/>
      <c r="CMC30" s="2511"/>
      <c r="CMD30" s="2511"/>
      <c r="CME30" s="2511"/>
      <c r="CMF30" s="2511"/>
      <c r="CMG30" s="2511"/>
      <c r="CMH30" s="2511"/>
      <c r="CMI30" s="2511"/>
      <c r="CMJ30" s="2511"/>
      <c r="CMK30" s="2511"/>
      <c r="CML30" s="2511"/>
      <c r="CMM30" s="2511"/>
      <c r="CMN30" s="2511"/>
      <c r="CMO30" s="2511"/>
      <c r="CMP30" s="2511"/>
      <c r="CMQ30" s="2511"/>
      <c r="CMR30" s="2511"/>
      <c r="CMS30" s="2511"/>
      <c r="CMT30" s="2511"/>
      <c r="CMU30" s="2511"/>
      <c r="CMV30" s="2511"/>
      <c r="CMW30" s="2511"/>
      <c r="CMX30" s="2511"/>
      <c r="CMY30" s="2511"/>
      <c r="CMZ30" s="2511"/>
      <c r="CNA30" s="2511"/>
      <c r="CNB30" s="2511"/>
      <c r="CNC30" s="2511"/>
      <c r="CND30" s="2511"/>
      <c r="CNE30" s="2511"/>
      <c r="CNF30" s="2511"/>
      <c r="CNG30" s="2511"/>
      <c r="CNH30" s="2511"/>
      <c r="CNI30" s="2511"/>
      <c r="CNJ30" s="2511"/>
      <c r="CNK30" s="2511"/>
      <c r="CNL30" s="2511"/>
      <c r="CNM30" s="2511"/>
      <c r="CNN30" s="2511"/>
      <c r="CNO30" s="2511"/>
      <c r="CNP30" s="2511"/>
      <c r="CNQ30" s="2511"/>
      <c r="CNR30" s="2511"/>
      <c r="CNS30" s="2511"/>
      <c r="CNT30" s="2511"/>
      <c r="CNU30" s="2511"/>
      <c r="CNV30" s="2511"/>
      <c r="CNW30" s="2511"/>
      <c r="CNX30" s="2511"/>
      <c r="CNY30" s="2511"/>
      <c r="CNZ30" s="2511"/>
      <c r="COA30" s="2511"/>
      <c r="COB30" s="2511"/>
      <c r="COC30" s="2511"/>
      <c r="COD30" s="2511"/>
      <c r="COE30" s="2511"/>
      <c r="COF30" s="2511"/>
      <c r="COG30" s="2511"/>
      <c r="COH30" s="2511"/>
      <c r="COI30" s="2511"/>
      <c r="COJ30" s="2511"/>
      <c r="COK30" s="2511"/>
      <c r="COL30" s="2511"/>
      <c r="COM30" s="2511"/>
      <c r="CON30" s="2511"/>
      <c r="COO30" s="2511"/>
      <c r="COP30" s="2511"/>
      <c r="COQ30" s="2511"/>
      <c r="COR30" s="2511"/>
      <c r="COS30" s="2511"/>
      <c r="COT30" s="2511"/>
      <c r="COU30" s="2511"/>
      <c r="COV30" s="2511"/>
      <c r="COW30" s="2511"/>
      <c r="COX30" s="2511"/>
      <c r="COY30" s="2511"/>
      <c r="COZ30" s="2511"/>
      <c r="CPA30" s="2511"/>
      <c r="CPB30" s="2511"/>
      <c r="CPC30" s="2511"/>
      <c r="CPD30" s="2511"/>
      <c r="CPE30" s="2511"/>
      <c r="CPF30" s="2511"/>
      <c r="CPG30" s="2511"/>
      <c r="CPH30" s="2511"/>
      <c r="CPI30" s="2511"/>
      <c r="CPJ30" s="2511"/>
      <c r="CPK30" s="2511"/>
      <c r="CPL30" s="2511"/>
      <c r="CPM30" s="2511"/>
      <c r="CPN30" s="2511"/>
      <c r="CPO30" s="2511"/>
      <c r="CPP30" s="2511"/>
      <c r="CPQ30" s="2511"/>
      <c r="CPR30" s="2511"/>
      <c r="CPS30" s="2511"/>
      <c r="CPT30" s="2511"/>
      <c r="CPU30" s="2511"/>
      <c r="CPV30" s="2511"/>
      <c r="CPW30" s="2511"/>
      <c r="CPX30" s="2511"/>
      <c r="CPY30" s="2511"/>
      <c r="CPZ30" s="2511"/>
      <c r="CQA30" s="2511"/>
      <c r="CQB30" s="2511"/>
      <c r="CQC30" s="2511"/>
      <c r="CQD30" s="2511"/>
      <c r="CQE30" s="2511"/>
      <c r="CQF30" s="2511"/>
      <c r="CQG30" s="2511"/>
      <c r="CQH30" s="2511"/>
      <c r="CQI30" s="2511"/>
      <c r="CQJ30" s="2511"/>
      <c r="CQK30" s="2511"/>
      <c r="CQL30" s="2511"/>
      <c r="CQM30" s="2511"/>
      <c r="CQN30" s="2511"/>
      <c r="CQO30" s="2511"/>
      <c r="CQP30" s="2511"/>
      <c r="CQQ30" s="2511"/>
      <c r="CQR30" s="2511"/>
      <c r="CQS30" s="2511"/>
      <c r="CQT30" s="2511"/>
      <c r="CQU30" s="2511"/>
      <c r="CQV30" s="2511"/>
      <c r="CQW30" s="2511"/>
      <c r="CQX30" s="2511"/>
      <c r="CQY30" s="2511"/>
      <c r="CQZ30" s="2511"/>
      <c r="CRA30" s="2511"/>
      <c r="CRB30" s="2511"/>
      <c r="CRC30" s="2511"/>
      <c r="CRD30" s="2511"/>
      <c r="CRE30" s="2511"/>
      <c r="CRF30" s="2511"/>
      <c r="CRG30" s="2511"/>
      <c r="CRH30" s="2511"/>
      <c r="CRI30" s="2511"/>
      <c r="CRJ30" s="2511"/>
      <c r="CRK30" s="2511"/>
      <c r="CRL30" s="2511"/>
      <c r="CRM30" s="2511"/>
      <c r="CRN30" s="2511"/>
      <c r="CRO30" s="2511"/>
      <c r="CRP30" s="2511"/>
      <c r="CRQ30" s="2511"/>
      <c r="CRR30" s="2511"/>
      <c r="CRS30" s="2511"/>
      <c r="CRT30" s="2511"/>
      <c r="CRU30" s="2511"/>
      <c r="CRV30" s="2511"/>
      <c r="CRW30" s="2511"/>
      <c r="CRX30" s="2511"/>
      <c r="CRY30" s="2511"/>
      <c r="CRZ30" s="2511"/>
      <c r="CSA30" s="2511"/>
      <c r="CSB30" s="2511"/>
      <c r="CSC30" s="2511"/>
      <c r="CSD30" s="2511"/>
      <c r="CSE30" s="2511"/>
      <c r="CSF30" s="2511"/>
      <c r="CSG30" s="2511"/>
      <c r="CSH30" s="2511"/>
      <c r="CSI30" s="2511"/>
      <c r="CSJ30" s="2511"/>
      <c r="CSK30" s="2511"/>
      <c r="CSL30" s="2511"/>
      <c r="CSM30" s="2511"/>
      <c r="CSN30" s="2511"/>
      <c r="CSO30" s="2511"/>
      <c r="CSP30" s="2511"/>
      <c r="CSQ30" s="2511"/>
      <c r="CSR30" s="2511"/>
      <c r="CSS30" s="2511"/>
      <c r="CST30" s="2511"/>
      <c r="CSU30" s="2511"/>
      <c r="CSV30" s="2511"/>
      <c r="CSW30" s="2511"/>
      <c r="CSX30" s="2511"/>
      <c r="CSY30" s="2511"/>
      <c r="CSZ30" s="2511"/>
      <c r="CTA30" s="2511"/>
      <c r="CTB30" s="2511"/>
      <c r="CTC30" s="2511"/>
      <c r="CTD30" s="2511"/>
      <c r="CTE30" s="2511"/>
      <c r="CTF30" s="2511"/>
      <c r="CTG30" s="2511"/>
      <c r="CTH30" s="2511"/>
      <c r="CTI30" s="2511"/>
      <c r="CTJ30" s="2511"/>
      <c r="CTK30" s="2511"/>
      <c r="CTL30" s="2511"/>
      <c r="CTM30" s="2511"/>
      <c r="CTN30" s="2511"/>
      <c r="CTO30" s="2511"/>
      <c r="CTP30" s="2511"/>
      <c r="CTQ30" s="2511"/>
      <c r="CTR30" s="2511"/>
      <c r="CTS30" s="2511"/>
      <c r="CTT30" s="2511"/>
      <c r="CTU30" s="2511"/>
      <c r="CTV30" s="2511"/>
      <c r="CTW30" s="2511"/>
      <c r="CTX30" s="2511"/>
      <c r="CTY30" s="2511"/>
      <c r="CTZ30" s="2511"/>
      <c r="CUA30" s="2511"/>
      <c r="CUB30" s="2511"/>
      <c r="CUC30" s="2511"/>
      <c r="CUD30" s="2511"/>
      <c r="CUE30" s="2511"/>
      <c r="CUF30" s="2511"/>
      <c r="CUG30" s="2511"/>
      <c r="CUH30" s="2511"/>
      <c r="CUI30" s="2511"/>
      <c r="CUJ30" s="2511"/>
      <c r="CUK30" s="2511"/>
      <c r="CUL30" s="2511"/>
      <c r="CUM30" s="2511"/>
      <c r="CUN30" s="2511"/>
      <c r="CUO30" s="2511"/>
      <c r="CUP30" s="2511"/>
      <c r="CUQ30" s="2511"/>
      <c r="CUR30" s="2511"/>
      <c r="CUS30" s="2511"/>
      <c r="CUT30" s="2511"/>
      <c r="CUU30" s="2511"/>
      <c r="CUV30" s="2511"/>
      <c r="CUW30" s="2511"/>
      <c r="CUX30" s="2511"/>
      <c r="CUY30" s="2511"/>
      <c r="CUZ30" s="2511"/>
      <c r="CVA30" s="2511"/>
      <c r="CVB30" s="2511"/>
      <c r="CVC30" s="2511"/>
      <c r="CVD30" s="2511"/>
      <c r="CVE30" s="2511"/>
      <c r="CVF30" s="2511"/>
      <c r="CVG30" s="2511"/>
      <c r="CVH30" s="2511"/>
      <c r="CVI30" s="2511"/>
      <c r="CVJ30" s="2511"/>
      <c r="CVK30" s="2511"/>
      <c r="CVL30" s="2511"/>
      <c r="CVM30" s="2511"/>
      <c r="CVN30" s="2511"/>
      <c r="CVO30" s="2511"/>
      <c r="CVP30" s="2511"/>
      <c r="CVQ30" s="2511"/>
      <c r="CVR30" s="2511"/>
      <c r="CVS30" s="2511"/>
      <c r="CVT30" s="2511"/>
      <c r="CVU30" s="2511"/>
      <c r="CVV30" s="2511"/>
      <c r="CVW30" s="2511"/>
      <c r="CVX30" s="2511"/>
      <c r="CVY30" s="2511"/>
      <c r="CVZ30" s="2511"/>
      <c r="CWA30" s="2511"/>
      <c r="CWB30" s="2511"/>
      <c r="CWC30" s="2511"/>
      <c r="CWD30" s="2511"/>
      <c r="CWE30" s="2511"/>
      <c r="CWF30" s="2511"/>
      <c r="CWG30" s="2511"/>
      <c r="CWH30" s="2511"/>
      <c r="CWI30" s="2511"/>
      <c r="CWJ30" s="2511"/>
      <c r="CWK30" s="2511"/>
      <c r="CWL30" s="2511"/>
      <c r="CWM30" s="2511"/>
      <c r="CWN30" s="2511"/>
      <c r="CWO30" s="2511"/>
      <c r="CWP30" s="2511"/>
      <c r="CWQ30" s="2511"/>
      <c r="CWR30" s="2511"/>
      <c r="CWS30" s="2511"/>
      <c r="CWT30" s="2511"/>
      <c r="CWU30" s="2511"/>
      <c r="CWV30" s="2511"/>
      <c r="CWW30" s="2511"/>
      <c r="CWX30" s="2511"/>
      <c r="CWY30" s="2511"/>
      <c r="CWZ30" s="2511"/>
      <c r="CXA30" s="2511"/>
      <c r="CXB30" s="2511"/>
      <c r="CXC30" s="2511"/>
      <c r="CXD30" s="2511"/>
      <c r="CXE30" s="2511"/>
      <c r="CXF30" s="2511"/>
      <c r="CXG30" s="2511"/>
      <c r="CXH30" s="2511"/>
      <c r="CXI30" s="2511"/>
      <c r="CXJ30" s="2511"/>
      <c r="CXK30" s="2511"/>
      <c r="CXL30" s="2511"/>
      <c r="CXM30" s="2511"/>
      <c r="CXN30" s="2511"/>
      <c r="CXO30" s="2511"/>
      <c r="CXP30" s="2511"/>
      <c r="CXQ30" s="2511"/>
      <c r="CXR30" s="2511"/>
      <c r="CXS30" s="2511"/>
      <c r="CXT30" s="2511"/>
      <c r="CXU30" s="2511"/>
      <c r="CXV30" s="2511"/>
      <c r="CXW30" s="2511"/>
      <c r="CXX30" s="2511"/>
      <c r="CXY30" s="2511"/>
      <c r="CXZ30" s="2511"/>
      <c r="CYA30" s="2511"/>
      <c r="CYB30" s="2511"/>
      <c r="CYC30" s="2511"/>
      <c r="CYD30" s="2511"/>
      <c r="CYE30" s="2511"/>
      <c r="CYF30" s="2511"/>
      <c r="CYG30" s="2511"/>
      <c r="CYH30" s="2511"/>
      <c r="CYI30" s="2511"/>
      <c r="CYJ30" s="2511"/>
      <c r="CYK30" s="2511"/>
      <c r="CYL30" s="2511"/>
      <c r="CYM30" s="2511"/>
      <c r="CYN30" s="2511"/>
      <c r="CYO30" s="2511"/>
      <c r="CYP30" s="2511"/>
      <c r="CYQ30" s="2511"/>
      <c r="CYR30" s="2511"/>
      <c r="CYS30" s="2511"/>
      <c r="CYT30" s="2511"/>
      <c r="CYU30" s="2511"/>
      <c r="CYV30" s="2511"/>
      <c r="CYW30" s="2511"/>
      <c r="CYX30" s="2511"/>
      <c r="CYY30" s="2511"/>
      <c r="CYZ30" s="2511"/>
      <c r="CZA30" s="2511"/>
      <c r="CZB30" s="2511"/>
      <c r="CZC30" s="2511"/>
      <c r="CZD30" s="2511"/>
      <c r="CZE30" s="2511"/>
      <c r="CZF30" s="2511"/>
      <c r="CZG30" s="2511"/>
      <c r="CZH30" s="2511"/>
      <c r="CZI30" s="2511"/>
      <c r="CZJ30" s="2511"/>
      <c r="CZK30" s="2511"/>
      <c r="CZL30" s="2511"/>
      <c r="CZM30" s="2511"/>
      <c r="CZN30" s="2511"/>
      <c r="CZO30" s="2511"/>
      <c r="CZP30" s="2511"/>
      <c r="CZQ30" s="2511"/>
      <c r="CZR30" s="2511"/>
      <c r="CZS30" s="2511"/>
      <c r="CZT30" s="2511"/>
      <c r="CZU30" s="2511"/>
      <c r="CZV30" s="2511"/>
      <c r="CZW30" s="2511"/>
      <c r="CZX30" s="2511"/>
      <c r="CZY30" s="2511"/>
      <c r="CZZ30" s="2511"/>
      <c r="DAA30" s="2511"/>
      <c r="DAB30" s="2511"/>
      <c r="DAC30" s="2511"/>
      <c r="DAD30" s="2511"/>
      <c r="DAE30" s="2511"/>
      <c r="DAF30" s="2511"/>
      <c r="DAG30" s="2511"/>
      <c r="DAH30" s="2511"/>
      <c r="DAI30" s="2511"/>
      <c r="DAJ30" s="2511"/>
      <c r="DAK30" s="2511"/>
      <c r="DAL30" s="2511"/>
      <c r="DAM30" s="2511"/>
      <c r="DAN30" s="2511"/>
      <c r="DAO30" s="2511"/>
      <c r="DAP30" s="2511"/>
      <c r="DAQ30" s="2511"/>
      <c r="DAR30" s="2511"/>
      <c r="DAS30" s="2511"/>
      <c r="DAT30" s="2511"/>
      <c r="DAU30" s="2511"/>
      <c r="DAV30" s="2511"/>
      <c r="DAW30" s="2511"/>
      <c r="DAX30" s="2511"/>
      <c r="DAY30" s="2511"/>
      <c r="DAZ30" s="2511"/>
      <c r="DBA30" s="2511"/>
      <c r="DBB30" s="2511"/>
      <c r="DBC30" s="2511"/>
      <c r="DBD30" s="2511"/>
      <c r="DBE30" s="2511"/>
      <c r="DBF30" s="2511"/>
      <c r="DBG30" s="2511"/>
      <c r="DBH30" s="2511"/>
      <c r="DBI30" s="2511"/>
      <c r="DBJ30" s="2511"/>
      <c r="DBK30" s="2511"/>
      <c r="DBL30" s="2511"/>
      <c r="DBM30" s="2511"/>
      <c r="DBN30" s="2511"/>
      <c r="DBO30" s="2511"/>
      <c r="DBP30" s="2511"/>
      <c r="DBQ30" s="2511"/>
      <c r="DBR30" s="2511"/>
      <c r="DBS30" s="2511"/>
      <c r="DBT30" s="2511"/>
      <c r="DBU30" s="2511"/>
      <c r="DBV30" s="2511"/>
      <c r="DBW30" s="2511"/>
      <c r="DBX30" s="2511"/>
      <c r="DBY30" s="2511"/>
      <c r="DBZ30" s="2511"/>
      <c r="DCA30" s="2511"/>
      <c r="DCB30" s="2511"/>
      <c r="DCC30" s="2511"/>
      <c r="DCD30" s="2511"/>
      <c r="DCE30" s="2511"/>
      <c r="DCF30" s="2511"/>
      <c r="DCG30" s="2511"/>
      <c r="DCH30" s="2511"/>
      <c r="DCI30" s="2511"/>
      <c r="DCJ30" s="2511"/>
      <c r="DCK30" s="2511"/>
      <c r="DCL30" s="2511"/>
      <c r="DCM30" s="2511"/>
      <c r="DCN30" s="2511"/>
      <c r="DCO30" s="2511"/>
      <c r="DCP30" s="2511"/>
      <c r="DCQ30" s="2511"/>
      <c r="DCR30" s="2511"/>
      <c r="DCS30" s="2511"/>
      <c r="DCT30" s="2511"/>
      <c r="DCU30" s="2511"/>
      <c r="DCV30" s="2511"/>
      <c r="DCW30" s="2511"/>
      <c r="DCX30" s="2511"/>
      <c r="DCY30" s="2511"/>
      <c r="DCZ30" s="2511"/>
      <c r="DDA30" s="2511"/>
      <c r="DDB30" s="2511"/>
      <c r="DDC30" s="2511"/>
      <c r="DDD30" s="2511"/>
      <c r="DDE30" s="2511"/>
      <c r="DDF30" s="2511"/>
      <c r="DDG30" s="2511"/>
      <c r="DDH30" s="2511"/>
      <c r="DDI30" s="2511"/>
      <c r="DDJ30" s="2511"/>
      <c r="DDK30" s="2511"/>
      <c r="DDL30" s="2511"/>
      <c r="DDM30" s="2511"/>
      <c r="DDN30" s="2511"/>
      <c r="DDO30" s="2511"/>
      <c r="DDP30" s="2511"/>
      <c r="DDQ30" s="2511"/>
      <c r="DDR30" s="2511"/>
      <c r="DDS30" s="2511"/>
      <c r="DDT30" s="2511"/>
      <c r="DDU30" s="2511"/>
      <c r="DDV30" s="2511"/>
      <c r="DDW30" s="2511"/>
      <c r="DDX30" s="2511"/>
      <c r="DDY30" s="2511"/>
      <c r="DDZ30" s="2511"/>
      <c r="DEA30" s="2511"/>
      <c r="DEB30" s="2511"/>
      <c r="DEC30" s="2511"/>
      <c r="DED30" s="2511"/>
      <c r="DEE30" s="2511"/>
      <c r="DEF30" s="2511"/>
      <c r="DEG30" s="2511"/>
      <c r="DEH30" s="2511"/>
      <c r="DEI30" s="2511"/>
      <c r="DEJ30" s="2511"/>
      <c r="DEK30" s="2511"/>
      <c r="DEL30" s="2511"/>
      <c r="DEM30" s="2511"/>
      <c r="DEN30" s="2511"/>
      <c r="DEO30" s="2511"/>
      <c r="DEP30" s="2511"/>
      <c r="DEQ30" s="2511"/>
      <c r="DER30" s="2511"/>
      <c r="DES30" s="2511"/>
      <c r="DET30" s="2511"/>
      <c r="DEU30" s="2511"/>
      <c r="DEV30" s="2511"/>
      <c r="DEW30" s="2511"/>
      <c r="DEX30" s="2511"/>
      <c r="DEY30" s="2511"/>
      <c r="DEZ30" s="2511"/>
      <c r="DFA30" s="2511"/>
      <c r="DFB30" s="2511"/>
      <c r="DFC30" s="2511"/>
      <c r="DFD30" s="2511"/>
      <c r="DFE30" s="2511"/>
      <c r="DFF30" s="2511"/>
      <c r="DFG30" s="2511"/>
      <c r="DFH30" s="2511"/>
      <c r="DFI30" s="2511"/>
      <c r="DFJ30" s="2511"/>
      <c r="DFK30" s="2511"/>
      <c r="DFL30" s="2511"/>
      <c r="DFM30" s="2511"/>
      <c r="DFN30" s="2511"/>
      <c r="DFO30" s="2511"/>
      <c r="DFP30" s="2511"/>
      <c r="DFQ30" s="2511"/>
      <c r="DFR30" s="2511"/>
      <c r="DFS30" s="2511"/>
      <c r="DFT30" s="2511"/>
      <c r="DFU30" s="2511"/>
      <c r="DFV30" s="2511"/>
      <c r="DFW30" s="2511"/>
      <c r="DFX30" s="2511"/>
      <c r="DFY30" s="2511"/>
      <c r="DFZ30" s="2511"/>
      <c r="DGA30" s="2511"/>
      <c r="DGB30" s="2511"/>
      <c r="DGC30" s="2511"/>
      <c r="DGD30" s="2511"/>
      <c r="DGE30" s="2511"/>
      <c r="DGF30" s="2511"/>
      <c r="DGG30" s="2511"/>
      <c r="DGH30" s="2511"/>
      <c r="DGI30" s="2511"/>
      <c r="DGJ30" s="2511"/>
      <c r="DGK30" s="2511"/>
      <c r="DGL30" s="2511"/>
      <c r="DGM30" s="2511"/>
      <c r="DGN30" s="2511"/>
      <c r="DGO30" s="2511"/>
      <c r="DGP30" s="2511"/>
      <c r="DGQ30" s="2511"/>
      <c r="DGR30" s="2511"/>
      <c r="DGS30" s="2511"/>
      <c r="DGT30" s="2511"/>
      <c r="DGU30" s="2511"/>
      <c r="DGV30" s="2511"/>
      <c r="DGW30" s="2511"/>
      <c r="DGX30" s="2511"/>
      <c r="DGY30" s="2511"/>
      <c r="DGZ30" s="2511"/>
      <c r="DHA30" s="2511"/>
      <c r="DHB30" s="2511"/>
      <c r="DHC30" s="2511"/>
      <c r="DHD30" s="2511"/>
      <c r="DHE30" s="2511"/>
      <c r="DHF30" s="2511"/>
      <c r="DHG30" s="2511"/>
      <c r="DHH30" s="2511"/>
      <c r="DHI30" s="2511"/>
      <c r="DHJ30" s="2511"/>
      <c r="DHK30" s="2511"/>
      <c r="DHL30" s="2511"/>
      <c r="DHM30" s="2511"/>
      <c r="DHN30" s="2511"/>
      <c r="DHO30" s="2511"/>
      <c r="DHP30" s="2511"/>
      <c r="DHQ30" s="2511"/>
      <c r="DHR30" s="2511"/>
      <c r="DHS30" s="2511"/>
      <c r="DHT30" s="2511"/>
      <c r="DHU30" s="2511"/>
      <c r="DHV30" s="2511"/>
      <c r="DHW30" s="2511"/>
      <c r="DHX30" s="2511"/>
      <c r="DHY30" s="2511"/>
      <c r="DHZ30" s="2511"/>
      <c r="DIA30" s="2511"/>
      <c r="DIB30" s="2511"/>
      <c r="DIC30" s="2511"/>
      <c r="DID30" s="2511"/>
      <c r="DIE30" s="2511"/>
      <c r="DIF30" s="2511"/>
      <c r="DIG30" s="2511"/>
      <c r="DIH30" s="2511"/>
      <c r="DII30" s="2511"/>
      <c r="DIJ30" s="2511"/>
      <c r="DIK30" s="2511"/>
      <c r="DIL30" s="2511"/>
      <c r="DIM30" s="2511"/>
      <c r="DIN30" s="2511"/>
      <c r="DIO30" s="2511"/>
      <c r="DIP30" s="2511"/>
      <c r="DIQ30" s="2511"/>
      <c r="DIR30" s="2511"/>
      <c r="DIS30" s="2511"/>
      <c r="DIT30" s="2511"/>
      <c r="DIU30" s="2511"/>
      <c r="DIV30" s="2511"/>
      <c r="DIW30" s="2511"/>
      <c r="DIX30" s="2511"/>
      <c r="DIY30" s="2511"/>
      <c r="DIZ30" s="2511"/>
      <c r="DJA30" s="2511"/>
      <c r="DJB30" s="2511"/>
      <c r="DJC30" s="2511"/>
      <c r="DJD30" s="2511"/>
      <c r="DJE30" s="2511"/>
      <c r="DJF30" s="2511"/>
      <c r="DJG30" s="2511"/>
      <c r="DJH30" s="2511"/>
      <c r="DJI30" s="2511"/>
      <c r="DJJ30" s="2511"/>
      <c r="DJK30" s="2511"/>
      <c r="DJL30" s="2511"/>
      <c r="DJM30" s="2511"/>
      <c r="DJN30" s="2511"/>
      <c r="DJO30" s="2511"/>
      <c r="DJP30" s="2511"/>
      <c r="DJQ30" s="2511"/>
      <c r="DJR30" s="2511"/>
      <c r="DJS30" s="2511"/>
      <c r="DJT30" s="2511"/>
      <c r="DJU30" s="2511"/>
      <c r="DJV30" s="2511"/>
      <c r="DJW30" s="2511"/>
      <c r="DJX30" s="2511"/>
      <c r="DJY30" s="2511"/>
      <c r="DJZ30" s="2511"/>
      <c r="DKA30" s="2511"/>
      <c r="DKB30" s="2511"/>
      <c r="DKC30" s="2511"/>
      <c r="DKD30" s="2511"/>
      <c r="DKE30" s="2511"/>
      <c r="DKF30" s="2511"/>
      <c r="DKG30" s="2511"/>
      <c r="DKH30" s="2511"/>
      <c r="DKI30" s="2511"/>
      <c r="DKJ30" s="2511"/>
      <c r="DKK30" s="2511"/>
      <c r="DKL30" s="2511"/>
      <c r="DKM30" s="2511"/>
      <c r="DKN30" s="2511"/>
      <c r="DKO30" s="2511"/>
      <c r="DKP30" s="2511"/>
      <c r="DKQ30" s="2511"/>
      <c r="DKR30" s="2511"/>
      <c r="DKS30" s="2511"/>
      <c r="DKT30" s="2511"/>
      <c r="DKU30" s="2511"/>
      <c r="DKV30" s="2511"/>
      <c r="DKW30" s="2511"/>
      <c r="DKX30" s="2511"/>
      <c r="DKY30" s="2511"/>
      <c r="DKZ30" s="2511"/>
      <c r="DLA30" s="2511"/>
      <c r="DLB30" s="2511"/>
      <c r="DLC30" s="2511"/>
      <c r="DLD30" s="2511"/>
      <c r="DLE30" s="2511"/>
      <c r="DLF30" s="2511"/>
      <c r="DLG30" s="2511"/>
      <c r="DLH30" s="2511"/>
      <c r="DLI30" s="2511"/>
      <c r="DLJ30" s="2511"/>
      <c r="DLK30" s="2511"/>
      <c r="DLL30" s="2511"/>
      <c r="DLM30" s="2511"/>
      <c r="DLN30" s="2511"/>
      <c r="DLO30" s="2511"/>
      <c r="DLP30" s="2511"/>
      <c r="DLQ30" s="2511"/>
      <c r="DLR30" s="2511"/>
      <c r="DLS30" s="2511"/>
      <c r="DLT30" s="2511"/>
      <c r="DLU30" s="2511"/>
      <c r="DLV30" s="2511"/>
      <c r="DLW30" s="2511"/>
      <c r="DLX30" s="2511"/>
      <c r="DLY30" s="2511"/>
      <c r="DLZ30" s="2511"/>
      <c r="DMA30" s="2511"/>
      <c r="DMB30" s="2511"/>
      <c r="DMC30" s="2511"/>
      <c r="DMD30" s="2511"/>
      <c r="DME30" s="2511"/>
      <c r="DMF30" s="2511"/>
      <c r="DMG30" s="2511"/>
      <c r="DMH30" s="2511"/>
      <c r="DMI30" s="2511"/>
      <c r="DMJ30" s="2511"/>
      <c r="DMK30" s="2511"/>
      <c r="DML30" s="2511"/>
      <c r="DMM30" s="2511"/>
      <c r="DMN30" s="2511"/>
      <c r="DMO30" s="2511"/>
      <c r="DMP30" s="2511"/>
      <c r="DMQ30" s="2511"/>
      <c r="DMR30" s="2511"/>
      <c r="DMS30" s="2511"/>
      <c r="DMT30" s="2511"/>
      <c r="DMU30" s="2511"/>
      <c r="DMV30" s="2511"/>
      <c r="DMW30" s="2511"/>
      <c r="DMX30" s="2511"/>
      <c r="DMY30" s="2511"/>
      <c r="DMZ30" s="2511"/>
      <c r="DNA30" s="2511"/>
      <c r="DNB30" s="2511"/>
      <c r="DNC30" s="2511"/>
      <c r="DND30" s="2511"/>
      <c r="DNE30" s="2511"/>
      <c r="DNF30" s="2511"/>
      <c r="DNG30" s="2511"/>
      <c r="DNH30" s="2511"/>
      <c r="DNI30" s="2511"/>
      <c r="DNJ30" s="2511"/>
      <c r="DNK30" s="2511"/>
      <c r="DNL30" s="2511"/>
      <c r="DNM30" s="2511"/>
      <c r="DNN30" s="2511"/>
      <c r="DNO30" s="2511"/>
      <c r="DNP30" s="2511"/>
      <c r="DNQ30" s="2511"/>
      <c r="DNR30" s="2511"/>
      <c r="DNS30" s="2511"/>
      <c r="DNT30" s="2511"/>
      <c r="DNU30" s="2511"/>
      <c r="DNV30" s="2511"/>
      <c r="DNW30" s="2511"/>
      <c r="DNX30" s="2511"/>
      <c r="DNY30" s="2511"/>
      <c r="DNZ30" s="2511"/>
      <c r="DOA30" s="2511"/>
      <c r="DOB30" s="2511"/>
      <c r="DOC30" s="2511"/>
      <c r="DOD30" s="2511"/>
      <c r="DOE30" s="2511"/>
      <c r="DOF30" s="2511"/>
      <c r="DOG30" s="2511"/>
      <c r="DOH30" s="2511"/>
      <c r="DOI30" s="2511"/>
      <c r="DOJ30" s="2511"/>
      <c r="DOK30" s="2511"/>
      <c r="DOL30" s="2511"/>
      <c r="DOM30" s="2511"/>
      <c r="DON30" s="2511"/>
      <c r="DOO30" s="2511"/>
      <c r="DOP30" s="2511"/>
      <c r="DOQ30" s="2511"/>
      <c r="DOR30" s="2511"/>
      <c r="DOS30" s="2511"/>
      <c r="DOT30" s="2511"/>
      <c r="DOU30" s="2511"/>
      <c r="DOV30" s="2511"/>
      <c r="DOW30" s="2511"/>
      <c r="DOX30" s="2511"/>
      <c r="DOY30" s="2511"/>
      <c r="DOZ30" s="2511"/>
      <c r="DPA30" s="2511"/>
      <c r="DPB30" s="2511"/>
      <c r="DPC30" s="2511"/>
      <c r="DPD30" s="2511"/>
      <c r="DPE30" s="2511"/>
      <c r="DPF30" s="2511"/>
      <c r="DPG30" s="2511"/>
      <c r="DPH30" s="2511"/>
      <c r="DPI30" s="2511"/>
      <c r="DPJ30" s="2511"/>
      <c r="DPK30" s="2511"/>
      <c r="DPL30" s="2511"/>
      <c r="DPM30" s="2511"/>
      <c r="DPN30" s="2511"/>
      <c r="DPO30" s="2511"/>
      <c r="DPP30" s="2511"/>
      <c r="DPQ30" s="2511"/>
      <c r="DPR30" s="2511"/>
      <c r="DPS30" s="2511"/>
      <c r="DPT30" s="2511"/>
      <c r="DPU30" s="2511"/>
      <c r="DPV30" s="2511"/>
      <c r="DPW30" s="2511"/>
      <c r="DPX30" s="2511"/>
      <c r="DPY30" s="2511"/>
      <c r="DPZ30" s="2511"/>
      <c r="DQA30" s="2511"/>
      <c r="DQB30" s="2511"/>
      <c r="DQC30" s="2511"/>
      <c r="DQD30" s="2511"/>
      <c r="DQE30" s="2511"/>
      <c r="DQF30" s="2511"/>
      <c r="DQG30" s="2511"/>
      <c r="DQH30" s="2511"/>
      <c r="DQI30" s="2511"/>
      <c r="DQJ30" s="2511"/>
      <c r="DQK30" s="2511"/>
      <c r="DQL30" s="2511"/>
      <c r="DQM30" s="2511"/>
      <c r="DQN30" s="2511"/>
      <c r="DQO30" s="2511"/>
      <c r="DQP30" s="2511"/>
      <c r="DQQ30" s="2511"/>
      <c r="DQR30" s="2511"/>
      <c r="DQS30" s="2511"/>
      <c r="DQT30" s="2511"/>
      <c r="DQU30" s="2511"/>
      <c r="DQV30" s="2511"/>
      <c r="DQW30" s="2511"/>
      <c r="DQX30" s="2511"/>
      <c r="DQY30" s="2511"/>
      <c r="DQZ30" s="2511"/>
      <c r="DRA30" s="2511"/>
      <c r="DRB30" s="2511"/>
      <c r="DRC30" s="2511"/>
      <c r="DRD30" s="2511"/>
      <c r="DRE30" s="2511"/>
      <c r="DRF30" s="2511"/>
      <c r="DRG30" s="2511"/>
      <c r="DRH30" s="2511"/>
      <c r="DRI30" s="2511"/>
      <c r="DRJ30" s="2511"/>
      <c r="DRK30" s="2511"/>
      <c r="DRL30" s="2511"/>
      <c r="DRM30" s="2511"/>
      <c r="DRN30" s="2511"/>
      <c r="DRO30" s="2511"/>
      <c r="DRP30" s="2511"/>
      <c r="DRQ30" s="2511"/>
      <c r="DRR30" s="2511"/>
      <c r="DRS30" s="2511"/>
      <c r="DRT30" s="2511"/>
      <c r="DRU30" s="2511"/>
      <c r="DRV30" s="2511"/>
      <c r="DRW30" s="2511"/>
      <c r="DRX30" s="2511"/>
      <c r="DRY30" s="2511"/>
      <c r="DRZ30" s="2511"/>
      <c r="DSA30" s="2511"/>
      <c r="DSB30" s="2511"/>
      <c r="DSC30" s="2511"/>
      <c r="DSD30" s="2511"/>
      <c r="DSE30" s="2511"/>
      <c r="DSF30" s="2511"/>
      <c r="DSG30" s="2511"/>
      <c r="DSH30" s="2511"/>
      <c r="DSI30" s="2511"/>
      <c r="DSJ30" s="2511"/>
      <c r="DSK30" s="2511"/>
      <c r="DSL30" s="2511"/>
      <c r="DSM30" s="2511"/>
      <c r="DSN30" s="2511"/>
      <c r="DSO30" s="2511"/>
      <c r="DSP30" s="2511"/>
      <c r="DSQ30" s="2511"/>
      <c r="DSR30" s="2511"/>
      <c r="DSS30" s="2511"/>
      <c r="DST30" s="2511"/>
      <c r="DSU30" s="2511"/>
      <c r="DSV30" s="2511"/>
      <c r="DSW30" s="2511"/>
      <c r="DSX30" s="2511"/>
      <c r="DSY30" s="2511"/>
      <c r="DSZ30" s="2511"/>
      <c r="DTA30" s="2511"/>
      <c r="DTB30" s="2511"/>
      <c r="DTC30" s="2511"/>
      <c r="DTD30" s="2511"/>
      <c r="DTE30" s="2511"/>
      <c r="DTF30" s="2511"/>
      <c r="DTG30" s="2511"/>
      <c r="DTH30" s="2511"/>
      <c r="DTI30" s="2511"/>
      <c r="DTJ30" s="2511"/>
      <c r="DTK30" s="2511"/>
      <c r="DTL30" s="2511"/>
      <c r="DTM30" s="2511"/>
      <c r="DTN30" s="2511"/>
      <c r="DTO30" s="2511"/>
      <c r="DTP30" s="2511"/>
      <c r="DTQ30" s="2511"/>
      <c r="DTR30" s="2511"/>
      <c r="DTS30" s="2511"/>
      <c r="DTT30" s="2511"/>
      <c r="DTU30" s="2511"/>
      <c r="DTV30" s="2511"/>
      <c r="DTW30" s="2511"/>
      <c r="DTX30" s="2511"/>
      <c r="DTY30" s="2511"/>
      <c r="DTZ30" s="2511"/>
      <c r="DUA30" s="2511"/>
      <c r="DUB30" s="2511"/>
      <c r="DUC30" s="2511"/>
      <c r="DUD30" s="2511"/>
      <c r="DUE30" s="2511"/>
      <c r="DUF30" s="2511"/>
      <c r="DUG30" s="2511"/>
      <c r="DUH30" s="2511"/>
      <c r="DUI30" s="2511"/>
      <c r="DUJ30" s="2511"/>
      <c r="DUK30" s="2511"/>
      <c r="DUL30" s="2511"/>
      <c r="DUM30" s="2511"/>
      <c r="DUN30" s="2511"/>
      <c r="DUO30" s="2511"/>
      <c r="DUP30" s="2511"/>
      <c r="DUQ30" s="2511"/>
      <c r="DUR30" s="2511"/>
      <c r="DUS30" s="2511"/>
      <c r="DUT30" s="2511"/>
      <c r="DUU30" s="2511"/>
      <c r="DUV30" s="2511"/>
      <c r="DUW30" s="2511"/>
      <c r="DUX30" s="2511"/>
      <c r="DUY30" s="2511"/>
      <c r="DUZ30" s="2511"/>
      <c r="DVA30" s="2511"/>
      <c r="DVB30" s="2511"/>
      <c r="DVC30" s="2511"/>
      <c r="DVD30" s="2511"/>
      <c r="DVE30" s="2511"/>
      <c r="DVF30" s="2511"/>
      <c r="DVG30" s="2511"/>
      <c r="DVH30" s="2511"/>
      <c r="DVI30" s="2511"/>
      <c r="DVJ30" s="2511"/>
      <c r="DVK30" s="2511"/>
      <c r="DVL30" s="2511"/>
      <c r="DVM30" s="2511"/>
      <c r="DVN30" s="2511"/>
      <c r="DVO30" s="2511"/>
      <c r="DVP30" s="2511"/>
      <c r="DVQ30" s="2511"/>
      <c r="DVR30" s="2511"/>
      <c r="DVS30" s="2511"/>
      <c r="DVT30" s="2511"/>
      <c r="DVU30" s="2511"/>
      <c r="DVV30" s="2511"/>
      <c r="DVW30" s="2511"/>
      <c r="DVX30" s="2511"/>
      <c r="DVY30" s="2511"/>
      <c r="DVZ30" s="2511"/>
      <c r="DWA30" s="2511"/>
      <c r="DWB30" s="2511"/>
      <c r="DWC30" s="2511"/>
      <c r="DWD30" s="2511"/>
      <c r="DWE30" s="2511"/>
      <c r="DWF30" s="2511"/>
      <c r="DWG30" s="2511"/>
      <c r="DWH30" s="2511"/>
      <c r="DWI30" s="2511"/>
      <c r="DWJ30" s="2511"/>
      <c r="DWK30" s="2511"/>
      <c r="DWL30" s="2511"/>
      <c r="DWM30" s="2511"/>
      <c r="DWN30" s="2511"/>
      <c r="DWO30" s="2511"/>
      <c r="DWP30" s="2511"/>
      <c r="DWQ30" s="2511"/>
      <c r="DWR30" s="2511"/>
      <c r="DWS30" s="2511"/>
      <c r="DWT30" s="2511"/>
      <c r="DWU30" s="2511"/>
      <c r="DWV30" s="2511"/>
      <c r="DWW30" s="2511"/>
      <c r="DWX30" s="2511"/>
      <c r="DWY30" s="2511"/>
      <c r="DWZ30" s="2511"/>
      <c r="DXA30" s="2511"/>
      <c r="DXB30" s="2511"/>
      <c r="DXC30" s="2511"/>
      <c r="DXD30" s="2511"/>
      <c r="DXE30" s="2511"/>
      <c r="DXF30" s="2511"/>
      <c r="DXG30" s="2511"/>
      <c r="DXH30" s="2511"/>
      <c r="DXI30" s="2511"/>
      <c r="DXJ30" s="2511"/>
      <c r="DXK30" s="2511"/>
      <c r="DXL30" s="2511"/>
      <c r="DXM30" s="2511"/>
      <c r="DXN30" s="2511"/>
      <c r="DXO30" s="2511"/>
      <c r="DXP30" s="2511"/>
      <c r="DXQ30" s="2511"/>
      <c r="DXR30" s="2511"/>
      <c r="DXS30" s="2511"/>
      <c r="DXT30" s="2511"/>
      <c r="DXU30" s="2511"/>
      <c r="DXV30" s="2511"/>
      <c r="DXW30" s="2511"/>
      <c r="DXX30" s="2511"/>
      <c r="DXY30" s="2511"/>
      <c r="DXZ30" s="2511"/>
      <c r="DYA30" s="2511"/>
      <c r="DYB30" s="2511"/>
      <c r="DYC30" s="2511"/>
      <c r="DYD30" s="2511"/>
      <c r="DYE30" s="2511"/>
      <c r="DYF30" s="2511"/>
      <c r="DYG30" s="2511"/>
      <c r="DYH30" s="2511"/>
      <c r="DYI30" s="2511"/>
      <c r="DYJ30" s="2511"/>
      <c r="DYK30" s="2511"/>
      <c r="DYL30" s="2511"/>
      <c r="DYM30" s="2511"/>
      <c r="DYN30" s="2511"/>
      <c r="DYO30" s="2511"/>
      <c r="DYP30" s="2511"/>
      <c r="DYQ30" s="2511"/>
      <c r="DYR30" s="2511"/>
      <c r="DYS30" s="2511"/>
      <c r="DYT30" s="2511"/>
      <c r="DYU30" s="2511"/>
      <c r="DYV30" s="2511"/>
      <c r="DYW30" s="2511"/>
      <c r="DYX30" s="2511"/>
      <c r="DYY30" s="2511"/>
      <c r="DYZ30" s="2511"/>
      <c r="DZA30" s="2511"/>
      <c r="DZB30" s="2511"/>
      <c r="DZC30" s="2511"/>
      <c r="DZD30" s="2511"/>
      <c r="DZE30" s="2511"/>
      <c r="DZF30" s="2511"/>
      <c r="DZG30" s="2511"/>
      <c r="DZH30" s="2511"/>
      <c r="DZI30" s="2511"/>
      <c r="DZJ30" s="2511"/>
      <c r="DZK30" s="2511"/>
      <c r="DZL30" s="2511"/>
      <c r="DZM30" s="2511"/>
      <c r="DZN30" s="2511"/>
      <c r="DZO30" s="2511"/>
      <c r="DZP30" s="2511"/>
      <c r="DZQ30" s="2511"/>
      <c r="DZR30" s="2511"/>
      <c r="DZS30" s="2511"/>
      <c r="DZT30" s="2511"/>
      <c r="DZU30" s="2511"/>
      <c r="DZV30" s="2511"/>
      <c r="DZW30" s="2511"/>
      <c r="DZX30" s="2511"/>
      <c r="DZY30" s="2511"/>
      <c r="DZZ30" s="2511"/>
      <c r="EAA30" s="2511"/>
      <c r="EAB30" s="2511"/>
      <c r="EAC30" s="2511"/>
      <c r="EAD30" s="2511"/>
      <c r="EAE30" s="2511"/>
      <c r="EAF30" s="2511"/>
      <c r="EAG30" s="2511"/>
      <c r="EAH30" s="2511"/>
      <c r="EAI30" s="2511"/>
      <c r="EAJ30" s="2511"/>
      <c r="EAK30" s="2511"/>
      <c r="EAL30" s="2511"/>
      <c r="EAM30" s="2511"/>
      <c r="EAN30" s="2511"/>
      <c r="EAO30" s="2511"/>
      <c r="EAP30" s="2511"/>
      <c r="EAQ30" s="2511"/>
      <c r="EAR30" s="2511"/>
      <c r="EAS30" s="2511"/>
      <c r="EAT30" s="2511"/>
      <c r="EAU30" s="2511"/>
      <c r="EAV30" s="2511"/>
      <c r="EAW30" s="2511"/>
      <c r="EAX30" s="2511"/>
      <c r="EAY30" s="2511"/>
      <c r="EAZ30" s="2511"/>
      <c r="EBA30" s="2511"/>
      <c r="EBB30" s="2511"/>
      <c r="EBC30" s="2511"/>
      <c r="EBD30" s="2511"/>
      <c r="EBE30" s="2511"/>
      <c r="EBF30" s="2511"/>
      <c r="EBG30" s="2511"/>
      <c r="EBH30" s="2511"/>
      <c r="EBI30" s="2511"/>
      <c r="EBJ30" s="2511"/>
      <c r="EBK30" s="2511"/>
      <c r="EBL30" s="2511"/>
      <c r="EBM30" s="2511"/>
      <c r="EBN30" s="2511"/>
      <c r="EBO30" s="2511"/>
      <c r="EBP30" s="2511"/>
      <c r="EBQ30" s="2511"/>
      <c r="EBR30" s="2511"/>
      <c r="EBS30" s="2511"/>
      <c r="EBT30" s="2511"/>
      <c r="EBU30" s="2511"/>
      <c r="EBV30" s="2511"/>
      <c r="EBW30" s="2511"/>
      <c r="EBX30" s="2511"/>
      <c r="EBY30" s="2511"/>
      <c r="EBZ30" s="2511"/>
      <c r="ECA30" s="2511"/>
      <c r="ECB30" s="2511"/>
      <c r="ECC30" s="2511"/>
      <c r="ECD30" s="2511"/>
      <c r="ECE30" s="2511"/>
      <c r="ECF30" s="2511"/>
      <c r="ECG30" s="2511"/>
      <c r="ECH30" s="2511"/>
      <c r="ECI30" s="2511"/>
      <c r="ECJ30" s="2511"/>
      <c r="ECK30" s="2511"/>
      <c r="ECL30" s="2511"/>
      <c r="ECM30" s="2511"/>
      <c r="ECN30" s="2511"/>
      <c r="ECO30" s="2511"/>
      <c r="ECP30" s="2511"/>
      <c r="ECQ30" s="2511"/>
      <c r="ECR30" s="2511"/>
      <c r="ECS30" s="2511"/>
      <c r="ECT30" s="2511"/>
      <c r="ECU30" s="2511"/>
      <c r="ECV30" s="2511"/>
      <c r="ECW30" s="2511"/>
      <c r="ECX30" s="2511"/>
      <c r="ECY30" s="2511"/>
      <c r="ECZ30" s="2511"/>
      <c r="EDA30" s="2511"/>
      <c r="EDB30" s="2511"/>
      <c r="EDC30" s="2511"/>
      <c r="EDD30" s="2511"/>
      <c r="EDE30" s="2511"/>
      <c r="EDF30" s="2511"/>
      <c r="EDG30" s="2511"/>
      <c r="EDH30" s="2511"/>
      <c r="EDI30" s="2511"/>
      <c r="EDJ30" s="2511"/>
      <c r="EDK30" s="2511"/>
      <c r="EDL30" s="2511"/>
      <c r="EDM30" s="2511"/>
      <c r="EDN30" s="2511"/>
      <c r="EDO30" s="2511"/>
      <c r="EDP30" s="2511"/>
      <c r="EDQ30" s="2511"/>
      <c r="EDR30" s="2511"/>
      <c r="EDS30" s="2511"/>
      <c r="EDT30" s="2511"/>
      <c r="EDU30" s="2511"/>
      <c r="EDV30" s="2511"/>
      <c r="EDW30" s="2511"/>
      <c r="EDX30" s="2511"/>
      <c r="EDY30" s="2511"/>
      <c r="EDZ30" s="2511"/>
      <c r="EEA30" s="2511"/>
      <c r="EEB30" s="2511"/>
      <c r="EEC30" s="2511"/>
      <c r="EED30" s="2511"/>
      <c r="EEE30" s="2511"/>
      <c r="EEF30" s="2511"/>
      <c r="EEG30" s="2511"/>
      <c r="EEH30" s="2511"/>
      <c r="EEI30" s="2511"/>
      <c r="EEJ30" s="2511"/>
      <c r="EEK30" s="2511"/>
      <c r="EEL30" s="2511"/>
      <c r="EEM30" s="2511"/>
      <c r="EEN30" s="2511"/>
      <c r="EEO30" s="2511"/>
      <c r="EEP30" s="2511"/>
      <c r="EEQ30" s="2511"/>
      <c r="EER30" s="2511"/>
      <c r="EES30" s="2511"/>
      <c r="EET30" s="2511"/>
      <c r="EEU30" s="2511"/>
      <c r="EEV30" s="2511"/>
      <c r="EEW30" s="2511"/>
      <c r="EEX30" s="2511"/>
      <c r="EEY30" s="2511"/>
      <c r="EEZ30" s="2511"/>
      <c r="EFA30" s="2511"/>
      <c r="EFB30" s="2511"/>
      <c r="EFC30" s="2511"/>
      <c r="EFD30" s="2511"/>
      <c r="EFE30" s="2511"/>
      <c r="EFF30" s="2511"/>
      <c r="EFG30" s="2511"/>
      <c r="EFH30" s="2511"/>
      <c r="EFI30" s="2511"/>
      <c r="EFJ30" s="2511"/>
      <c r="EFK30" s="2511"/>
      <c r="EFL30" s="2511"/>
      <c r="EFM30" s="2511"/>
      <c r="EFN30" s="2511"/>
      <c r="EFO30" s="2511"/>
      <c r="EFP30" s="2511"/>
      <c r="EFQ30" s="2511"/>
      <c r="EFR30" s="2511"/>
      <c r="EFS30" s="2511"/>
      <c r="EFT30" s="2511"/>
      <c r="EFU30" s="2511"/>
      <c r="EFV30" s="2511"/>
      <c r="EFW30" s="2511"/>
      <c r="EFX30" s="2511"/>
      <c r="EFY30" s="2511"/>
      <c r="EFZ30" s="2511"/>
      <c r="EGA30" s="2511"/>
      <c r="EGB30" s="2511"/>
      <c r="EGC30" s="2511"/>
      <c r="EGD30" s="2511"/>
      <c r="EGE30" s="2511"/>
      <c r="EGF30" s="2511"/>
      <c r="EGG30" s="2511"/>
      <c r="EGH30" s="2511"/>
      <c r="EGI30" s="2511"/>
      <c r="EGJ30" s="2511"/>
      <c r="EGK30" s="2511"/>
      <c r="EGL30" s="2511"/>
      <c r="EGM30" s="2511"/>
      <c r="EGN30" s="2511"/>
      <c r="EGO30" s="2511"/>
      <c r="EGP30" s="2511"/>
      <c r="EGQ30" s="2511"/>
      <c r="EGR30" s="2511"/>
      <c r="EGS30" s="2511"/>
      <c r="EGT30" s="2511"/>
      <c r="EGU30" s="2511"/>
      <c r="EGV30" s="2511"/>
      <c r="EGW30" s="2511"/>
      <c r="EGX30" s="2511"/>
      <c r="EGY30" s="2511"/>
      <c r="EGZ30" s="2511"/>
      <c r="EHA30" s="2511"/>
      <c r="EHB30" s="2511"/>
      <c r="EHC30" s="2511"/>
      <c r="EHD30" s="2511"/>
      <c r="EHE30" s="2511"/>
      <c r="EHF30" s="2511"/>
      <c r="EHG30" s="2511"/>
      <c r="EHH30" s="2511"/>
      <c r="EHI30" s="2511"/>
      <c r="EHJ30" s="2511"/>
      <c r="EHK30" s="2511"/>
      <c r="EHL30" s="2511"/>
      <c r="EHM30" s="2511"/>
      <c r="EHN30" s="2511"/>
      <c r="EHO30" s="2511"/>
      <c r="EHP30" s="2511"/>
      <c r="EHQ30" s="2511"/>
      <c r="EHR30" s="2511"/>
      <c r="EHS30" s="2511"/>
      <c r="EHT30" s="2511"/>
      <c r="EHU30" s="2511"/>
      <c r="EHV30" s="2511"/>
      <c r="EHW30" s="2511"/>
      <c r="EHX30" s="2511"/>
      <c r="EHY30" s="2511"/>
      <c r="EHZ30" s="2511"/>
      <c r="EIA30" s="2511"/>
      <c r="EIB30" s="2511"/>
      <c r="EIC30" s="2511"/>
      <c r="EID30" s="2511"/>
      <c r="EIE30" s="2511"/>
      <c r="EIF30" s="2511"/>
      <c r="EIG30" s="2511"/>
      <c r="EIH30" s="2511"/>
      <c r="EII30" s="2511"/>
      <c r="EIJ30" s="2511"/>
      <c r="EIK30" s="2511"/>
      <c r="EIL30" s="2511"/>
      <c r="EIM30" s="2511"/>
      <c r="EIN30" s="2511"/>
      <c r="EIO30" s="2511"/>
      <c r="EIP30" s="2511"/>
      <c r="EIQ30" s="2511"/>
      <c r="EIR30" s="2511"/>
      <c r="EIS30" s="2511"/>
      <c r="EIT30" s="2511"/>
      <c r="EIU30" s="2511"/>
      <c r="EIV30" s="2511"/>
      <c r="EIW30" s="2511"/>
      <c r="EIX30" s="2511"/>
      <c r="EIY30" s="2511"/>
      <c r="EIZ30" s="2511"/>
      <c r="EJA30" s="2511"/>
      <c r="EJB30" s="2511"/>
      <c r="EJC30" s="2511"/>
      <c r="EJD30" s="2511"/>
      <c r="EJE30" s="2511"/>
      <c r="EJF30" s="2511"/>
      <c r="EJG30" s="2511"/>
      <c r="EJH30" s="2511"/>
      <c r="EJI30" s="2511"/>
      <c r="EJJ30" s="2511"/>
      <c r="EJK30" s="2511"/>
      <c r="EJL30" s="2511"/>
      <c r="EJM30" s="2511"/>
      <c r="EJN30" s="2511"/>
      <c r="EJO30" s="2511"/>
      <c r="EJP30" s="2511"/>
      <c r="EJQ30" s="2511"/>
      <c r="EJR30" s="2511"/>
      <c r="EJS30" s="2511"/>
      <c r="EJT30" s="2511"/>
      <c r="EJU30" s="2511"/>
      <c r="EJV30" s="2511"/>
      <c r="EJW30" s="2511"/>
      <c r="EJX30" s="2511"/>
      <c r="EJY30" s="2511"/>
      <c r="EJZ30" s="2511"/>
      <c r="EKA30" s="2511"/>
      <c r="EKB30" s="2511"/>
      <c r="EKC30" s="2511"/>
      <c r="EKD30" s="2511"/>
      <c r="EKE30" s="2511"/>
      <c r="EKF30" s="2511"/>
      <c r="EKG30" s="2511"/>
      <c r="EKH30" s="2511"/>
      <c r="EKI30" s="2511"/>
      <c r="EKJ30" s="2511"/>
      <c r="EKK30" s="2511"/>
      <c r="EKL30" s="2511"/>
      <c r="EKM30" s="2511"/>
      <c r="EKN30" s="2511"/>
      <c r="EKO30" s="2511"/>
      <c r="EKP30" s="2511"/>
      <c r="EKQ30" s="2511"/>
      <c r="EKR30" s="2511"/>
      <c r="EKS30" s="2511"/>
      <c r="EKT30" s="2511"/>
      <c r="EKU30" s="2511"/>
      <c r="EKV30" s="2511"/>
      <c r="EKW30" s="2511"/>
      <c r="EKX30" s="2511"/>
      <c r="EKY30" s="2511"/>
      <c r="EKZ30" s="2511"/>
      <c r="ELA30" s="2511"/>
      <c r="ELB30" s="2511"/>
      <c r="ELC30" s="2511"/>
      <c r="ELD30" s="2511"/>
      <c r="ELE30" s="2511"/>
      <c r="ELF30" s="2511"/>
      <c r="ELG30" s="2511"/>
      <c r="ELH30" s="2511"/>
      <c r="ELI30" s="2511"/>
      <c r="ELJ30" s="2511"/>
      <c r="ELK30" s="2511"/>
      <c r="ELL30" s="2511"/>
      <c r="ELM30" s="2511"/>
      <c r="ELN30" s="2511"/>
      <c r="ELO30" s="2511"/>
      <c r="ELP30" s="2511"/>
      <c r="ELQ30" s="2511"/>
      <c r="ELR30" s="2511"/>
      <c r="ELS30" s="2511"/>
      <c r="ELT30" s="2511"/>
      <c r="ELU30" s="2511"/>
      <c r="ELV30" s="2511"/>
      <c r="ELW30" s="2511"/>
      <c r="ELX30" s="2511"/>
      <c r="ELY30" s="2511"/>
      <c r="ELZ30" s="2511"/>
      <c r="EMA30" s="2511"/>
      <c r="EMB30" s="2511"/>
      <c r="EMC30" s="2511"/>
      <c r="EMD30" s="2511"/>
      <c r="EME30" s="2511"/>
      <c r="EMF30" s="2511"/>
      <c r="EMG30" s="2511"/>
      <c r="EMH30" s="2511"/>
      <c r="EMI30" s="2511"/>
      <c r="EMJ30" s="2511"/>
      <c r="EMK30" s="2511"/>
      <c r="EML30" s="2511"/>
      <c r="EMM30" s="2511"/>
      <c r="EMN30" s="2511"/>
      <c r="EMO30" s="2511"/>
      <c r="EMP30" s="2511"/>
      <c r="EMQ30" s="2511"/>
      <c r="EMR30" s="2511"/>
      <c r="EMS30" s="2511"/>
      <c r="EMT30" s="2511"/>
      <c r="EMU30" s="2511"/>
      <c r="EMV30" s="2511"/>
      <c r="EMW30" s="2511"/>
      <c r="EMX30" s="2511"/>
      <c r="EMY30" s="2511"/>
      <c r="EMZ30" s="2511"/>
      <c r="ENA30" s="2511"/>
      <c r="ENB30" s="2511"/>
      <c r="ENC30" s="2511"/>
      <c r="END30" s="2511"/>
      <c r="ENE30" s="2511"/>
      <c r="ENF30" s="2511"/>
      <c r="ENG30" s="2511"/>
      <c r="ENH30" s="2511"/>
      <c r="ENI30" s="2511"/>
      <c r="ENJ30" s="2511"/>
      <c r="ENK30" s="2511"/>
      <c r="ENL30" s="2511"/>
      <c r="ENM30" s="2511"/>
      <c r="ENN30" s="2511"/>
      <c r="ENO30" s="2511"/>
      <c r="ENP30" s="2511"/>
      <c r="ENQ30" s="2511"/>
      <c r="ENR30" s="2511"/>
      <c r="ENS30" s="2511"/>
      <c r="ENT30" s="2511"/>
      <c r="ENU30" s="2511"/>
      <c r="ENV30" s="2511"/>
      <c r="ENW30" s="2511"/>
      <c r="ENX30" s="2511"/>
      <c r="ENY30" s="2511"/>
      <c r="ENZ30" s="2511"/>
      <c r="EOA30" s="2511"/>
      <c r="EOB30" s="2511"/>
      <c r="EOC30" s="2511"/>
      <c r="EOD30" s="2511"/>
      <c r="EOE30" s="2511"/>
      <c r="EOF30" s="2511"/>
      <c r="EOG30" s="2511"/>
      <c r="EOH30" s="2511"/>
      <c r="EOI30" s="2511"/>
      <c r="EOJ30" s="2511"/>
      <c r="EOK30" s="2511"/>
      <c r="EOL30" s="2511"/>
      <c r="EOM30" s="2511"/>
      <c r="EON30" s="2511"/>
      <c r="EOO30" s="2511"/>
      <c r="EOP30" s="2511"/>
      <c r="EOQ30" s="2511"/>
      <c r="EOR30" s="2511"/>
      <c r="EOS30" s="2511"/>
      <c r="EOT30" s="2511"/>
      <c r="EOU30" s="2511"/>
      <c r="EOV30" s="2511"/>
      <c r="EOW30" s="2511"/>
      <c r="EOX30" s="2511"/>
      <c r="EOY30" s="2511"/>
      <c r="EOZ30" s="2511"/>
      <c r="EPA30" s="2511"/>
      <c r="EPB30" s="2511"/>
      <c r="EPC30" s="2511"/>
      <c r="EPD30" s="2511"/>
      <c r="EPE30" s="2511"/>
      <c r="EPF30" s="2511"/>
      <c r="EPG30" s="2511"/>
      <c r="EPH30" s="2511"/>
      <c r="EPI30" s="2511"/>
      <c r="EPJ30" s="2511"/>
      <c r="EPK30" s="2511"/>
      <c r="EPL30" s="2511"/>
      <c r="EPM30" s="2511"/>
      <c r="EPN30" s="2511"/>
      <c r="EPO30" s="2511"/>
      <c r="EPP30" s="2511"/>
      <c r="EPQ30" s="2511"/>
      <c r="EPR30" s="2511"/>
      <c r="EPS30" s="2511"/>
      <c r="EPT30" s="2511"/>
      <c r="EPU30" s="2511"/>
      <c r="EPV30" s="2511"/>
      <c r="EPW30" s="2511"/>
      <c r="EPX30" s="2511"/>
      <c r="EPY30" s="2511"/>
      <c r="EPZ30" s="2511"/>
      <c r="EQA30" s="2511"/>
      <c r="EQB30" s="2511"/>
      <c r="EQC30" s="2511"/>
      <c r="EQD30" s="2511"/>
      <c r="EQE30" s="2511"/>
      <c r="EQF30" s="2511"/>
      <c r="EQG30" s="2511"/>
      <c r="EQH30" s="2511"/>
      <c r="EQI30" s="2511"/>
      <c r="EQJ30" s="2511"/>
      <c r="EQK30" s="2511"/>
      <c r="EQL30" s="2511"/>
      <c r="EQM30" s="2511"/>
      <c r="EQN30" s="2511"/>
      <c r="EQO30" s="2511"/>
      <c r="EQP30" s="2511"/>
      <c r="EQQ30" s="2511"/>
      <c r="EQR30" s="2511"/>
      <c r="EQS30" s="2511"/>
      <c r="EQT30" s="2511"/>
      <c r="EQU30" s="2511"/>
      <c r="EQV30" s="2511"/>
      <c r="EQW30" s="2511"/>
      <c r="EQX30" s="2511"/>
      <c r="EQY30" s="2511"/>
      <c r="EQZ30" s="2511"/>
      <c r="ERA30" s="2511"/>
      <c r="ERB30" s="2511"/>
      <c r="ERC30" s="2511"/>
      <c r="ERD30" s="2511"/>
      <c r="ERE30" s="2511"/>
      <c r="ERF30" s="2511"/>
      <c r="ERG30" s="2511"/>
      <c r="ERH30" s="2511"/>
      <c r="ERI30" s="2511"/>
      <c r="ERJ30" s="2511"/>
      <c r="ERK30" s="2511"/>
      <c r="ERL30" s="2511"/>
      <c r="ERM30" s="2511"/>
      <c r="ERN30" s="2511"/>
      <c r="ERO30" s="2511"/>
      <c r="ERP30" s="2511"/>
      <c r="ERQ30" s="2511"/>
      <c r="ERR30" s="2511"/>
      <c r="ERS30" s="2511"/>
      <c r="ERT30" s="2511"/>
      <c r="ERU30" s="2511"/>
      <c r="ERV30" s="2511"/>
      <c r="ERW30" s="2511"/>
      <c r="ERX30" s="2511"/>
      <c r="ERY30" s="2511"/>
      <c r="ERZ30" s="2511"/>
      <c r="ESA30" s="2511"/>
      <c r="ESB30" s="2511"/>
      <c r="ESC30" s="2511"/>
      <c r="ESD30" s="2511"/>
      <c r="ESE30" s="2511"/>
      <c r="ESF30" s="2511"/>
      <c r="ESG30" s="2511"/>
      <c r="ESH30" s="2511"/>
      <c r="ESI30" s="2511"/>
      <c r="ESJ30" s="2511"/>
      <c r="ESK30" s="2511"/>
      <c r="ESL30" s="2511"/>
      <c r="ESM30" s="2511"/>
      <c r="ESN30" s="2511"/>
      <c r="ESO30" s="2511"/>
      <c r="ESP30" s="2511"/>
      <c r="ESQ30" s="2511"/>
      <c r="ESR30" s="2511"/>
      <c r="ESS30" s="2511"/>
      <c r="EST30" s="2511"/>
      <c r="ESU30" s="2511"/>
      <c r="ESV30" s="2511"/>
      <c r="ESW30" s="2511"/>
      <c r="ESX30" s="2511"/>
      <c r="ESY30" s="2511"/>
      <c r="ESZ30" s="2511"/>
      <c r="ETA30" s="2511"/>
      <c r="ETB30" s="2511"/>
      <c r="ETC30" s="2511"/>
      <c r="ETD30" s="2511"/>
      <c r="ETE30" s="2511"/>
      <c r="ETF30" s="2511"/>
      <c r="ETG30" s="2511"/>
      <c r="ETH30" s="2511"/>
      <c r="ETI30" s="2511"/>
      <c r="ETJ30" s="2511"/>
      <c r="ETK30" s="2511"/>
      <c r="ETL30" s="2511"/>
      <c r="ETM30" s="2511"/>
      <c r="ETN30" s="2511"/>
      <c r="ETO30" s="2511"/>
      <c r="ETP30" s="2511"/>
      <c r="ETQ30" s="2511"/>
      <c r="ETR30" s="2511"/>
      <c r="ETS30" s="2511"/>
      <c r="ETT30" s="2511"/>
      <c r="ETU30" s="2511"/>
      <c r="ETV30" s="2511"/>
      <c r="ETW30" s="2511"/>
      <c r="ETX30" s="2511"/>
      <c r="ETY30" s="2511"/>
      <c r="ETZ30" s="2511"/>
      <c r="EUA30" s="2511"/>
      <c r="EUB30" s="2511"/>
      <c r="EUC30" s="2511"/>
      <c r="EUD30" s="2511"/>
      <c r="EUE30" s="2511"/>
      <c r="EUF30" s="2511"/>
      <c r="EUG30" s="2511"/>
      <c r="EUH30" s="2511"/>
      <c r="EUI30" s="2511"/>
      <c r="EUJ30" s="2511"/>
      <c r="EUK30" s="2511"/>
      <c r="EUL30" s="2511"/>
      <c r="EUM30" s="2511"/>
      <c r="EUN30" s="2511"/>
      <c r="EUO30" s="2511"/>
      <c r="EUP30" s="2511"/>
      <c r="EUQ30" s="2511"/>
      <c r="EUR30" s="2511"/>
      <c r="EUS30" s="2511"/>
      <c r="EUT30" s="2511"/>
      <c r="EUU30" s="2511"/>
      <c r="EUV30" s="2511"/>
      <c r="EUW30" s="2511"/>
      <c r="EUX30" s="2511"/>
      <c r="EUY30" s="2511"/>
      <c r="EUZ30" s="2511"/>
      <c r="EVA30" s="2511"/>
      <c r="EVB30" s="2511"/>
      <c r="EVC30" s="2511"/>
      <c r="EVD30" s="2511"/>
      <c r="EVE30" s="2511"/>
      <c r="EVF30" s="2511"/>
      <c r="EVG30" s="2511"/>
      <c r="EVH30" s="2511"/>
      <c r="EVI30" s="2511"/>
      <c r="EVJ30" s="2511"/>
      <c r="EVK30" s="2511"/>
      <c r="EVL30" s="2511"/>
      <c r="EVM30" s="2511"/>
      <c r="EVN30" s="2511"/>
      <c r="EVO30" s="2511"/>
      <c r="EVP30" s="2511"/>
      <c r="EVQ30" s="2511"/>
      <c r="EVR30" s="2511"/>
      <c r="EVS30" s="2511"/>
      <c r="EVT30" s="2511"/>
      <c r="EVU30" s="2511"/>
      <c r="EVV30" s="2511"/>
      <c r="EVW30" s="2511"/>
      <c r="EVX30" s="2511"/>
      <c r="EVY30" s="2511"/>
      <c r="EVZ30" s="2511"/>
      <c r="EWA30" s="2511"/>
      <c r="EWB30" s="2511"/>
      <c r="EWC30" s="2511"/>
      <c r="EWD30" s="2511"/>
      <c r="EWE30" s="2511"/>
      <c r="EWF30" s="2511"/>
      <c r="EWG30" s="2511"/>
      <c r="EWH30" s="2511"/>
      <c r="EWI30" s="2511"/>
      <c r="EWJ30" s="2511"/>
      <c r="EWK30" s="2511"/>
      <c r="EWL30" s="2511"/>
      <c r="EWM30" s="2511"/>
      <c r="EWN30" s="2511"/>
      <c r="EWO30" s="2511"/>
      <c r="EWP30" s="2511"/>
      <c r="EWQ30" s="2511"/>
      <c r="EWR30" s="2511"/>
      <c r="EWS30" s="2511"/>
      <c r="EWT30" s="2511"/>
      <c r="EWU30" s="2511"/>
      <c r="EWV30" s="2511"/>
      <c r="EWW30" s="2511"/>
      <c r="EWX30" s="2511"/>
      <c r="EWY30" s="2511"/>
      <c r="EWZ30" s="2511"/>
      <c r="EXA30" s="2511"/>
      <c r="EXB30" s="2511"/>
      <c r="EXC30" s="2511"/>
      <c r="EXD30" s="2511"/>
      <c r="EXE30" s="2511"/>
      <c r="EXF30" s="2511"/>
      <c r="EXG30" s="2511"/>
      <c r="EXH30" s="2511"/>
      <c r="EXI30" s="2511"/>
      <c r="EXJ30" s="2511"/>
      <c r="EXK30" s="2511"/>
      <c r="EXL30" s="2511"/>
      <c r="EXM30" s="2511"/>
      <c r="EXN30" s="2511"/>
      <c r="EXO30" s="2511"/>
      <c r="EXP30" s="2511"/>
      <c r="EXQ30" s="2511"/>
      <c r="EXR30" s="2511"/>
      <c r="EXS30" s="2511"/>
      <c r="EXT30" s="2511"/>
      <c r="EXU30" s="2511"/>
      <c r="EXV30" s="2511"/>
      <c r="EXW30" s="2511"/>
      <c r="EXX30" s="2511"/>
      <c r="EXY30" s="2511"/>
      <c r="EXZ30" s="2511"/>
      <c r="EYA30" s="2511"/>
      <c r="EYB30" s="2511"/>
      <c r="EYC30" s="2511"/>
      <c r="EYD30" s="2511"/>
      <c r="EYE30" s="2511"/>
      <c r="EYF30" s="2511"/>
      <c r="EYG30" s="2511"/>
      <c r="EYH30" s="2511"/>
      <c r="EYI30" s="2511"/>
      <c r="EYJ30" s="2511"/>
      <c r="EYK30" s="2511"/>
      <c r="EYL30" s="2511"/>
      <c r="EYM30" s="2511"/>
      <c r="EYN30" s="2511"/>
      <c r="EYO30" s="2511"/>
      <c r="EYP30" s="2511"/>
      <c r="EYQ30" s="2511"/>
      <c r="EYR30" s="2511"/>
      <c r="EYS30" s="2511"/>
      <c r="EYT30" s="2511"/>
      <c r="EYU30" s="2511"/>
      <c r="EYV30" s="2511"/>
      <c r="EYW30" s="2511"/>
      <c r="EYX30" s="2511"/>
      <c r="EYY30" s="2511"/>
      <c r="EYZ30" s="2511"/>
      <c r="EZA30" s="2511"/>
      <c r="EZB30" s="2511"/>
      <c r="EZC30" s="2511"/>
      <c r="EZD30" s="2511"/>
      <c r="EZE30" s="2511"/>
      <c r="EZF30" s="2511"/>
      <c r="EZG30" s="2511"/>
      <c r="EZH30" s="2511"/>
      <c r="EZI30" s="2511"/>
      <c r="EZJ30" s="2511"/>
      <c r="EZK30" s="2511"/>
      <c r="EZL30" s="2511"/>
      <c r="EZM30" s="2511"/>
      <c r="EZN30" s="2511"/>
      <c r="EZO30" s="2511"/>
      <c r="EZP30" s="2511"/>
      <c r="EZQ30" s="2511"/>
      <c r="EZR30" s="2511"/>
      <c r="EZS30" s="2511"/>
      <c r="EZT30" s="2511"/>
      <c r="EZU30" s="2511"/>
      <c r="EZV30" s="2511"/>
      <c r="EZW30" s="2511"/>
      <c r="EZX30" s="2511"/>
      <c r="EZY30" s="2511"/>
      <c r="EZZ30" s="2511"/>
      <c r="FAA30" s="2511"/>
      <c r="FAB30" s="2511"/>
      <c r="FAC30" s="2511"/>
      <c r="FAD30" s="2511"/>
      <c r="FAE30" s="2511"/>
      <c r="FAF30" s="2511"/>
      <c r="FAG30" s="2511"/>
      <c r="FAH30" s="2511"/>
      <c r="FAI30" s="2511"/>
      <c r="FAJ30" s="2511"/>
      <c r="FAK30" s="2511"/>
      <c r="FAL30" s="2511"/>
      <c r="FAM30" s="2511"/>
      <c r="FAN30" s="2511"/>
      <c r="FAO30" s="2511"/>
      <c r="FAP30" s="2511"/>
      <c r="FAQ30" s="2511"/>
      <c r="FAR30" s="2511"/>
      <c r="FAS30" s="2511"/>
      <c r="FAT30" s="2511"/>
      <c r="FAU30" s="2511"/>
      <c r="FAV30" s="2511"/>
      <c r="FAW30" s="2511"/>
      <c r="FAX30" s="2511"/>
      <c r="FAY30" s="2511"/>
      <c r="FAZ30" s="2511"/>
      <c r="FBA30" s="2511"/>
      <c r="FBB30" s="2511"/>
      <c r="FBC30" s="2511"/>
      <c r="FBD30" s="2511"/>
      <c r="FBE30" s="2511"/>
      <c r="FBF30" s="2511"/>
      <c r="FBG30" s="2511"/>
      <c r="FBH30" s="2511"/>
      <c r="FBI30" s="2511"/>
      <c r="FBJ30" s="2511"/>
      <c r="FBK30" s="2511"/>
      <c r="FBL30" s="2511"/>
      <c r="FBM30" s="2511"/>
      <c r="FBN30" s="2511"/>
      <c r="FBO30" s="2511"/>
      <c r="FBP30" s="2511"/>
      <c r="FBQ30" s="2511"/>
      <c r="FBR30" s="2511"/>
      <c r="FBS30" s="2511"/>
      <c r="FBT30" s="2511"/>
      <c r="FBU30" s="2511"/>
      <c r="FBV30" s="2511"/>
      <c r="FBW30" s="2511"/>
      <c r="FBX30" s="2511"/>
      <c r="FBY30" s="2511"/>
      <c r="FBZ30" s="2511"/>
      <c r="FCA30" s="2511"/>
      <c r="FCB30" s="2511"/>
      <c r="FCC30" s="2511"/>
      <c r="FCD30" s="2511"/>
      <c r="FCE30" s="2511"/>
      <c r="FCF30" s="2511"/>
      <c r="FCG30" s="2511"/>
      <c r="FCH30" s="2511"/>
      <c r="FCI30" s="2511"/>
      <c r="FCJ30" s="2511"/>
      <c r="FCK30" s="2511"/>
      <c r="FCL30" s="2511"/>
      <c r="FCM30" s="2511"/>
      <c r="FCN30" s="2511"/>
      <c r="FCO30" s="2511"/>
      <c r="FCP30" s="2511"/>
      <c r="FCQ30" s="2511"/>
      <c r="FCR30" s="2511"/>
      <c r="FCS30" s="2511"/>
      <c r="FCT30" s="2511"/>
      <c r="FCU30" s="2511"/>
      <c r="FCV30" s="2511"/>
      <c r="FCW30" s="2511"/>
      <c r="FCX30" s="2511"/>
      <c r="FCY30" s="2511"/>
      <c r="FCZ30" s="2511"/>
      <c r="FDA30" s="2511"/>
      <c r="FDB30" s="2511"/>
      <c r="FDC30" s="2511"/>
      <c r="FDD30" s="2511"/>
      <c r="FDE30" s="2511"/>
      <c r="FDF30" s="2511"/>
      <c r="FDG30" s="2511"/>
      <c r="FDH30" s="2511"/>
      <c r="FDI30" s="2511"/>
      <c r="FDJ30" s="2511"/>
      <c r="FDK30" s="2511"/>
      <c r="FDL30" s="2511"/>
      <c r="FDM30" s="2511"/>
      <c r="FDN30" s="2511"/>
      <c r="FDO30" s="2511"/>
      <c r="FDP30" s="2511"/>
      <c r="FDQ30" s="2511"/>
      <c r="FDR30" s="2511"/>
      <c r="FDS30" s="2511"/>
      <c r="FDT30" s="2511"/>
      <c r="FDU30" s="2511"/>
      <c r="FDV30" s="2511"/>
      <c r="FDW30" s="2511"/>
      <c r="FDX30" s="2511"/>
      <c r="FDY30" s="2511"/>
      <c r="FDZ30" s="2511"/>
      <c r="FEA30" s="2511"/>
      <c r="FEB30" s="2511"/>
      <c r="FEC30" s="2511"/>
      <c r="FED30" s="2511"/>
      <c r="FEE30" s="2511"/>
      <c r="FEF30" s="2511"/>
      <c r="FEG30" s="2511"/>
      <c r="FEH30" s="2511"/>
      <c r="FEI30" s="2511"/>
      <c r="FEJ30" s="2511"/>
      <c r="FEK30" s="2511"/>
      <c r="FEL30" s="2511"/>
      <c r="FEM30" s="2511"/>
      <c r="FEN30" s="2511"/>
      <c r="FEO30" s="2511"/>
      <c r="FEP30" s="2511"/>
      <c r="FEQ30" s="2511"/>
      <c r="FER30" s="2511"/>
      <c r="FES30" s="2511"/>
      <c r="FET30" s="2511"/>
      <c r="FEU30" s="2511"/>
      <c r="FEV30" s="2511"/>
      <c r="FEW30" s="2511"/>
      <c r="FEX30" s="2511"/>
      <c r="FEY30" s="2511"/>
      <c r="FEZ30" s="2511"/>
      <c r="FFA30" s="2511"/>
      <c r="FFB30" s="2511"/>
      <c r="FFC30" s="2511"/>
      <c r="FFD30" s="2511"/>
      <c r="FFE30" s="2511"/>
      <c r="FFF30" s="2511"/>
      <c r="FFG30" s="2511"/>
      <c r="FFH30" s="2511"/>
      <c r="FFI30" s="2511"/>
      <c r="FFJ30" s="2511"/>
      <c r="FFK30" s="2511"/>
      <c r="FFL30" s="2511"/>
      <c r="FFM30" s="2511"/>
      <c r="FFN30" s="2511"/>
      <c r="FFO30" s="2511"/>
      <c r="FFP30" s="2511"/>
      <c r="FFQ30" s="2511"/>
      <c r="FFR30" s="2511"/>
      <c r="FFS30" s="2511"/>
      <c r="FFT30" s="2511"/>
      <c r="FFU30" s="2511"/>
      <c r="FFV30" s="2511"/>
      <c r="FFW30" s="2511"/>
      <c r="FFX30" s="2511"/>
      <c r="FFY30" s="2511"/>
      <c r="FFZ30" s="2511"/>
      <c r="FGA30" s="2511"/>
      <c r="FGB30" s="2511"/>
      <c r="FGC30" s="2511"/>
      <c r="FGD30" s="2511"/>
      <c r="FGE30" s="2511"/>
      <c r="FGF30" s="2511"/>
      <c r="FGG30" s="2511"/>
      <c r="FGH30" s="2511"/>
      <c r="FGI30" s="2511"/>
      <c r="FGJ30" s="2511"/>
      <c r="FGK30" s="2511"/>
      <c r="FGL30" s="2511"/>
      <c r="FGM30" s="2511"/>
      <c r="FGN30" s="2511"/>
      <c r="FGO30" s="2511"/>
      <c r="FGP30" s="2511"/>
      <c r="FGQ30" s="2511"/>
      <c r="FGR30" s="2511"/>
      <c r="FGS30" s="2511"/>
      <c r="FGT30" s="2511"/>
      <c r="FGU30" s="2511"/>
      <c r="FGV30" s="2511"/>
      <c r="FGW30" s="2511"/>
      <c r="FGX30" s="2511"/>
      <c r="FGY30" s="2511"/>
      <c r="FGZ30" s="2511"/>
      <c r="FHA30" s="2511"/>
      <c r="FHB30" s="2511"/>
      <c r="FHC30" s="2511"/>
      <c r="FHD30" s="2511"/>
      <c r="FHE30" s="2511"/>
      <c r="FHF30" s="2511"/>
      <c r="FHG30" s="2511"/>
      <c r="FHH30" s="2511"/>
      <c r="FHI30" s="2511"/>
      <c r="FHJ30" s="2511"/>
      <c r="FHK30" s="2511"/>
      <c r="FHL30" s="2511"/>
      <c r="FHM30" s="2511"/>
      <c r="FHN30" s="2511"/>
      <c r="FHO30" s="2511"/>
      <c r="FHP30" s="2511"/>
      <c r="FHQ30" s="2511"/>
      <c r="FHR30" s="2511"/>
      <c r="FHS30" s="2511"/>
      <c r="FHT30" s="2511"/>
      <c r="FHU30" s="2511"/>
      <c r="FHV30" s="2511"/>
      <c r="FHW30" s="2511"/>
      <c r="FHX30" s="2511"/>
      <c r="FHY30" s="2511"/>
      <c r="FHZ30" s="2511"/>
      <c r="FIA30" s="2511"/>
      <c r="FIB30" s="2511"/>
      <c r="FIC30" s="2511"/>
      <c r="FID30" s="2511"/>
      <c r="FIE30" s="2511"/>
      <c r="FIF30" s="2511"/>
      <c r="FIG30" s="2511"/>
      <c r="FIH30" s="2511"/>
      <c r="FII30" s="2511"/>
      <c r="FIJ30" s="2511"/>
      <c r="FIK30" s="2511"/>
      <c r="FIL30" s="2511"/>
      <c r="FIM30" s="2511"/>
      <c r="FIN30" s="2511"/>
      <c r="FIO30" s="2511"/>
      <c r="FIP30" s="2511"/>
      <c r="FIQ30" s="2511"/>
      <c r="FIR30" s="2511"/>
      <c r="FIS30" s="2511"/>
      <c r="FIT30" s="2511"/>
      <c r="FIU30" s="2511"/>
      <c r="FIV30" s="2511"/>
      <c r="FIW30" s="2511"/>
      <c r="FIX30" s="2511"/>
      <c r="FIY30" s="2511"/>
      <c r="FIZ30" s="2511"/>
      <c r="FJA30" s="2511"/>
      <c r="FJB30" s="2511"/>
      <c r="FJC30" s="2511"/>
      <c r="FJD30" s="2511"/>
      <c r="FJE30" s="2511"/>
      <c r="FJF30" s="2511"/>
      <c r="FJG30" s="2511"/>
      <c r="FJH30" s="2511"/>
      <c r="FJI30" s="2511"/>
      <c r="FJJ30" s="2511"/>
      <c r="FJK30" s="2511"/>
      <c r="FJL30" s="2511"/>
      <c r="FJM30" s="2511"/>
      <c r="FJN30" s="2511"/>
      <c r="FJO30" s="2511"/>
      <c r="FJP30" s="2511"/>
      <c r="FJQ30" s="2511"/>
      <c r="FJR30" s="2511"/>
      <c r="FJS30" s="2511"/>
      <c r="FJT30" s="2511"/>
      <c r="FJU30" s="2511"/>
      <c r="FJV30" s="2511"/>
      <c r="FJW30" s="2511"/>
      <c r="FJX30" s="2511"/>
      <c r="FJY30" s="2511"/>
      <c r="FJZ30" s="2511"/>
      <c r="FKA30" s="2511"/>
      <c r="FKB30" s="2511"/>
      <c r="FKC30" s="2511"/>
      <c r="FKD30" s="2511"/>
      <c r="FKE30" s="2511"/>
      <c r="FKF30" s="2511"/>
      <c r="FKG30" s="2511"/>
      <c r="FKH30" s="2511"/>
      <c r="FKI30" s="2511"/>
      <c r="FKJ30" s="2511"/>
      <c r="FKK30" s="2511"/>
      <c r="FKL30" s="2511"/>
      <c r="FKM30" s="2511"/>
      <c r="FKN30" s="2511"/>
      <c r="FKO30" s="2511"/>
      <c r="FKP30" s="2511"/>
      <c r="FKQ30" s="2511"/>
      <c r="FKR30" s="2511"/>
      <c r="FKS30" s="2511"/>
      <c r="FKT30" s="2511"/>
      <c r="FKU30" s="2511"/>
      <c r="FKV30" s="2511"/>
      <c r="FKW30" s="2511"/>
      <c r="FKX30" s="2511"/>
      <c r="FKY30" s="2511"/>
      <c r="FKZ30" s="2511"/>
      <c r="FLA30" s="2511"/>
      <c r="FLB30" s="2511"/>
      <c r="FLC30" s="2511"/>
      <c r="FLD30" s="2511"/>
      <c r="FLE30" s="2511"/>
      <c r="FLF30" s="2511"/>
      <c r="FLG30" s="2511"/>
      <c r="FLH30" s="2511"/>
      <c r="FLI30" s="2511"/>
      <c r="FLJ30" s="2511"/>
      <c r="FLK30" s="2511"/>
      <c r="FLL30" s="2511"/>
      <c r="FLM30" s="2511"/>
      <c r="FLN30" s="2511"/>
      <c r="FLO30" s="2511"/>
      <c r="FLP30" s="2511"/>
      <c r="FLQ30" s="2511"/>
      <c r="FLR30" s="2511"/>
      <c r="FLS30" s="2511"/>
      <c r="FLT30" s="2511"/>
      <c r="FLU30" s="2511"/>
      <c r="FLV30" s="2511"/>
      <c r="FLW30" s="2511"/>
      <c r="FLX30" s="2511"/>
      <c r="FLY30" s="2511"/>
      <c r="FLZ30" s="2511"/>
      <c r="FMA30" s="2511"/>
      <c r="FMB30" s="2511"/>
      <c r="FMC30" s="2511"/>
      <c r="FMD30" s="2511"/>
      <c r="FME30" s="2511"/>
      <c r="FMF30" s="2511"/>
      <c r="FMG30" s="2511"/>
      <c r="FMH30" s="2511"/>
      <c r="FMI30" s="2511"/>
      <c r="FMJ30" s="2511"/>
      <c r="FMK30" s="2511"/>
      <c r="FML30" s="2511"/>
      <c r="FMM30" s="2511"/>
      <c r="FMN30" s="2511"/>
      <c r="FMO30" s="2511"/>
      <c r="FMP30" s="2511"/>
      <c r="FMQ30" s="2511"/>
      <c r="FMR30" s="2511"/>
      <c r="FMS30" s="2511"/>
      <c r="FMT30" s="2511"/>
      <c r="FMU30" s="2511"/>
      <c r="FMV30" s="2511"/>
      <c r="FMW30" s="2511"/>
      <c r="FMX30" s="2511"/>
      <c r="FMY30" s="2511"/>
      <c r="FMZ30" s="2511"/>
      <c r="FNA30" s="2511"/>
      <c r="FNB30" s="2511"/>
      <c r="FNC30" s="2511"/>
      <c r="FND30" s="2511"/>
      <c r="FNE30" s="2511"/>
      <c r="FNF30" s="2511"/>
      <c r="FNG30" s="2511"/>
      <c r="FNH30" s="2511"/>
      <c r="FNI30" s="2511"/>
      <c r="FNJ30" s="2511"/>
      <c r="FNK30" s="2511"/>
      <c r="FNL30" s="2511"/>
      <c r="FNM30" s="2511"/>
      <c r="FNN30" s="2511"/>
      <c r="FNO30" s="2511"/>
      <c r="FNP30" s="2511"/>
      <c r="FNQ30" s="2511"/>
      <c r="FNR30" s="2511"/>
      <c r="FNS30" s="2511"/>
      <c r="FNT30" s="2511"/>
      <c r="FNU30" s="2511"/>
      <c r="FNV30" s="2511"/>
      <c r="FNW30" s="2511"/>
      <c r="FNX30" s="2511"/>
      <c r="FNY30" s="2511"/>
      <c r="FNZ30" s="2511"/>
      <c r="FOA30" s="2511"/>
      <c r="FOB30" s="2511"/>
      <c r="FOC30" s="2511"/>
      <c r="FOD30" s="2511"/>
      <c r="FOE30" s="2511"/>
      <c r="FOF30" s="2511"/>
      <c r="FOG30" s="2511"/>
      <c r="FOH30" s="2511"/>
      <c r="FOI30" s="2511"/>
      <c r="FOJ30" s="2511"/>
      <c r="FOK30" s="2511"/>
      <c r="FOL30" s="2511"/>
      <c r="FOM30" s="2511"/>
      <c r="FON30" s="2511"/>
      <c r="FOO30" s="2511"/>
      <c r="FOP30" s="2511"/>
      <c r="FOQ30" s="2511"/>
      <c r="FOR30" s="2511"/>
      <c r="FOS30" s="2511"/>
      <c r="FOT30" s="2511"/>
      <c r="FOU30" s="2511"/>
      <c r="FOV30" s="2511"/>
      <c r="FOW30" s="2511"/>
      <c r="FOX30" s="2511"/>
      <c r="FOY30" s="2511"/>
      <c r="FOZ30" s="2511"/>
      <c r="FPA30" s="2511"/>
      <c r="FPB30" s="2511"/>
      <c r="FPC30" s="2511"/>
      <c r="FPD30" s="2511"/>
      <c r="FPE30" s="2511"/>
      <c r="FPF30" s="2511"/>
      <c r="FPG30" s="2511"/>
      <c r="FPH30" s="2511"/>
      <c r="FPI30" s="2511"/>
      <c r="FPJ30" s="2511"/>
      <c r="FPK30" s="2511"/>
      <c r="FPL30" s="2511"/>
      <c r="FPM30" s="2511"/>
      <c r="FPN30" s="2511"/>
      <c r="FPO30" s="2511"/>
      <c r="FPP30" s="2511"/>
      <c r="FPQ30" s="2511"/>
      <c r="FPR30" s="2511"/>
      <c r="FPS30" s="2511"/>
      <c r="FPT30" s="2511"/>
      <c r="FPU30" s="2511"/>
      <c r="FPV30" s="2511"/>
      <c r="FPW30" s="2511"/>
      <c r="FPX30" s="2511"/>
      <c r="FPY30" s="2511"/>
      <c r="FPZ30" s="2511"/>
      <c r="FQA30" s="2511"/>
      <c r="FQB30" s="2511"/>
      <c r="FQC30" s="2511"/>
      <c r="FQD30" s="2511"/>
      <c r="FQE30" s="2511"/>
      <c r="FQF30" s="2511"/>
      <c r="FQG30" s="2511"/>
      <c r="FQH30" s="2511"/>
      <c r="FQI30" s="2511"/>
      <c r="FQJ30" s="2511"/>
      <c r="FQK30" s="2511"/>
      <c r="FQL30" s="2511"/>
      <c r="FQM30" s="2511"/>
      <c r="FQN30" s="2511"/>
      <c r="FQO30" s="2511"/>
      <c r="FQP30" s="2511"/>
      <c r="FQQ30" s="2511"/>
      <c r="FQR30" s="2511"/>
      <c r="FQS30" s="2511"/>
      <c r="FQT30" s="2511"/>
      <c r="FQU30" s="2511"/>
      <c r="FQV30" s="2511"/>
      <c r="FQW30" s="2511"/>
      <c r="FQX30" s="2511"/>
      <c r="FQY30" s="2511"/>
      <c r="FQZ30" s="2511"/>
      <c r="FRA30" s="2511"/>
      <c r="FRB30" s="2511"/>
      <c r="FRC30" s="2511"/>
      <c r="FRD30" s="2511"/>
      <c r="FRE30" s="2511"/>
      <c r="FRF30" s="2511"/>
      <c r="FRG30" s="2511"/>
      <c r="FRH30" s="2511"/>
      <c r="FRI30" s="2511"/>
      <c r="FRJ30" s="2511"/>
      <c r="FRK30" s="2511"/>
      <c r="FRL30" s="2511"/>
      <c r="FRM30" s="2511"/>
      <c r="FRN30" s="2511"/>
      <c r="FRO30" s="2511"/>
      <c r="FRP30" s="2511"/>
      <c r="FRQ30" s="2511"/>
      <c r="FRR30" s="2511"/>
      <c r="FRS30" s="2511"/>
      <c r="FRT30" s="2511"/>
      <c r="FRU30" s="2511"/>
      <c r="FRV30" s="2511"/>
      <c r="FRW30" s="2511"/>
      <c r="FRX30" s="2511"/>
      <c r="FRY30" s="2511"/>
      <c r="FRZ30" s="2511"/>
      <c r="FSA30" s="2511"/>
      <c r="FSB30" s="2511"/>
      <c r="FSC30" s="2511"/>
      <c r="FSD30" s="2511"/>
      <c r="FSE30" s="2511"/>
      <c r="FSF30" s="2511"/>
      <c r="FSG30" s="2511"/>
      <c r="FSH30" s="2511"/>
      <c r="FSI30" s="2511"/>
      <c r="FSJ30" s="2511"/>
      <c r="FSK30" s="2511"/>
      <c r="FSL30" s="2511"/>
      <c r="FSM30" s="2511"/>
      <c r="FSN30" s="2511"/>
      <c r="FSO30" s="2511"/>
      <c r="FSP30" s="2511"/>
      <c r="FSQ30" s="2511"/>
      <c r="FSR30" s="2511"/>
      <c r="FSS30" s="2511"/>
      <c r="FST30" s="2511"/>
      <c r="FSU30" s="2511"/>
      <c r="FSV30" s="2511"/>
      <c r="FSW30" s="2511"/>
      <c r="FSX30" s="2511"/>
      <c r="FSY30" s="2511"/>
      <c r="FSZ30" s="2511"/>
      <c r="FTA30" s="2511"/>
      <c r="FTB30" s="2511"/>
      <c r="FTC30" s="2511"/>
      <c r="FTD30" s="2511"/>
      <c r="FTE30" s="2511"/>
      <c r="FTF30" s="2511"/>
      <c r="FTG30" s="2511"/>
      <c r="FTH30" s="2511"/>
      <c r="FTI30" s="2511"/>
      <c r="FTJ30" s="2511"/>
      <c r="FTK30" s="2511"/>
      <c r="FTL30" s="2511"/>
      <c r="FTM30" s="2511"/>
      <c r="FTN30" s="2511"/>
      <c r="FTO30" s="2511"/>
      <c r="FTP30" s="2511"/>
      <c r="FTQ30" s="2511"/>
      <c r="FTR30" s="2511"/>
      <c r="FTS30" s="2511"/>
      <c r="FTT30" s="2511"/>
      <c r="FTU30" s="2511"/>
      <c r="FTV30" s="2511"/>
      <c r="FTW30" s="2511"/>
      <c r="FTX30" s="2511"/>
      <c r="FTY30" s="2511"/>
      <c r="FTZ30" s="2511"/>
      <c r="FUA30" s="2511"/>
      <c r="FUB30" s="2511"/>
      <c r="FUC30" s="2511"/>
      <c r="FUD30" s="2511"/>
      <c r="FUE30" s="2511"/>
      <c r="FUF30" s="2511"/>
      <c r="FUG30" s="2511"/>
      <c r="FUH30" s="2511"/>
      <c r="FUI30" s="2511"/>
      <c r="FUJ30" s="2511"/>
      <c r="FUK30" s="2511"/>
      <c r="FUL30" s="2511"/>
      <c r="FUM30" s="2511"/>
      <c r="FUN30" s="2511"/>
      <c r="FUO30" s="2511"/>
      <c r="FUP30" s="2511"/>
      <c r="FUQ30" s="2511"/>
      <c r="FUR30" s="2511"/>
      <c r="FUS30" s="2511"/>
      <c r="FUT30" s="2511"/>
      <c r="FUU30" s="2511"/>
      <c r="FUV30" s="2511"/>
      <c r="FUW30" s="2511"/>
      <c r="FUX30" s="2511"/>
      <c r="FUY30" s="2511"/>
      <c r="FUZ30" s="2511"/>
      <c r="FVA30" s="2511"/>
      <c r="FVB30" s="2511"/>
      <c r="FVC30" s="2511"/>
      <c r="FVD30" s="2511"/>
      <c r="FVE30" s="2511"/>
      <c r="FVF30" s="2511"/>
      <c r="FVG30" s="2511"/>
      <c r="FVH30" s="2511"/>
      <c r="FVI30" s="2511"/>
      <c r="FVJ30" s="2511"/>
      <c r="FVK30" s="2511"/>
      <c r="FVL30" s="2511"/>
      <c r="FVM30" s="2511"/>
      <c r="FVN30" s="2511"/>
      <c r="FVO30" s="2511"/>
      <c r="FVP30" s="2511"/>
      <c r="FVQ30" s="2511"/>
      <c r="FVR30" s="2511"/>
      <c r="FVS30" s="2511"/>
      <c r="FVT30" s="2511"/>
      <c r="FVU30" s="2511"/>
      <c r="FVV30" s="2511"/>
      <c r="FVW30" s="2511"/>
      <c r="FVX30" s="2511"/>
      <c r="FVY30" s="2511"/>
      <c r="FVZ30" s="2511"/>
      <c r="FWA30" s="2511"/>
      <c r="FWB30" s="2511"/>
      <c r="FWC30" s="2511"/>
      <c r="FWD30" s="2511"/>
      <c r="FWE30" s="2511"/>
      <c r="FWF30" s="2511"/>
      <c r="FWG30" s="2511"/>
      <c r="FWH30" s="2511"/>
      <c r="FWI30" s="2511"/>
      <c r="FWJ30" s="2511"/>
      <c r="FWK30" s="2511"/>
      <c r="FWL30" s="2511"/>
      <c r="FWM30" s="2511"/>
      <c r="FWN30" s="2511"/>
      <c r="FWO30" s="2511"/>
      <c r="FWP30" s="2511"/>
      <c r="FWQ30" s="2511"/>
      <c r="FWR30" s="2511"/>
      <c r="FWS30" s="2511"/>
      <c r="FWT30" s="2511"/>
      <c r="FWU30" s="2511"/>
      <c r="FWV30" s="2511"/>
      <c r="FWW30" s="2511"/>
      <c r="FWX30" s="2511"/>
      <c r="FWY30" s="2511"/>
      <c r="FWZ30" s="2511"/>
      <c r="FXA30" s="2511"/>
      <c r="FXB30" s="2511"/>
      <c r="FXC30" s="2511"/>
      <c r="FXD30" s="2511"/>
      <c r="FXE30" s="2511"/>
      <c r="FXF30" s="2511"/>
      <c r="FXG30" s="2511"/>
      <c r="FXH30" s="2511"/>
      <c r="FXI30" s="2511"/>
      <c r="FXJ30" s="2511"/>
      <c r="FXK30" s="2511"/>
      <c r="FXL30" s="2511"/>
      <c r="FXM30" s="2511"/>
      <c r="FXN30" s="2511"/>
      <c r="FXO30" s="2511"/>
      <c r="FXP30" s="2511"/>
      <c r="FXQ30" s="2511"/>
      <c r="FXR30" s="2511"/>
      <c r="FXS30" s="2511"/>
      <c r="FXT30" s="2511"/>
      <c r="FXU30" s="2511"/>
      <c r="FXV30" s="2511"/>
      <c r="FXW30" s="2511"/>
      <c r="FXX30" s="2511"/>
      <c r="FXY30" s="2511"/>
      <c r="FXZ30" s="2511"/>
      <c r="FYA30" s="2511"/>
      <c r="FYB30" s="2511"/>
      <c r="FYC30" s="2511"/>
      <c r="FYD30" s="2511"/>
      <c r="FYE30" s="2511"/>
      <c r="FYF30" s="2511"/>
      <c r="FYG30" s="2511"/>
      <c r="FYH30" s="2511"/>
      <c r="FYI30" s="2511"/>
      <c r="FYJ30" s="2511"/>
      <c r="FYK30" s="2511"/>
      <c r="FYL30" s="2511"/>
      <c r="FYM30" s="2511"/>
      <c r="FYN30" s="2511"/>
      <c r="FYO30" s="2511"/>
      <c r="FYP30" s="2511"/>
      <c r="FYQ30" s="2511"/>
      <c r="FYR30" s="2511"/>
      <c r="FYS30" s="2511"/>
      <c r="FYT30" s="2511"/>
      <c r="FYU30" s="2511"/>
      <c r="FYV30" s="2511"/>
      <c r="FYW30" s="2511"/>
      <c r="FYX30" s="2511"/>
      <c r="FYY30" s="2511"/>
      <c r="FYZ30" s="2511"/>
      <c r="FZA30" s="2511"/>
      <c r="FZB30" s="2511"/>
      <c r="FZC30" s="2511"/>
      <c r="FZD30" s="2511"/>
      <c r="FZE30" s="2511"/>
      <c r="FZF30" s="2511"/>
      <c r="FZG30" s="2511"/>
      <c r="FZH30" s="2511"/>
      <c r="FZI30" s="2511"/>
      <c r="FZJ30" s="2511"/>
      <c r="FZK30" s="2511"/>
      <c r="FZL30" s="2511"/>
      <c r="FZM30" s="2511"/>
      <c r="FZN30" s="2511"/>
      <c r="FZO30" s="2511"/>
      <c r="FZP30" s="2511"/>
      <c r="FZQ30" s="2511"/>
      <c r="FZR30" s="2511"/>
      <c r="FZS30" s="2511"/>
      <c r="FZT30" s="2511"/>
      <c r="FZU30" s="2511"/>
      <c r="FZV30" s="2511"/>
      <c r="FZW30" s="2511"/>
      <c r="FZX30" s="2511"/>
      <c r="FZY30" s="2511"/>
      <c r="FZZ30" s="2511"/>
      <c r="GAA30" s="2511"/>
      <c r="GAB30" s="2511"/>
      <c r="GAC30" s="2511"/>
      <c r="GAD30" s="2511"/>
      <c r="GAE30" s="2511"/>
      <c r="GAF30" s="2511"/>
      <c r="GAG30" s="2511"/>
      <c r="GAH30" s="2511"/>
      <c r="GAI30" s="2511"/>
      <c r="GAJ30" s="2511"/>
      <c r="GAK30" s="2511"/>
      <c r="GAL30" s="2511"/>
      <c r="GAM30" s="2511"/>
      <c r="GAN30" s="2511"/>
      <c r="GAO30" s="2511"/>
      <c r="GAP30" s="2511"/>
      <c r="GAQ30" s="2511"/>
      <c r="GAR30" s="2511"/>
      <c r="GAS30" s="2511"/>
      <c r="GAT30" s="2511"/>
      <c r="GAU30" s="2511"/>
      <c r="GAV30" s="2511"/>
      <c r="GAW30" s="2511"/>
      <c r="GAX30" s="2511"/>
      <c r="GAY30" s="2511"/>
      <c r="GAZ30" s="2511"/>
      <c r="GBA30" s="2511"/>
      <c r="GBB30" s="2511"/>
      <c r="GBC30" s="2511"/>
      <c r="GBD30" s="2511"/>
      <c r="GBE30" s="2511"/>
      <c r="GBF30" s="2511"/>
      <c r="GBG30" s="2511"/>
      <c r="GBH30" s="2511"/>
      <c r="GBI30" s="2511"/>
      <c r="GBJ30" s="2511"/>
      <c r="GBK30" s="2511"/>
      <c r="GBL30" s="2511"/>
      <c r="GBM30" s="2511"/>
      <c r="GBN30" s="2511"/>
      <c r="GBO30" s="2511"/>
      <c r="GBP30" s="2511"/>
      <c r="GBQ30" s="2511"/>
      <c r="GBR30" s="2511"/>
      <c r="GBS30" s="2511"/>
      <c r="GBT30" s="2511"/>
      <c r="GBU30" s="2511"/>
      <c r="GBV30" s="2511"/>
      <c r="GBW30" s="2511"/>
      <c r="GBX30" s="2511"/>
      <c r="GBY30" s="2511"/>
      <c r="GBZ30" s="2511"/>
      <c r="GCA30" s="2511"/>
      <c r="GCB30" s="2511"/>
      <c r="GCC30" s="2511"/>
      <c r="GCD30" s="2511"/>
      <c r="GCE30" s="2511"/>
      <c r="GCF30" s="2511"/>
      <c r="GCG30" s="2511"/>
      <c r="GCH30" s="2511"/>
      <c r="GCI30" s="2511"/>
      <c r="GCJ30" s="2511"/>
      <c r="GCK30" s="2511"/>
      <c r="GCL30" s="2511"/>
      <c r="GCM30" s="2511"/>
      <c r="GCN30" s="2511"/>
      <c r="GCO30" s="2511"/>
      <c r="GCP30" s="2511"/>
      <c r="GCQ30" s="2511"/>
      <c r="GCR30" s="2511"/>
      <c r="GCS30" s="2511"/>
      <c r="GCT30" s="2511"/>
      <c r="GCU30" s="2511"/>
      <c r="GCV30" s="2511"/>
      <c r="GCW30" s="2511"/>
      <c r="GCX30" s="2511"/>
      <c r="GCY30" s="2511"/>
      <c r="GCZ30" s="2511"/>
      <c r="GDA30" s="2511"/>
      <c r="GDB30" s="2511"/>
      <c r="GDC30" s="2511"/>
      <c r="GDD30" s="2511"/>
      <c r="GDE30" s="2511"/>
      <c r="GDF30" s="2511"/>
      <c r="GDG30" s="2511"/>
      <c r="GDH30" s="2511"/>
      <c r="GDI30" s="2511"/>
      <c r="GDJ30" s="2511"/>
      <c r="GDK30" s="2511"/>
      <c r="GDL30" s="2511"/>
      <c r="GDM30" s="2511"/>
      <c r="GDN30" s="2511"/>
      <c r="GDO30" s="2511"/>
      <c r="GDP30" s="2511"/>
      <c r="GDQ30" s="2511"/>
      <c r="GDR30" s="2511"/>
      <c r="GDS30" s="2511"/>
      <c r="GDT30" s="2511"/>
      <c r="GDU30" s="2511"/>
      <c r="GDV30" s="2511"/>
      <c r="GDW30" s="2511"/>
      <c r="GDX30" s="2511"/>
      <c r="GDY30" s="2511"/>
      <c r="GDZ30" s="2511"/>
      <c r="GEA30" s="2511"/>
      <c r="GEB30" s="2511"/>
      <c r="GEC30" s="2511"/>
      <c r="GED30" s="2511"/>
      <c r="GEE30" s="2511"/>
      <c r="GEF30" s="2511"/>
      <c r="GEG30" s="2511"/>
      <c r="GEH30" s="2511"/>
      <c r="GEI30" s="2511"/>
      <c r="GEJ30" s="2511"/>
      <c r="GEK30" s="2511"/>
      <c r="GEL30" s="2511"/>
      <c r="GEM30" s="2511"/>
      <c r="GEN30" s="2511"/>
      <c r="GEO30" s="2511"/>
      <c r="GEP30" s="2511"/>
      <c r="GEQ30" s="2511"/>
      <c r="GER30" s="2511"/>
      <c r="GES30" s="2511"/>
      <c r="GET30" s="2511"/>
      <c r="GEU30" s="2511"/>
      <c r="GEV30" s="2511"/>
      <c r="GEW30" s="2511"/>
      <c r="GEX30" s="2511"/>
      <c r="GEY30" s="2511"/>
      <c r="GEZ30" s="2511"/>
      <c r="GFA30" s="2511"/>
      <c r="GFB30" s="2511"/>
      <c r="GFC30" s="2511"/>
      <c r="GFD30" s="2511"/>
      <c r="GFE30" s="2511"/>
      <c r="GFF30" s="2511"/>
      <c r="GFG30" s="2511"/>
      <c r="GFH30" s="2511"/>
      <c r="GFI30" s="2511"/>
      <c r="GFJ30" s="2511"/>
      <c r="GFK30" s="2511"/>
      <c r="GFL30" s="2511"/>
      <c r="GFM30" s="2511"/>
      <c r="GFN30" s="2511"/>
      <c r="GFO30" s="2511"/>
      <c r="GFP30" s="2511"/>
      <c r="GFQ30" s="2511"/>
      <c r="GFR30" s="2511"/>
      <c r="GFS30" s="2511"/>
      <c r="GFT30" s="2511"/>
      <c r="GFU30" s="2511"/>
      <c r="GFV30" s="2511"/>
      <c r="GFW30" s="2511"/>
      <c r="GFX30" s="2511"/>
      <c r="GFY30" s="2511"/>
      <c r="GFZ30" s="2511"/>
      <c r="GGA30" s="2511"/>
      <c r="GGB30" s="2511"/>
      <c r="GGC30" s="2511"/>
      <c r="GGD30" s="2511"/>
      <c r="GGE30" s="2511"/>
      <c r="GGF30" s="2511"/>
      <c r="GGG30" s="2511"/>
      <c r="GGH30" s="2511"/>
      <c r="GGI30" s="2511"/>
      <c r="GGJ30" s="2511"/>
      <c r="GGK30" s="2511"/>
      <c r="GGL30" s="2511"/>
      <c r="GGM30" s="2511"/>
      <c r="GGN30" s="2511"/>
      <c r="GGO30" s="2511"/>
      <c r="GGP30" s="2511"/>
      <c r="GGQ30" s="2511"/>
      <c r="GGR30" s="2511"/>
      <c r="GGS30" s="2511"/>
      <c r="GGT30" s="2511"/>
      <c r="GGU30" s="2511"/>
      <c r="GGV30" s="2511"/>
      <c r="GGW30" s="2511"/>
      <c r="GGX30" s="2511"/>
      <c r="GGY30" s="2511"/>
      <c r="GGZ30" s="2511"/>
      <c r="GHA30" s="2511"/>
      <c r="GHB30" s="2511"/>
      <c r="GHC30" s="2511"/>
      <c r="GHD30" s="2511"/>
      <c r="GHE30" s="2511"/>
      <c r="GHF30" s="2511"/>
      <c r="GHG30" s="2511"/>
      <c r="GHH30" s="2511"/>
      <c r="GHI30" s="2511"/>
      <c r="GHJ30" s="2511"/>
      <c r="GHK30" s="2511"/>
      <c r="GHL30" s="2511"/>
      <c r="GHM30" s="2511"/>
      <c r="GHN30" s="2511"/>
      <c r="GHO30" s="2511"/>
      <c r="GHP30" s="2511"/>
      <c r="GHQ30" s="2511"/>
      <c r="GHR30" s="2511"/>
      <c r="GHS30" s="2511"/>
      <c r="GHT30" s="2511"/>
      <c r="GHU30" s="2511"/>
      <c r="GHV30" s="2511"/>
      <c r="GHW30" s="2511"/>
      <c r="GHX30" s="2511"/>
      <c r="GHY30" s="2511"/>
      <c r="GHZ30" s="2511"/>
      <c r="GIA30" s="2511"/>
      <c r="GIB30" s="2511"/>
      <c r="GIC30" s="2511"/>
      <c r="GID30" s="2511"/>
      <c r="GIE30" s="2511"/>
      <c r="GIF30" s="2511"/>
      <c r="GIG30" s="2511"/>
      <c r="GIH30" s="2511"/>
      <c r="GII30" s="2511"/>
      <c r="GIJ30" s="2511"/>
      <c r="GIK30" s="2511"/>
      <c r="GIL30" s="2511"/>
      <c r="GIM30" s="2511"/>
      <c r="GIN30" s="2511"/>
      <c r="GIO30" s="2511"/>
      <c r="GIP30" s="2511"/>
      <c r="GIQ30" s="2511"/>
      <c r="GIR30" s="2511"/>
      <c r="GIS30" s="2511"/>
      <c r="GIT30" s="2511"/>
      <c r="GIU30" s="2511"/>
      <c r="GIV30" s="2511"/>
      <c r="GIW30" s="2511"/>
      <c r="GIX30" s="2511"/>
      <c r="GIY30" s="2511"/>
      <c r="GIZ30" s="2511"/>
      <c r="GJA30" s="2511"/>
      <c r="GJB30" s="2511"/>
      <c r="GJC30" s="2511"/>
      <c r="GJD30" s="2511"/>
      <c r="GJE30" s="2511"/>
      <c r="GJF30" s="2511"/>
      <c r="GJG30" s="2511"/>
      <c r="GJH30" s="2511"/>
      <c r="GJI30" s="2511"/>
      <c r="GJJ30" s="2511"/>
      <c r="GJK30" s="2511"/>
      <c r="GJL30" s="2511"/>
      <c r="GJM30" s="2511"/>
      <c r="GJN30" s="2511"/>
      <c r="GJO30" s="2511"/>
      <c r="GJP30" s="2511"/>
      <c r="GJQ30" s="2511"/>
      <c r="GJR30" s="2511"/>
      <c r="GJS30" s="2511"/>
      <c r="GJT30" s="2511"/>
      <c r="GJU30" s="2511"/>
      <c r="GJV30" s="2511"/>
      <c r="GJW30" s="2511"/>
      <c r="GJX30" s="2511"/>
      <c r="GJY30" s="2511"/>
      <c r="GJZ30" s="2511"/>
      <c r="GKA30" s="2511"/>
      <c r="GKB30" s="2511"/>
      <c r="GKC30" s="2511"/>
      <c r="GKD30" s="2511"/>
      <c r="GKE30" s="2511"/>
      <c r="GKF30" s="2511"/>
      <c r="GKG30" s="2511"/>
      <c r="GKH30" s="2511"/>
      <c r="GKI30" s="2511"/>
      <c r="GKJ30" s="2511"/>
      <c r="GKK30" s="2511"/>
      <c r="GKL30" s="2511"/>
      <c r="GKM30" s="2511"/>
      <c r="GKN30" s="2511"/>
      <c r="GKO30" s="2511"/>
      <c r="GKP30" s="2511"/>
      <c r="GKQ30" s="2511"/>
      <c r="GKR30" s="2511"/>
      <c r="GKS30" s="2511"/>
      <c r="GKT30" s="2511"/>
      <c r="GKU30" s="2511"/>
      <c r="GKV30" s="2511"/>
      <c r="GKW30" s="2511"/>
      <c r="GKX30" s="2511"/>
      <c r="GKY30" s="2511"/>
      <c r="GKZ30" s="2511"/>
      <c r="GLA30" s="2511"/>
      <c r="GLB30" s="2511"/>
      <c r="GLC30" s="2511"/>
      <c r="GLD30" s="2511"/>
      <c r="GLE30" s="2511"/>
      <c r="GLF30" s="2511"/>
      <c r="GLG30" s="2511"/>
      <c r="GLH30" s="2511"/>
      <c r="GLI30" s="2511"/>
      <c r="GLJ30" s="2511"/>
      <c r="GLK30" s="2511"/>
      <c r="GLL30" s="2511"/>
      <c r="GLM30" s="2511"/>
      <c r="GLN30" s="2511"/>
      <c r="GLO30" s="2511"/>
      <c r="GLP30" s="2511"/>
      <c r="GLQ30" s="2511"/>
      <c r="GLR30" s="2511"/>
      <c r="GLS30" s="2511"/>
      <c r="GLT30" s="2511"/>
      <c r="GLU30" s="2511"/>
      <c r="GLV30" s="2511"/>
      <c r="GLW30" s="2511"/>
      <c r="GLX30" s="2511"/>
      <c r="GLY30" s="2511"/>
      <c r="GLZ30" s="2511"/>
      <c r="GMA30" s="2511"/>
      <c r="GMB30" s="2511"/>
      <c r="GMC30" s="2511"/>
      <c r="GMD30" s="2511"/>
      <c r="GME30" s="2511"/>
      <c r="GMF30" s="2511"/>
      <c r="GMG30" s="2511"/>
      <c r="GMH30" s="2511"/>
      <c r="GMI30" s="2511"/>
      <c r="GMJ30" s="2511"/>
      <c r="GMK30" s="2511"/>
      <c r="GML30" s="2511"/>
      <c r="GMM30" s="2511"/>
      <c r="GMN30" s="2511"/>
      <c r="GMO30" s="2511"/>
      <c r="GMP30" s="2511"/>
      <c r="GMQ30" s="2511"/>
      <c r="GMR30" s="2511"/>
      <c r="GMS30" s="2511"/>
      <c r="GMT30" s="2511"/>
      <c r="GMU30" s="2511"/>
      <c r="GMV30" s="2511"/>
      <c r="GMW30" s="2511"/>
      <c r="GMX30" s="2511"/>
      <c r="GMY30" s="2511"/>
      <c r="GMZ30" s="2511"/>
      <c r="GNA30" s="2511"/>
      <c r="GNB30" s="2511"/>
      <c r="GNC30" s="2511"/>
      <c r="GND30" s="2511"/>
      <c r="GNE30" s="2511"/>
      <c r="GNF30" s="2511"/>
      <c r="GNG30" s="2511"/>
      <c r="GNH30" s="2511"/>
      <c r="GNI30" s="2511"/>
      <c r="GNJ30" s="2511"/>
      <c r="GNK30" s="2511"/>
      <c r="GNL30" s="2511"/>
      <c r="GNM30" s="2511"/>
      <c r="GNN30" s="2511"/>
      <c r="GNO30" s="2511"/>
      <c r="GNP30" s="2511"/>
      <c r="GNQ30" s="2511"/>
      <c r="GNR30" s="2511"/>
      <c r="GNS30" s="2511"/>
      <c r="GNT30" s="2511"/>
      <c r="GNU30" s="2511"/>
      <c r="GNV30" s="2511"/>
      <c r="GNW30" s="2511"/>
      <c r="GNX30" s="2511"/>
      <c r="GNY30" s="2511"/>
      <c r="GNZ30" s="2511"/>
      <c r="GOA30" s="2511"/>
      <c r="GOB30" s="2511"/>
      <c r="GOC30" s="2511"/>
      <c r="GOD30" s="2511"/>
      <c r="GOE30" s="2511"/>
      <c r="GOF30" s="2511"/>
      <c r="GOG30" s="2511"/>
      <c r="GOH30" s="2511"/>
      <c r="GOI30" s="2511"/>
      <c r="GOJ30" s="2511"/>
      <c r="GOK30" s="2511"/>
      <c r="GOL30" s="2511"/>
      <c r="GOM30" s="2511"/>
      <c r="GON30" s="2511"/>
      <c r="GOO30" s="2511"/>
      <c r="GOP30" s="2511"/>
      <c r="GOQ30" s="2511"/>
      <c r="GOR30" s="2511"/>
      <c r="GOS30" s="2511"/>
      <c r="GOT30" s="2511"/>
      <c r="GOU30" s="2511"/>
      <c r="GOV30" s="2511"/>
      <c r="GOW30" s="2511"/>
      <c r="GOX30" s="2511"/>
      <c r="GOY30" s="2511"/>
      <c r="GOZ30" s="2511"/>
      <c r="GPA30" s="2511"/>
      <c r="GPB30" s="2511"/>
      <c r="GPC30" s="2511"/>
      <c r="GPD30" s="2511"/>
      <c r="GPE30" s="2511"/>
      <c r="GPF30" s="2511"/>
      <c r="GPG30" s="2511"/>
      <c r="GPH30" s="2511"/>
      <c r="GPI30" s="2511"/>
      <c r="GPJ30" s="2511"/>
      <c r="GPK30" s="2511"/>
      <c r="GPL30" s="2511"/>
      <c r="GPM30" s="2511"/>
      <c r="GPN30" s="2511"/>
      <c r="GPO30" s="2511"/>
      <c r="GPP30" s="2511"/>
      <c r="GPQ30" s="2511"/>
      <c r="GPR30" s="2511"/>
      <c r="GPS30" s="2511"/>
      <c r="GPT30" s="2511"/>
      <c r="GPU30" s="2511"/>
      <c r="GPV30" s="2511"/>
      <c r="GPW30" s="2511"/>
      <c r="GPX30" s="2511"/>
      <c r="GPY30" s="2511"/>
      <c r="GPZ30" s="2511"/>
      <c r="GQA30" s="2511"/>
      <c r="GQB30" s="2511"/>
      <c r="GQC30" s="2511"/>
      <c r="GQD30" s="2511"/>
      <c r="GQE30" s="2511"/>
      <c r="GQF30" s="2511"/>
      <c r="GQG30" s="2511"/>
      <c r="GQH30" s="2511"/>
      <c r="GQI30" s="2511"/>
      <c r="GQJ30" s="2511"/>
      <c r="GQK30" s="2511"/>
      <c r="GQL30" s="2511"/>
      <c r="GQM30" s="2511"/>
      <c r="GQN30" s="2511"/>
      <c r="GQO30" s="2511"/>
      <c r="GQP30" s="2511"/>
      <c r="GQQ30" s="2511"/>
      <c r="GQR30" s="2511"/>
      <c r="GQS30" s="2511"/>
      <c r="GQT30" s="2511"/>
      <c r="GQU30" s="2511"/>
      <c r="GQV30" s="2511"/>
      <c r="GQW30" s="2511"/>
      <c r="GQX30" s="2511"/>
      <c r="GQY30" s="2511"/>
      <c r="GQZ30" s="2511"/>
      <c r="GRA30" s="2511"/>
      <c r="GRB30" s="2511"/>
      <c r="GRC30" s="2511"/>
      <c r="GRD30" s="2511"/>
      <c r="GRE30" s="2511"/>
      <c r="GRF30" s="2511"/>
      <c r="GRG30" s="2511"/>
      <c r="GRH30" s="2511"/>
      <c r="GRI30" s="2511"/>
      <c r="GRJ30" s="2511"/>
      <c r="GRK30" s="2511"/>
      <c r="GRL30" s="2511"/>
      <c r="GRM30" s="2511"/>
      <c r="GRN30" s="2511"/>
      <c r="GRO30" s="2511"/>
      <c r="GRP30" s="2511"/>
      <c r="GRQ30" s="2511"/>
      <c r="GRR30" s="2511"/>
      <c r="GRS30" s="2511"/>
      <c r="GRT30" s="2511"/>
      <c r="GRU30" s="2511"/>
      <c r="GRV30" s="2511"/>
      <c r="GRW30" s="2511"/>
      <c r="GRX30" s="2511"/>
      <c r="GRY30" s="2511"/>
      <c r="GRZ30" s="2511"/>
      <c r="GSA30" s="2511"/>
      <c r="GSB30" s="2511"/>
      <c r="GSC30" s="2511"/>
      <c r="GSD30" s="2511"/>
      <c r="GSE30" s="2511"/>
      <c r="GSF30" s="2511"/>
      <c r="GSG30" s="2511"/>
      <c r="GSH30" s="2511"/>
      <c r="GSI30" s="2511"/>
      <c r="GSJ30" s="2511"/>
      <c r="GSK30" s="2511"/>
      <c r="GSL30" s="2511"/>
      <c r="GSM30" s="2511"/>
      <c r="GSN30" s="2511"/>
      <c r="GSO30" s="2511"/>
      <c r="GSP30" s="2511"/>
      <c r="GSQ30" s="2511"/>
      <c r="GSR30" s="2511"/>
      <c r="GSS30" s="2511"/>
      <c r="GST30" s="2511"/>
      <c r="GSU30" s="2511"/>
      <c r="GSV30" s="2511"/>
      <c r="GSW30" s="2511"/>
      <c r="GSX30" s="2511"/>
      <c r="GSY30" s="2511"/>
      <c r="GSZ30" s="2511"/>
      <c r="GTA30" s="2511"/>
      <c r="GTB30" s="2511"/>
      <c r="GTC30" s="2511"/>
      <c r="GTD30" s="2511"/>
      <c r="GTE30" s="2511"/>
      <c r="GTF30" s="2511"/>
      <c r="GTG30" s="2511"/>
      <c r="GTH30" s="2511"/>
      <c r="GTI30" s="2511"/>
      <c r="GTJ30" s="2511"/>
      <c r="GTK30" s="2511"/>
      <c r="GTL30" s="2511"/>
      <c r="GTM30" s="2511"/>
      <c r="GTN30" s="2511"/>
      <c r="GTO30" s="2511"/>
      <c r="GTP30" s="2511"/>
      <c r="GTQ30" s="2511"/>
      <c r="GTR30" s="2511"/>
      <c r="GTS30" s="2511"/>
      <c r="GTT30" s="2511"/>
      <c r="GTU30" s="2511"/>
      <c r="GTV30" s="2511"/>
      <c r="GTW30" s="2511"/>
      <c r="GTX30" s="2511"/>
      <c r="GTY30" s="2511"/>
      <c r="GTZ30" s="2511"/>
      <c r="GUA30" s="2511"/>
      <c r="GUB30" s="2511"/>
      <c r="GUC30" s="2511"/>
      <c r="GUD30" s="2511"/>
      <c r="GUE30" s="2511"/>
      <c r="GUF30" s="2511"/>
      <c r="GUG30" s="2511"/>
      <c r="GUH30" s="2511"/>
      <c r="GUI30" s="2511"/>
      <c r="GUJ30" s="2511"/>
      <c r="GUK30" s="2511"/>
      <c r="GUL30" s="2511"/>
      <c r="GUM30" s="2511"/>
      <c r="GUN30" s="2511"/>
      <c r="GUO30" s="2511"/>
      <c r="GUP30" s="2511"/>
      <c r="GUQ30" s="2511"/>
      <c r="GUR30" s="2511"/>
      <c r="GUS30" s="2511"/>
      <c r="GUT30" s="2511"/>
      <c r="GUU30" s="2511"/>
      <c r="GUV30" s="2511"/>
      <c r="GUW30" s="2511"/>
      <c r="GUX30" s="2511"/>
      <c r="GUY30" s="2511"/>
      <c r="GUZ30" s="2511"/>
      <c r="GVA30" s="2511"/>
      <c r="GVB30" s="2511"/>
      <c r="GVC30" s="2511"/>
      <c r="GVD30" s="2511"/>
      <c r="GVE30" s="2511"/>
      <c r="GVF30" s="2511"/>
      <c r="GVG30" s="2511"/>
      <c r="GVH30" s="2511"/>
      <c r="GVI30" s="2511"/>
      <c r="GVJ30" s="2511"/>
      <c r="GVK30" s="2511"/>
      <c r="GVL30" s="2511"/>
      <c r="GVM30" s="2511"/>
      <c r="GVN30" s="2511"/>
      <c r="GVO30" s="2511"/>
      <c r="GVP30" s="2511"/>
      <c r="GVQ30" s="2511"/>
      <c r="GVR30" s="2511"/>
      <c r="GVS30" s="2511"/>
      <c r="GVT30" s="2511"/>
      <c r="GVU30" s="2511"/>
      <c r="GVV30" s="2511"/>
      <c r="GVW30" s="2511"/>
      <c r="GVX30" s="2511"/>
      <c r="GVY30" s="2511"/>
      <c r="GVZ30" s="2511"/>
      <c r="GWA30" s="2511"/>
      <c r="GWB30" s="2511"/>
      <c r="GWC30" s="2511"/>
      <c r="GWD30" s="2511"/>
      <c r="GWE30" s="2511"/>
      <c r="GWF30" s="2511"/>
      <c r="GWG30" s="2511"/>
      <c r="GWH30" s="2511"/>
      <c r="GWI30" s="2511"/>
      <c r="GWJ30" s="2511"/>
      <c r="GWK30" s="2511"/>
      <c r="GWL30" s="2511"/>
      <c r="GWM30" s="2511"/>
      <c r="GWN30" s="2511"/>
      <c r="GWO30" s="2511"/>
      <c r="GWP30" s="2511"/>
      <c r="GWQ30" s="2511"/>
      <c r="GWR30" s="2511"/>
      <c r="GWS30" s="2511"/>
      <c r="GWT30" s="2511"/>
      <c r="GWU30" s="2511"/>
      <c r="GWV30" s="2511"/>
      <c r="GWW30" s="2511"/>
      <c r="GWX30" s="2511"/>
      <c r="GWY30" s="2511"/>
      <c r="GWZ30" s="2511"/>
      <c r="GXA30" s="2511"/>
      <c r="GXB30" s="2511"/>
      <c r="GXC30" s="2511"/>
      <c r="GXD30" s="2511"/>
      <c r="GXE30" s="2511"/>
      <c r="GXF30" s="2511"/>
      <c r="GXG30" s="2511"/>
      <c r="GXH30" s="2511"/>
      <c r="GXI30" s="2511"/>
      <c r="GXJ30" s="2511"/>
      <c r="GXK30" s="2511"/>
      <c r="GXL30" s="2511"/>
      <c r="GXM30" s="2511"/>
      <c r="GXN30" s="2511"/>
      <c r="GXO30" s="2511"/>
      <c r="GXP30" s="2511"/>
      <c r="GXQ30" s="2511"/>
      <c r="GXR30" s="2511"/>
      <c r="GXS30" s="2511"/>
      <c r="GXT30" s="2511"/>
      <c r="GXU30" s="2511"/>
      <c r="GXV30" s="2511"/>
      <c r="GXW30" s="2511"/>
      <c r="GXX30" s="2511"/>
      <c r="GXY30" s="2511"/>
      <c r="GXZ30" s="2511"/>
      <c r="GYA30" s="2511"/>
      <c r="GYB30" s="2511"/>
      <c r="GYC30" s="2511"/>
      <c r="GYD30" s="2511"/>
      <c r="GYE30" s="2511"/>
      <c r="GYF30" s="2511"/>
      <c r="GYG30" s="2511"/>
      <c r="GYH30" s="2511"/>
      <c r="GYI30" s="2511"/>
      <c r="GYJ30" s="2511"/>
      <c r="GYK30" s="2511"/>
      <c r="GYL30" s="2511"/>
      <c r="GYM30" s="2511"/>
      <c r="GYN30" s="2511"/>
      <c r="GYO30" s="2511"/>
      <c r="GYP30" s="2511"/>
      <c r="GYQ30" s="2511"/>
      <c r="GYR30" s="2511"/>
      <c r="GYS30" s="2511"/>
      <c r="GYT30" s="2511"/>
      <c r="GYU30" s="2511"/>
      <c r="GYV30" s="2511"/>
      <c r="GYW30" s="2511"/>
      <c r="GYX30" s="2511"/>
      <c r="GYY30" s="2511"/>
      <c r="GYZ30" s="2511"/>
      <c r="GZA30" s="2511"/>
      <c r="GZB30" s="2511"/>
      <c r="GZC30" s="2511"/>
      <c r="GZD30" s="2511"/>
      <c r="GZE30" s="2511"/>
      <c r="GZF30" s="2511"/>
      <c r="GZG30" s="2511"/>
      <c r="GZH30" s="2511"/>
      <c r="GZI30" s="2511"/>
      <c r="GZJ30" s="2511"/>
      <c r="GZK30" s="2511"/>
      <c r="GZL30" s="2511"/>
      <c r="GZM30" s="2511"/>
      <c r="GZN30" s="2511"/>
      <c r="GZO30" s="2511"/>
      <c r="GZP30" s="2511"/>
      <c r="GZQ30" s="2511"/>
      <c r="GZR30" s="2511"/>
      <c r="GZS30" s="2511"/>
      <c r="GZT30" s="2511"/>
      <c r="GZU30" s="2511"/>
      <c r="GZV30" s="2511"/>
      <c r="GZW30" s="2511"/>
      <c r="GZX30" s="2511"/>
      <c r="GZY30" s="2511"/>
      <c r="GZZ30" s="2511"/>
      <c r="HAA30" s="2511"/>
      <c r="HAB30" s="2511"/>
      <c r="HAC30" s="2511"/>
      <c r="HAD30" s="2511"/>
      <c r="HAE30" s="2511"/>
      <c r="HAF30" s="2511"/>
      <c r="HAG30" s="2511"/>
      <c r="HAH30" s="2511"/>
      <c r="HAI30" s="2511"/>
      <c r="HAJ30" s="2511"/>
      <c r="HAK30" s="2511"/>
      <c r="HAL30" s="2511"/>
      <c r="HAM30" s="2511"/>
      <c r="HAN30" s="2511"/>
      <c r="HAO30" s="2511"/>
      <c r="HAP30" s="2511"/>
      <c r="HAQ30" s="2511"/>
      <c r="HAR30" s="2511"/>
      <c r="HAS30" s="2511"/>
      <c r="HAT30" s="2511"/>
      <c r="HAU30" s="2511"/>
      <c r="HAV30" s="2511"/>
      <c r="HAW30" s="2511"/>
      <c r="HAX30" s="2511"/>
      <c r="HAY30" s="2511"/>
      <c r="HAZ30" s="2511"/>
      <c r="HBA30" s="2511"/>
      <c r="HBB30" s="2511"/>
      <c r="HBC30" s="2511"/>
      <c r="HBD30" s="2511"/>
      <c r="HBE30" s="2511"/>
      <c r="HBF30" s="2511"/>
      <c r="HBG30" s="2511"/>
      <c r="HBH30" s="2511"/>
      <c r="HBI30" s="2511"/>
      <c r="HBJ30" s="2511"/>
      <c r="HBK30" s="2511"/>
      <c r="HBL30" s="2511"/>
      <c r="HBM30" s="2511"/>
      <c r="HBN30" s="2511"/>
      <c r="HBO30" s="2511"/>
      <c r="HBP30" s="2511"/>
      <c r="HBQ30" s="2511"/>
      <c r="HBR30" s="2511"/>
      <c r="HBS30" s="2511"/>
      <c r="HBT30" s="2511"/>
      <c r="HBU30" s="2511"/>
      <c r="HBV30" s="2511"/>
      <c r="HBW30" s="2511"/>
      <c r="HBX30" s="2511"/>
      <c r="HBY30" s="2511"/>
      <c r="HBZ30" s="2511"/>
      <c r="HCA30" s="2511"/>
      <c r="HCB30" s="2511"/>
      <c r="HCC30" s="2511"/>
      <c r="HCD30" s="2511"/>
      <c r="HCE30" s="2511"/>
      <c r="HCF30" s="2511"/>
      <c r="HCG30" s="2511"/>
      <c r="HCH30" s="2511"/>
      <c r="HCI30" s="2511"/>
      <c r="HCJ30" s="2511"/>
      <c r="HCK30" s="2511"/>
      <c r="HCL30" s="2511"/>
      <c r="HCM30" s="2511"/>
      <c r="HCN30" s="2511"/>
      <c r="HCO30" s="2511"/>
      <c r="HCP30" s="2511"/>
      <c r="HCQ30" s="2511"/>
      <c r="HCR30" s="2511"/>
      <c r="HCS30" s="2511"/>
      <c r="HCT30" s="2511"/>
      <c r="HCU30" s="2511"/>
      <c r="HCV30" s="2511"/>
      <c r="HCW30" s="2511"/>
      <c r="HCX30" s="2511"/>
      <c r="HCY30" s="2511"/>
      <c r="HCZ30" s="2511"/>
      <c r="HDA30" s="2511"/>
      <c r="HDB30" s="2511"/>
      <c r="HDC30" s="2511"/>
      <c r="HDD30" s="2511"/>
      <c r="HDE30" s="2511"/>
      <c r="HDF30" s="2511"/>
      <c r="HDG30" s="2511"/>
      <c r="HDH30" s="2511"/>
      <c r="HDI30" s="2511"/>
      <c r="HDJ30" s="2511"/>
      <c r="HDK30" s="2511"/>
      <c r="HDL30" s="2511"/>
      <c r="HDM30" s="2511"/>
      <c r="HDN30" s="2511"/>
      <c r="HDO30" s="2511"/>
      <c r="HDP30" s="2511"/>
      <c r="HDQ30" s="2511"/>
      <c r="HDR30" s="2511"/>
      <c r="HDS30" s="2511"/>
      <c r="HDT30" s="2511"/>
      <c r="HDU30" s="2511"/>
      <c r="HDV30" s="2511"/>
      <c r="HDW30" s="2511"/>
      <c r="HDX30" s="2511"/>
      <c r="HDY30" s="2511"/>
      <c r="HDZ30" s="2511"/>
      <c r="HEA30" s="2511"/>
      <c r="HEB30" s="2511"/>
      <c r="HEC30" s="2511"/>
      <c r="HED30" s="2511"/>
      <c r="HEE30" s="2511"/>
      <c r="HEF30" s="2511"/>
      <c r="HEG30" s="2511"/>
      <c r="HEH30" s="2511"/>
      <c r="HEI30" s="2511"/>
      <c r="HEJ30" s="2511"/>
      <c r="HEK30" s="2511"/>
      <c r="HEL30" s="2511"/>
      <c r="HEM30" s="2511"/>
      <c r="HEN30" s="2511"/>
      <c r="HEO30" s="2511"/>
      <c r="HEP30" s="2511"/>
      <c r="HEQ30" s="2511"/>
      <c r="HER30" s="2511"/>
      <c r="HES30" s="2511"/>
      <c r="HET30" s="2511"/>
      <c r="HEU30" s="2511"/>
      <c r="HEV30" s="2511"/>
      <c r="HEW30" s="2511"/>
      <c r="HEX30" s="2511"/>
      <c r="HEY30" s="2511"/>
      <c r="HEZ30" s="2511"/>
      <c r="HFA30" s="2511"/>
      <c r="HFB30" s="2511"/>
      <c r="HFC30" s="2511"/>
      <c r="HFD30" s="2511"/>
      <c r="HFE30" s="2511"/>
      <c r="HFF30" s="2511"/>
      <c r="HFG30" s="2511"/>
      <c r="HFH30" s="2511"/>
      <c r="HFI30" s="2511"/>
      <c r="HFJ30" s="2511"/>
      <c r="HFK30" s="2511"/>
      <c r="HFL30" s="2511"/>
      <c r="HFM30" s="2511"/>
      <c r="HFN30" s="2511"/>
      <c r="HFO30" s="2511"/>
      <c r="HFP30" s="2511"/>
      <c r="HFQ30" s="2511"/>
      <c r="HFR30" s="2511"/>
      <c r="HFS30" s="2511"/>
      <c r="HFT30" s="2511"/>
      <c r="HFU30" s="2511"/>
      <c r="HFV30" s="2511"/>
      <c r="HFW30" s="2511"/>
      <c r="HFX30" s="2511"/>
      <c r="HFY30" s="2511"/>
      <c r="HFZ30" s="2511"/>
      <c r="HGA30" s="2511"/>
      <c r="HGB30" s="2511"/>
      <c r="HGC30" s="2511"/>
      <c r="HGD30" s="2511"/>
      <c r="HGE30" s="2511"/>
      <c r="HGF30" s="2511"/>
      <c r="HGG30" s="2511"/>
      <c r="HGH30" s="2511"/>
      <c r="HGI30" s="2511"/>
      <c r="HGJ30" s="2511"/>
      <c r="HGK30" s="2511"/>
      <c r="HGL30" s="2511"/>
      <c r="HGM30" s="2511"/>
      <c r="HGN30" s="2511"/>
      <c r="HGO30" s="2511"/>
      <c r="HGP30" s="2511"/>
      <c r="HGQ30" s="2511"/>
      <c r="HGR30" s="2511"/>
      <c r="HGS30" s="2511"/>
      <c r="HGT30" s="2511"/>
      <c r="HGU30" s="2511"/>
      <c r="HGV30" s="2511"/>
      <c r="HGW30" s="2511"/>
      <c r="HGX30" s="2511"/>
      <c r="HGY30" s="2511"/>
      <c r="HGZ30" s="2511"/>
      <c r="HHA30" s="2511"/>
      <c r="HHB30" s="2511"/>
      <c r="HHC30" s="2511"/>
      <c r="HHD30" s="2511"/>
      <c r="HHE30" s="2511"/>
      <c r="HHF30" s="2511"/>
      <c r="HHG30" s="2511"/>
      <c r="HHH30" s="2511"/>
      <c r="HHI30" s="2511"/>
      <c r="HHJ30" s="2511"/>
      <c r="HHK30" s="2511"/>
      <c r="HHL30" s="2511"/>
      <c r="HHM30" s="2511"/>
      <c r="HHN30" s="2511"/>
      <c r="HHO30" s="2511"/>
      <c r="HHP30" s="2511"/>
      <c r="HHQ30" s="2511"/>
      <c r="HHR30" s="2511"/>
      <c r="HHS30" s="2511"/>
      <c r="HHT30" s="2511"/>
      <c r="HHU30" s="2511"/>
      <c r="HHV30" s="2511"/>
      <c r="HHW30" s="2511"/>
      <c r="HHX30" s="2511"/>
      <c r="HHY30" s="2511"/>
      <c r="HHZ30" s="2511"/>
      <c r="HIA30" s="2511"/>
      <c r="HIB30" s="2511"/>
      <c r="HIC30" s="2511"/>
      <c r="HID30" s="2511"/>
      <c r="HIE30" s="2511"/>
      <c r="HIF30" s="2511"/>
      <c r="HIG30" s="2511"/>
      <c r="HIH30" s="2511"/>
      <c r="HII30" s="2511"/>
      <c r="HIJ30" s="2511"/>
      <c r="HIK30" s="2511"/>
      <c r="HIL30" s="2511"/>
      <c r="HIM30" s="2511"/>
      <c r="HIN30" s="2511"/>
      <c r="HIO30" s="2511"/>
      <c r="HIP30" s="2511"/>
      <c r="HIQ30" s="2511"/>
      <c r="HIR30" s="2511"/>
      <c r="HIS30" s="2511"/>
      <c r="HIT30" s="2511"/>
      <c r="HIU30" s="2511"/>
      <c r="HIV30" s="2511"/>
      <c r="HIW30" s="2511"/>
      <c r="HIX30" s="2511"/>
      <c r="HIY30" s="2511"/>
      <c r="HIZ30" s="2511"/>
      <c r="HJA30" s="2511"/>
      <c r="HJB30" s="2511"/>
      <c r="HJC30" s="2511"/>
      <c r="HJD30" s="2511"/>
      <c r="HJE30" s="2511"/>
      <c r="HJF30" s="2511"/>
      <c r="HJG30" s="2511"/>
      <c r="HJH30" s="2511"/>
      <c r="HJI30" s="2511"/>
      <c r="HJJ30" s="2511"/>
      <c r="HJK30" s="2511"/>
      <c r="HJL30" s="2511"/>
      <c r="HJM30" s="2511"/>
      <c r="HJN30" s="2511"/>
      <c r="HJO30" s="2511"/>
      <c r="HJP30" s="2511"/>
      <c r="HJQ30" s="2511"/>
      <c r="HJR30" s="2511"/>
      <c r="HJS30" s="2511"/>
      <c r="HJT30" s="2511"/>
      <c r="HJU30" s="2511"/>
      <c r="HJV30" s="2511"/>
      <c r="HJW30" s="2511"/>
      <c r="HJX30" s="2511"/>
      <c r="HJY30" s="2511"/>
      <c r="HJZ30" s="2511"/>
      <c r="HKA30" s="2511"/>
      <c r="HKB30" s="2511"/>
      <c r="HKC30" s="2511"/>
      <c r="HKD30" s="2511"/>
      <c r="HKE30" s="2511"/>
      <c r="HKF30" s="2511"/>
      <c r="HKG30" s="2511"/>
      <c r="HKH30" s="2511"/>
      <c r="HKI30" s="2511"/>
      <c r="HKJ30" s="2511"/>
      <c r="HKK30" s="2511"/>
      <c r="HKL30" s="2511"/>
      <c r="HKM30" s="2511"/>
      <c r="HKN30" s="2511"/>
      <c r="HKO30" s="2511"/>
      <c r="HKP30" s="2511"/>
      <c r="HKQ30" s="2511"/>
      <c r="HKR30" s="2511"/>
      <c r="HKS30" s="2511"/>
      <c r="HKT30" s="2511"/>
      <c r="HKU30" s="2511"/>
      <c r="HKV30" s="2511"/>
      <c r="HKW30" s="2511"/>
      <c r="HKX30" s="2511"/>
      <c r="HKY30" s="2511"/>
      <c r="HKZ30" s="2511"/>
      <c r="HLA30" s="2511"/>
      <c r="HLB30" s="2511"/>
      <c r="HLC30" s="2511"/>
      <c r="HLD30" s="2511"/>
      <c r="HLE30" s="2511"/>
      <c r="HLF30" s="2511"/>
      <c r="HLG30" s="2511"/>
      <c r="HLH30" s="2511"/>
      <c r="HLI30" s="2511"/>
      <c r="HLJ30" s="2511"/>
      <c r="HLK30" s="2511"/>
      <c r="HLL30" s="2511"/>
      <c r="HLM30" s="2511"/>
      <c r="HLN30" s="2511"/>
      <c r="HLO30" s="2511"/>
      <c r="HLP30" s="2511"/>
      <c r="HLQ30" s="2511"/>
      <c r="HLR30" s="2511"/>
      <c r="HLS30" s="2511"/>
      <c r="HLT30" s="2511"/>
      <c r="HLU30" s="2511"/>
      <c r="HLV30" s="2511"/>
      <c r="HLW30" s="2511"/>
      <c r="HLX30" s="2511"/>
      <c r="HLY30" s="2511"/>
      <c r="HLZ30" s="2511"/>
      <c r="HMA30" s="2511"/>
      <c r="HMB30" s="2511"/>
      <c r="HMC30" s="2511"/>
      <c r="HMD30" s="2511"/>
      <c r="HME30" s="2511"/>
      <c r="HMF30" s="2511"/>
      <c r="HMG30" s="2511"/>
      <c r="HMH30" s="2511"/>
      <c r="HMI30" s="2511"/>
      <c r="HMJ30" s="2511"/>
      <c r="HMK30" s="2511"/>
      <c r="HML30" s="2511"/>
      <c r="HMM30" s="2511"/>
      <c r="HMN30" s="2511"/>
      <c r="HMO30" s="2511"/>
      <c r="HMP30" s="2511"/>
      <c r="HMQ30" s="2511"/>
      <c r="HMR30" s="2511"/>
      <c r="HMS30" s="2511"/>
      <c r="HMT30" s="2511"/>
      <c r="HMU30" s="2511"/>
      <c r="HMV30" s="2511"/>
      <c r="HMW30" s="2511"/>
      <c r="HMX30" s="2511"/>
      <c r="HMY30" s="2511"/>
      <c r="HMZ30" s="2511"/>
      <c r="HNA30" s="2511"/>
      <c r="HNB30" s="2511"/>
      <c r="HNC30" s="2511"/>
      <c r="HND30" s="2511"/>
      <c r="HNE30" s="2511"/>
      <c r="HNF30" s="2511"/>
      <c r="HNG30" s="2511"/>
      <c r="HNH30" s="2511"/>
      <c r="HNI30" s="2511"/>
      <c r="HNJ30" s="2511"/>
      <c r="HNK30" s="2511"/>
      <c r="HNL30" s="2511"/>
      <c r="HNM30" s="2511"/>
      <c r="HNN30" s="2511"/>
      <c r="HNO30" s="2511"/>
      <c r="HNP30" s="2511"/>
      <c r="HNQ30" s="2511"/>
      <c r="HNR30" s="2511"/>
      <c r="HNS30" s="2511"/>
      <c r="HNT30" s="2511"/>
      <c r="HNU30" s="2511"/>
      <c r="HNV30" s="2511"/>
      <c r="HNW30" s="2511"/>
      <c r="HNX30" s="2511"/>
      <c r="HNY30" s="2511"/>
      <c r="HNZ30" s="2511"/>
      <c r="HOA30" s="2511"/>
      <c r="HOB30" s="2511"/>
      <c r="HOC30" s="2511"/>
      <c r="HOD30" s="2511"/>
      <c r="HOE30" s="2511"/>
      <c r="HOF30" s="2511"/>
      <c r="HOG30" s="2511"/>
      <c r="HOH30" s="2511"/>
      <c r="HOI30" s="2511"/>
      <c r="HOJ30" s="2511"/>
      <c r="HOK30" s="2511"/>
      <c r="HOL30" s="2511"/>
      <c r="HOM30" s="2511"/>
      <c r="HON30" s="2511"/>
      <c r="HOO30" s="2511"/>
      <c r="HOP30" s="2511"/>
      <c r="HOQ30" s="2511"/>
      <c r="HOR30" s="2511"/>
      <c r="HOS30" s="2511"/>
      <c r="HOT30" s="2511"/>
      <c r="HOU30" s="2511"/>
      <c r="HOV30" s="2511"/>
      <c r="HOW30" s="2511"/>
      <c r="HOX30" s="2511"/>
      <c r="HOY30" s="2511"/>
      <c r="HOZ30" s="2511"/>
      <c r="HPA30" s="2511"/>
      <c r="HPB30" s="2511"/>
      <c r="HPC30" s="2511"/>
      <c r="HPD30" s="2511"/>
      <c r="HPE30" s="2511"/>
      <c r="HPF30" s="2511"/>
      <c r="HPG30" s="2511"/>
      <c r="HPH30" s="2511"/>
      <c r="HPI30" s="2511"/>
      <c r="HPJ30" s="2511"/>
      <c r="HPK30" s="2511"/>
      <c r="HPL30" s="2511"/>
      <c r="HPM30" s="2511"/>
      <c r="HPN30" s="2511"/>
      <c r="HPO30" s="2511"/>
      <c r="HPP30" s="2511"/>
      <c r="HPQ30" s="2511"/>
      <c r="HPR30" s="2511"/>
      <c r="HPS30" s="2511"/>
      <c r="HPT30" s="2511"/>
      <c r="HPU30" s="2511"/>
      <c r="HPV30" s="2511"/>
      <c r="HPW30" s="2511"/>
      <c r="HPX30" s="2511"/>
      <c r="HPY30" s="2511"/>
      <c r="HPZ30" s="2511"/>
      <c r="HQA30" s="2511"/>
      <c r="HQB30" s="2511"/>
      <c r="HQC30" s="2511"/>
      <c r="HQD30" s="2511"/>
      <c r="HQE30" s="2511"/>
      <c r="HQF30" s="2511"/>
      <c r="HQG30" s="2511"/>
      <c r="HQH30" s="2511"/>
      <c r="HQI30" s="2511"/>
      <c r="HQJ30" s="2511"/>
      <c r="HQK30" s="2511"/>
      <c r="HQL30" s="2511"/>
      <c r="HQM30" s="2511"/>
      <c r="HQN30" s="2511"/>
      <c r="HQO30" s="2511"/>
      <c r="HQP30" s="2511"/>
      <c r="HQQ30" s="2511"/>
      <c r="HQR30" s="2511"/>
      <c r="HQS30" s="2511"/>
      <c r="HQT30" s="2511"/>
      <c r="HQU30" s="2511"/>
      <c r="HQV30" s="2511"/>
      <c r="HQW30" s="2511"/>
      <c r="HQX30" s="2511"/>
      <c r="HQY30" s="2511"/>
      <c r="HQZ30" s="2511"/>
      <c r="HRA30" s="2511"/>
      <c r="HRB30" s="2511"/>
      <c r="HRC30" s="2511"/>
      <c r="HRD30" s="2511"/>
      <c r="HRE30" s="2511"/>
      <c r="HRF30" s="2511"/>
      <c r="HRG30" s="2511"/>
      <c r="HRH30" s="2511"/>
      <c r="HRI30" s="2511"/>
      <c r="HRJ30" s="2511"/>
      <c r="HRK30" s="2511"/>
      <c r="HRL30" s="2511"/>
      <c r="HRM30" s="2511"/>
      <c r="HRN30" s="2511"/>
      <c r="HRO30" s="2511"/>
      <c r="HRP30" s="2511"/>
      <c r="HRQ30" s="2511"/>
      <c r="HRR30" s="2511"/>
      <c r="HRS30" s="2511"/>
      <c r="HRT30" s="2511"/>
      <c r="HRU30" s="2511"/>
      <c r="HRV30" s="2511"/>
      <c r="HRW30" s="2511"/>
      <c r="HRX30" s="2511"/>
      <c r="HRY30" s="2511"/>
      <c r="HRZ30" s="2511"/>
      <c r="HSA30" s="2511"/>
      <c r="HSB30" s="2511"/>
      <c r="HSC30" s="2511"/>
      <c r="HSD30" s="2511"/>
      <c r="HSE30" s="2511"/>
      <c r="HSF30" s="2511"/>
      <c r="HSG30" s="2511"/>
      <c r="HSH30" s="2511"/>
      <c r="HSI30" s="2511"/>
      <c r="HSJ30" s="2511"/>
      <c r="HSK30" s="2511"/>
      <c r="HSL30" s="2511"/>
      <c r="HSM30" s="2511"/>
      <c r="HSN30" s="2511"/>
      <c r="HSO30" s="2511"/>
      <c r="HSP30" s="2511"/>
      <c r="HSQ30" s="2511"/>
      <c r="HSR30" s="2511"/>
      <c r="HSS30" s="2511"/>
      <c r="HST30" s="2511"/>
      <c r="HSU30" s="2511"/>
      <c r="HSV30" s="2511"/>
      <c r="HSW30" s="2511"/>
      <c r="HSX30" s="2511"/>
      <c r="HSY30" s="2511"/>
      <c r="HSZ30" s="2511"/>
      <c r="HTA30" s="2511"/>
      <c r="HTB30" s="2511"/>
      <c r="HTC30" s="2511"/>
      <c r="HTD30" s="2511"/>
      <c r="HTE30" s="2511"/>
      <c r="HTF30" s="2511"/>
      <c r="HTG30" s="2511"/>
      <c r="HTH30" s="2511"/>
      <c r="HTI30" s="2511"/>
      <c r="HTJ30" s="2511"/>
      <c r="HTK30" s="2511"/>
      <c r="HTL30" s="2511"/>
      <c r="HTM30" s="2511"/>
      <c r="HTN30" s="2511"/>
      <c r="HTO30" s="2511"/>
      <c r="HTP30" s="2511"/>
      <c r="HTQ30" s="2511"/>
      <c r="HTR30" s="2511"/>
      <c r="HTS30" s="2511"/>
      <c r="HTT30" s="2511"/>
      <c r="HTU30" s="2511"/>
      <c r="HTV30" s="2511"/>
      <c r="HTW30" s="2511"/>
      <c r="HTX30" s="2511"/>
      <c r="HTY30" s="2511"/>
      <c r="HTZ30" s="2511"/>
      <c r="HUA30" s="2511"/>
      <c r="HUB30" s="2511"/>
      <c r="HUC30" s="2511"/>
      <c r="HUD30" s="2511"/>
      <c r="HUE30" s="2511"/>
      <c r="HUF30" s="2511"/>
      <c r="HUG30" s="2511"/>
      <c r="HUH30" s="2511"/>
      <c r="HUI30" s="2511"/>
      <c r="HUJ30" s="2511"/>
      <c r="HUK30" s="2511"/>
      <c r="HUL30" s="2511"/>
      <c r="HUM30" s="2511"/>
      <c r="HUN30" s="2511"/>
      <c r="HUO30" s="2511"/>
      <c r="HUP30" s="2511"/>
      <c r="HUQ30" s="2511"/>
      <c r="HUR30" s="2511"/>
      <c r="HUS30" s="2511"/>
      <c r="HUT30" s="2511"/>
      <c r="HUU30" s="2511"/>
      <c r="HUV30" s="2511"/>
      <c r="HUW30" s="2511"/>
      <c r="HUX30" s="2511"/>
      <c r="HUY30" s="2511"/>
      <c r="HUZ30" s="2511"/>
      <c r="HVA30" s="2511"/>
      <c r="HVB30" s="2511"/>
      <c r="HVC30" s="2511"/>
      <c r="HVD30" s="2511"/>
      <c r="HVE30" s="2511"/>
      <c r="HVF30" s="2511"/>
      <c r="HVG30" s="2511"/>
      <c r="HVH30" s="2511"/>
      <c r="HVI30" s="2511"/>
      <c r="HVJ30" s="2511"/>
      <c r="HVK30" s="2511"/>
      <c r="HVL30" s="2511"/>
      <c r="HVM30" s="2511"/>
      <c r="HVN30" s="2511"/>
      <c r="HVO30" s="2511"/>
      <c r="HVP30" s="2511"/>
      <c r="HVQ30" s="2511"/>
      <c r="HVR30" s="2511"/>
      <c r="HVS30" s="2511"/>
      <c r="HVT30" s="2511"/>
      <c r="HVU30" s="2511"/>
      <c r="HVV30" s="2511"/>
      <c r="HVW30" s="2511"/>
      <c r="HVX30" s="2511"/>
      <c r="HVY30" s="2511"/>
      <c r="HVZ30" s="2511"/>
      <c r="HWA30" s="2511"/>
      <c r="HWB30" s="2511"/>
      <c r="HWC30" s="2511"/>
      <c r="HWD30" s="2511"/>
      <c r="HWE30" s="2511"/>
      <c r="HWF30" s="2511"/>
      <c r="HWG30" s="2511"/>
      <c r="HWH30" s="2511"/>
      <c r="HWI30" s="2511"/>
      <c r="HWJ30" s="2511"/>
      <c r="HWK30" s="2511"/>
      <c r="HWL30" s="2511"/>
      <c r="HWM30" s="2511"/>
      <c r="HWN30" s="2511"/>
      <c r="HWO30" s="2511"/>
      <c r="HWP30" s="2511"/>
      <c r="HWQ30" s="2511"/>
      <c r="HWR30" s="2511"/>
      <c r="HWS30" s="2511"/>
      <c r="HWT30" s="2511"/>
      <c r="HWU30" s="2511"/>
      <c r="HWV30" s="2511"/>
      <c r="HWW30" s="2511"/>
      <c r="HWX30" s="2511"/>
      <c r="HWY30" s="2511"/>
      <c r="HWZ30" s="2511"/>
      <c r="HXA30" s="2511"/>
      <c r="HXB30" s="2511"/>
      <c r="HXC30" s="2511"/>
      <c r="HXD30" s="2511"/>
      <c r="HXE30" s="2511"/>
      <c r="HXF30" s="2511"/>
      <c r="HXG30" s="2511"/>
      <c r="HXH30" s="2511"/>
      <c r="HXI30" s="2511"/>
      <c r="HXJ30" s="2511"/>
      <c r="HXK30" s="2511"/>
      <c r="HXL30" s="2511"/>
      <c r="HXM30" s="2511"/>
      <c r="HXN30" s="2511"/>
      <c r="HXO30" s="2511"/>
      <c r="HXP30" s="2511"/>
      <c r="HXQ30" s="2511"/>
      <c r="HXR30" s="2511"/>
      <c r="HXS30" s="2511"/>
      <c r="HXT30" s="2511"/>
      <c r="HXU30" s="2511"/>
      <c r="HXV30" s="2511"/>
      <c r="HXW30" s="2511"/>
      <c r="HXX30" s="2511"/>
      <c r="HXY30" s="2511"/>
      <c r="HXZ30" s="2511"/>
      <c r="HYA30" s="2511"/>
      <c r="HYB30" s="2511"/>
      <c r="HYC30" s="2511"/>
      <c r="HYD30" s="2511"/>
      <c r="HYE30" s="2511"/>
      <c r="HYF30" s="2511"/>
      <c r="HYG30" s="2511"/>
      <c r="HYH30" s="2511"/>
      <c r="HYI30" s="2511"/>
      <c r="HYJ30" s="2511"/>
      <c r="HYK30" s="2511"/>
      <c r="HYL30" s="2511"/>
      <c r="HYM30" s="2511"/>
      <c r="HYN30" s="2511"/>
      <c r="HYO30" s="2511"/>
      <c r="HYP30" s="2511"/>
      <c r="HYQ30" s="2511"/>
      <c r="HYR30" s="2511"/>
      <c r="HYS30" s="2511"/>
      <c r="HYT30" s="2511"/>
      <c r="HYU30" s="2511"/>
      <c r="HYV30" s="2511"/>
      <c r="HYW30" s="2511"/>
      <c r="HYX30" s="2511"/>
      <c r="HYY30" s="2511"/>
      <c r="HYZ30" s="2511"/>
      <c r="HZA30" s="2511"/>
      <c r="HZB30" s="2511"/>
      <c r="HZC30" s="2511"/>
      <c r="HZD30" s="2511"/>
      <c r="HZE30" s="2511"/>
      <c r="HZF30" s="2511"/>
      <c r="HZG30" s="2511"/>
      <c r="HZH30" s="2511"/>
      <c r="HZI30" s="2511"/>
      <c r="HZJ30" s="2511"/>
      <c r="HZK30" s="2511"/>
      <c r="HZL30" s="2511"/>
      <c r="HZM30" s="2511"/>
      <c r="HZN30" s="2511"/>
      <c r="HZO30" s="2511"/>
      <c r="HZP30" s="2511"/>
      <c r="HZQ30" s="2511"/>
      <c r="HZR30" s="2511"/>
      <c r="HZS30" s="2511"/>
      <c r="HZT30" s="2511"/>
      <c r="HZU30" s="2511"/>
      <c r="HZV30" s="2511"/>
      <c r="HZW30" s="2511"/>
      <c r="HZX30" s="2511"/>
      <c r="HZY30" s="2511"/>
      <c r="HZZ30" s="2511"/>
      <c r="IAA30" s="2511"/>
      <c r="IAB30" s="2511"/>
      <c r="IAC30" s="2511"/>
      <c r="IAD30" s="2511"/>
      <c r="IAE30" s="2511"/>
      <c r="IAF30" s="2511"/>
      <c r="IAG30" s="2511"/>
      <c r="IAH30" s="2511"/>
      <c r="IAI30" s="2511"/>
      <c r="IAJ30" s="2511"/>
      <c r="IAK30" s="2511"/>
      <c r="IAL30" s="2511"/>
      <c r="IAM30" s="2511"/>
      <c r="IAN30" s="2511"/>
      <c r="IAO30" s="2511"/>
      <c r="IAP30" s="2511"/>
      <c r="IAQ30" s="2511"/>
      <c r="IAR30" s="2511"/>
      <c r="IAS30" s="2511"/>
      <c r="IAT30" s="2511"/>
      <c r="IAU30" s="2511"/>
      <c r="IAV30" s="2511"/>
      <c r="IAW30" s="2511"/>
      <c r="IAX30" s="2511"/>
      <c r="IAY30" s="2511"/>
      <c r="IAZ30" s="2511"/>
      <c r="IBA30" s="2511"/>
      <c r="IBB30" s="2511"/>
      <c r="IBC30" s="2511"/>
      <c r="IBD30" s="2511"/>
      <c r="IBE30" s="2511"/>
      <c r="IBF30" s="2511"/>
      <c r="IBG30" s="2511"/>
      <c r="IBH30" s="2511"/>
      <c r="IBI30" s="2511"/>
      <c r="IBJ30" s="2511"/>
      <c r="IBK30" s="2511"/>
      <c r="IBL30" s="2511"/>
      <c r="IBM30" s="2511"/>
      <c r="IBN30" s="2511"/>
      <c r="IBO30" s="2511"/>
      <c r="IBP30" s="2511"/>
      <c r="IBQ30" s="2511"/>
      <c r="IBR30" s="2511"/>
      <c r="IBS30" s="2511"/>
      <c r="IBT30" s="2511"/>
      <c r="IBU30" s="2511"/>
      <c r="IBV30" s="2511"/>
      <c r="IBW30" s="2511"/>
      <c r="IBX30" s="2511"/>
      <c r="IBY30" s="2511"/>
      <c r="IBZ30" s="2511"/>
      <c r="ICA30" s="2511"/>
      <c r="ICB30" s="2511"/>
      <c r="ICC30" s="2511"/>
      <c r="ICD30" s="2511"/>
      <c r="ICE30" s="2511"/>
      <c r="ICF30" s="2511"/>
      <c r="ICG30" s="2511"/>
      <c r="ICH30" s="2511"/>
      <c r="ICI30" s="2511"/>
      <c r="ICJ30" s="2511"/>
      <c r="ICK30" s="2511"/>
      <c r="ICL30" s="2511"/>
      <c r="ICM30" s="2511"/>
      <c r="ICN30" s="2511"/>
      <c r="ICO30" s="2511"/>
      <c r="ICP30" s="2511"/>
      <c r="ICQ30" s="2511"/>
      <c r="ICR30" s="2511"/>
      <c r="ICS30" s="2511"/>
      <c r="ICT30" s="2511"/>
      <c r="ICU30" s="2511"/>
      <c r="ICV30" s="2511"/>
      <c r="ICW30" s="2511"/>
      <c r="ICX30" s="2511"/>
      <c r="ICY30" s="2511"/>
      <c r="ICZ30" s="2511"/>
      <c r="IDA30" s="2511"/>
      <c r="IDB30" s="2511"/>
      <c r="IDC30" s="2511"/>
      <c r="IDD30" s="2511"/>
      <c r="IDE30" s="2511"/>
      <c r="IDF30" s="2511"/>
      <c r="IDG30" s="2511"/>
      <c r="IDH30" s="2511"/>
      <c r="IDI30" s="2511"/>
      <c r="IDJ30" s="2511"/>
      <c r="IDK30" s="2511"/>
      <c r="IDL30" s="2511"/>
      <c r="IDM30" s="2511"/>
      <c r="IDN30" s="2511"/>
      <c r="IDO30" s="2511"/>
      <c r="IDP30" s="2511"/>
      <c r="IDQ30" s="2511"/>
      <c r="IDR30" s="2511"/>
      <c r="IDS30" s="2511"/>
      <c r="IDT30" s="2511"/>
      <c r="IDU30" s="2511"/>
      <c r="IDV30" s="2511"/>
      <c r="IDW30" s="2511"/>
      <c r="IDX30" s="2511"/>
      <c r="IDY30" s="2511"/>
      <c r="IDZ30" s="2511"/>
      <c r="IEA30" s="2511"/>
      <c r="IEB30" s="2511"/>
      <c r="IEC30" s="2511"/>
      <c r="IED30" s="2511"/>
      <c r="IEE30" s="2511"/>
      <c r="IEF30" s="2511"/>
      <c r="IEG30" s="2511"/>
      <c r="IEH30" s="2511"/>
      <c r="IEI30" s="2511"/>
      <c r="IEJ30" s="2511"/>
      <c r="IEK30" s="2511"/>
      <c r="IEL30" s="2511"/>
      <c r="IEM30" s="2511"/>
      <c r="IEN30" s="2511"/>
      <c r="IEO30" s="2511"/>
      <c r="IEP30" s="2511"/>
      <c r="IEQ30" s="2511"/>
      <c r="IER30" s="2511"/>
      <c r="IES30" s="2511"/>
      <c r="IET30" s="2511"/>
      <c r="IEU30" s="2511"/>
      <c r="IEV30" s="2511"/>
      <c r="IEW30" s="2511"/>
      <c r="IEX30" s="2511"/>
      <c r="IEY30" s="2511"/>
      <c r="IEZ30" s="2511"/>
      <c r="IFA30" s="2511"/>
      <c r="IFB30" s="2511"/>
      <c r="IFC30" s="2511"/>
      <c r="IFD30" s="2511"/>
      <c r="IFE30" s="2511"/>
      <c r="IFF30" s="2511"/>
      <c r="IFG30" s="2511"/>
      <c r="IFH30" s="2511"/>
      <c r="IFI30" s="2511"/>
      <c r="IFJ30" s="2511"/>
      <c r="IFK30" s="2511"/>
      <c r="IFL30" s="2511"/>
      <c r="IFM30" s="2511"/>
      <c r="IFN30" s="2511"/>
      <c r="IFO30" s="2511"/>
      <c r="IFP30" s="2511"/>
      <c r="IFQ30" s="2511"/>
      <c r="IFR30" s="2511"/>
      <c r="IFS30" s="2511"/>
      <c r="IFT30" s="2511"/>
      <c r="IFU30" s="2511"/>
      <c r="IFV30" s="2511"/>
      <c r="IFW30" s="2511"/>
      <c r="IFX30" s="2511"/>
      <c r="IFY30" s="2511"/>
      <c r="IFZ30" s="2511"/>
      <c r="IGA30" s="2511"/>
      <c r="IGB30" s="2511"/>
      <c r="IGC30" s="2511"/>
      <c r="IGD30" s="2511"/>
      <c r="IGE30" s="2511"/>
      <c r="IGF30" s="2511"/>
      <c r="IGG30" s="2511"/>
      <c r="IGH30" s="2511"/>
      <c r="IGI30" s="2511"/>
      <c r="IGJ30" s="2511"/>
      <c r="IGK30" s="2511"/>
      <c r="IGL30" s="2511"/>
      <c r="IGM30" s="2511"/>
      <c r="IGN30" s="2511"/>
      <c r="IGO30" s="2511"/>
      <c r="IGP30" s="2511"/>
      <c r="IGQ30" s="2511"/>
      <c r="IGR30" s="2511"/>
      <c r="IGS30" s="2511"/>
      <c r="IGT30" s="2511"/>
      <c r="IGU30" s="2511"/>
      <c r="IGV30" s="2511"/>
      <c r="IGW30" s="2511"/>
      <c r="IGX30" s="2511"/>
      <c r="IGY30" s="2511"/>
      <c r="IGZ30" s="2511"/>
      <c r="IHA30" s="2511"/>
      <c r="IHB30" s="2511"/>
      <c r="IHC30" s="2511"/>
      <c r="IHD30" s="2511"/>
      <c r="IHE30" s="2511"/>
      <c r="IHF30" s="2511"/>
      <c r="IHG30" s="2511"/>
      <c r="IHH30" s="2511"/>
      <c r="IHI30" s="2511"/>
      <c r="IHJ30" s="2511"/>
      <c r="IHK30" s="2511"/>
      <c r="IHL30" s="2511"/>
      <c r="IHM30" s="2511"/>
      <c r="IHN30" s="2511"/>
      <c r="IHO30" s="2511"/>
      <c r="IHP30" s="2511"/>
      <c r="IHQ30" s="2511"/>
      <c r="IHR30" s="2511"/>
      <c r="IHS30" s="2511"/>
      <c r="IHT30" s="2511"/>
      <c r="IHU30" s="2511"/>
      <c r="IHV30" s="2511"/>
      <c r="IHW30" s="2511"/>
      <c r="IHX30" s="2511"/>
      <c r="IHY30" s="2511"/>
      <c r="IHZ30" s="2511"/>
      <c r="IIA30" s="2511"/>
      <c r="IIB30" s="2511"/>
      <c r="IIC30" s="2511"/>
      <c r="IID30" s="2511"/>
      <c r="IIE30" s="2511"/>
      <c r="IIF30" s="2511"/>
      <c r="IIG30" s="2511"/>
      <c r="IIH30" s="2511"/>
      <c r="III30" s="2511"/>
      <c r="IIJ30" s="2511"/>
      <c r="IIK30" s="2511"/>
      <c r="IIL30" s="2511"/>
      <c r="IIM30" s="2511"/>
      <c r="IIN30" s="2511"/>
      <c r="IIO30" s="2511"/>
      <c r="IIP30" s="2511"/>
      <c r="IIQ30" s="2511"/>
      <c r="IIR30" s="2511"/>
      <c r="IIS30" s="2511"/>
      <c r="IIT30" s="2511"/>
      <c r="IIU30" s="2511"/>
      <c r="IIV30" s="2511"/>
      <c r="IIW30" s="2511"/>
      <c r="IIX30" s="2511"/>
      <c r="IIY30" s="2511"/>
      <c r="IIZ30" s="2511"/>
      <c r="IJA30" s="2511"/>
      <c r="IJB30" s="2511"/>
      <c r="IJC30" s="2511"/>
      <c r="IJD30" s="2511"/>
      <c r="IJE30" s="2511"/>
      <c r="IJF30" s="2511"/>
      <c r="IJG30" s="2511"/>
      <c r="IJH30" s="2511"/>
      <c r="IJI30" s="2511"/>
      <c r="IJJ30" s="2511"/>
      <c r="IJK30" s="2511"/>
      <c r="IJL30" s="2511"/>
      <c r="IJM30" s="2511"/>
      <c r="IJN30" s="2511"/>
      <c r="IJO30" s="2511"/>
      <c r="IJP30" s="2511"/>
      <c r="IJQ30" s="2511"/>
      <c r="IJR30" s="2511"/>
      <c r="IJS30" s="2511"/>
      <c r="IJT30" s="2511"/>
      <c r="IJU30" s="2511"/>
      <c r="IJV30" s="2511"/>
      <c r="IJW30" s="2511"/>
      <c r="IJX30" s="2511"/>
      <c r="IJY30" s="2511"/>
      <c r="IJZ30" s="2511"/>
      <c r="IKA30" s="2511"/>
      <c r="IKB30" s="2511"/>
      <c r="IKC30" s="2511"/>
      <c r="IKD30" s="2511"/>
      <c r="IKE30" s="2511"/>
      <c r="IKF30" s="2511"/>
      <c r="IKG30" s="2511"/>
      <c r="IKH30" s="2511"/>
      <c r="IKI30" s="2511"/>
      <c r="IKJ30" s="2511"/>
      <c r="IKK30" s="2511"/>
      <c r="IKL30" s="2511"/>
      <c r="IKM30" s="2511"/>
      <c r="IKN30" s="2511"/>
      <c r="IKO30" s="2511"/>
      <c r="IKP30" s="2511"/>
      <c r="IKQ30" s="2511"/>
      <c r="IKR30" s="2511"/>
      <c r="IKS30" s="2511"/>
      <c r="IKT30" s="2511"/>
      <c r="IKU30" s="2511"/>
      <c r="IKV30" s="2511"/>
      <c r="IKW30" s="2511"/>
      <c r="IKX30" s="2511"/>
      <c r="IKY30" s="2511"/>
      <c r="IKZ30" s="2511"/>
      <c r="ILA30" s="2511"/>
      <c r="ILB30" s="2511"/>
      <c r="ILC30" s="2511"/>
      <c r="ILD30" s="2511"/>
      <c r="ILE30" s="2511"/>
      <c r="ILF30" s="2511"/>
      <c r="ILG30" s="2511"/>
      <c r="ILH30" s="2511"/>
      <c r="ILI30" s="2511"/>
      <c r="ILJ30" s="2511"/>
      <c r="ILK30" s="2511"/>
      <c r="ILL30" s="2511"/>
      <c r="ILM30" s="2511"/>
      <c r="ILN30" s="2511"/>
      <c r="ILO30" s="2511"/>
      <c r="ILP30" s="2511"/>
      <c r="ILQ30" s="2511"/>
      <c r="ILR30" s="2511"/>
      <c r="ILS30" s="2511"/>
      <c r="ILT30" s="2511"/>
      <c r="ILU30" s="2511"/>
      <c r="ILV30" s="2511"/>
      <c r="ILW30" s="2511"/>
      <c r="ILX30" s="2511"/>
      <c r="ILY30" s="2511"/>
      <c r="ILZ30" s="2511"/>
      <c r="IMA30" s="2511"/>
      <c r="IMB30" s="2511"/>
      <c r="IMC30" s="2511"/>
      <c r="IMD30" s="2511"/>
      <c r="IME30" s="2511"/>
      <c r="IMF30" s="2511"/>
      <c r="IMG30" s="2511"/>
      <c r="IMH30" s="2511"/>
      <c r="IMI30" s="2511"/>
      <c r="IMJ30" s="2511"/>
      <c r="IMK30" s="2511"/>
      <c r="IML30" s="2511"/>
      <c r="IMM30" s="2511"/>
      <c r="IMN30" s="2511"/>
      <c r="IMO30" s="2511"/>
      <c r="IMP30" s="2511"/>
      <c r="IMQ30" s="2511"/>
      <c r="IMR30" s="2511"/>
      <c r="IMS30" s="2511"/>
      <c r="IMT30" s="2511"/>
      <c r="IMU30" s="2511"/>
      <c r="IMV30" s="2511"/>
      <c r="IMW30" s="2511"/>
      <c r="IMX30" s="2511"/>
      <c r="IMY30" s="2511"/>
      <c r="IMZ30" s="2511"/>
      <c r="INA30" s="2511"/>
      <c r="INB30" s="2511"/>
      <c r="INC30" s="2511"/>
      <c r="IND30" s="2511"/>
      <c r="INE30" s="2511"/>
      <c r="INF30" s="2511"/>
      <c r="ING30" s="2511"/>
      <c r="INH30" s="2511"/>
      <c r="INI30" s="2511"/>
      <c r="INJ30" s="2511"/>
      <c r="INK30" s="2511"/>
      <c r="INL30" s="2511"/>
      <c r="INM30" s="2511"/>
      <c r="INN30" s="2511"/>
      <c r="INO30" s="2511"/>
      <c r="INP30" s="2511"/>
      <c r="INQ30" s="2511"/>
      <c r="INR30" s="2511"/>
      <c r="INS30" s="2511"/>
      <c r="INT30" s="2511"/>
      <c r="INU30" s="2511"/>
      <c r="INV30" s="2511"/>
      <c r="INW30" s="2511"/>
      <c r="INX30" s="2511"/>
      <c r="INY30" s="2511"/>
      <c r="INZ30" s="2511"/>
      <c r="IOA30" s="2511"/>
      <c r="IOB30" s="2511"/>
      <c r="IOC30" s="2511"/>
      <c r="IOD30" s="2511"/>
      <c r="IOE30" s="2511"/>
      <c r="IOF30" s="2511"/>
      <c r="IOG30" s="2511"/>
      <c r="IOH30" s="2511"/>
      <c r="IOI30" s="2511"/>
      <c r="IOJ30" s="2511"/>
      <c r="IOK30" s="2511"/>
      <c r="IOL30" s="2511"/>
      <c r="IOM30" s="2511"/>
      <c r="ION30" s="2511"/>
      <c r="IOO30" s="2511"/>
      <c r="IOP30" s="2511"/>
      <c r="IOQ30" s="2511"/>
      <c r="IOR30" s="2511"/>
      <c r="IOS30" s="2511"/>
      <c r="IOT30" s="2511"/>
      <c r="IOU30" s="2511"/>
      <c r="IOV30" s="2511"/>
      <c r="IOW30" s="2511"/>
      <c r="IOX30" s="2511"/>
      <c r="IOY30" s="2511"/>
      <c r="IOZ30" s="2511"/>
      <c r="IPA30" s="2511"/>
      <c r="IPB30" s="2511"/>
      <c r="IPC30" s="2511"/>
      <c r="IPD30" s="2511"/>
      <c r="IPE30" s="2511"/>
      <c r="IPF30" s="2511"/>
      <c r="IPG30" s="2511"/>
      <c r="IPH30" s="2511"/>
      <c r="IPI30" s="2511"/>
      <c r="IPJ30" s="2511"/>
      <c r="IPK30" s="2511"/>
      <c r="IPL30" s="2511"/>
      <c r="IPM30" s="2511"/>
      <c r="IPN30" s="2511"/>
      <c r="IPO30" s="2511"/>
      <c r="IPP30" s="2511"/>
      <c r="IPQ30" s="2511"/>
      <c r="IPR30" s="2511"/>
      <c r="IPS30" s="2511"/>
      <c r="IPT30" s="2511"/>
      <c r="IPU30" s="2511"/>
      <c r="IPV30" s="2511"/>
      <c r="IPW30" s="2511"/>
      <c r="IPX30" s="2511"/>
      <c r="IPY30" s="2511"/>
      <c r="IPZ30" s="2511"/>
      <c r="IQA30" s="2511"/>
      <c r="IQB30" s="2511"/>
      <c r="IQC30" s="2511"/>
      <c r="IQD30" s="2511"/>
      <c r="IQE30" s="2511"/>
      <c r="IQF30" s="2511"/>
      <c r="IQG30" s="2511"/>
      <c r="IQH30" s="2511"/>
      <c r="IQI30" s="2511"/>
      <c r="IQJ30" s="2511"/>
      <c r="IQK30" s="2511"/>
      <c r="IQL30" s="2511"/>
      <c r="IQM30" s="2511"/>
      <c r="IQN30" s="2511"/>
      <c r="IQO30" s="2511"/>
      <c r="IQP30" s="2511"/>
      <c r="IQQ30" s="2511"/>
      <c r="IQR30" s="2511"/>
      <c r="IQS30" s="2511"/>
      <c r="IQT30" s="2511"/>
      <c r="IQU30" s="2511"/>
      <c r="IQV30" s="2511"/>
      <c r="IQW30" s="2511"/>
      <c r="IQX30" s="2511"/>
      <c r="IQY30" s="2511"/>
      <c r="IQZ30" s="2511"/>
      <c r="IRA30" s="2511"/>
      <c r="IRB30" s="2511"/>
      <c r="IRC30" s="2511"/>
      <c r="IRD30" s="2511"/>
      <c r="IRE30" s="2511"/>
      <c r="IRF30" s="2511"/>
      <c r="IRG30" s="2511"/>
      <c r="IRH30" s="2511"/>
      <c r="IRI30" s="2511"/>
      <c r="IRJ30" s="2511"/>
      <c r="IRK30" s="2511"/>
      <c r="IRL30" s="2511"/>
      <c r="IRM30" s="2511"/>
      <c r="IRN30" s="2511"/>
      <c r="IRO30" s="2511"/>
      <c r="IRP30" s="2511"/>
      <c r="IRQ30" s="2511"/>
      <c r="IRR30" s="2511"/>
      <c r="IRS30" s="2511"/>
      <c r="IRT30" s="2511"/>
      <c r="IRU30" s="2511"/>
      <c r="IRV30" s="2511"/>
      <c r="IRW30" s="2511"/>
      <c r="IRX30" s="2511"/>
      <c r="IRY30" s="2511"/>
      <c r="IRZ30" s="2511"/>
      <c r="ISA30" s="2511"/>
      <c r="ISB30" s="2511"/>
      <c r="ISC30" s="2511"/>
      <c r="ISD30" s="2511"/>
      <c r="ISE30" s="2511"/>
      <c r="ISF30" s="2511"/>
      <c r="ISG30" s="2511"/>
      <c r="ISH30" s="2511"/>
      <c r="ISI30" s="2511"/>
      <c r="ISJ30" s="2511"/>
      <c r="ISK30" s="2511"/>
      <c r="ISL30" s="2511"/>
      <c r="ISM30" s="2511"/>
      <c r="ISN30" s="2511"/>
      <c r="ISO30" s="2511"/>
      <c r="ISP30" s="2511"/>
      <c r="ISQ30" s="2511"/>
      <c r="ISR30" s="2511"/>
      <c r="ISS30" s="2511"/>
      <c r="IST30" s="2511"/>
      <c r="ISU30" s="2511"/>
      <c r="ISV30" s="2511"/>
      <c r="ISW30" s="2511"/>
      <c r="ISX30" s="2511"/>
      <c r="ISY30" s="2511"/>
      <c r="ISZ30" s="2511"/>
      <c r="ITA30" s="2511"/>
      <c r="ITB30" s="2511"/>
      <c r="ITC30" s="2511"/>
      <c r="ITD30" s="2511"/>
      <c r="ITE30" s="2511"/>
      <c r="ITF30" s="2511"/>
      <c r="ITG30" s="2511"/>
      <c r="ITH30" s="2511"/>
      <c r="ITI30" s="2511"/>
      <c r="ITJ30" s="2511"/>
      <c r="ITK30" s="2511"/>
      <c r="ITL30" s="2511"/>
      <c r="ITM30" s="2511"/>
      <c r="ITN30" s="2511"/>
      <c r="ITO30" s="2511"/>
      <c r="ITP30" s="2511"/>
      <c r="ITQ30" s="2511"/>
      <c r="ITR30" s="2511"/>
      <c r="ITS30" s="2511"/>
      <c r="ITT30" s="2511"/>
      <c r="ITU30" s="2511"/>
      <c r="ITV30" s="2511"/>
      <c r="ITW30" s="2511"/>
      <c r="ITX30" s="2511"/>
      <c r="ITY30" s="2511"/>
      <c r="ITZ30" s="2511"/>
      <c r="IUA30" s="2511"/>
      <c r="IUB30" s="2511"/>
      <c r="IUC30" s="2511"/>
      <c r="IUD30" s="2511"/>
      <c r="IUE30" s="2511"/>
      <c r="IUF30" s="2511"/>
      <c r="IUG30" s="2511"/>
      <c r="IUH30" s="2511"/>
      <c r="IUI30" s="2511"/>
      <c r="IUJ30" s="2511"/>
      <c r="IUK30" s="2511"/>
      <c r="IUL30" s="2511"/>
      <c r="IUM30" s="2511"/>
      <c r="IUN30" s="2511"/>
      <c r="IUO30" s="2511"/>
      <c r="IUP30" s="2511"/>
      <c r="IUQ30" s="2511"/>
      <c r="IUR30" s="2511"/>
      <c r="IUS30" s="2511"/>
      <c r="IUT30" s="2511"/>
      <c r="IUU30" s="2511"/>
      <c r="IUV30" s="2511"/>
      <c r="IUW30" s="2511"/>
      <c r="IUX30" s="2511"/>
      <c r="IUY30" s="2511"/>
      <c r="IUZ30" s="2511"/>
      <c r="IVA30" s="2511"/>
      <c r="IVB30" s="2511"/>
      <c r="IVC30" s="2511"/>
      <c r="IVD30" s="2511"/>
      <c r="IVE30" s="2511"/>
      <c r="IVF30" s="2511"/>
      <c r="IVG30" s="2511"/>
      <c r="IVH30" s="2511"/>
      <c r="IVI30" s="2511"/>
      <c r="IVJ30" s="2511"/>
      <c r="IVK30" s="2511"/>
      <c r="IVL30" s="2511"/>
      <c r="IVM30" s="2511"/>
      <c r="IVN30" s="2511"/>
      <c r="IVO30" s="2511"/>
      <c r="IVP30" s="2511"/>
      <c r="IVQ30" s="2511"/>
      <c r="IVR30" s="2511"/>
      <c r="IVS30" s="2511"/>
      <c r="IVT30" s="2511"/>
      <c r="IVU30" s="2511"/>
      <c r="IVV30" s="2511"/>
      <c r="IVW30" s="2511"/>
      <c r="IVX30" s="2511"/>
      <c r="IVY30" s="2511"/>
      <c r="IVZ30" s="2511"/>
      <c r="IWA30" s="2511"/>
      <c r="IWB30" s="2511"/>
      <c r="IWC30" s="2511"/>
      <c r="IWD30" s="2511"/>
      <c r="IWE30" s="2511"/>
      <c r="IWF30" s="2511"/>
      <c r="IWG30" s="2511"/>
      <c r="IWH30" s="2511"/>
      <c r="IWI30" s="2511"/>
      <c r="IWJ30" s="2511"/>
      <c r="IWK30" s="2511"/>
      <c r="IWL30" s="2511"/>
      <c r="IWM30" s="2511"/>
      <c r="IWN30" s="2511"/>
      <c r="IWO30" s="2511"/>
      <c r="IWP30" s="2511"/>
      <c r="IWQ30" s="2511"/>
      <c r="IWR30" s="2511"/>
      <c r="IWS30" s="2511"/>
      <c r="IWT30" s="2511"/>
      <c r="IWU30" s="2511"/>
      <c r="IWV30" s="2511"/>
      <c r="IWW30" s="2511"/>
      <c r="IWX30" s="2511"/>
      <c r="IWY30" s="2511"/>
      <c r="IWZ30" s="2511"/>
      <c r="IXA30" s="2511"/>
      <c r="IXB30" s="2511"/>
      <c r="IXC30" s="2511"/>
      <c r="IXD30" s="2511"/>
      <c r="IXE30" s="2511"/>
      <c r="IXF30" s="2511"/>
      <c r="IXG30" s="2511"/>
      <c r="IXH30" s="2511"/>
      <c r="IXI30" s="2511"/>
      <c r="IXJ30" s="2511"/>
      <c r="IXK30" s="2511"/>
      <c r="IXL30" s="2511"/>
      <c r="IXM30" s="2511"/>
      <c r="IXN30" s="2511"/>
      <c r="IXO30" s="2511"/>
      <c r="IXP30" s="2511"/>
      <c r="IXQ30" s="2511"/>
      <c r="IXR30" s="2511"/>
      <c r="IXS30" s="2511"/>
      <c r="IXT30" s="2511"/>
      <c r="IXU30" s="2511"/>
      <c r="IXV30" s="2511"/>
      <c r="IXW30" s="2511"/>
      <c r="IXX30" s="2511"/>
      <c r="IXY30" s="2511"/>
      <c r="IXZ30" s="2511"/>
      <c r="IYA30" s="2511"/>
      <c r="IYB30" s="2511"/>
      <c r="IYC30" s="2511"/>
      <c r="IYD30" s="2511"/>
      <c r="IYE30" s="2511"/>
      <c r="IYF30" s="2511"/>
      <c r="IYG30" s="2511"/>
      <c r="IYH30" s="2511"/>
      <c r="IYI30" s="2511"/>
      <c r="IYJ30" s="2511"/>
      <c r="IYK30" s="2511"/>
      <c r="IYL30" s="2511"/>
      <c r="IYM30" s="2511"/>
      <c r="IYN30" s="2511"/>
      <c r="IYO30" s="2511"/>
      <c r="IYP30" s="2511"/>
      <c r="IYQ30" s="2511"/>
      <c r="IYR30" s="2511"/>
      <c r="IYS30" s="2511"/>
      <c r="IYT30" s="2511"/>
      <c r="IYU30" s="2511"/>
      <c r="IYV30" s="2511"/>
      <c r="IYW30" s="2511"/>
      <c r="IYX30" s="2511"/>
      <c r="IYY30" s="2511"/>
      <c r="IYZ30" s="2511"/>
      <c r="IZA30" s="2511"/>
      <c r="IZB30" s="2511"/>
      <c r="IZC30" s="2511"/>
      <c r="IZD30" s="2511"/>
      <c r="IZE30" s="2511"/>
      <c r="IZF30" s="2511"/>
      <c r="IZG30" s="2511"/>
      <c r="IZH30" s="2511"/>
      <c r="IZI30" s="2511"/>
      <c r="IZJ30" s="2511"/>
      <c r="IZK30" s="2511"/>
      <c r="IZL30" s="2511"/>
      <c r="IZM30" s="2511"/>
      <c r="IZN30" s="2511"/>
      <c r="IZO30" s="2511"/>
      <c r="IZP30" s="2511"/>
      <c r="IZQ30" s="2511"/>
      <c r="IZR30" s="2511"/>
      <c r="IZS30" s="2511"/>
      <c r="IZT30" s="2511"/>
      <c r="IZU30" s="2511"/>
      <c r="IZV30" s="2511"/>
      <c r="IZW30" s="2511"/>
      <c r="IZX30" s="2511"/>
      <c r="IZY30" s="2511"/>
      <c r="IZZ30" s="2511"/>
      <c r="JAA30" s="2511"/>
      <c r="JAB30" s="2511"/>
      <c r="JAC30" s="2511"/>
      <c r="JAD30" s="2511"/>
      <c r="JAE30" s="2511"/>
      <c r="JAF30" s="2511"/>
      <c r="JAG30" s="2511"/>
      <c r="JAH30" s="2511"/>
      <c r="JAI30" s="2511"/>
      <c r="JAJ30" s="2511"/>
      <c r="JAK30" s="2511"/>
      <c r="JAL30" s="2511"/>
      <c r="JAM30" s="2511"/>
      <c r="JAN30" s="2511"/>
      <c r="JAO30" s="2511"/>
      <c r="JAP30" s="2511"/>
      <c r="JAQ30" s="2511"/>
      <c r="JAR30" s="2511"/>
      <c r="JAS30" s="2511"/>
      <c r="JAT30" s="2511"/>
      <c r="JAU30" s="2511"/>
      <c r="JAV30" s="2511"/>
      <c r="JAW30" s="2511"/>
      <c r="JAX30" s="2511"/>
      <c r="JAY30" s="2511"/>
      <c r="JAZ30" s="2511"/>
      <c r="JBA30" s="2511"/>
      <c r="JBB30" s="2511"/>
      <c r="JBC30" s="2511"/>
      <c r="JBD30" s="2511"/>
      <c r="JBE30" s="2511"/>
      <c r="JBF30" s="2511"/>
      <c r="JBG30" s="2511"/>
      <c r="JBH30" s="2511"/>
      <c r="JBI30" s="2511"/>
      <c r="JBJ30" s="2511"/>
      <c r="JBK30" s="2511"/>
      <c r="JBL30" s="2511"/>
      <c r="JBM30" s="2511"/>
      <c r="JBN30" s="2511"/>
      <c r="JBO30" s="2511"/>
      <c r="JBP30" s="2511"/>
      <c r="JBQ30" s="2511"/>
      <c r="JBR30" s="2511"/>
      <c r="JBS30" s="2511"/>
      <c r="JBT30" s="2511"/>
      <c r="JBU30" s="2511"/>
      <c r="JBV30" s="2511"/>
      <c r="JBW30" s="2511"/>
      <c r="JBX30" s="2511"/>
      <c r="JBY30" s="2511"/>
      <c r="JBZ30" s="2511"/>
      <c r="JCA30" s="2511"/>
      <c r="JCB30" s="2511"/>
      <c r="JCC30" s="2511"/>
      <c r="JCD30" s="2511"/>
      <c r="JCE30" s="2511"/>
      <c r="JCF30" s="2511"/>
      <c r="JCG30" s="2511"/>
      <c r="JCH30" s="2511"/>
      <c r="JCI30" s="2511"/>
      <c r="JCJ30" s="2511"/>
      <c r="JCK30" s="2511"/>
      <c r="JCL30" s="2511"/>
      <c r="JCM30" s="2511"/>
      <c r="JCN30" s="2511"/>
      <c r="JCO30" s="2511"/>
      <c r="JCP30" s="2511"/>
      <c r="JCQ30" s="2511"/>
      <c r="JCR30" s="2511"/>
      <c r="JCS30" s="2511"/>
      <c r="JCT30" s="2511"/>
      <c r="JCU30" s="2511"/>
      <c r="JCV30" s="2511"/>
      <c r="JCW30" s="2511"/>
      <c r="JCX30" s="2511"/>
      <c r="JCY30" s="2511"/>
      <c r="JCZ30" s="2511"/>
      <c r="JDA30" s="2511"/>
      <c r="JDB30" s="2511"/>
      <c r="JDC30" s="2511"/>
      <c r="JDD30" s="2511"/>
      <c r="JDE30" s="2511"/>
      <c r="JDF30" s="2511"/>
      <c r="JDG30" s="2511"/>
      <c r="JDH30" s="2511"/>
      <c r="JDI30" s="2511"/>
      <c r="JDJ30" s="2511"/>
      <c r="JDK30" s="2511"/>
      <c r="JDL30" s="2511"/>
      <c r="JDM30" s="2511"/>
      <c r="JDN30" s="2511"/>
      <c r="JDO30" s="2511"/>
      <c r="JDP30" s="2511"/>
      <c r="JDQ30" s="2511"/>
      <c r="JDR30" s="2511"/>
      <c r="JDS30" s="2511"/>
      <c r="JDT30" s="2511"/>
      <c r="JDU30" s="2511"/>
      <c r="JDV30" s="2511"/>
      <c r="JDW30" s="2511"/>
      <c r="JDX30" s="2511"/>
      <c r="JDY30" s="2511"/>
      <c r="JDZ30" s="2511"/>
      <c r="JEA30" s="2511"/>
      <c r="JEB30" s="2511"/>
      <c r="JEC30" s="2511"/>
      <c r="JED30" s="2511"/>
      <c r="JEE30" s="2511"/>
      <c r="JEF30" s="2511"/>
      <c r="JEG30" s="2511"/>
      <c r="JEH30" s="2511"/>
      <c r="JEI30" s="2511"/>
      <c r="JEJ30" s="2511"/>
      <c r="JEK30" s="2511"/>
      <c r="JEL30" s="2511"/>
      <c r="JEM30" s="2511"/>
      <c r="JEN30" s="2511"/>
      <c r="JEO30" s="2511"/>
      <c r="JEP30" s="2511"/>
      <c r="JEQ30" s="2511"/>
      <c r="JER30" s="2511"/>
      <c r="JES30" s="2511"/>
      <c r="JET30" s="2511"/>
      <c r="JEU30" s="2511"/>
      <c r="JEV30" s="2511"/>
      <c r="JEW30" s="2511"/>
      <c r="JEX30" s="2511"/>
      <c r="JEY30" s="2511"/>
      <c r="JEZ30" s="2511"/>
      <c r="JFA30" s="2511"/>
      <c r="JFB30" s="2511"/>
      <c r="JFC30" s="2511"/>
      <c r="JFD30" s="2511"/>
      <c r="JFE30" s="2511"/>
      <c r="JFF30" s="2511"/>
      <c r="JFG30" s="2511"/>
      <c r="JFH30" s="2511"/>
      <c r="JFI30" s="2511"/>
      <c r="JFJ30" s="2511"/>
      <c r="JFK30" s="2511"/>
      <c r="JFL30" s="2511"/>
      <c r="JFM30" s="2511"/>
      <c r="JFN30" s="2511"/>
      <c r="JFO30" s="2511"/>
      <c r="JFP30" s="2511"/>
      <c r="JFQ30" s="2511"/>
      <c r="JFR30" s="2511"/>
      <c r="JFS30" s="2511"/>
      <c r="JFT30" s="2511"/>
      <c r="JFU30" s="2511"/>
      <c r="JFV30" s="2511"/>
      <c r="JFW30" s="2511"/>
      <c r="JFX30" s="2511"/>
      <c r="JFY30" s="2511"/>
      <c r="JFZ30" s="2511"/>
      <c r="JGA30" s="2511"/>
      <c r="JGB30" s="2511"/>
      <c r="JGC30" s="2511"/>
      <c r="JGD30" s="2511"/>
      <c r="JGE30" s="2511"/>
      <c r="JGF30" s="2511"/>
      <c r="JGG30" s="2511"/>
      <c r="JGH30" s="2511"/>
      <c r="JGI30" s="2511"/>
      <c r="JGJ30" s="2511"/>
      <c r="JGK30" s="2511"/>
      <c r="JGL30" s="2511"/>
      <c r="JGM30" s="2511"/>
      <c r="JGN30" s="2511"/>
      <c r="JGO30" s="2511"/>
      <c r="JGP30" s="2511"/>
      <c r="JGQ30" s="2511"/>
      <c r="JGR30" s="2511"/>
      <c r="JGS30" s="2511"/>
      <c r="JGT30" s="2511"/>
      <c r="JGU30" s="2511"/>
      <c r="JGV30" s="2511"/>
      <c r="JGW30" s="2511"/>
      <c r="JGX30" s="2511"/>
      <c r="JGY30" s="2511"/>
      <c r="JGZ30" s="2511"/>
      <c r="JHA30" s="2511"/>
      <c r="JHB30" s="2511"/>
      <c r="JHC30" s="2511"/>
      <c r="JHD30" s="2511"/>
      <c r="JHE30" s="2511"/>
      <c r="JHF30" s="2511"/>
      <c r="JHG30" s="2511"/>
      <c r="JHH30" s="2511"/>
      <c r="JHI30" s="2511"/>
      <c r="JHJ30" s="2511"/>
      <c r="JHK30" s="2511"/>
      <c r="JHL30" s="2511"/>
      <c r="JHM30" s="2511"/>
      <c r="JHN30" s="2511"/>
      <c r="JHO30" s="2511"/>
      <c r="JHP30" s="2511"/>
      <c r="JHQ30" s="2511"/>
      <c r="JHR30" s="2511"/>
      <c r="JHS30" s="2511"/>
      <c r="JHT30" s="2511"/>
      <c r="JHU30" s="2511"/>
      <c r="JHV30" s="2511"/>
      <c r="JHW30" s="2511"/>
      <c r="JHX30" s="2511"/>
      <c r="JHY30" s="2511"/>
      <c r="JHZ30" s="2511"/>
      <c r="JIA30" s="2511"/>
      <c r="JIB30" s="2511"/>
      <c r="JIC30" s="2511"/>
      <c r="JID30" s="2511"/>
      <c r="JIE30" s="2511"/>
      <c r="JIF30" s="2511"/>
      <c r="JIG30" s="2511"/>
      <c r="JIH30" s="2511"/>
      <c r="JII30" s="2511"/>
      <c r="JIJ30" s="2511"/>
      <c r="JIK30" s="2511"/>
      <c r="JIL30" s="2511"/>
      <c r="JIM30" s="2511"/>
      <c r="JIN30" s="2511"/>
      <c r="JIO30" s="2511"/>
      <c r="JIP30" s="2511"/>
      <c r="JIQ30" s="2511"/>
      <c r="JIR30" s="2511"/>
      <c r="JIS30" s="2511"/>
      <c r="JIT30" s="2511"/>
      <c r="JIU30" s="2511"/>
      <c r="JIV30" s="2511"/>
      <c r="JIW30" s="2511"/>
      <c r="JIX30" s="2511"/>
      <c r="JIY30" s="2511"/>
      <c r="JIZ30" s="2511"/>
      <c r="JJA30" s="2511"/>
      <c r="JJB30" s="2511"/>
      <c r="JJC30" s="2511"/>
      <c r="JJD30" s="2511"/>
      <c r="JJE30" s="2511"/>
      <c r="JJF30" s="2511"/>
      <c r="JJG30" s="2511"/>
      <c r="JJH30" s="2511"/>
      <c r="JJI30" s="2511"/>
      <c r="JJJ30" s="2511"/>
      <c r="JJK30" s="2511"/>
      <c r="JJL30" s="2511"/>
      <c r="JJM30" s="2511"/>
      <c r="JJN30" s="2511"/>
      <c r="JJO30" s="2511"/>
      <c r="JJP30" s="2511"/>
      <c r="JJQ30" s="2511"/>
      <c r="JJR30" s="2511"/>
      <c r="JJS30" s="2511"/>
      <c r="JJT30" s="2511"/>
      <c r="JJU30" s="2511"/>
      <c r="JJV30" s="2511"/>
      <c r="JJW30" s="2511"/>
      <c r="JJX30" s="2511"/>
      <c r="JJY30" s="2511"/>
      <c r="JJZ30" s="2511"/>
      <c r="JKA30" s="2511"/>
      <c r="JKB30" s="2511"/>
      <c r="JKC30" s="2511"/>
      <c r="JKD30" s="2511"/>
      <c r="JKE30" s="2511"/>
      <c r="JKF30" s="2511"/>
      <c r="JKG30" s="2511"/>
      <c r="JKH30" s="2511"/>
      <c r="JKI30" s="2511"/>
      <c r="JKJ30" s="2511"/>
      <c r="JKK30" s="2511"/>
      <c r="JKL30" s="2511"/>
      <c r="JKM30" s="2511"/>
      <c r="JKN30" s="2511"/>
      <c r="JKO30" s="2511"/>
      <c r="JKP30" s="2511"/>
      <c r="JKQ30" s="2511"/>
      <c r="JKR30" s="2511"/>
      <c r="JKS30" s="2511"/>
      <c r="JKT30" s="2511"/>
      <c r="JKU30" s="2511"/>
      <c r="JKV30" s="2511"/>
      <c r="JKW30" s="2511"/>
      <c r="JKX30" s="2511"/>
      <c r="JKY30" s="2511"/>
      <c r="JKZ30" s="2511"/>
      <c r="JLA30" s="2511"/>
      <c r="JLB30" s="2511"/>
      <c r="JLC30" s="2511"/>
      <c r="JLD30" s="2511"/>
      <c r="JLE30" s="2511"/>
      <c r="JLF30" s="2511"/>
      <c r="JLG30" s="2511"/>
      <c r="JLH30" s="2511"/>
      <c r="JLI30" s="2511"/>
      <c r="JLJ30" s="2511"/>
      <c r="JLK30" s="2511"/>
      <c r="JLL30" s="2511"/>
      <c r="JLM30" s="2511"/>
      <c r="JLN30" s="2511"/>
      <c r="JLO30" s="2511"/>
      <c r="JLP30" s="2511"/>
      <c r="JLQ30" s="2511"/>
      <c r="JLR30" s="2511"/>
      <c r="JLS30" s="2511"/>
      <c r="JLT30" s="2511"/>
      <c r="JLU30" s="2511"/>
      <c r="JLV30" s="2511"/>
      <c r="JLW30" s="2511"/>
      <c r="JLX30" s="2511"/>
      <c r="JLY30" s="2511"/>
      <c r="JLZ30" s="2511"/>
      <c r="JMA30" s="2511"/>
      <c r="JMB30" s="2511"/>
      <c r="JMC30" s="2511"/>
      <c r="JMD30" s="2511"/>
      <c r="JME30" s="2511"/>
      <c r="JMF30" s="2511"/>
      <c r="JMG30" s="2511"/>
      <c r="JMH30" s="2511"/>
      <c r="JMI30" s="2511"/>
      <c r="JMJ30" s="2511"/>
      <c r="JMK30" s="2511"/>
      <c r="JML30" s="2511"/>
      <c r="JMM30" s="2511"/>
      <c r="JMN30" s="2511"/>
      <c r="JMO30" s="2511"/>
      <c r="JMP30" s="2511"/>
      <c r="JMQ30" s="2511"/>
      <c r="JMR30" s="2511"/>
      <c r="JMS30" s="2511"/>
      <c r="JMT30" s="2511"/>
      <c r="JMU30" s="2511"/>
      <c r="JMV30" s="2511"/>
      <c r="JMW30" s="2511"/>
      <c r="JMX30" s="2511"/>
      <c r="JMY30" s="2511"/>
      <c r="JMZ30" s="2511"/>
      <c r="JNA30" s="2511"/>
      <c r="JNB30" s="2511"/>
      <c r="JNC30" s="2511"/>
      <c r="JND30" s="2511"/>
      <c r="JNE30" s="2511"/>
      <c r="JNF30" s="2511"/>
      <c r="JNG30" s="2511"/>
      <c r="JNH30" s="2511"/>
      <c r="JNI30" s="2511"/>
      <c r="JNJ30" s="2511"/>
      <c r="JNK30" s="2511"/>
      <c r="JNL30" s="2511"/>
      <c r="JNM30" s="2511"/>
      <c r="JNN30" s="2511"/>
      <c r="JNO30" s="2511"/>
      <c r="JNP30" s="2511"/>
      <c r="JNQ30" s="2511"/>
      <c r="JNR30" s="2511"/>
      <c r="JNS30" s="2511"/>
      <c r="JNT30" s="2511"/>
      <c r="JNU30" s="2511"/>
      <c r="JNV30" s="2511"/>
      <c r="JNW30" s="2511"/>
      <c r="JNX30" s="2511"/>
      <c r="JNY30" s="2511"/>
      <c r="JNZ30" s="2511"/>
      <c r="JOA30" s="2511"/>
      <c r="JOB30" s="2511"/>
      <c r="JOC30" s="2511"/>
      <c r="JOD30" s="2511"/>
      <c r="JOE30" s="2511"/>
      <c r="JOF30" s="2511"/>
      <c r="JOG30" s="2511"/>
      <c r="JOH30" s="2511"/>
      <c r="JOI30" s="2511"/>
      <c r="JOJ30" s="2511"/>
      <c r="JOK30" s="2511"/>
      <c r="JOL30" s="2511"/>
      <c r="JOM30" s="2511"/>
      <c r="JON30" s="2511"/>
      <c r="JOO30" s="2511"/>
      <c r="JOP30" s="2511"/>
      <c r="JOQ30" s="2511"/>
      <c r="JOR30" s="2511"/>
      <c r="JOS30" s="2511"/>
      <c r="JOT30" s="2511"/>
      <c r="JOU30" s="2511"/>
      <c r="JOV30" s="2511"/>
      <c r="JOW30" s="2511"/>
      <c r="JOX30" s="2511"/>
      <c r="JOY30" s="2511"/>
      <c r="JOZ30" s="2511"/>
      <c r="JPA30" s="2511"/>
      <c r="JPB30" s="2511"/>
      <c r="JPC30" s="2511"/>
      <c r="JPD30" s="2511"/>
      <c r="JPE30" s="2511"/>
      <c r="JPF30" s="2511"/>
      <c r="JPG30" s="2511"/>
      <c r="JPH30" s="2511"/>
      <c r="JPI30" s="2511"/>
      <c r="JPJ30" s="2511"/>
      <c r="JPK30" s="2511"/>
      <c r="JPL30" s="2511"/>
      <c r="JPM30" s="2511"/>
      <c r="JPN30" s="2511"/>
      <c r="JPO30" s="2511"/>
      <c r="JPP30" s="2511"/>
      <c r="JPQ30" s="2511"/>
      <c r="JPR30" s="2511"/>
      <c r="JPS30" s="2511"/>
      <c r="JPT30" s="2511"/>
      <c r="JPU30" s="2511"/>
      <c r="JPV30" s="2511"/>
      <c r="JPW30" s="2511"/>
      <c r="JPX30" s="2511"/>
      <c r="JPY30" s="2511"/>
      <c r="JPZ30" s="2511"/>
      <c r="JQA30" s="2511"/>
      <c r="JQB30" s="2511"/>
      <c r="JQC30" s="2511"/>
      <c r="JQD30" s="2511"/>
      <c r="JQE30" s="2511"/>
      <c r="JQF30" s="2511"/>
      <c r="JQG30" s="2511"/>
      <c r="JQH30" s="2511"/>
      <c r="JQI30" s="2511"/>
      <c r="JQJ30" s="2511"/>
      <c r="JQK30" s="2511"/>
      <c r="JQL30" s="2511"/>
      <c r="JQM30" s="2511"/>
      <c r="JQN30" s="2511"/>
      <c r="JQO30" s="2511"/>
      <c r="JQP30" s="2511"/>
      <c r="JQQ30" s="2511"/>
      <c r="JQR30" s="2511"/>
      <c r="JQS30" s="2511"/>
      <c r="JQT30" s="2511"/>
      <c r="JQU30" s="2511"/>
      <c r="JQV30" s="2511"/>
      <c r="JQW30" s="2511"/>
      <c r="JQX30" s="2511"/>
      <c r="JQY30" s="2511"/>
      <c r="JQZ30" s="2511"/>
      <c r="JRA30" s="2511"/>
      <c r="JRB30" s="2511"/>
      <c r="JRC30" s="2511"/>
      <c r="JRD30" s="2511"/>
      <c r="JRE30" s="2511"/>
      <c r="JRF30" s="2511"/>
      <c r="JRG30" s="2511"/>
      <c r="JRH30" s="2511"/>
      <c r="JRI30" s="2511"/>
      <c r="JRJ30" s="2511"/>
      <c r="JRK30" s="2511"/>
      <c r="JRL30" s="2511"/>
      <c r="JRM30" s="2511"/>
      <c r="JRN30" s="2511"/>
      <c r="JRO30" s="2511"/>
      <c r="JRP30" s="2511"/>
      <c r="JRQ30" s="2511"/>
      <c r="JRR30" s="2511"/>
      <c r="JRS30" s="2511"/>
      <c r="JRT30" s="2511"/>
      <c r="JRU30" s="2511"/>
      <c r="JRV30" s="2511"/>
      <c r="JRW30" s="2511"/>
      <c r="JRX30" s="2511"/>
      <c r="JRY30" s="2511"/>
      <c r="JRZ30" s="2511"/>
      <c r="JSA30" s="2511"/>
      <c r="JSB30" s="2511"/>
      <c r="JSC30" s="2511"/>
      <c r="JSD30" s="2511"/>
      <c r="JSE30" s="2511"/>
      <c r="JSF30" s="2511"/>
      <c r="JSG30" s="2511"/>
      <c r="JSH30" s="2511"/>
      <c r="JSI30" s="2511"/>
      <c r="JSJ30" s="2511"/>
      <c r="JSK30" s="2511"/>
      <c r="JSL30" s="2511"/>
      <c r="JSM30" s="2511"/>
      <c r="JSN30" s="2511"/>
      <c r="JSO30" s="2511"/>
      <c r="JSP30" s="2511"/>
      <c r="JSQ30" s="2511"/>
      <c r="JSR30" s="2511"/>
      <c r="JSS30" s="2511"/>
      <c r="JST30" s="2511"/>
      <c r="JSU30" s="2511"/>
      <c r="JSV30" s="2511"/>
      <c r="JSW30" s="2511"/>
      <c r="JSX30" s="2511"/>
      <c r="JSY30" s="2511"/>
      <c r="JSZ30" s="2511"/>
      <c r="JTA30" s="2511"/>
      <c r="JTB30" s="2511"/>
      <c r="JTC30" s="2511"/>
      <c r="JTD30" s="2511"/>
      <c r="JTE30" s="2511"/>
      <c r="JTF30" s="2511"/>
      <c r="JTG30" s="2511"/>
      <c r="JTH30" s="2511"/>
      <c r="JTI30" s="2511"/>
      <c r="JTJ30" s="2511"/>
      <c r="JTK30" s="2511"/>
      <c r="JTL30" s="2511"/>
      <c r="JTM30" s="2511"/>
      <c r="JTN30" s="2511"/>
      <c r="JTO30" s="2511"/>
      <c r="JTP30" s="2511"/>
      <c r="JTQ30" s="2511"/>
      <c r="JTR30" s="2511"/>
      <c r="JTS30" s="2511"/>
      <c r="JTT30" s="2511"/>
      <c r="JTU30" s="2511"/>
      <c r="JTV30" s="2511"/>
      <c r="JTW30" s="2511"/>
      <c r="JTX30" s="2511"/>
      <c r="JTY30" s="2511"/>
      <c r="JTZ30" s="2511"/>
      <c r="JUA30" s="2511"/>
      <c r="JUB30" s="2511"/>
      <c r="JUC30" s="2511"/>
      <c r="JUD30" s="2511"/>
      <c r="JUE30" s="2511"/>
      <c r="JUF30" s="2511"/>
      <c r="JUG30" s="2511"/>
      <c r="JUH30" s="2511"/>
      <c r="JUI30" s="2511"/>
      <c r="JUJ30" s="2511"/>
      <c r="JUK30" s="2511"/>
      <c r="JUL30" s="2511"/>
      <c r="JUM30" s="2511"/>
      <c r="JUN30" s="2511"/>
      <c r="JUO30" s="2511"/>
      <c r="JUP30" s="2511"/>
      <c r="JUQ30" s="2511"/>
      <c r="JUR30" s="2511"/>
      <c r="JUS30" s="2511"/>
      <c r="JUT30" s="2511"/>
      <c r="JUU30" s="2511"/>
      <c r="JUV30" s="2511"/>
      <c r="JUW30" s="2511"/>
      <c r="JUX30" s="2511"/>
      <c r="JUY30" s="2511"/>
      <c r="JUZ30" s="2511"/>
      <c r="JVA30" s="2511"/>
      <c r="JVB30" s="2511"/>
      <c r="JVC30" s="2511"/>
      <c r="JVD30" s="2511"/>
      <c r="JVE30" s="2511"/>
      <c r="JVF30" s="2511"/>
      <c r="JVG30" s="2511"/>
      <c r="JVH30" s="2511"/>
      <c r="JVI30" s="2511"/>
      <c r="JVJ30" s="2511"/>
      <c r="JVK30" s="2511"/>
      <c r="JVL30" s="2511"/>
      <c r="JVM30" s="2511"/>
      <c r="JVN30" s="2511"/>
      <c r="JVO30" s="2511"/>
      <c r="JVP30" s="2511"/>
      <c r="JVQ30" s="2511"/>
      <c r="JVR30" s="2511"/>
      <c r="JVS30" s="2511"/>
      <c r="JVT30" s="2511"/>
      <c r="JVU30" s="2511"/>
      <c r="JVV30" s="2511"/>
      <c r="JVW30" s="2511"/>
      <c r="JVX30" s="2511"/>
      <c r="JVY30" s="2511"/>
      <c r="JVZ30" s="2511"/>
      <c r="JWA30" s="2511"/>
      <c r="JWB30" s="2511"/>
      <c r="JWC30" s="2511"/>
      <c r="JWD30" s="2511"/>
      <c r="JWE30" s="2511"/>
      <c r="JWF30" s="2511"/>
      <c r="JWG30" s="2511"/>
      <c r="JWH30" s="2511"/>
      <c r="JWI30" s="2511"/>
      <c r="JWJ30" s="2511"/>
      <c r="JWK30" s="2511"/>
      <c r="JWL30" s="2511"/>
      <c r="JWM30" s="2511"/>
      <c r="JWN30" s="2511"/>
      <c r="JWO30" s="2511"/>
      <c r="JWP30" s="2511"/>
      <c r="JWQ30" s="2511"/>
      <c r="JWR30" s="2511"/>
      <c r="JWS30" s="2511"/>
      <c r="JWT30" s="2511"/>
      <c r="JWU30" s="2511"/>
      <c r="JWV30" s="2511"/>
      <c r="JWW30" s="2511"/>
      <c r="JWX30" s="2511"/>
      <c r="JWY30" s="2511"/>
      <c r="JWZ30" s="2511"/>
      <c r="JXA30" s="2511"/>
      <c r="JXB30" s="2511"/>
      <c r="JXC30" s="2511"/>
      <c r="JXD30" s="2511"/>
      <c r="JXE30" s="2511"/>
      <c r="JXF30" s="2511"/>
      <c r="JXG30" s="2511"/>
      <c r="JXH30" s="2511"/>
      <c r="JXI30" s="2511"/>
      <c r="JXJ30" s="2511"/>
      <c r="JXK30" s="2511"/>
      <c r="JXL30" s="2511"/>
      <c r="JXM30" s="2511"/>
      <c r="JXN30" s="2511"/>
      <c r="JXO30" s="2511"/>
      <c r="JXP30" s="2511"/>
      <c r="JXQ30" s="2511"/>
      <c r="JXR30" s="2511"/>
      <c r="JXS30" s="2511"/>
      <c r="JXT30" s="2511"/>
      <c r="JXU30" s="2511"/>
      <c r="JXV30" s="2511"/>
      <c r="JXW30" s="2511"/>
      <c r="JXX30" s="2511"/>
      <c r="JXY30" s="2511"/>
      <c r="JXZ30" s="2511"/>
      <c r="JYA30" s="2511"/>
      <c r="JYB30" s="2511"/>
      <c r="JYC30" s="2511"/>
      <c r="JYD30" s="2511"/>
      <c r="JYE30" s="2511"/>
      <c r="JYF30" s="2511"/>
      <c r="JYG30" s="2511"/>
      <c r="JYH30" s="2511"/>
      <c r="JYI30" s="2511"/>
      <c r="JYJ30" s="2511"/>
      <c r="JYK30" s="2511"/>
      <c r="JYL30" s="2511"/>
      <c r="JYM30" s="2511"/>
      <c r="JYN30" s="2511"/>
      <c r="JYO30" s="2511"/>
      <c r="JYP30" s="2511"/>
      <c r="JYQ30" s="2511"/>
      <c r="JYR30" s="2511"/>
      <c r="JYS30" s="2511"/>
      <c r="JYT30" s="2511"/>
      <c r="JYU30" s="2511"/>
      <c r="JYV30" s="2511"/>
      <c r="JYW30" s="2511"/>
      <c r="JYX30" s="2511"/>
      <c r="JYY30" s="2511"/>
      <c r="JYZ30" s="2511"/>
      <c r="JZA30" s="2511"/>
      <c r="JZB30" s="2511"/>
      <c r="JZC30" s="2511"/>
      <c r="JZD30" s="2511"/>
      <c r="JZE30" s="2511"/>
      <c r="JZF30" s="2511"/>
      <c r="JZG30" s="2511"/>
      <c r="JZH30" s="2511"/>
      <c r="JZI30" s="2511"/>
      <c r="JZJ30" s="2511"/>
      <c r="JZK30" s="2511"/>
      <c r="JZL30" s="2511"/>
      <c r="JZM30" s="2511"/>
      <c r="JZN30" s="2511"/>
      <c r="JZO30" s="2511"/>
      <c r="JZP30" s="2511"/>
      <c r="JZQ30" s="2511"/>
      <c r="JZR30" s="2511"/>
      <c r="JZS30" s="2511"/>
      <c r="JZT30" s="2511"/>
      <c r="JZU30" s="2511"/>
      <c r="JZV30" s="2511"/>
      <c r="JZW30" s="2511"/>
      <c r="JZX30" s="2511"/>
      <c r="JZY30" s="2511"/>
      <c r="JZZ30" s="2511"/>
      <c r="KAA30" s="2511"/>
      <c r="KAB30" s="2511"/>
      <c r="KAC30" s="2511"/>
      <c r="KAD30" s="2511"/>
      <c r="KAE30" s="2511"/>
      <c r="KAF30" s="2511"/>
      <c r="KAG30" s="2511"/>
      <c r="KAH30" s="2511"/>
      <c r="KAI30" s="2511"/>
      <c r="KAJ30" s="2511"/>
      <c r="KAK30" s="2511"/>
      <c r="KAL30" s="2511"/>
      <c r="KAM30" s="2511"/>
      <c r="KAN30" s="2511"/>
      <c r="KAO30" s="2511"/>
      <c r="KAP30" s="2511"/>
      <c r="KAQ30" s="2511"/>
      <c r="KAR30" s="2511"/>
      <c r="KAS30" s="2511"/>
      <c r="KAT30" s="2511"/>
      <c r="KAU30" s="2511"/>
      <c r="KAV30" s="2511"/>
      <c r="KAW30" s="2511"/>
      <c r="KAX30" s="2511"/>
      <c r="KAY30" s="2511"/>
      <c r="KAZ30" s="2511"/>
      <c r="KBA30" s="2511"/>
      <c r="KBB30" s="2511"/>
      <c r="KBC30" s="2511"/>
      <c r="KBD30" s="2511"/>
      <c r="KBE30" s="2511"/>
      <c r="KBF30" s="2511"/>
      <c r="KBG30" s="2511"/>
      <c r="KBH30" s="2511"/>
      <c r="KBI30" s="2511"/>
      <c r="KBJ30" s="2511"/>
      <c r="KBK30" s="2511"/>
      <c r="KBL30" s="2511"/>
      <c r="KBM30" s="2511"/>
      <c r="KBN30" s="2511"/>
      <c r="KBO30" s="2511"/>
      <c r="KBP30" s="2511"/>
      <c r="KBQ30" s="2511"/>
      <c r="KBR30" s="2511"/>
      <c r="KBS30" s="2511"/>
      <c r="KBT30" s="2511"/>
      <c r="KBU30" s="2511"/>
      <c r="KBV30" s="2511"/>
      <c r="KBW30" s="2511"/>
      <c r="KBX30" s="2511"/>
      <c r="KBY30" s="2511"/>
      <c r="KBZ30" s="2511"/>
      <c r="KCA30" s="2511"/>
      <c r="KCB30" s="2511"/>
      <c r="KCC30" s="2511"/>
      <c r="KCD30" s="2511"/>
      <c r="KCE30" s="2511"/>
      <c r="KCF30" s="2511"/>
      <c r="KCG30" s="2511"/>
      <c r="KCH30" s="2511"/>
      <c r="KCI30" s="2511"/>
      <c r="KCJ30" s="2511"/>
      <c r="KCK30" s="2511"/>
      <c r="KCL30" s="2511"/>
      <c r="KCM30" s="2511"/>
      <c r="KCN30" s="2511"/>
      <c r="KCO30" s="2511"/>
      <c r="KCP30" s="2511"/>
      <c r="KCQ30" s="2511"/>
      <c r="KCR30" s="2511"/>
      <c r="KCS30" s="2511"/>
      <c r="KCT30" s="2511"/>
      <c r="KCU30" s="2511"/>
      <c r="KCV30" s="2511"/>
      <c r="KCW30" s="2511"/>
      <c r="KCX30" s="2511"/>
      <c r="KCY30" s="2511"/>
      <c r="KCZ30" s="2511"/>
      <c r="KDA30" s="2511"/>
      <c r="KDB30" s="2511"/>
      <c r="KDC30" s="2511"/>
      <c r="KDD30" s="2511"/>
      <c r="KDE30" s="2511"/>
      <c r="KDF30" s="2511"/>
      <c r="KDG30" s="2511"/>
      <c r="KDH30" s="2511"/>
      <c r="KDI30" s="2511"/>
      <c r="KDJ30" s="2511"/>
      <c r="KDK30" s="2511"/>
      <c r="KDL30" s="2511"/>
      <c r="KDM30" s="2511"/>
      <c r="KDN30" s="2511"/>
      <c r="KDO30" s="2511"/>
      <c r="KDP30" s="2511"/>
      <c r="KDQ30" s="2511"/>
      <c r="KDR30" s="2511"/>
      <c r="KDS30" s="2511"/>
      <c r="KDT30" s="2511"/>
      <c r="KDU30" s="2511"/>
      <c r="KDV30" s="2511"/>
      <c r="KDW30" s="2511"/>
      <c r="KDX30" s="2511"/>
      <c r="KDY30" s="2511"/>
      <c r="KDZ30" s="2511"/>
      <c r="KEA30" s="2511"/>
      <c r="KEB30" s="2511"/>
      <c r="KEC30" s="2511"/>
      <c r="KED30" s="2511"/>
      <c r="KEE30" s="2511"/>
      <c r="KEF30" s="2511"/>
      <c r="KEG30" s="2511"/>
      <c r="KEH30" s="2511"/>
      <c r="KEI30" s="2511"/>
      <c r="KEJ30" s="2511"/>
      <c r="KEK30" s="2511"/>
      <c r="KEL30" s="2511"/>
      <c r="KEM30" s="2511"/>
      <c r="KEN30" s="2511"/>
      <c r="KEO30" s="2511"/>
      <c r="KEP30" s="2511"/>
      <c r="KEQ30" s="2511"/>
      <c r="KER30" s="2511"/>
      <c r="KES30" s="2511"/>
      <c r="KET30" s="2511"/>
      <c r="KEU30" s="2511"/>
      <c r="KEV30" s="2511"/>
      <c r="KEW30" s="2511"/>
      <c r="KEX30" s="2511"/>
      <c r="KEY30" s="2511"/>
      <c r="KEZ30" s="2511"/>
      <c r="KFA30" s="2511"/>
      <c r="KFB30" s="2511"/>
      <c r="KFC30" s="2511"/>
      <c r="KFD30" s="2511"/>
      <c r="KFE30" s="2511"/>
      <c r="KFF30" s="2511"/>
      <c r="KFG30" s="2511"/>
      <c r="KFH30" s="2511"/>
      <c r="KFI30" s="2511"/>
      <c r="KFJ30" s="2511"/>
      <c r="KFK30" s="2511"/>
      <c r="KFL30" s="2511"/>
      <c r="KFM30" s="2511"/>
      <c r="KFN30" s="2511"/>
      <c r="KFO30" s="2511"/>
      <c r="KFP30" s="2511"/>
      <c r="KFQ30" s="2511"/>
      <c r="KFR30" s="2511"/>
      <c r="KFS30" s="2511"/>
      <c r="KFT30" s="2511"/>
      <c r="KFU30" s="2511"/>
      <c r="KFV30" s="2511"/>
      <c r="KFW30" s="2511"/>
      <c r="KFX30" s="2511"/>
      <c r="KFY30" s="2511"/>
      <c r="KFZ30" s="2511"/>
      <c r="KGA30" s="2511"/>
      <c r="KGB30" s="2511"/>
      <c r="KGC30" s="2511"/>
      <c r="KGD30" s="2511"/>
      <c r="KGE30" s="2511"/>
      <c r="KGF30" s="2511"/>
      <c r="KGG30" s="2511"/>
      <c r="KGH30" s="2511"/>
      <c r="KGI30" s="2511"/>
      <c r="KGJ30" s="2511"/>
      <c r="KGK30" s="2511"/>
      <c r="KGL30" s="2511"/>
      <c r="KGM30" s="2511"/>
      <c r="KGN30" s="2511"/>
      <c r="KGO30" s="2511"/>
      <c r="KGP30" s="2511"/>
      <c r="KGQ30" s="2511"/>
      <c r="KGR30" s="2511"/>
      <c r="KGS30" s="2511"/>
      <c r="KGT30" s="2511"/>
      <c r="KGU30" s="2511"/>
      <c r="KGV30" s="2511"/>
      <c r="KGW30" s="2511"/>
      <c r="KGX30" s="2511"/>
      <c r="KGY30" s="2511"/>
      <c r="KGZ30" s="2511"/>
      <c r="KHA30" s="2511"/>
      <c r="KHB30" s="2511"/>
      <c r="KHC30" s="2511"/>
      <c r="KHD30" s="2511"/>
      <c r="KHE30" s="2511"/>
      <c r="KHF30" s="2511"/>
      <c r="KHG30" s="2511"/>
      <c r="KHH30" s="2511"/>
      <c r="KHI30" s="2511"/>
      <c r="KHJ30" s="2511"/>
      <c r="KHK30" s="2511"/>
      <c r="KHL30" s="2511"/>
      <c r="KHM30" s="2511"/>
      <c r="KHN30" s="2511"/>
      <c r="KHO30" s="2511"/>
      <c r="KHP30" s="2511"/>
      <c r="KHQ30" s="2511"/>
      <c r="KHR30" s="2511"/>
      <c r="KHS30" s="2511"/>
      <c r="KHT30" s="2511"/>
      <c r="KHU30" s="2511"/>
      <c r="KHV30" s="2511"/>
      <c r="KHW30" s="2511"/>
      <c r="KHX30" s="2511"/>
      <c r="KHY30" s="2511"/>
      <c r="KHZ30" s="2511"/>
      <c r="KIA30" s="2511"/>
      <c r="KIB30" s="2511"/>
      <c r="KIC30" s="2511"/>
      <c r="KID30" s="2511"/>
      <c r="KIE30" s="2511"/>
      <c r="KIF30" s="2511"/>
      <c r="KIG30" s="2511"/>
      <c r="KIH30" s="2511"/>
      <c r="KII30" s="2511"/>
      <c r="KIJ30" s="2511"/>
      <c r="KIK30" s="2511"/>
      <c r="KIL30" s="2511"/>
      <c r="KIM30" s="2511"/>
      <c r="KIN30" s="2511"/>
      <c r="KIO30" s="2511"/>
      <c r="KIP30" s="2511"/>
      <c r="KIQ30" s="2511"/>
      <c r="KIR30" s="2511"/>
      <c r="KIS30" s="2511"/>
      <c r="KIT30" s="2511"/>
      <c r="KIU30" s="2511"/>
      <c r="KIV30" s="2511"/>
      <c r="KIW30" s="2511"/>
      <c r="KIX30" s="2511"/>
      <c r="KIY30" s="2511"/>
      <c r="KIZ30" s="2511"/>
      <c r="KJA30" s="2511"/>
      <c r="KJB30" s="2511"/>
      <c r="KJC30" s="2511"/>
      <c r="KJD30" s="2511"/>
      <c r="KJE30" s="2511"/>
      <c r="KJF30" s="2511"/>
      <c r="KJG30" s="2511"/>
      <c r="KJH30" s="2511"/>
      <c r="KJI30" s="2511"/>
      <c r="KJJ30" s="2511"/>
      <c r="KJK30" s="2511"/>
      <c r="KJL30" s="2511"/>
      <c r="KJM30" s="2511"/>
      <c r="KJN30" s="2511"/>
      <c r="KJO30" s="2511"/>
      <c r="KJP30" s="2511"/>
      <c r="KJQ30" s="2511"/>
      <c r="KJR30" s="2511"/>
      <c r="KJS30" s="2511"/>
      <c r="KJT30" s="2511"/>
      <c r="KJU30" s="2511"/>
      <c r="KJV30" s="2511"/>
      <c r="KJW30" s="2511"/>
      <c r="KJX30" s="2511"/>
      <c r="KJY30" s="2511"/>
      <c r="KJZ30" s="2511"/>
      <c r="KKA30" s="2511"/>
      <c r="KKB30" s="2511"/>
      <c r="KKC30" s="2511"/>
      <c r="KKD30" s="2511"/>
      <c r="KKE30" s="2511"/>
      <c r="KKF30" s="2511"/>
      <c r="KKG30" s="2511"/>
      <c r="KKH30" s="2511"/>
      <c r="KKI30" s="2511"/>
      <c r="KKJ30" s="2511"/>
      <c r="KKK30" s="2511"/>
      <c r="KKL30" s="2511"/>
      <c r="KKM30" s="2511"/>
      <c r="KKN30" s="2511"/>
      <c r="KKO30" s="2511"/>
      <c r="KKP30" s="2511"/>
      <c r="KKQ30" s="2511"/>
      <c r="KKR30" s="2511"/>
      <c r="KKS30" s="2511"/>
      <c r="KKT30" s="2511"/>
      <c r="KKU30" s="2511"/>
      <c r="KKV30" s="2511"/>
      <c r="KKW30" s="2511"/>
      <c r="KKX30" s="2511"/>
      <c r="KKY30" s="2511"/>
      <c r="KKZ30" s="2511"/>
      <c r="KLA30" s="2511"/>
      <c r="KLB30" s="2511"/>
      <c r="KLC30" s="2511"/>
      <c r="KLD30" s="2511"/>
      <c r="KLE30" s="2511"/>
      <c r="KLF30" s="2511"/>
      <c r="KLG30" s="2511"/>
      <c r="KLH30" s="2511"/>
      <c r="KLI30" s="2511"/>
      <c r="KLJ30" s="2511"/>
      <c r="KLK30" s="2511"/>
      <c r="KLL30" s="2511"/>
      <c r="KLM30" s="2511"/>
      <c r="KLN30" s="2511"/>
      <c r="KLO30" s="2511"/>
      <c r="KLP30" s="2511"/>
      <c r="KLQ30" s="2511"/>
      <c r="KLR30" s="2511"/>
      <c r="KLS30" s="2511"/>
      <c r="KLT30" s="2511"/>
      <c r="KLU30" s="2511"/>
      <c r="KLV30" s="2511"/>
      <c r="KLW30" s="2511"/>
      <c r="KLX30" s="2511"/>
      <c r="KLY30" s="2511"/>
      <c r="KLZ30" s="2511"/>
      <c r="KMA30" s="2511"/>
      <c r="KMB30" s="2511"/>
      <c r="KMC30" s="2511"/>
      <c r="KMD30" s="2511"/>
      <c r="KME30" s="2511"/>
      <c r="KMF30" s="2511"/>
      <c r="KMG30" s="2511"/>
      <c r="KMH30" s="2511"/>
      <c r="KMI30" s="2511"/>
      <c r="KMJ30" s="2511"/>
      <c r="KMK30" s="2511"/>
      <c r="KML30" s="2511"/>
      <c r="KMM30" s="2511"/>
      <c r="KMN30" s="2511"/>
      <c r="KMO30" s="2511"/>
      <c r="KMP30" s="2511"/>
      <c r="KMQ30" s="2511"/>
      <c r="KMR30" s="2511"/>
      <c r="KMS30" s="2511"/>
      <c r="KMT30" s="2511"/>
      <c r="KMU30" s="2511"/>
      <c r="KMV30" s="2511"/>
      <c r="KMW30" s="2511"/>
      <c r="KMX30" s="2511"/>
      <c r="KMY30" s="2511"/>
      <c r="KMZ30" s="2511"/>
      <c r="KNA30" s="2511"/>
      <c r="KNB30" s="2511"/>
      <c r="KNC30" s="2511"/>
      <c r="KND30" s="2511"/>
      <c r="KNE30" s="2511"/>
      <c r="KNF30" s="2511"/>
      <c r="KNG30" s="2511"/>
      <c r="KNH30" s="2511"/>
      <c r="KNI30" s="2511"/>
      <c r="KNJ30" s="2511"/>
      <c r="KNK30" s="2511"/>
      <c r="KNL30" s="2511"/>
      <c r="KNM30" s="2511"/>
      <c r="KNN30" s="2511"/>
      <c r="KNO30" s="2511"/>
      <c r="KNP30" s="2511"/>
      <c r="KNQ30" s="2511"/>
      <c r="KNR30" s="2511"/>
      <c r="KNS30" s="2511"/>
      <c r="KNT30" s="2511"/>
      <c r="KNU30" s="2511"/>
      <c r="KNV30" s="2511"/>
      <c r="KNW30" s="2511"/>
      <c r="KNX30" s="2511"/>
      <c r="KNY30" s="2511"/>
      <c r="KNZ30" s="2511"/>
      <c r="KOA30" s="2511"/>
      <c r="KOB30" s="2511"/>
      <c r="KOC30" s="2511"/>
      <c r="KOD30" s="2511"/>
      <c r="KOE30" s="2511"/>
      <c r="KOF30" s="2511"/>
      <c r="KOG30" s="2511"/>
      <c r="KOH30" s="2511"/>
      <c r="KOI30" s="2511"/>
      <c r="KOJ30" s="2511"/>
      <c r="KOK30" s="2511"/>
      <c r="KOL30" s="2511"/>
      <c r="KOM30" s="2511"/>
      <c r="KON30" s="2511"/>
      <c r="KOO30" s="2511"/>
      <c r="KOP30" s="2511"/>
      <c r="KOQ30" s="2511"/>
      <c r="KOR30" s="2511"/>
      <c r="KOS30" s="2511"/>
      <c r="KOT30" s="2511"/>
      <c r="KOU30" s="2511"/>
      <c r="KOV30" s="2511"/>
      <c r="KOW30" s="2511"/>
      <c r="KOX30" s="2511"/>
      <c r="KOY30" s="2511"/>
      <c r="KOZ30" s="2511"/>
      <c r="KPA30" s="2511"/>
      <c r="KPB30" s="2511"/>
      <c r="KPC30" s="2511"/>
      <c r="KPD30" s="2511"/>
      <c r="KPE30" s="2511"/>
      <c r="KPF30" s="2511"/>
      <c r="KPG30" s="2511"/>
      <c r="KPH30" s="2511"/>
      <c r="KPI30" s="2511"/>
      <c r="KPJ30" s="2511"/>
      <c r="KPK30" s="2511"/>
      <c r="KPL30" s="2511"/>
      <c r="KPM30" s="2511"/>
      <c r="KPN30" s="2511"/>
      <c r="KPO30" s="2511"/>
      <c r="KPP30" s="2511"/>
      <c r="KPQ30" s="2511"/>
      <c r="KPR30" s="2511"/>
      <c r="KPS30" s="2511"/>
      <c r="KPT30" s="2511"/>
      <c r="KPU30" s="2511"/>
      <c r="KPV30" s="2511"/>
      <c r="KPW30" s="2511"/>
      <c r="KPX30" s="2511"/>
      <c r="KPY30" s="2511"/>
      <c r="KPZ30" s="2511"/>
      <c r="KQA30" s="2511"/>
      <c r="KQB30" s="2511"/>
      <c r="KQC30" s="2511"/>
      <c r="KQD30" s="2511"/>
      <c r="KQE30" s="2511"/>
      <c r="KQF30" s="2511"/>
      <c r="KQG30" s="2511"/>
      <c r="KQH30" s="2511"/>
      <c r="KQI30" s="2511"/>
      <c r="KQJ30" s="2511"/>
      <c r="KQK30" s="2511"/>
      <c r="KQL30" s="2511"/>
      <c r="KQM30" s="2511"/>
      <c r="KQN30" s="2511"/>
      <c r="KQO30" s="2511"/>
      <c r="KQP30" s="2511"/>
      <c r="KQQ30" s="2511"/>
      <c r="KQR30" s="2511"/>
      <c r="KQS30" s="2511"/>
      <c r="KQT30" s="2511"/>
      <c r="KQU30" s="2511"/>
      <c r="KQV30" s="2511"/>
      <c r="KQW30" s="2511"/>
      <c r="KQX30" s="2511"/>
      <c r="KQY30" s="2511"/>
      <c r="KQZ30" s="2511"/>
      <c r="KRA30" s="2511"/>
      <c r="KRB30" s="2511"/>
      <c r="KRC30" s="2511"/>
      <c r="KRD30" s="2511"/>
      <c r="KRE30" s="2511"/>
      <c r="KRF30" s="2511"/>
      <c r="KRG30" s="2511"/>
      <c r="KRH30" s="2511"/>
      <c r="KRI30" s="2511"/>
      <c r="KRJ30" s="2511"/>
      <c r="KRK30" s="2511"/>
      <c r="KRL30" s="2511"/>
      <c r="KRM30" s="2511"/>
      <c r="KRN30" s="2511"/>
      <c r="KRO30" s="2511"/>
      <c r="KRP30" s="2511"/>
      <c r="KRQ30" s="2511"/>
      <c r="KRR30" s="2511"/>
      <c r="KRS30" s="2511"/>
      <c r="KRT30" s="2511"/>
      <c r="KRU30" s="2511"/>
      <c r="KRV30" s="2511"/>
      <c r="KRW30" s="2511"/>
      <c r="KRX30" s="2511"/>
      <c r="KRY30" s="2511"/>
      <c r="KRZ30" s="2511"/>
      <c r="KSA30" s="2511"/>
      <c r="KSB30" s="2511"/>
      <c r="KSC30" s="2511"/>
      <c r="KSD30" s="2511"/>
      <c r="KSE30" s="2511"/>
      <c r="KSF30" s="2511"/>
      <c r="KSG30" s="2511"/>
      <c r="KSH30" s="2511"/>
      <c r="KSI30" s="2511"/>
      <c r="KSJ30" s="2511"/>
      <c r="KSK30" s="2511"/>
      <c r="KSL30" s="2511"/>
      <c r="KSM30" s="2511"/>
      <c r="KSN30" s="2511"/>
      <c r="KSO30" s="2511"/>
      <c r="KSP30" s="2511"/>
      <c r="KSQ30" s="2511"/>
      <c r="KSR30" s="2511"/>
      <c r="KSS30" s="2511"/>
      <c r="KST30" s="2511"/>
      <c r="KSU30" s="2511"/>
      <c r="KSV30" s="2511"/>
      <c r="KSW30" s="2511"/>
      <c r="KSX30" s="2511"/>
      <c r="KSY30" s="2511"/>
      <c r="KSZ30" s="2511"/>
      <c r="KTA30" s="2511"/>
      <c r="KTB30" s="2511"/>
      <c r="KTC30" s="2511"/>
      <c r="KTD30" s="2511"/>
      <c r="KTE30" s="2511"/>
      <c r="KTF30" s="2511"/>
      <c r="KTG30" s="2511"/>
      <c r="KTH30" s="2511"/>
      <c r="KTI30" s="2511"/>
      <c r="KTJ30" s="2511"/>
      <c r="KTK30" s="2511"/>
      <c r="KTL30" s="2511"/>
      <c r="KTM30" s="2511"/>
      <c r="KTN30" s="2511"/>
      <c r="KTO30" s="2511"/>
      <c r="KTP30" s="2511"/>
      <c r="KTQ30" s="2511"/>
      <c r="KTR30" s="2511"/>
      <c r="KTS30" s="2511"/>
      <c r="KTT30" s="2511"/>
      <c r="KTU30" s="2511"/>
      <c r="KTV30" s="2511"/>
      <c r="KTW30" s="2511"/>
      <c r="KTX30" s="2511"/>
      <c r="KTY30" s="2511"/>
      <c r="KTZ30" s="2511"/>
      <c r="KUA30" s="2511"/>
      <c r="KUB30" s="2511"/>
      <c r="KUC30" s="2511"/>
      <c r="KUD30" s="2511"/>
      <c r="KUE30" s="2511"/>
      <c r="KUF30" s="2511"/>
      <c r="KUG30" s="2511"/>
      <c r="KUH30" s="2511"/>
      <c r="KUI30" s="2511"/>
      <c r="KUJ30" s="2511"/>
      <c r="KUK30" s="2511"/>
      <c r="KUL30" s="2511"/>
      <c r="KUM30" s="2511"/>
      <c r="KUN30" s="2511"/>
      <c r="KUO30" s="2511"/>
      <c r="KUP30" s="2511"/>
      <c r="KUQ30" s="2511"/>
      <c r="KUR30" s="2511"/>
      <c r="KUS30" s="2511"/>
      <c r="KUT30" s="2511"/>
      <c r="KUU30" s="2511"/>
      <c r="KUV30" s="2511"/>
      <c r="KUW30" s="2511"/>
      <c r="KUX30" s="2511"/>
      <c r="KUY30" s="2511"/>
      <c r="KUZ30" s="2511"/>
      <c r="KVA30" s="2511"/>
      <c r="KVB30" s="2511"/>
      <c r="KVC30" s="2511"/>
      <c r="KVD30" s="2511"/>
      <c r="KVE30" s="2511"/>
      <c r="KVF30" s="2511"/>
      <c r="KVG30" s="2511"/>
      <c r="KVH30" s="2511"/>
      <c r="KVI30" s="2511"/>
      <c r="KVJ30" s="2511"/>
      <c r="KVK30" s="2511"/>
      <c r="KVL30" s="2511"/>
      <c r="KVM30" s="2511"/>
      <c r="KVN30" s="2511"/>
      <c r="KVO30" s="2511"/>
      <c r="KVP30" s="2511"/>
      <c r="KVQ30" s="2511"/>
      <c r="KVR30" s="2511"/>
      <c r="KVS30" s="2511"/>
      <c r="KVT30" s="2511"/>
      <c r="KVU30" s="2511"/>
      <c r="KVV30" s="2511"/>
      <c r="KVW30" s="2511"/>
      <c r="KVX30" s="2511"/>
      <c r="KVY30" s="2511"/>
      <c r="KVZ30" s="2511"/>
      <c r="KWA30" s="2511"/>
      <c r="KWB30" s="2511"/>
      <c r="KWC30" s="2511"/>
      <c r="KWD30" s="2511"/>
      <c r="KWE30" s="2511"/>
      <c r="KWF30" s="2511"/>
      <c r="KWG30" s="2511"/>
      <c r="KWH30" s="2511"/>
      <c r="KWI30" s="2511"/>
      <c r="KWJ30" s="2511"/>
      <c r="KWK30" s="2511"/>
      <c r="KWL30" s="2511"/>
      <c r="KWM30" s="2511"/>
      <c r="KWN30" s="2511"/>
      <c r="KWO30" s="2511"/>
      <c r="KWP30" s="2511"/>
      <c r="KWQ30" s="2511"/>
      <c r="KWR30" s="2511"/>
      <c r="KWS30" s="2511"/>
      <c r="KWT30" s="2511"/>
      <c r="KWU30" s="2511"/>
      <c r="KWV30" s="2511"/>
      <c r="KWW30" s="2511"/>
      <c r="KWX30" s="2511"/>
      <c r="KWY30" s="2511"/>
      <c r="KWZ30" s="2511"/>
      <c r="KXA30" s="2511"/>
      <c r="KXB30" s="2511"/>
      <c r="KXC30" s="2511"/>
      <c r="KXD30" s="2511"/>
      <c r="KXE30" s="2511"/>
      <c r="KXF30" s="2511"/>
      <c r="KXG30" s="2511"/>
      <c r="KXH30" s="2511"/>
      <c r="KXI30" s="2511"/>
      <c r="KXJ30" s="2511"/>
      <c r="KXK30" s="2511"/>
      <c r="KXL30" s="2511"/>
      <c r="KXM30" s="2511"/>
      <c r="KXN30" s="2511"/>
      <c r="KXO30" s="2511"/>
      <c r="KXP30" s="2511"/>
      <c r="KXQ30" s="2511"/>
      <c r="KXR30" s="2511"/>
      <c r="KXS30" s="2511"/>
      <c r="KXT30" s="2511"/>
      <c r="KXU30" s="2511"/>
      <c r="KXV30" s="2511"/>
      <c r="KXW30" s="2511"/>
      <c r="KXX30" s="2511"/>
      <c r="KXY30" s="2511"/>
      <c r="KXZ30" s="2511"/>
      <c r="KYA30" s="2511"/>
      <c r="KYB30" s="2511"/>
      <c r="KYC30" s="2511"/>
      <c r="KYD30" s="2511"/>
      <c r="KYE30" s="2511"/>
      <c r="KYF30" s="2511"/>
      <c r="KYG30" s="2511"/>
      <c r="KYH30" s="2511"/>
      <c r="KYI30" s="2511"/>
      <c r="KYJ30" s="2511"/>
      <c r="KYK30" s="2511"/>
      <c r="KYL30" s="2511"/>
      <c r="KYM30" s="2511"/>
      <c r="KYN30" s="2511"/>
      <c r="KYO30" s="2511"/>
      <c r="KYP30" s="2511"/>
      <c r="KYQ30" s="2511"/>
      <c r="KYR30" s="2511"/>
      <c r="KYS30" s="2511"/>
      <c r="KYT30" s="2511"/>
      <c r="KYU30" s="2511"/>
      <c r="KYV30" s="2511"/>
      <c r="KYW30" s="2511"/>
      <c r="KYX30" s="2511"/>
      <c r="KYY30" s="2511"/>
      <c r="KYZ30" s="2511"/>
      <c r="KZA30" s="2511"/>
      <c r="KZB30" s="2511"/>
      <c r="KZC30" s="2511"/>
      <c r="KZD30" s="2511"/>
      <c r="KZE30" s="2511"/>
      <c r="KZF30" s="2511"/>
      <c r="KZG30" s="2511"/>
      <c r="KZH30" s="2511"/>
      <c r="KZI30" s="2511"/>
      <c r="KZJ30" s="2511"/>
      <c r="KZK30" s="2511"/>
      <c r="KZL30" s="2511"/>
      <c r="KZM30" s="2511"/>
      <c r="KZN30" s="2511"/>
      <c r="KZO30" s="2511"/>
      <c r="KZP30" s="2511"/>
      <c r="KZQ30" s="2511"/>
      <c r="KZR30" s="2511"/>
      <c r="KZS30" s="2511"/>
      <c r="KZT30" s="2511"/>
      <c r="KZU30" s="2511"/>
      <c r="KZV30" s="2511"/>
      <c r="KZW30" s="2511"/>
      <c r="KZX30" s="2511"/>
      <c r="KZY30" s="2511"/>
      <c r="KZZ30" s="2511"/>
      <c r="LAA30" s="2511"/>
      <c r="LAB30" s="2511"/>
      <c r="LAC30" s="2511"/>
      <c r="LAD30" s="2511"/>
      <c r="LAE30" s="2511"/>
      <c r="LAF30" s="2511"/>
      <c r="LAG30" s="2511"/>
      <c r="LAH30" s="2511"/>
      <c r="LAI30" s="2511"/>
      <c r="LAJ30" s="2511"/>
      <c r="LAK30" s="2511"/>
      <c r="LAL30" s="2511"/>
      <c r="LAM30" s="2511"/>
      <c r="LAN30" s="2511"/>
      <c r="LAO30" s="2511"/>
      <c r="LAP30" s="2511"/>
      <c r="LAQ30" s="2511"/>
      <c r="LAR30" s="2511"/>
      <c r="LAS30" s="2511"/>
      <c r="LAT30" s="2511"/>
      <c r="LAU30" s="2511"/>
      <c r="LAV30" s="2511"/>
      <c r="LAW30" s="2511"/>
      <c r="LAX30" s="2511"/>
      <c r="LAY30" s="2511"/>
      <c r="LAZ30" s="2511"/>
      <c r="LBA30" s="2511"/>
      <c r="LBB30" s="2511"/>
      <c r="LBC30" s="2511"/>
      <c r="LBD30" s="2511"/>
      <c r="LBE30" s="2511"/>
      <c r="LBF30" s="2511"/>
      <c r="LBG30" s="2511"/>
      <c r="LBH30" s="2511"/>
      <c r="LBI30" s="2511"/>
      <c r="LBJ30" s="2511"/>
      <c r="LBK30" s="2511"/>
      <c r="LBL30" s="2511"/>
      <c r="LBM30" s="2511"/>
      <c r="LBN30" s="2511"/>
      <c r="LBO30" s="2511"/>
      <c r="LBP30" s="2511"/>
      <c r="LBQ30" s="2511"/>
      <c r="LBR30" s="2511"/>
      <c r="LBS30" s="2511"/>
      <c r="LBT30" s="2511"/>
      <c r="LBU30" s="2511"/>
      <c r="LBV30" s="2511"/>
      <c r="LBW30" s="2511"/>
      <c r="LBX30" s="2511"/>
      <c r="LBY30" s="2511"/>
      <c r="LBZ30" s="2511"/>
      <c r="LCA30" s="2511"/>
      <c r="LCB30" s="2511"/>
      <c r="LCC30" s="2511"/>
      <c r="LCD30" s="2511"/>
      <c r="LCE30" s="2511"/>
      <c r="LCF30" s="2511"/>
      <c r="LCG30" s="2511"/>
      <c r="LCH30" s="2511"/>
      <c r="LCI30" s="2511"/>
      <c r="LCJ30" s="2511"/>
      <c r="LCK30" s="2511"/>
      <c r="LCL30" s="2511"/>
      <c r="LCM30" s="2511"/>
      <c r="LCN30" s="2511"/>
      <c r="LCO30" s="2511"/>
      <c r="LCP30" s="2511"/>
      <c r="LCQ30" s="2511"/>
      <c r="LCR30" s="2511"/>
      <c r="LCS30" s="2511"/>
      <c r="LCT30" s="2511"/>
      <c r="LCU30" s="2511"/>
      <c r="LCV30" s="2511"/>
      <c r="LCW30" s="2511"/>
      <c r="LCX30" s="2511"/>
      <c r="LCY30" s="2511"/>
      <c r="LCZ30" s="2511"/>
      <c r="LDA30" s="2511"/>
      <c r="LDB30" s="2511"/>
      <c r="LDC30" s="2511"/>
      <c r="LDD30" s="2511"/>
      <c r="LDE30" s="2511"/>
      <c r="LDF30" s="2511"/>
      <c r="LDG30" s="2511"/>
      <c r="LDH30" s="2511"/>
      <c r="LDI30" s="2511"/>
      <c r="LDJ30" s="2511"/>
      <c r="LDK30" s="2511"/>
      <c r="LDL30" s="2511"/>
      <c r="LDM30" s="2511"/>
      <c r="LDN30" s="2511"/>
      <c r="LDO30" s="2511"/>
      <c r="LDP30" s="2511"/>
      <c r="LDQ30" s="2511"/>
      <c r="LDR30" s="2511"/>
      <c r="LDS30" s="2511"/>
      <c r="LDT30" s="2511"/>
      <c r="LDU30" s="2511"/>
      <c r="LDV30" s="2511"/>
      <c r="LDW30" s="2511"/>
      <c r="LDX30" s="2511"/>
      <c r="LDY30" s="2511"/>
      <c r="LDZ30" s="2511"/>
      <c r="LEA30" s="2511"/>
      <c r="LEB30" s="2511"/>
      <c r="LEC30" s="2511"/>
      <c r="LED30" s="2511"/>
      <c r="LEE30" s="2511"/>
      <c r="LEF30" s="2511"/>
      <c r="LEG30" s="2511"/>
      <c r="LEH30" s="2511"/>
      <c r="LEI30" s="2511"/>
      <c r="LEJ30" s="2511"/>
      <c r="LEK30" s="2511"/>
      <c r="LEL30" s="2511"/>
      <c r="LEM30" s="2511"/>
      <c r="LEN30" s="2511"/>
      <c r="LEO30" s="2511"/>
      <c r="LEP30" s="2511"/>
      <c r="LEQ30" s="2511"/>
      <c r="LER30" s="2511"/>
      <c r="LES30" s="2511"/>
      <c r="LET30" s="2511"/>
      <c r="LEU30" s="2511"/>
      <c r="LEV30" s="2511"/>
      <c r="LEW30" s="2511"/>
      <c r="LEX30" s="2511"/>
      <c r="LEY30" s="2511"/>
      <c r="LEZ30" s="2511"/>
      <c r="LFA30" s="2511"/>
      <c r="LFB30" s="2511"/>
      <c r="LFC30" s="2511"/>
      <c r="LFD30" s="2511"/>
      <c r="LFE30" s="2511"/>
      <c r="LFF30" s="2511"/>
      <c r="LFG30" s="2511"/>
      <c r="LFH30" s="2511"/>
      <c r="LFI30" s="2511"/>
      <c r="LFJ30" s="2511"/>
      <c r="LFK30" s="2511"/>
      <c r="LFL30" s="2511"/>
      <c r="LFM30" s="2511"/>
      <c r="LFN30" s="2511"/>
      <c r="LFO30" s="2511"/>
      <c r="LFP30" s="2511"/>
      <c r="LFQ30" s="2511"/>
      <c r="LFR30" s="2511"/>
      <c r="LFS30" s="2511"/>
      <c r="LFT30" s="2511"/>
      <c r="LFU30" s="2511"/>
      <c r="LFV30" s="2511"/>
      <c r="LFW30" s="2511"/>
      <c r="LFX30" s="2511"/>
      <c r="LFY30" s="2511"/>
      <c r="LFZ30" s="2511"/>
      <c r="LGA30" s="2511"/>
      <c r="LGB30" s="2511"/>
      <c r="LGC30" s="2511"/>
      <c r="LGD30" s="2511"/>
      <c r="LGE30" s="2511"/>
      <c r="LGF30" s="2511"/>
      <c r="LGG30" s="2511"/>
      <c r="LGH30" s="2511"/>
      <c r="LGI30" s="2511"/>
      <c r="LGJ30" s="2511"/>
      <c r="LGK30" s="2511"/>
      <c r="LGL30" s="2511"/>
      <c r="LGM30" s="2511"/>
      <c r="LGN30" s="2511"/>
      <c r="LGO30" s="2511"/>
      <c r="LGP30" s="2511"/>
      <c r="LGQ30" s="2511"/>
      <c r="LGR30" s="2511"/>
      <c r="LGS30" s="2511"/>
      <c r="LGT30" s="2511"/>
      <c r="LGU30" s="2511"/>
      <c r="LGV30" s="2511"/>
      <c r="LGW30" s="2511"/>
      <c r="LGX30" s="2511"/>
      <c r="LGY30" s="2511"/>
      <c r="LGZ30" s="2511"/>
      <c r="LHA30" s="2511"/>
      <c r="LHB30" s="2511"/>
      <c r="LHC30" s="2511"/>
      <c r="LHD30" s="2511"/>
      <c r="LHE30" s="2511"/>
      <c r="LHF30" s="2511"/>
      <c r="LHG30" s="2511"/>
      <c r="LHH30" s="2511"/>
      <c r="LHI30" s="2511"/>
      <c r="LHJ30" s="2511"/>
      <c r="LHK30" s="2511"/>
      <c r="LHL30" s="2511"/>
      <c r="LHM30" s="2511"/>
      <c r="LHN30" s="2511"/>
      <c r="LHO30" s="2511"/>
      <c r="LHP30" s="2511"/>
      <c r="LHQ30" s="2511"/>
      <c r="LHR30" s="2511"/>
      <c r="LHS30" s="2511"/>
      <c r="LHT30" s="2511"/>
      <c r="LHU30" s="2511"/>
      <c r="LHV30" s="2511"/>
      <c r="LHW30" s="2511"/>
      <c r="LHX30" s="2511"/>
      <c r="LHY30" s="2511"/>
      <c r="LHZ30" s="2511"/>
      <c r="LIA30" s="2511"/>
      <c r="LIB30" s="2511"/>
      <c r="LIC30" s="2511"/>
      <c r="LID30" s="2511"/>
      <c r="LIE30" s="2511"/>
      <c r="LIF30" s="2511"/>
      <c r="LIG30" s="2511"/>
      <c r="LIH30" s="2511"/>
      <c r="LII30" s="2511"/>
      <c r="LIJ30" s="2511"/>
      <c r="LIK30" s="2511"/>
      <c r="LIL30" s="2511"/>
      <c r="LIM30" s="2511"/>
      <c r="LIN30" s="2511"/>
      <c r="LIO30" s="2511"/>
      <c r="LIP30" s="2511"/>
      <c r="LIQ30" s="2511"/>
      <c r="LIR30" s="2511"/>
      <c r="LIS30" s="2511"/>
      <c r="LIT30" s="2511"/>
      <c r="LIU30" s="2511"/>
      <c r="LIV30" s="2511"/>
      <c r="LIW30" s="2511"/>
      <c r="LIX30" s="2511"/>
      <c r="LIY30" s="2511"/>
      <c r="LIZ30" s="2511"/>
      <c r="LJA30" s="2511"/>
      <c r="LJB30" s="2511"/>
      <c r="LJC30" s="2511"/>
      <c r="LJD30" s="2511"/>
      <c r="LJE30" s="2511"/>
      <c r="LJF30" s="2511"/>
      <c r="LJG30" s="2511"/>
      <c r="LJH30" s="2511"/>
      <c r="LJI30" s="2511"/>
      <c r="LJJ30" s="2511"/>
      <c r="LJK30" s="2511"/>
      <c r="LJL30" s="2511"/>
      <c r="LJM30" s="2511"/>
      <c r="LJN30" s="2511"/>
      <c r="LJO30" s="2511"/>
      <c r="LJP30" s="2511"/>
      <c r="LJQ30" s="2511"/>
      <c r="LJR30" s="2511"/>
      <c r="LJS30" s="2511"/>
      <c r="LJT30" s="2511"/>
      <c r="LJU30" s="2511"/>
      <c r="LJV30" s="2511"/>
      <c r="LJW30" s="2511"/>
      <c r="LJX30" s="2511"/>
      <c r="LJY30" s="2511"/>
      <c r="LJZ30" s="2511"/>
      <c r="LKA30" s="2511"/>
      <c r="LKB30" s="2511"/>
      <c r="LKC30" s="2511"/>
      <c r="LKD30" s="2511"/>
      <c r="LKE30" s="2511"/>
      <c r="LKF30" s="2511"/>
      <c r="LKG30" s="2511"/>
      <c r="LKH30" s="2511"/>
      <c r="LKI30" s="2511"/>
      <c r="LKJ30" s="2511"/>
      <c r="LKK30" s="2511"/>
      <c r="LKL30" s="2511"/>
      <c r="LKM30" s="2511"/>
      <c r="LKN30" s="2511"/>
      <c r="LKO30" s="2511"/>
      <c r="LKP30" s="2511"/>
      <c r="LKQ30" s="2511"/>
      <c r="LKR30" s="2511"/>
      <c r="LKS30" s="2511"/>
      <c r="LKT30" s="2511"/>
      <c r="LKU30" s="2511"/>
      <c r="LKV30" s="2511"/>
      <c r="LKW30" s="2511"/>
      <c r="LKX30" s="2511"/>
      <c r="LKY30" s="2511"/>
      <c r="LKZ30" s="2511"/>
      <c r="LLA30" s="2511"/>
      <c r="LLB30" s="2511"/>
      <c r="LLC30" s="2511"/>
      <c r="LLD30" s="2511"/>
      <c r="LLE30" s="2511"/>
      <c r="LLF30" s="2511"/>
      <c r="LLG30" s="2511"/>
      <c r="LLH30" s="2511"/>
      <c r="LLI30" s="2511"/>
      <c r="LLJ30" s="2511"/>
      <c r="LLK30" s="2511"/>
      <c r="LLL30" s="2511"/>
      <c r="LLM30" s="2511"/>
      <c r="LLN30" s="2511"/>
      <c r="LLO30" s="2511"/>
      <c r="LLP30" s="2511"/>
      <c r="LLQ30" s="2511"/>
      <c r="LLR30" s="2511"/>
      <c r="LLS30" s="2511"/>
      <c r="LLT30" s="2511"/>
      <c r="LLU30" s="2511"/>
      <c r="LLV30" s="2511"/>
      <c r="LLW30" s="2511"/>
      <c r="LLX30" s="2511"/>
      <c r="LLY30" s="2511"/>
      <c r="LLZ30" s="2511"/>
      <c r="LMA30" s="2511"/>
      <c r="LMB30" s="2511"/>
      <c r="LMC30" s="2511"/>
      <c r="LMD30" s="2511"/>
      <c r="LME30" s="2511"/>
      <c r="LMF30" s="2511"/>
      <c r="LMG30" s="2511"/>
      <c r="LMH30" s="2511"/>
      <c r="LMI30" s="2511"/>
      <c r="LMJ30" s="2511"/>
      <c r="LMK30" s="2511"/>
      <c r="LML30" s="2511"/>
      <c r="LMM30" s="2511"/>
      <c r="LMN30" s="2511"/>
      <c r="LMO30" s="2511"/>
      <c r="LMP30" s="2511"/>
      <c r="LMQ30" s="2511"/>
      <c r="LMR30" s="2511"/>
      <c r="LMS30" s="2511"/>
      <c r="LMT30" s="2511"/>
      <c r="LMU30" s="2511"/>
      <c r="LMV30" s="2511"/>
      <c r="LMW30" s="2511"/>
      <c r="LMX30" s="2511"/>
      <c r="LMY30" s="2511"/>
      <c r="LMZ30" s="2511"/>
      <c r="LNA30" s="2511"/>
      <c r="LNB30" s="2511"/>
      <c r="LNC30" s="2511"/>
      <c r="LND30" s="2511"/>
      <c r="LNE30" s="2511"/>
      <c r="LNF30" s="2511"/>
      <c r="LNG30" s="2511"/>
      <c r="LNH30" s="2511"/>
      <c r="LNI30" s="2511"/>
      <c r="LNJ30" s="2511"/>
      <c r="LNK30" s="2511"/>
      <c r="LNL30" s="2511"/>
      <c r="LNM30" s="2511"/>
      <c r="LNN30" s="2511"/>
      <c r="LNO30" s="2511"/>
      <c r="LNP30" s="2511"/>
      <c r="LNQ30" s="2511"/>
      <c r="LNR30" s="2511"/>
      <c r="LNS30" s="2511"/>
      <c r="LNT30" s="2511"/>
      <c r="LNU30" s="2511"/>
      <c r="LNV30" s="2511"/>
      <c r="LNW30" s="2511"/>
      <c r="LNX30" s="2511"/>
      <c r="LNY30" s="2511"/>
      <c r="LNZ30" s="2511"/>
      <c r="LOA30" s="2511"/>
      <c r="LOB30" s="2511"/>
      <c r="LOC30" s="2511"/>
      <c r="LOD30" s="2511"/>
      <c r="LOE30" s="2511"/>
      <c r="LOF30" s="2511"/>
      <c r="LOG30" s="2511"/>
      <c r="LOH30" s="2511"/>
      <c r="LOI30" s="2511"/>
      <c r="LOJ30" s="2511"/>
      <c r="LOK30" s="2511"/>
      <c r="LOL30" s="2511"/>
      <c r="LOM30" s="2511"/>
      <c r="LON30" s="2511"/>
      <c r="LOO30" s="2511"/>
      <c r="LOP30" s="2511"/>
      <c r="LOQ30" s="2511"/>
      <c r="LOR30" s="2511"/>
      <c r="LOS30" s="2511"/>
      <c r="LOT30" s="2511"/>
      <c r="LOU30" s="2511"/>
      <c r="LOV30" s="2511"/>
      <c r="LOW30" s="2511"/>
      <c r="LOX30" s="2511"/>
      <c r="LOY30" s="2511"/>
      <c r="LOZ30" s="2511"/>
      <c r="LPA30" s="2511"/>
      <c r="LPB30" s="2511"/>
      <c r="LPC30" s="2511"/>
      <c r="LPD30" s="2511"/>
      <c r="LPE30" s="2511"/>
      <c r="LPF30" s="2511"/>
      <c r="LPG30" s="2511"/>
      <c r="LPH30" s="2511"/>
      <c r="LPI30" s="2511"/>
      <c r="LPJ30" s="2511"/>
      <c r="LPK30" s="2511"/>
      <c r="LPL30" s="2511"/>
      <c r="LPM30" s="2511"/>
      <c r="LPN30" s="2511"/>
      <c r="LPO30" s="2511"/>
      <c r="LPP30" s="2511"/>
      <c r="LPQ30" s="2511"/>
      <c r="LPR30" s="2511"/>
      <c r="LPS30" s="2511"/>
      <c r="LPT30" s="2511"/>
      <c r="LPU30" s="2511"/>
      <c r="LPV30" s="2511"/>
      <c r="LPW30" s="2511"/>
      <c r="LPX30" s="2511"/>
      <c r="LPY30" s="2511"/>
      <c r="LPZ30" s="2511"/>
      <c r="LQA30" s="2511"/>
      <c r="LQB30" s="2511"/>
      <c r="LQC30" s="2511"/>
      <c r="LQD30" s="2511"/>
      <c r="LQE30" s="2511"/>
      <c r="LQF30" s="2511"/>
      <c r="LQG30" s="2511"/>
      <c r="LQH30" s="2511"/>
      <c r="LQI30" s="2511"/>
      <c r="LQJ30" s="2511"/>
      <c r="LQK30" s="2511"/>
      <c r="LQL30" s="2511"/>
      <c r="LQM30" s="2511"/>
      <c r="LQN30" s="2511"/>
      <c r="LQO30" s="2511"/>
      <c r="LQP30" s="2511"/>
      <c r="LQQ30" s="2511"/>
      <c r="LQR30" s="2511"/>
      <c r="LQS30" s="2511"/>
      <c r="LQT30" s="2511"/>
      <c r="LQU30" s="2511"/>
      <c r="LQV30" s="2511"/>
      <c r="LQW30" s="2511"/>
      <c r="LQX30" s="2511"/>
      <c r="LQY30" s="2511"/>
      <c r="LQZ30" s="2511"/>
      <c r="LRA30" s="2511"/>
      <c r="LRB30" s="2511"/>
      <c r="LRC30" s="2511"/>
      <c r="LRD30" s="2511"/>
      <c r="LRE30" s="2511"/>
      <c r="LRF30" s="2511"/>
      <c r="LRG30" s="2511"/>
      <c r="LRH30" s="2511"/>
      <c r="LRI30" s="2511"/>
      <c r="LRJ30" s="2511"/>
      <c r="LRK30" s="2511"/>
      <c r="LRL30" s="2511"/>
      <c r="LRM30" s="2511"/>
      <c r="LRN30" s="2511"/>
      <c r="LRO30" s="2511"/>
      <c r="LRP30" s="2511"/>
      <c r="LRQ30" s="2511"/>
      <c r="LRR30" s="2511"/>
      <c r="LRS30" s="2511"/>
      <c r="LRT30" s="2511"/>
      <c r="LRU30" s="2511"/>
      <c r="LRV30" s="2511"/>
      <c r="LRW30" s="2511"/>
      <c r="LRX30" s="2511"/>
      <c r="LRY30" s="2511"/>
      <c r="LRZ30" s="2511"/>
      <c r="LSA30" s="2511"/>
      <c r="LSB30" s="2511"/>
      <c r="LSC30" s="2511"/>
      <c r="LSD30" s="2511"/>
      <c r="LSE30" s="2511"/>
      <c r="LSF30" s="2511"/>
      <c r="LSG30" s="2511"/>
      <c r="LSH30" s="2511"/>
      <c r="LSI30" s="2511"/>
      <c r="LSJ30" s="2511"/>
      <c r="LSK30" s="2511"/>
      <c r="LSL30" s="2511"/>
      <c r="LSM30" s="2511"/>
      <c r="LSN30" s="2511"/>
      <c r="LSO30" s="2511"/>
      <c r="LSP30" s="2511"/>
      <c r="LSQ30" s="2511"/>
      <c r="LSR30" s="2511"/>
      <c r="LSS30" s="2511"/>
      <c r="LST30" s="2511"/>
      <c r="LSU30" s="2511"/>
      <c r="LSV30" s="2511"/>
      <c r="LSW30" s="2511"/>
      <c r="LSX30" s="2511"/>
      <c r="LSY30" s="2511"/>
      <c r="LSZ30" s="2511"/>
      <c r="LTA30" s="2511"/>
      <c r="LTB30" s="2511"/>
      <c r="LTC30" s="2511"/>
      <c r="LTD30" s="2511"/>
      <c r="LTE30" s="2511"/>
      <c r="LTF30" s="2511"/>
      <c r="LTG30" s="2511"/>
      <c r="LTH30" s="2511"/>
      <c r="LTI30" s="2511"/>
      <c r="LTJ30" s="2511"/>
      <c r="LTK30" s="2511"/>
      <c r="LTL30" s="2511"/>
      <c r="LTM30" s="2511"/>
      <c r="LTN30" s="2511"/>
      <c r="LTO30" s="2511"/>
      <c r="LTP30" s="2511"/>
      <c r="LTQ30" s="2511"/>
      <c r="LTR30" s="2511"/>
      <c r="LTS30" s="2511"/>
      <c r="LTT30" s="2511"/>
      <c r="LTU30" s="2511"/>
      <c r="LTV30" s="2511"/>
      <c r="LTW30" s="2511"/>
      <c r="LTX30" s="2511"/>
      <c r="LTY30" s="2511"/>
      <c r="LTZ30" s="2511"/>
      <c r="LUA30" s="2511"/>
      <c r="LUB30" s="2511"/>
      <c r="LUC30" s="2511"/>
      <c r="LUD30" s="2511"/>
      <c r="LUE30" s="2511"/>
      <c r="LUF30" s="2511"/>
      <c r="LUG30" s="2511"/>
      <c r="LUH30" s="2511"/>
      <c r="LUI30" s="2511"/>
      <c r="LUJ30" s="2511"/>
      <c r="LUK30" s="2511"/>
      <c r="LUL30" s="2511"/>
      <c r="LUM30" s="2511"/>
      <c r="LUN30" s="2511"/>
      <c r="LUO30" s="2511"/>
      <c r="LUP30" s="2511"/>
      <c r="LUQ30" s="2511"/>
      <c r="LUR30" s="2511"/>
      <c r="LUS30" s="2511"/>
      <c r="LUT30" s="2511"/>
      <c r="LUU30" s="2511"/>
      <c r="LUV30" s="2511"/>
      <c r="LUW30" s="2511"/>
      <c r="LUX30" s="2511"/>
      <c r="LUY30" s="2511"/>
      <c r="LUZ30" s="2511"/>
      <c r="LVA30" s="2511"/>
      <c r="LVB30" s="2511"/>
      <c r="LVC30" s="2511"/>
      <c r="LVD30" s="2511"/>
      <c r="LVE30" s="2511"/>
      <c r="LVF30" s="2511"/>
      <c r="LVG30" s="2511"/>
      <c r="LVH30" s="2511"/>
      <c r="LVI30" s="2511"/>
      <c r="LVJ30" s="2511"/>
      <c r="LVK30" s="2511"/>
      <c r="LVL30" s="2511"/>
      <c r="LVM30" s="2511"/>
      <c r="LVN30" s="2511"/>
      <c r="LVO30" s="2511"/>
      <c r="LVP30" s="2511"/>
      <c r="LVQ30" s="2511"/>
      <c r="LVR30" s="2511"/>
      <c r="LVS30" s="2511"/>
      <c r="LVT30" s="2511"/>
      <c r="LVU30" s="2511"/>
      <c r="LVV30" s="2511"/>
      <c r="LVW30" s="2511"/>
      <c r="LVX30" s="2511"/>
      <c r="LVY30" s="2511"/>
      <c r="LVZ30" s="2511"/>
      <c r="LWA30" s="2511"/>
      <c r="LWB30" s="2511"/>
      <c r="LWC30" s="2511"/>
      <c r="LWD30" s="2511"/>
      <c r="LWE30" s="2511"/>
      <c r="LWF30" s="2511"/>
      <c r="LWG30" s="2511"/>
      <c r="LWH30" s="2511"/>
      <c r="LWI30" s="2511"/>
      <c r="LWJ30" s="2511"/>
      <c r="LWK30" s="2511"/>
      <c r="LWL30" s="2511"/>
      <c r="LWM30" s="2511"/>
      <c r="LWN30" s="2511"/>
      <c r="LWO30" s="2511"/>
      <c r="LWP30" s="2511"/>
      <c r="LWQ30" s="2511"/>
      <c r="LWR30" s="2511"/>
      <c r="LWS30" s="2511"/>
      <c r="LWT30" s="2511"/>
      <c r="LWU30" s="2511"/>
      <c r="LWV30" s="2511"/>
      <c r="LWW30" s="2511"/>
      <c r="LWX30" s="2511"/>
      <c r="LWY30" s="2511"/>
      <c r="LWZ30" s="2511"/>
      <c r="LXA30" s="2511"/>
      <c r="LXB30" s="2511"/>
      <c r="LXC30" s="2511"/>
      <c r="LXD30" s="2511"/>
      <c r="LXE30" s="2511"/>
      <c r="LXF30" s="2511"/>
      <c r="LXG30" s="2511"/>
      <c r="LXH30" s="2511"/>
      <c r="LXI30" s="2511"/>
      <c r="LXJ30" s="2511"/>
      <c r="LXK30" s="2511"/>
      <c r="LXL30" s="2511"/>
      <c r="LXM30" s="2511"/>
      <c r="LXN30" s="2511"/>
      <c r="LXO30" s="2511"/>
      <c r="LXP30" s="2511"/>
      <c r="LXQ30" s="2511"/>
      <c r="LXR30" s="2511"/>
      <c r="LXS30" s="2511"/>
      <c r="LXT30" s="2511"/>
      <c r="LXU30" s="2511"/>
      <c r="LXV30" s="2511"/>
      <c r="LXW30" s="2511"/>
      <c r="LXX30" s="2511"/>
      <c r="LXY30" s="2511"/>
      <c r="LXZ30" s="2511"/>
      <c r="LYA30" s="2511"/>
      <c r="LYB30" s="2511"/>
      <c r="LYC30" s="2511"/>
      <c r="LYD30" s="2511"/>
      <c r="LYE30" s="2511"/>
      <c r="LYF30" s="2511"/>
      <c r="LYG30" s="2511"/>
      <c r="LYH30" s="2511"/>
      <c r="LYI30" s="2511"/>
      <c r="LYJ30" s="2511"/>
      <c r="LYK30" s="2511"/>
      <c r="LYL30" s="2511"/>
      <c r="LYM30" s="2511"/>
      <c r="LYN30" s="2511"/>
      <c r="LYO30" s="2511"/>
      <c r="LYP30" s="2511"/>
      <c r="LYQ30" s="2511"/>
      <c r="LYR30" s="2511"/>
      <c r="LYS30" s="2511"/>
      <c r="LYT30" s="2511"/>
      <c r="LYU30" s="2511"/>
      <c r="LYV30" s="2511"/>
      <c r="LYW30" s="2511"/>
      <c r="LYX30" s="2511"/>
      <c r="LYY30" s="2511"/>
      <c r="LYZ30" s="2511"/>
      <c r="LZA30" s="2511"/>
      <c r="LZB30" s="2511"/>
      <c r="LZC30" s="2511"/>
      <c r="LZD30" s="2511"/>
      <c r="LZE30" s="2511"/>
      <c r="LZF30" s="2511"/>
      <c r="LZG30" s="2511"/>
      <c r="LZH30" s="2511"/>
      <c r="LZI30" s="2511"/>
      <c r="LZJ30" s="2511"/>
      <c r="LZK30" s="2511"/>
      <c r="LZL30" s="2511"/>
      <c r="LZM30" s="2511"/>
      <c r="LZN30" s="2511"/>
      <c r="LZO30" s="2511"/>
      <c r="LZP30" s="2511"/>
      <c r="LZQ30" s="2511"/>
      <c r="LZR30" s="2511"/>
      <c r="LZS30" s="2511"/>
      <c r="LZT30" s="2511"/>
      <c r="LZU30" s="2511"/>
      <c r="LZV30" s="2511"/>
      <c r="LZW30" s="2511"/>
      <c r="LZX30" s="2511"/>
      <c r="LZY30" s="2511"/>
      <c r="LZZ30" s="2511"/>
      <c r="MAA30" s="2511"/>
      <c r="MAB30" s="2511"/>
      <c r="MAC30" s="2511"/>
      <c r="MAD30" s="2511"/>
      <c r="MAE30" s="2511"/>
      <c r="MAF30" s="2511"/>
      <c r="MAG30" s="2511"/>
      <c r="MAH30" s="2511"/>
      <c r="MAI30" s="2511"/>
      <c r="MAJ30" s="2511"/>
      <c r="MAK30" s="2511"/>
      <c r="MAL30" s="2511"/>
      <c r="MAM30" s="2511"/>
      <c r="MAN30" s="2511"/>
      <c r="MAO30" s="2511"/>
      <c r="MAP30" s="2511"/>
      <c r="MAQ30" s="2511"/>
      <c r="MAR30" s="2511"/>
      <c r="MAS30" s="2511"/>
      <c r="MAT30" s="2511"/>
      <c r="MAU30" s="2511"/>
      <c r="MAV30" s="2511"/>
      <c r="MAW30" s="2511"/>
      <c r="MAX30" s="2511"/>
      <c r="MAY30" s="2511"/>
      <c r="MAZ30" s="2511"/>
      <c r="MBA30" s="2511"/>
      <c r="MBB30" s="2511"/>
      <c r="MBC30" s="2511"/>
      <c r="MBD30" s="2511"/>
      <c r="MBE30" s="2511"/>
      <c r="MBF30" s="2511"/>
      <c r="MBG30" s="2511"/>
      <c r="MBH30" s="2511"/>
      <c r="MBI30" s="2511"/>
      <c r="MBJ30" s="2511"/>
      <c r="MBK30" s="2511"/>
      <c r="MBL30" s="2511"/>
      <c r="MBM30" s="2511"/>
      <c r="MBN30" s="2511"/>
      <c r="MBO30" s="2511"/>
      <c r="MBP30" s="2511"/>
      <c r="MBQ30" s="2511"/>
      <c r="MBR30" s="2511"/>
      <c r="MBS30" s="2511"/>
      <c r="MBT30" s="2511"/>
      <c r="MBU30" s="2511"/>
      <c r="MBV30" s="2511"/>
      <c r="MBW30" s="2511"/>
      <c r="MBX30" s="2511"/>
      <c r="MBY30" s="2511"/>
      <c r="MBZ30" s="2511"/>
      <c r="MCA30" s="2511"/>
      <c r="MCB30" s="2511"/>
      <c r="MCC30" s="2511"/>
      <c r="MCD30" s="2511"/>
      <c r="MCE30" s="2511"/>
      <c r="MCF30" s="2511"/>
      <c r="MCG30" s="2511"/>
      <c r="MCH30" s="2511"/>
      <c r="MCI30" s="2511"/>
      <c r="MCJ30" s="2511"/>
      <c r="MCK30" s="2511"/>
      <c r="MCL30" s="2511"/>
      <c r="MCM30" s="2511"/>
      <c r="MCN30" s="2511"/>
      <c r="MCO30" s="2511"/>
      <c r="MCP30" s="2511"/>
      <c r="MCQ30" s="2511"/>
      <c r="MCR30" s="2511"/>
      <c r="MCS30" s="2511"/>
      <c r="MCT30" s="2511"/>
      <c r="MCU30" s="2511"/>
      <c r="MCV30" s="2511"/>
      <c r="MCW30" s="2511"/>
      <c r="MCX30" s="2511"/>
      <c r="MCY30" s="2511"/>
      <c r="MCZ30" s="2511"/>
      <c r="MDA30" s="2511"/>
      <c r="MDB30" s="2511"/>
      <c r="MDC30" s="2511"/>
      <c r="MDD30" s="2511"/>
      <c r="MDE30" s="2511"/>
      <c r="MDF30" s="2511"/>
      <c r="MDG30" s="2511"/>
      <c r="MDH30" s="2511"/>
      <c r="MDI30" s="2511"/>
      <c r="MDJ30" s="2511"/>
      <c r="MDK30" s="2511"/>
      <c r="MDL30" s="2511"/>
      <c r="MDM30" s="2511"/>
      <c r="MDN30" s="2511"/>
      <c r="MDO30" s="2511"/>
      <c r="MDP30" s="2511"/>
      <c r="MDQ30" s="2511"/>
      <c r="MDR30" s="2511"/>
      <c r="MDS30" s="2511"/>
      <c r="MDT30" s="2511"/>
      <c r="MDU30" s="2511"/>
      <c r="MDV30" s="2511"/>
      <c r="MDW30" s="2511"/>
      <c r="MDX30" s="2511"/>
      <c r="MDY30" s="2511"/>
      <c r="MDZ30" s="2511"/>
      <c r="MEA30" s="2511"/>
      <c r="MEB30" s="2511"/>
      <c r="MEC30" s="2511"/>
      <c r="MED30" s="2511"/>
      <c r="MEE30" s="2511"/>
      <c r="MEF30" s="2511"/>
      <c r="MEG30" s="2511"/>
      <c r="MEH30" s="2511"/>
      <c r="MEI30" s="2511"/>
      <c r="MEJ30" s="2511"/>
      <c r="MEK30" s="2511"/>
      <c r="MEL30" s="2511"/>
      <c r="MEM30" s="2511"/>
      <c r="MEN30" s="2511"/>
      <c r="MEO30" s="2511"/>
      <c r="MEP30" s="2511"/>
      <c r="MEQ30" s="2511"/>
      <c r="MER30" s="2511"/>
      <c r="MES30" s="2511"/>
      <c r="MET30" s="2511"/>
      <c r="MEU30" s="2511"/>
      <c r="MEV30" s="2511"/>
      <c r="MEW30" s="2511"/>
      <c r="MEX30" s="2511"/>
      <c r="MEY30" s="2511"/>
      <c r="MEZ30" s="2511"/>
      <c r="MFA30" s="2511"/>
      <c r="MFB30" s="2511"/>
      <c r="MFC30" s="2511"/>
      <c r="MFD30" s="2511"/>
      <c r="MFE30" s="2511"/>
      <c r="MFF30" s="2511"/>
      <c r="MFG30" s="2511"/>
      <c r="MFH30" s="2511"/>
      <c r="MFI30" s="2511"/>
      <c r="MFJ30" s="2511"/>
      <c r="MFK30" s="2511"/>
      <c r="MFL30" s="2511"/>
      <c r="MFM30" s="2511"/>
      <c r="MFN30" s="2511"/>
      <c r="MFO30" s="2511"/>
      <c r="MFP30" s="2511"/>
      <c r="MFQ30" s="2511"/>
      <c r="MFR30" s="2511"/>
      <c r="MFS30" s="2511"/>
      <c r="MFT30" s="2511"/>
      <c r="MFU30" s="2511"/>
      <c r="MFV30" s="2511"/>
      <c r="MFW30" s="2511"/>
      <c r="MFX30" s="2511"/>
      <c r="MFY30" s="2511"/>
      <c r="MFZ30" s="2511"/>
      <c r="MGA30" s="2511"/>
      <c r="MGB30" s="2511"/>
      <c r="MGC30" s="2511"/>
      <c r="MGD30" s="2511"/>
      <c r="MGE30" s="2511"/>
      <c r="MGF30" s="2511"/>
      <c r="MGG30" s="2511"/>
      <c r="MGH30" s="2511"/>
      <c r="MGI30" s="2511"/>
      <c r="MGJ30" s="2511"/>
      <c r="MGK30" s="2511"/>
      <c r="MGL30" s="2511"/>
      <c r="MGM30" s="2511"/>
      <c r="MGN30" s="2511"/>
      <c r="MGO30" s="2511"/>
      <c r="MGP30" s="2511"/>
      <c r="MGQ30" s="2511"/>
      <c r="MGR30" s="2511"/>
      <c r="MGS30" s="2511"/>
      <c r="MGT30" s="2511"/>
      <c r="MGU30" s="2511"/>
      <c r="MGV30" s="2511"/>
      <c r="MGW30" s="2511"/>
      <c r="MGX30" s="2511"/>
      <c r="MGY30" s="2511"/>
      <c r="MGZ30" s="2511"/>
      <c r="MHA30" s="2511"/>
      <c r="MHB30" s="2511"/>
      <c r="MHC30" s="2511"/>
      <c r="MHD30" s="2511"/>
      <c r="MHE30" s="2511"/>
      <c r="MHF30" s="2511"/>
      <c r="MHG30" s="2511"/>
      <c r="MHH30" s="2511"/>
      <c r="MHI30" s="2511"/>
      <c r="MHJ30" s="2511"/>
      <c r="MHK30" s="2511"/>
      <c r="MHL30" s="2511"/>
      <c r="MHM30" s="2511"/>
      <c r="MHN30" s="2511"/>
      <c r="MHO30" s="2511"/>
      <c r="MHP30" s="2511"/>
      <c r="MHQ30" s="2511"/>
      <c r="MHR30" s="2511"/>
      <c r="MHS30" s="2511"/>
      <c r="MHT30" s="2511"/>
      <c r="MHU30" s="2511"/>
      <c r="MHV30" s="2511"/>
      <c r="MHW30" s="2511"/>
      <c r="MHX30" s="2511"/>
      <c r="MHY30" s="2511"/>
      <c r="MHZ30" s="2511"/>
      <c r="MIA30" s="2511"/>
      <c r="MIB30" s="2511"/>
      <c r="MIC30" s="2511"/>
      <c r="MID30" s="2511"/>
      <c r="MIE30" s="2511"/>
      <c r="MIF30" s="2511"/>
      <c r="MIG30" s="2511"/>
      <c r="MIH30" s="2511"/>
      <c r="MII30" s="2511"/>
      <c r="MIJ30" s="2511"/>
      <c r="MIK30" s="2511"/>
      <c r="MIL30" s="2511"/>
      <c r="MIM30" s="2511"/>
      <c r="MIN30" s="2511"/>
      <c r="MIO30" s="2511"/>
      <c r="MIP30" s="2511"/>
      <c r="MIQ30" s="2511"/>
      <c r="MIR30" s="2511"/>
      <c r="MIS30" s="2511"/>
      <c r="MIT30" s="2511"/>
      <c r="MIU30" s="2511"/>
      <c r="MIV30" s="2511"/>
      <c r="MIW30" s="2511"/>
      <c r="MIX30" s="2511"/>
      <c r="MIY30" s="2511"/>
      <c r="MIZ30" s="2511"/>
      <c r="MJA30" s="2511"/>
      <c r="MJB30" s="2511"/>
      <c r="MJC30" s="2511"/>
      <c r="MJD30" s="2511"/>
      <c r="MJE30" s="2511"/>
      <c r="MJF30" s="2511"/>
      <c r="MJG30" s="2511"/>
      <c r="MJH30" s="2511"/>
      <c r="MJI30" s="2511"/>
      <c r="MJJ30" s="2511"/>
      <c r="MJK30" s="2511"/>
      <c r="MJL30" s="2511"/>
      <c r="MJM30" s="2511"/>
      <c r="MJN30" s="2511"/>
      <c r="MJO30" s="2511"/>
      <c r="MJP30" s="2511"/>
      <c r="MJQ30" s="2511"/>
      <c r="MJR30" s="2511"/>
      <c r="MJS30" s="2511"/>
      <c r="MJT30" s="2511"/>
      <c r="MJU30" s="2511"/>
      <c r="MJV30" s="2511"/>
      <c r="MJW30" s="2511"/>
      <c r="MJX30" s="2511"/>
      <c r="MJY30" s="2511"/>
      <c r="MJZ30" s="2511"/>
      <c r="MKA30" s="2511"/>
      <c r="MKB30" s="2511"/>
      <c r="MKC30" s="2511"/>
      <c r="MKD30" s="2511"/>
      <c r="MKE30" s="2511"/>
      <c r="MKF30" s="2511"/>
      <c r="MKG30" s="2511"/>
      <c r="MKH30" s="2511"/>
      <c r="MKI30" s="2511"/>
      <c r="MKJ30" s="2511"/>
      <c r="MKK30" s="2511"/>
      <c r="MKL30" s="2511"/>
      <c r="MKM30" s="2511"/>
      <c r="MKN30" s="2511"/>
      <c r="MKO30" s="2511"/>
      <c r="MKP30" s="2511"/>
      <c r="MKQ30" s="2511"/>
      <c r="MKR30" s="2511"/>
      <c r="MKS30" s="2511"/>
      <c r="MKT30" s="2511"/>
      <c r="MKU30" s="2511"/>
      <c r="MKV30" s="2511"/>
      <c r="MKW30" s="2511"/>
      <c r="MKX30" s="2511"/>
      <c r="MKY30" s="2511"/>
      <c r="MKZ30" s="2511"/>
      <c r="MLA30" s="2511"/>
      <c r="MLB30" s="2511"/>
      <c r="MLC30" s="2511"/>
      <c r="MLD30" s="2511"/>
      <c r="MLE30" s="2511"/>
      <c r="MLF30" s="2511"/>
      <c r="MLG30" s="2511"/>
      <c r="MLH30" s="2511"/>
      <c r="MLI30" s="2511"/>
      <c r="MLJ30" s="2511"/>
      <c r="MLK30" s="2511"/>
      <c r="MLL30" s="2511"/>
      <c r="MLM30" s="2511"/>
      <c r="MLN30" s="2511"/>
      <c r="MLO30" s="2511"/>
      <c r="MLP30" s="2511"/>
      <c r="MLQ30" s="2511"/>
      <c r="MLR30" s="2511"/>
      <c r="MLS30" s="2511"/>
      <c r="MLT30" s="2511"/>
      <c r="MLU30" s="2511"/>
      <c r="MLV30" s="2511"/>
      <c r="MLW30" s="2511"/>
      <c r="MLX30" s="2511"/>
      <c r="MLY30" s="2511"/>
      <c r="MLZ30" s="2511"/>
      <c r="MMA30" s="2511"/>
      <c r="MMB30" s="2511"/>
      <c r="MMC30" s="2511"/>
      <c r="MMD30" s="2511"/>
      <c r="MME30" s="2511"/>
      <c r="MMF30" s="2511"/>
      <c r="MMG30" s="2511"/>
      <c r="MMH30" s="2511"/>
      <c r="MMI30" s="2511"/>
      <c r="MMJ30" s="2511"/>
      <c r="MMK30" s="2511"/>
      <c r="MML30" s="2511"/>
      <c r="MMM30" s="2511"/>
      <c r="MMN30" s="2511"/>
      <c r="MMO30" s="2511"/>
      <c r="MMP30" s="2511"/>
      <c r="MMQ30" s="2511"/>
      <c r="MMR30" s="2511"/>
      <c r="MMS30" s="2511"/>
      <c r="MMT30" s="2511"/>
      <c r="MMU30" s="2511"/>
      <c r="MMV30" s="2511"/>
      <c r="MMW30" s="2511"/>
      <c r="MMX30" s="2511"/>
      <c r="MMY30" s="2511"/>
      <c r="MMZ30" s="2511"/>
      <c r="MNA30" s="2511"/>
      <c r="MNB30" s="2511"/>
      <c r="MNC30" s="2511"/>
      <c r="MND30" s="2511"/>
      <c r="MNE30" s="2511"/>
      <c r="MNF30" s="2511"/>
      <c r="MNG30" s="2511"/>
      <c r="MNH30" s="2511"/>
      <c r="MNI30" s="2511"/>
      <c r="MNJ30" s="2511"/>
      <c r="MNK30" s="2511"/>
      <c r="MNL30" s="2511"/>
      <c r="MNM30" s="2511"/>
      <c r="MNN30" s="2511"/>
      <c r="MNO30" s="2511"/>
      <c r="MNP30" s="2511"/>
      <c r="MNQ30" s="2511"/>
      <c r="MNR30" s="2511"/>
      <c r="MNS30" s="2511"/>
      <c r="MNT30" s="2511"/>
      <c r="MNU30" s="2511"/>
      <c r="MNV30" s="2511"/>
      <c r="MNW30" s="2511"/>
      <c r="MNX30" s="2511"/>
      <c r="MNY30" s="2511"/>
      <c r="MNZ30" s="2511"/>
      <c r="MOA30" s="2511"/>
      <c r="MOB30" s="2511"/>
      <c r="MOC30" s="2511"/>
      <c r="MOD30" s="2511"/>
      <c r="MOE30" s="2511"/>
      <c r="MOF30" s="2511"/>
      <c r="MOG30" s="2511"/>
      <c r="MOH30" s="2511"/>
      <c r="MOI30" s="2511"/>
      <c r="MOJ30" s="2511"/>
      <c r="MOK30" s="2511"/>
      <c r="MOL30" s="2511"/>
      <c r="MOM30" s="2511"/>
      <c r="MON30" s="2511"/>
      <c r="MOO30" s="2511"/>
      <c r="MOP30" s="2511"/>
      <c r="MOQ30" s="2511"/>
      <c r="MOR30" s="2511"/>
      <c r="MOS30" s="2511"/>
      <c r="MOT30" s="2511"/>
      <c r="MOU30" s="2511"/>
      <c r="MOV30" s="2511"/>
      <c r="MOW30" s="2511"/>
      <c r="MOX30" s="2511"/>
      <c r="MOY30" s="2511"/>
      <c r="MOZ30" s="2511"/>
      <c r="MPA30" s="2511"/>
      <c r="MPB30" s="2511"/>
      <c r="MPC30" s="2511"/>
      <c r="MPD30" s="2511"/>
      <c r="MPE30" s="2511"/>
      <c r="MPF30" s="2511"/>
      <c r="MPG30" s="2511"/>
      <c r="MPH30" s="2511"/>
      <c r="MPI30" s="2511"/>
      <c r="MPJ30" s="2511"/>
      <c r="MPK30" s="2511"/>
      <c r="MPL30" s="2511"/>
      <c r="MPM30" s="2511"/>
      <c r="MPN30" s="2511"/>
      <c r="MPO30" s="2511"/>
      <c r="MPP30" s="2511"/>
      <c r="MPQ30" s="2511"/>
      <c r="MPR30" s="2511"/>
      <c r="MPS30" s="2511"/>
      <c r="MPT30" s="2511"/>
      <c r="MPU30" s="2511"/>
      <c r="MPV30" s="2511"/>
      <c r="MPW30" s="2511"/>
      <c r="MPX30" s="2511"/>
      <c r="MPY30" s="2511"/>
      <c r="MPZ30" s="2511"/>
      <c r="MQA30" s="2511"/>
      <c r="MQB30" s="2511"/>
      <c r="MQC30" s="2511"/>
      <c r="MQD30" s="2511"/>
      <c r="MQE30" s="2511"/>
      <c r="MQF30" s="2511"/>
      <c r="MQG30" s="2511"/>
      <c r="MQH30" s="2511"/>
      <c r="MQI30" s="2511"/>
      <c r="MQJ30" s="2511"/>
      <c r="MQK30" s="2511"/>
      <c r="MQL30" s="2511"/>
      <c r="MQM30" s="2511"/>
      <c r="MQN30" s="2511"/>
      <c r="MQO30" s="2511"/>
      <c r="MQP30" s="2511"/>
      <c r="MQQ30" s="2511"/>
      <c r="MQR30" s="2511"/>
      <c r="MQS30" s="2511"/>
      <c r="MQT30" s="2511"/>
      <c r="MQU30" s="2511"/>
      <c r="MQV30" s="2511"/>
      <c r="MQW30" s="2511"/>
      <c r="MQX30" s="2511"/>
      <c r="MQY30" s="2511"/>
      <c r="MQZ30" s="2511"/>
      <c r="MRA30" s="2511"/>
      <c r="MRB30" s="2511"/>
      <c r="MRC30" s="2511"/>
      <c r="MRD30" s="2511"/>
      <c r="MRE30" s="2511"/>
      <c r="MRF30" s="2511"/>
      <c r="MRG30" s="2511"/>
      <c r="MRH30" s="2511"/>
      <c r="MRI30" s="2511"/>
      <c r="MRJ30" s="2511"/>
      <c r="MRK30" s="2511"/>
      <c r="MRL30" s="2511"/>
      <c r="MRM30" s="2511"/>
      <c r="MRN30" s="2511"/>
      <c r="MRO30" s="2511"/>
      <c r="MRP30" s="2511"/>
      <c r="MRQ30" s="2511"/>
      <c r="MRR30" s="2511"/>
      <c r="MRS30" s="2511"/>
      <c r="MRT30" s="2511"/>
      <c r="MRU30" s="2511"/>
      <c r="MRV30" s="2511"/>
      <c r="MRW30" s="2511"/>
      <c r="MRX30" s="2511"/>
      <c r="MRY30" s="2511"/>
      <c r="MRZ30" s="2511"/>
      <c r="MSA30" s="2511"/>
      <c r="MSB30" s="2511"/>
      <c r="MSC30" s="2511"/>
      <c r="MSD30" s="2511"/>
      <c r="MSE30" s="2511"/>
      <c r="MSF30" s="2511"/>
      <c r="MSG30" s="2511"/>
      <c r="MSH30" s="2511"/>
      <c r="MSI30" s="2511"/>
      <c r="MSJ30" s="2511"/>
      <c r="MSK30" s="2511"/>
      <c r="MSL30" s="2511"/>
      <c r="MSM30" s="2511"/>
      <c r="MSN30" s="2511"/>
      <c r="MSO30" s="2511"/>
      <c r="MSP30" s="2511"/>
      <c r="MSQ30" s="2511"/>
      <c r="MSR30" s="2511"/>
      <c r="MSS30" s="2511"/>
      <c r="MST30" s="2511"/>
      <c r="MSU30" s="2511"/>
      <c r="MSV30" s="2511"/>
      <c r="MSW30" s="2511"/>
      <c r="MSX30" s="2511"/>
      <c r="MSY30" s="2511"/>
      <c r="MSZ30" s="2511"/>
      <c r="MTA30" s="2511"/>
      <c r="MTB30" s="2511"/>
      <c r="MTC30" s="2511"/>
      <c r="MTD30" s="2511"/>
      <c r="MTE30" s="2511"/>
      <c r="MTF30" s="2511"/>
      <c r="MTG30" s="2511"/>
      <c r="MTH30" s="2511"/>
      <c r="MTI30" s="2511"/>
      <c r="MTJ30" s="2511"/>
      <c r="MTK30" s="2511"/>
      <c r="MTL30" s="2511"/>
      <c r="MTM30" s="2511"/>
      <c r="MTN30" s="2511"/>
      <c r="MTO30" s="2511"/>
      <c r="MTP30" s="2511"/>
      <c r="MTQ30" s="2511"/>
      <c r="MTR30" s="2511"/>
      <c r="MTS30" s="2511"/>
      <c r="MTT30" s="2511"/>
      <c r="MTU30" s="2511"/>
      <c r="MTV30" s="2511"/>
      <c r="MTW30" s="2511"/>
      <c r="MTX30" s="2511"/>
      <c r="MTY30" s="2511"/>
      <c r="MTZ30" s="2511"/>
      <c r="MUA30" s="2511"/>
      <c r="MUB30" s="2511"/>
      <c r="MUC30" s="2511"/>
      <c r="MUD30" s="2511"/>
      <c r="MUE30" s="2511"/>
      <c r="MUF30" s="2511"/>
      <c r="MUG30" s="2511"/>
      <c r="MUH30" s="2511"/>
      <c r="MUI30" s="2511"/>
      <c r="MUJ30" s="2511"/>
      <c r="MUK30" s="2511"/>
      <c r="MUL30" s="2511"/>
      <c r="MUM30" s="2511"/>
      <c r="MUN30" s="2511"/>
      <c r="MUO30" s="2511"/>
      <c r="MUP30" s="2511"/>
      <c r="MUQ30" s="2511"/>
      <c r="MUR30" s="2511"/>
      <c r="MUS30" s="2511"/>
      <c r="MUT30" s="2511"/>
      <c r="MUU30" s="2511"/>
      <c r="MUV30" s="2511"/>
      <c r="MUW30" s="2511"/>
      <c r="MUX30" s="2511"/>
      <c r="MUY30" s="2511"/>
      <c r="MUZ30" s="2511"/>
      <c r="MVA30" s="2511"/>
      <c r="MVB30" s="2511"/>
      <c r="MVC30" s="2511"/>
      <c r="MVD30" s="2511"/>
      <c r="MVE30" s="2511"/>
      <c r="MVF30" s="2511"/>
      <c r="MVG30" s="2511"/>
      <c r="MVH30" s="2511"/>
      <c r="MVI30" s="2511"/>
      <c r="MVJ30" s="2511"/>
      <c r="MVK30" s="2511"/>
      <c r="MVL30" s="2511"/>
      <c r="MVM30" s="2511"/>
      <c r="MVN30" s="2511"/>
      <c r="MVO30" s="2511"/>
      <c r="MVP30" s="2511"/>
      <c r="MVQ30" s="2511"/>
      <c r="MVR30" s="2511"/>
      <c r="MVS30" s="2511"/>
      <c r="MVT30" s="2511"/>
      <c r="MVU30" s="2511"/>
      <c r="MVV30" s="2511"/>
      <c r="MVW30" s="2511"/>
      <c r="MVX30" s="2511"/>
      <c r="MVY30" s="2511"/>
      <c r="MVZ30" s="2511"/>
      <c r="MWA30" s="2511"/>
      <c r="MWB30" s="2511"/>
      <c r="MWC30" s="2511"/>
      <c r="MWD30" s="2511"/>
      <c r="MWE30" s="2511"/>
      <c r="MWF30" s="2511"/>
      <c r="MWG30" s="2511"/>
      <c r="MWH30" s="2511"/>
      <c r="MWI30" s="2511"/>
      <c r="MWJ30" s="2511"/>
      <c r="MWK30" s="2511"/>
      <c r="MWL30" s="2511"/>
      <c r="MWM30" s="2511"/>
      <c r="MWN30" s="2511"/>
      <c r="MWO30" s="2511"/>
      <c r="MWP30" s="2511"/>
      <c r="MWQ30" s="2511"/>
      <c r="MWR30" s="2511"/>
      <c r="MWS30" s="2511"/>
      <c r="MWT30" s="2511"/>
      <c r="MWU30" s="2511"/>
      <c r="MWV30" s="2511"/>
      <c r="MWW30" s="2511"/>
      <c r="MWX30" s="2511"/>
      <c r="MWY30" s="2511"/>
      <c r="MWZ30" s="2511"/>
      <c r="MXA30" s="2511"/>
      <c r="MXB30" s="2511"/>
      <c r="MXC30" s="2511"/>
      <c r="MXD30" s="2511"/>
      <c r="MXE30" s="2511"/>
      <c r="MXF30" s="2511"/>
      <c r="MXG30" s="2511"/>
      <c r="MXH30" s="2511"/>
      <c r="MXI30" s="2511"/>
      <c r="MXJ30" s="2511"/>
      <c r="MXK30" s="2511"/>
      <c r="MXL30" s="2511"/>
      <c r="MXM30" s="2511"/>
      <c r="MXN30" s="2511"/>
      <c r="MXO30" s="2511"/>
      <c r="MXP30" s="2511"/>
      <c r="MXQ30" s="2511"/>
      <c r="MXR30" s="2511"/>
      <c r="MXS30" s="2511"/>
      <c r="MXT30" s="2511"/>
      <c r="MXU30" s="2511"/>
      <c r="MXV30" s="2511"/>
      <c r="MXW30" s="2511"/>
      <c r="MXX30" s="2511"/>
      <c r="MXY30" s="2511"/>
      <c r="MXZ30" s="2511"/>
      <c r="MYA30" s="2511"/>
      <c r="MYB30" s="2511"/>
      <c r="MYC30" s="2511"/>
      <c r="MYD30" s="2511"/>
      <c r="MYE30" s="2511"/>
      <c r="MYF30" s="2511"/>
      <c r="MYG30" s="2511"/>
      <c r="MYH30" s="2511"/>
      <c r="MYI30" s="2511"/>
      <c r="MYJ30" s="2511"/>
      <c r="MYK30" s="2511"/>
      <c r="MYL30" s="2511"/>
      <c r="MYM30" s="2511"/>
      <c r="MYN30" s="2511"/>
      <c r="MYO30" s="2511"/>
      <c r="MYP30" s="2511"/>
      <c r="MYQ30" s="2511"/>
      <c r="MYR30" s="2511"/>
      <c r="MYS30" s="2511"/>
      <c r="MYT30" s="2511"/>
      <c r="MYU30" s="2511"/>
      <c r="MYV30" s="2511"/>
      <c r="MYW30" s="2511"/>
      <c r="MYX30" s="2511"/>
      <c r="MYY30" s="2511"/>
      <c r="MYZ30" s="2511"/>
      <c r="MZA30" s="2511"/>
      <c r="MZB30" s="2511"/>
      <c r="MZC30" s="2511"/>
      <c r="MZD30" s="2511"/>
      <c r="MZE30" s="2511"/>
      <c r="MZF30" s="2511"/>
      <c r="MZG30" s="2511"/>
      <c r="MZH30" s="2511"/>
      <c r="MZI30" s="2511"/>
      <c r="MZJ30" s="2511"/>
      <c r="MZK30" s="2511"/>
      <c r="MZL30" s="2511"/>
      <c r="MZM30" s="2511"/>
      <c r="MZN30" s="2511"/>
      <c r="MZO30" s="2511"/>
      <c r="MZP30" s="2511"/>
      <c r="MZQ30" s="2511"/>
      <c r="MZR30" s="2511"/>
      <c r="MZS30" s="2511"/>
      <c r="MZT30" s="2511"/>
      <c r="MZU30" s="2511"/>
      <c r="MZV30" s="2511"/>
      <c r="MZW30" s="2511"/>
      <c r="MZX30" s="2511"/>
      <c r="MZY30" s="2511"/>
      <c r="MZZ30" s="2511"/>
      <c r="NAA30" s="2511"/>
      <c r="NAB30" s="2511"/>
      <c r="NAC30" s="2511"/>
      <c r="NAD30" s="2511"/>
      <c r="NAE30" s="2511"/>
      <c r="NAF30" s="2511"/>
      <c r="NAG30" s="2511"/>
      <c r="NAH30" s="2511"/>
      <c r="NAI30" s="2511"/>
      <c r="NAJ30" s="2511"/>
      <c r="NAK30" s="2511"/>
      <c r="NAL30" s="2511"/>
      <c r="NAM30" s="2511"/>
      <c r="NAN30" s="2511"/>
      <c r="NAO30" s="2511"/>
      <c r="NAP30" s="2511"/>
      <c r="NAQ30" s="2511"/>
      <c r="NAR30" s="2511"/>
      <c r="NAS30" s="2511"/>
      <c r="NAT30" s="2511"/>
      <c r="NAU30" s="2511"/>
      <c r="NAV30" s="2511"/>
      <c r="NAW30" s="2511"/>
      <c r="NAX30" s="2511"/>
      <c r="NAY30" s="2511"/>
      <c r="NAZ30" s="2511"/>
      <c r="NBA30" s="2511"/>
      <c r="NBB30" s="2511"/>
      <c r="NBC30" s="2511"/>
      <c r="NBD30" s="2511"/>
      <c r="NBE30" s="2511"/>
      <c r="NBF30" s="2511"/>
      <c r="NBG30" s="2511"/>
      <c r="NBH30" s="2511"/>
      <c r="NBI30" s="2511"/>
      <c r="NBJ30" s="2511"/>
      <c r="NBK30" s="2511"/>
      <c r="NBL30" s="2511"/>
      <c r="NBM30" s="2511"/>
      <c r="NBN30" s="2511"/>
      <c r="NBO30" s="2511"/>
      <c r="NBP30" s="2511"/>
      <c r="NBQ30" s="2511"/>
      <c r="NBR30" s="2511"/>
      <c r="NBS30" s="2511"/>
      <c r="NBT30" s="2511"/>
      <c r="NBU30" s="2511"/>
      <c r="NBV30" s="2511"/>
      <c r="NBW30" s="2511"/>
      <c r="NBX30" s="2511"/>
      <c r="NBY30" s="2511"/>
      <c r="NBZ30" s="2511"/>
      <c r="NCA30" s="2511"/>
      <c r="NCB30" s="2511"/>
      <c r="NCC30" s="2511"/>
      <c r="NCD30" s="2511"/>
      <c r="NCE30" s="2511"/>
      <c r="NCF30" s="2511"/>
      <c r="NCG30" s="2511"/>
      <c r="NCH30" s="2511"/>
      <c r="NCI30" s="2511"/>
      <c r="NCJ30" s="2511"/>
      <c r="NCK30" s="2511"/>
      <c r="NCL30" s="2511"/>
      <c r="NCM30" s="2511"/>
      <c r="NCN30" s="2511"/>
      <c r="NCO30" s="2511"/>
      <c r="NCP30" s="2511"/>
      <c r="NCQ30" s="2511"/>
      <c r="NCR30" s="2511"/>
      <c r="NCS30" s="2511"/>
      <c r="NCT30" s="2511"/>
      <c r="NCU30" s="2511"/>
      <c r="NCV30" s="2511"/>
      <c r="NCW30" s="2511"/>
      <c r="NCX30" s="2511"/>
      <c r="NCY30" s="2511"/>
      <c r="NCZ30" s="2511"/>
      <c r="NDA30" s="2511"/>
      <c r="NDB30" s="2511"/>
      <c r="NDC30" s="2511"/>
      <c r="NDD30" s="2511"/>
      <c r="NDE30" s="2511"/>
      <c r="NDF30" s="2511"/>
      <c r="NDG30" s="2511"/>
      <c r="NDH30" s="2511"/>
      <c r="NDI30" s="2511"/>
      <c r="NDJ30" s="2511"/>
      <c r="NDK30" s="2511"/>
      <c r="NDL30" s="2511"/>
      <c r="NDM30" s="2511"/>
      <c r="NDN30" s="2511"/>
      <c r="NDO30" s="2511"/>
      <c r="NDP30" s="2511"/>
      <c r="NDQ30" s="2511"/>
      <c r="NDR30" s="2511"/>
      <c r="NDS30" s="2511"/>
      <c r="NDT30" s="2511"/>
      <c r="NDU30" s="2511"/>
      <c r="NDV30" s="2511"/>
      <c r="NDW30" s="2511"/>
      <c r="NDX30" s="2511"/>
      <c r="NDY30" s="2511"/>
      <c r="NDZ30" s="2511"/>
      <c r="NEA30" s="2511"/>
      <c r="NEB30" s="2511"/>
      <c r="NEC30" s="2511"/>
      <c r="NED30" s="2511"/>
      <c r="NEE30" s="2511"/>
      <c r="NEF30" s="2511"/>
      <c r="NEG30" s="2511"/>
      <c r="NEH30" s="2511"/>
      <c r="NEI30" s="2511"/>
      <c r="NEJ30" s="2511"/>
      <c r="NEK30" s="2511"/>
      <c r="NEL30" s="2511"/>
      <c r="NEM30" s="2511"/>
      <c r="NEN30" s="2511"/>
      <c r="NEO30" s="2511"/>
      <c r="NEP30" s="2511"/>
      <c r="NEQ30" s="2511"/>
      <c r="NER30" s="2511"/>
      <c r="NES30" s="2511"/>
      <c r="NET30" s="2511"/>
      <c r="NEU30" s="2511"/>
      <c r="NEV30" s="2511"/>
      <c r="NEW30" s="2511"/>
      <c r="NEX30" s="2511"/>
      <c r="NEY30" s="2511"/>
      <c r="NEZ30" s="2511"/>
      <c r="NFA30" s="2511"/>
      <c r="NFB30" s="2511"/>
      <c r="NFC30" s="2511"/>
      <c r="NFD30" s="2511"/>
      <c r="NFE30" s="2511"/>
      <c r="NFF30" s="2511"/>
      <c r="NFG30" s="2511"/>
      <c r="NFH30" s="2511"/>
      <c r="NFI30" s="2511"/>
      <c r="NFJ30" s="2511"/>
      <c r="NFK30" s="2511"/>
      <c r="NFL30" s="2511"/>
      <c r="NFM30" s="2511"/>
      <c r="NFN30" s="2511"/>
      <c r="NFO30" s="2511"/>
      <c r="NFP30" s="2511"/>
      <c r="NFQ30" s="2511"/>
      <c r="NFR30" s="2511"/>
      <c r="NFS30" s="2511"/>
      <c r="NFT30" s="2511"/>
      <c r="NFU30" s="2511"/>
      <c r="NFV30" s="2511"/>
      <c r="NFW30" s="2511"/>
      <c r="NFX30" s="2511"/>
      <c r="NFY30" s="2511"/>
      <c r="NFZ30" s="2511"/>
      <c r="NGA30" s="2511"/>
      <c r="NGB30" s="2511"/>
      <c r="NGC30" s="2511"/>
      <c r="NGD30" s="2511"/>
      <c r="NGE30" s="2511"/>
      <c r="NGF30" s="2511"/>
      <c r="NGG30" s="2511"/>
      <c r="NGH30" s="2511"/>
      <c r="NGI30" s="2511"/>
      <c r="NGJ30" s="2511"/>
      <c r="NGK30" s="2511"/>
      <c r="NGL30" s="2511"/>
      <c r="NGM30" s="2511"/>
      <c r="NGN30" s="2511"/>
      <c r="NGO30" s="2511"/>
      <c r="NGP30" s="2511"/>
      <c r="NGQ30" s="2511"/>
      <c r="NGR30" s="2511"/>
      <c r="NGS30" s="2511"/>
      <c r="NGT30" s="2511"/>
      <c r="NGU30" s="2511"/>
      <c r="NGV30" s="2511"/>
      <c r="NGW30" s="2511"/>
      <c r="NGX30" s="2511"/>
      <c r="NGY30" s="2511"/>
      <c r="NGZ30" s="2511"/>
      <c r="NHA30" s="2511"/>
      <c r="NHB30" s="2511"/>
      <c r="NHC30" s="2511"/>
      <c r="NHD30" s="2511"/>
      <c r="NHE30" s="2511"/>
      <c r="NHF30" s="2511"/>
      <c r="NHG30" s="2511"/>
      <c r="NHH30" s="2511"/>
      <c r="NHI30" s="2511"/>
      <c r="NHJ30" s="2511"/>
      <c r="NHK30" s="2511"/>
      <c r="NHL30" s="2511"/>
      <c r="NHM30" s="2511"/>
      <c r="NHN30" s="2511"/>
      <c r="NHO30" s="2511"/>
      <c r="NHP30" s="2511"/>
      <c r="NHQ30" s="2511"/>
      <c r="NHR30" s="2511"/>
      <c r="NHS30" s="2511"/>
      <c r="NHT30" s="2511"/>
      <c r="NHU30" s="2511"/>
      <c r="NHV30" s="2511"/>
      <c r="NHW30" s="2511"/>
      <c r="NHX30" s="2511"/>
      <c r="NHY30" s="2511"/>
      <c r="NHZ30" s="2511"/>
      <c r="NIA30" s="2511"/>
      <c r="NIB30" s="2511"/>
      <c r="NIC30" s="2511"/>
      <c r="NID30" s="2511"/>
      <c r="NIE30" s="2511"/>
      <c r="NIF30" s="2511"/>
      <c r="NIG30" s="2511"/>
      <c r="NIH30" s="2511"/>
      <c r="NII30" s="2511"/>
      <c r="NIJ30" s="2511"/>
      <c r="NIK30" s="2511"/>
      <c r="NIL30" s="2511"/>
      <c r="NIM30" s="2511"/>
      <c r="NIN30" s="2511"/>
      <c r="NIO30" s="2511"/>
      <c r="NIP30" s="2511"/>
      <c r="NIQ30" s="2511"/>
      <c r="NIR30" s="2511"/>
      <c r="NIS30" s="2511"/>
      <c r="NIT30" s="2511"/>
      <c r="NIU30" s="2511"/>
      <c r="NIV30" s="2511"/>
      <c r="NIW30" s="2511"/>
      <c r="NIX30" s="2511"/>
      <c r="NIY30" s="2511"/>
      <c r="NIZ30" s="2511"/>
      <c r="NJA30" s="2511"/>
      <c r="NJB30" s="2511"/>
      <c r="NJC30" s="2511"/>
      <c r="NJD30" s="2511"/>
      <c r="NJE30" s="2511"/>
      <c r="NJF30" s="2511"/>
      <c r="NJG30" s="2511"/>
      <c r="NJH30" s="2511"/>
      <c r="NJI30" s="2511"/>
      <c r="NJJ30" s="2511"/>
      <c r="NJK30" s="2511"/>
      <c r="NJL30" s="2511"/>
      <c r="NJM30" s="2511"/>
      <c r="NJN30" s="2511"/>
      <c r="NJO30" s="2511"/>
      <c r="NJP30" s="2511"/>
      <c r="NJQ30" s="2511"/>
      <c r="NJR30" s="2511"/>
      <c r="NJS30" s="2511"/>
      <c r="NJT30" s="2511"/>
      <c r="NJU30" s="2511"/>
      <c r="NJV30" s="2511"/>
      <c r="NJW30" s="2511"/>
      <c r="NJX30" s="2511"/>
      <c r="NJY30" s="2511"/>
      <c r="NJZ30" s="2511"/>
      <c r="NKA30" s="2511"/>
      <c r="NKB30" s="2511"/>
      <c r="NKC30" s="2511"/>
      <c r="NKD30" s="2511"/>
      <c r="NKE30" s="2511"/>
      <c r="NKF30" s="2511"/>
      <c r="NKG30" s="2511"/>
      <c r="NKH30" s="2511"/>
      <c r="NKI30" s="2511"/>
      <c r="NKJ30" s="2511"/>
      <c r="NKK30" s="2511"/>
      <c r="NKL30" s="2511"/>
      <c r="NKM30" s="2511"/>
      <c r="NKN30" s="2511"/>
      <c r="NKO30" s="2511"/>
      <c r="NKP30" s="2511"/>
      <c r="NKQ30" s="2511"/>
      <c r="NKR30" s="2511"/>
      <c r="NKS30" s="2511"/>
      <c r="NKT30" s="2511"/>
      <c r="NKU30" s="2511"/>
      <c r="NKV30" s="2511"/>
      <c r="NKW30" s="2511"/>
      <c r="NKX30" s="2511"/>
      <c r="NKY30" s="2511"/>
      <c r="NKZ30" s="2511"/>
      <c r="NLA30" s="2511"/>
      <c r="NLB30" s="2511"/>
      <c r="NLC30" s="2511"/>
      <c r="NLD30" s="2511"/>
      <c r="NLE30" s="2511"/>
      <c r="NLF30" s="2511"/>
      <c r="NLG30" s="2511"/>
      <c r="NLH30" s="2511"/>
      <c r="NLI30" s="2511"/>
      <c r="NLJ30" s="2511"/>
      <c r="NLK30" s="2511"/>
      <c r="NLL30" s="2511"/>
      <c r="NLM30" s="2511"/>
      <c r="NLN30" s="2511"/>
      <c r="NLO30" s="2511"/>
      <c r="NLP30" s="2511"/>
      <c r="NLQ30" s="2511"/>
      <c r="NLR30" s="2511"/>
      <c r="NLS30" s="2511"/>
      <c r="NLT30" s="2511"/>
      <c r="NLU30" s="2511"/>
      <c r="NLV30" s="2511"/>
      <c r="NLW30" s="2511"/>
      <c r="NLX30" s="2511"/>
      <c r="NLY30" s="2511"/>
      <c r="NLZ30" s="2511"/>
      <c r="NMA30" s="2511"/>
      <c r="NMB30" s="2511"/>
      <c r="NMC30" s="2511"/>
      <c r="NMD30" s="2511"/>
      <c r="NME30" s="2511"/>
      <c r="NMF30" s="2511"/>
      <c r="NMG30" s="2511"/>
      <c r="NMH30" s="2511"/>
      <c r="NMI30" s="2511"/>
      <c r="NMJ30" s="2511"/>
      <c r="NMK30" s="2511"/>
      <c r="NML30" s="2511"/>
      <c r="NMM30" s="2511"/>
      <c r="NMN30" s="2511"/>
      <c r="NMO30" s="2511"/>
      <c r="NMP30" s="2511"/>
      <c r="NMQ30" s="2511"/>
      <c r="NMR30" s="2511"/>
      <c r="NMS30" s="2511"/>
      <c r="NMT30" s="2511"/>
      <c r="NMU30" s="2511"/>
      <c r="NMV30" s="2511"/>
      <c r="NMW30" s="2511"/>
      <c r="NMX30" s="2511"/>
      <c r="NMY30" s="2511"/>
      <c r="NMZ30" s="2511"/>
      <c r="NNA30" s="2511"/>
      <c r="NNB30" s="2511"/>
      <c r="NNC30" s="2511"/>
      <c r="NND30" s="2511"/>
      <c r="NNE30" s="2511"/>
      <c r="NNF30" s="2511"/>
      <c r="NNG30" s="2511"/>
      <c r="NNH30" s="2511"/>
      <c r="NNI30" s="2511"/>
      <c r="NNJ30" s="2511"/>
      <c r="NNK30" s="2511"/>
      <c r="NNL30" s="2511"/>
      <c r="NNM30" s="2511"/>
      <c r="NNN30" s="2511"/>
      <c r="NNO30" s="2511"/>
      <c r="NNP30" s="2511"/>
      <c r="NNQ30" s="2511"/>
      <c r="NNR30" s="2511"/>
      <c r="NNS30" s="2511"/>
      <c r="NNT30" s="2511"/>
      <c r="NNU30" s="2511"/>
      <c r="NNV30" s="2511"/>
      <c r="NNW30" s="2511"/>
      <c r="NNX30" s="2511"/>
      <c r="NNY30" s="2511"/>
      <c r="NNZ30" s="2511"/>
      <c r="NOA30" s="2511"/>
      <c r="NOB30" s="2511"/>
      <c r="NOC30" s="2511"/>
      <c r="NOD30" s="2511"/>
      <c r="NOE30" s="2511"/>
      <c r="NOF30" s="2511"/>
      <c r="NOG30" s="2511"/>
      <c r="NOH30" s="2511"/>
      <c r="NOI30" s="2511"/>
      <c r="NOJ30" s="2511"/>
      <c r="NOK30" s="2511"/>
      <c r="NOL30" s="2511"/>
      <c r="NOM30" s="2511"/>
      <c r="NON30" s="2511"/>
      <c r="NOO30" s="2511"/>
      <c r="NOP30" s="2511"/>
      <c r="NOQ30" s="2511"/>
      <c r="NOR30" s="2511"/>
      <c r="NOS30" s="2511"/>
      <c r="NOT30" s="2511"/>
      <c r="NOU30" s="2511"/>
      <c r="NOV30" s="2511"/>
      <c r="NOW30" s="2511"/>
      <c r="NOX30" s="2511"/>
      <c r="NOY30" s="2511"/>
      <c r="NOZ30" s="2511"/>
      <c r="NPA30" s="2511"/>
      <c r="NPB30" s="2511"/>
      <c r="NPC30" s="2511"/>
      <c r="NPD30" s="2511"/>
      <c r="NPE30" s="2511"/>
      <c r="NPF30" s="2511"/>
      <c r="NPG30" s="2511"/>
      <c r="NPH30" s="2511"/>
      <c r="NPI30" s="2511"/>
      <c r="NPJ30" s="2511"/>
      <c r="NPK30" s="2511"/>
      <c r="NPL30" s="2511"/>
      <c r="NPM30" s="2511"/>
      <c r="NPN30" s="2511"/>
      <c r="NPO30" s="2511"/>
      <c r="NPP30" s="2511"/>
      <c r="NPQ30" s="2511"/>
      <c r="NPR30" s="2511"/>
      <c r="NPS30" s="2511"/>
      <c r="NPT30" s="2511"/>
      <c r="NPU30" s="2511"/>
      <c r="NPV30" s="2511"/>
      <c r="NPW30" s="2511"/>
      <c r="NPX30" s="2511"/>
      <c r="NPY30" s="2511"/>
      <c r="NPZ30" s="2511"/>
      <c r="NQA30" s="2511"/>
      <c r="NQB30" s="2511"/>
      <c r="NQC30" s="2511"/>
      <c r="NQD30" s="2511"/>
      <c r="NQE30" s="2511"/>
      <c r="NQF30" s="2511"/>
      <c r="NQG30" s="2511"/>
      <c r="NQH30" s="2511"/>
      <c r="NQI30" s="2511"/>
      <c r="NQJ30" s="2511"/>
      <c r="NQK30" s="2511"/>
      <c r="NQL30" s="2511"/>
      <c r="NQM30" s="2511"/>
      <c r="NQN30" s="2511"/>
      <c r="NQO30" s="2511"/>
      <c r="NQP30" s="2511"/>
      <c r="NQQ30" s="2511"/>
      <c r="NQR30" s="2511"/>
      <c r="NQS30" s="2511"/>
      <c r="NQT30" s="2511"/>
      <c r="NQU30" s="2511"/>
      <c r="NQV30" s="2511"/>
      <c r="NQW30" s="2511"/>
      <c r="NQX30" s="2511"/>
      <c r="NQY30" s="2511"/>
      <c r="NQZ30" s="2511"/>
      <c r="NRA30" s="2511"/>
      <c r="NRB30" s="2511"/>
      <c r="NRC30" s="2511"/>
      <c r="NRD30" s="2511"/>
      <c r="NRE30" s="2511"/>
      <c r="NRF30" s="2511"/>
      <c r="NRG30" s="2511"/>
      <c r="NRH30" s="2511"/>
      <c r="NRI30" s="2511"/>
      <c r="NRJ30" s="2511"/>
      <c r="NRK30" s="2511"/>
      <c r="NRL30" s="2511"/>
      <c r="NRM30" s="2511"/>
      <c r="NRN30" s="2511"/>
      <c r="NRO30" s="2511"/>
      <c r="NRP30" s="2511"/>
      <c r="NRQ30" s="2511"/>
      <c r="NRR30" s="2511"/>
      <c r="NRS30" s="2511"/>
      <c r="NRT30" s="2511"/>
      <c r="NRU30" s="2511"/>
      <c r="NRV30" s="2511"/>
      <c r="NRW30" s="2511"/>
      <c r="NRX30" s="2511"/>
      <c r="NRY30" s="2511"/>
      <c r="NRZ30" s="2511"/>
      <c r="NSA30" s="2511"/>
      <c r="NSB30" s="2511"/>
      <c r="NSC30" s="2511"/>
      <c r="NSD30" s="2511"/>
      <c r="NSE30" s="2511"/>
      <c r="NSF30" s="2511"/>
      <c r="NSG30" s="2511"/>
      <c r="NSH30" s="2511"/>
      <c r="NSI30" s="2511"/>
      <c r="NSJ30" s="2511"/>
      <c r="NSK30" s="2511"/>
      <c r="NSL30" s="2511"/>
      <c r="NSM30" s="2511"/>
      <c r="NSN30" s="2511"/>
      <c r="NSO30" s="2511"/>
      <c r="NSP30" s="2511"/>
      <c r="NSQ30" s="2511"/>
      <c r="NSR30" s="2511"/>
      <c r="NSS30" s="2511"/>
      <c r="NST30" s="2511"/>
      <c r="NSU30" s="2511"/>
      <c r="NSV30" s="2511"/>
      <c r="NSW30" s="2511"/>
      <c r="NSX30" s="2511"/>
      <c r="NSY30" s="2511"/>
      <c r="NSZ30" s="2511"/>
      <c r="NTA30" s="2511"/>
      <c r="NTB30" s="2511"/>
      <c r="NTC30" s="2511"/>
      <c r="NTD30" s="2511"/>
      <c r="NTE30" s="2511"/>
      <c r="NTF30" s="2511"/>
      <c r="NTG30" s="2511"/>
      <c r="NTH30" s="2511"/>
      <c r="NTI30" s="2511"/>
      <c r="NTJ30" s="2511"/>
      <c r="NTK30" s="2511"/>
      <c r="NTL30" s="2511"/>
      <c r="NTM30" s="2511"/>
      <c r="NTN30" s="2511"/>
      <c r="NTO30" s="2511"/>
      <c r="NTP30" s="2511"/>
      <c r="NTQ30" s="2511"/>
      <c r="NTR30" s="2511"/>
      <c r="NTS30" s="2511"/>
      <c r="NTT30" s="2511"/>
      <c r="NTU30" s="2511"/>
      <c r="NTV30" s="2511"/>
      <c r="NTW30" s="2511"/>
      <c r="NTX30" s="2511"/>
      <c r="NTY30" s="2511"/>
      <c r="NTZ30" s="2511"/>
      <c r="NUA30" s="2511"/>
      <c r="NUB30" s="2511"/>
      <c r="NUC30" s="2511"/>
      <c r="NUD30" s="2511"/>
      <c r="NUE30" s="2511"/>
      <c r="NUF30" s="2511"/>
      <c r="NUG30" s="2511"/>
      <c r="NUH30" s="2511"/>
      <c r="NUI30" s="2511"/>
      <c r="NUJ30" s="2511"/>
      <c r="NUK30" s="2511"/>
      <c r="NUL30" s="2511"/>
      <c r="NUM30" s="2511"/>
      <c r="NUN30" s="2511"/>
      <c r="NUO30" s="2511"/>
      <c r="NUP30" s="2511"/>
      <c r="NUQ30" s="2511"/>
      <c r="NUR30" s="2511"/>
      <c r="NUS30" s="2511"/>
      <c r="NUT30" s="2511"/>
      <c r="NUU30" s="2511"/>
      <c r="NUV30" s="2511"/>
      <c r="NUW30" s="2511"/>
      <c r="NUX30" s="2511"/>
      <c r="NUY30" s="2511"/>
      <c r="NUZ30" s="2511"/>
      <c r="NVA30" s="2511"/>
      <c r="NVB30" s="2511"/>
      <c r="NVC30" s="2511"/>
      <c r="NVD30" s="2511"/>
      <c r="NVE30" s="2511"/>
      <c r="NVF30" s="2511"/>
      <c r="NVG30" s="2511"/>
      <c r="NVH30" s="2511"/>
      <c r="NVI30" s="2511"/>
      <c r="NVJ30" s="2511"/>
      <c r="NVK30" s="2511"/>
      <c r="NVL30" s="2511"/>
      <c r="NVM30" s="2511"/>
      <c r="NVN30" s="2511"/>
      <c r="NVO30" s="2511"/>
      <c r="NVP30" s="2511"/>
      <c r="NVQ30" s="2511"/>
      <c r="NVR30" s="2511"/>
      <c r="NVS30" s="2511"/>
      <c r="NVT30" s="2511"/>
      <c r="NVU30" s="2511"/>
      <c r="NVV30" s="2511"/>
      <c r="NVW30" s="2511"/>
      <c r="NVX30" s="2511"/>
      <c r="NVY30" s="2511"/>
      <c r="NVZ30" s="2511"/>
      <c r="NWA30" s="2511"/>
      <c r="NWB30" s="2511"/>
      <c r="NWC30" s="2511"/>
      <c r="NWD30" s="2511"/>
      <c r="NWE30" s="2511"/>
      <c r="NWF30" s="2511"/>
      <c r="NWG30" s="2511"/>
      <c r="NWH30" s="2511"/>
      <c r="NWI30" s="2511"/>
      <c r="NWJ30" s="2511"/>
      <c r="NWK30" s="2511"/>
      <c r="NWL30" s="2511"/>
      <c r="NWM30" s="2511"/>
      <c r="NWN30" s="2511"/>
      <c r="NWO30" s="2511"/>
      <c r="NWP30" s="2511"/>
      <c r="NWQ30" s="2511"/>
      <c r="NWR30" s="2511"/>
      <c r="NWS30" s="2511"/>
      <c r="NWT30" s="2511"/>
      <c r="NWU30" s="2511"/>
      <c r="NWV30" s="2511"/>
      <c r="NWW30" s="2511"/>
      <c r="NWX30" s="2511"/>
      <c r="NWY30" s="2511"/>
      <c r="NWZ30" s="2511"/>
      <c r="NXA30" s="2511"/>
      <c r="NXB30" s="2511"/>
      <c r="NXC30" s="2511"/>
      <c r="NXD30" s="2511"/>
      <c r="NXE30" s="2511"/>
      <c r="NXF30" s="2511"/>
      <c r="NXG30" s="2511"/>
      <c r="NXH30" s="2511"/>
      <c r="NXI30" s="2511"/>
      <c r="NXJ30" s="2511"/>
      <c r="NXK30" s="2511"/>
      <c r="NXL30" s="2511"/>
      <c r="NXM30" s="2511"/>
      <c r="NXN30" s="2511"/>
      <c r="NXO30" s="2511"/>
      <c r="NXP30" s="2511"/>
      <c r="NXQ30" s="2511"/>
      <c r="NXR30" s="2511"/>
      <c r="NXS30" s="2511"/>
      <c r="NXT30" s="2511"/>
      <c r="NXU30" s="2511"/>
      <c r="NXV30" s="2511"/>
      <c r="NXW30" s="2511"/>
      <c r="NXX30" s="2511"/>
      <c r="NXY30" s="2511"/>
      <c r="NXZ30" s="2511"/>
      <c r="NYA30" s="2511"/>
      <c r="NYB30" s="2511"/>
      <c r="NYC30" s="2511"/>
      <c r="NYD30" s="2511"/>
      <c r="NYE30" s="2511"/>
      <c r="NYF30" s="2511"/>
      <c r="NYG30" s="2511"/>
      <c r="NYH30" s="2511"/>
      <c r="NYI30" s="2511"/>
      <c r="NYJ30" s="2511"/>
      <c r="NYK30" s="2511"/>
      <c r="NYL30" s="2511"/>
      <c r="NYM30" s="2511"/>
      <c r="NYN30" s="2511"/>
      <c r="NYO30" s="2511"/>
      <c r="NYP30" s="2511"/>
      <c r="NYQ30" s="2511"/>
      <c r="NYR30" s="2511"/>
      <c r="NYS30" s="2511"/>
      <c r="NYT30" s="2511"/>
      <c r="NYU30" s="2511"/>
      <c r="NYV30" s="2511"/>
      <c r="NYW30" s="2511"/>
      <c r="NYX30" s="2511"/>
      <c r="NYY30" s="2511"/>
      <c r="NYZ30" s="2511"/>
      <c r="NZA30" s="2511"/>
      <c r="NZB30" s="2511"/>
      <c r="NZC30" s="2511"/>
      <c r="NZD30" s="2511"/>
      <c r="NZE30" s="2511"/>
      <c r="NZF30" s="2511"/>
      <c r="NZG30" s="2511"/>
      <c r="NZH30" s="2511"/>
      <c r="NZI30" s="2511"/>
      <c r="NZJ30" s="2511"/>
      <c r="NZK30" s="2511"/>
      <c r="NZL30" s="2511"/>
      <c r="NZM30" s="2511"/>
      <c r="NZN30" s="2511"/>
      <c r="NZO30" s="2511"/>
      <c r="NZP30" s="2511"/>
      <c r="NZQ30" s="2511"/>
      <c r="NZR30" s="2511"/>
      <c r="NZS30" s="2511"/>
      <c r="NZT30" s="2511"/>
      <c r="NZU30" s="2511"/>
      <c r="NZV30" s="2511"/>
      <c r="NZW30" s="2511"/>
      <c r="NZX30" s="2511"/>
      <c r="NZY30" s="2511"/>
      <c r="NZZ30" s="2511"/>
      <c r="OAA30" s="2511"/>
      <c r="OAB30" s="2511"/>
      <c r="OAC30" s="2511"/>
      <c r="OAD30" s="2511"/>
      <c r="OAE30" s="2511"/>
      <c r="OAF30" s="2511"/>
      <c r="OAG30" s="2511"/>
      <c r="OAH30" s="2511"/>
      <c r="OAI30" s="2511"/>
      <c r="OAJ30" s="2511"/>
      <c r="OAK30" s="2511"/>
      <c r="OAL30" s="2511"/>
      <c r="OAM30" s="2511"/>
      <c r="OAN30" s="2511"/>
      <c r="OAO30" s="2511"/>
      <c r="OAP30" s="2511"/>
      <c r="OAQ30" s="2511"/>
      <c r="OAR30" s="2511"/>
      <c r="OAS30" s="2511"/>
      <c r="OAT30" s="2511"/>
      <c r="OAU30" s="2511"/>
      <c r="OAV30" s="2511"/>
      <c r="OAW30" s="2511"/>
      <c r="OAX30" s="2511"/>
      <c r="OAY30" s="2511"/>
      <c r="OAZ30" s="2511"/>
      <c r="OBA30" s="2511"/>
      <c r="OBB30" s="2511"/>
      <c r="OBC30" s="2511"/>
      <c r="OBD30" s="2511"/>
      <c r="OBE30" s="2511"/>
      <c r="OBF30" s="2511"/>
      <c r="OBG30" s="2511"/>
      <c r="OBH30" s="2511"/>
      <c r="OBI30" s="2511"/>
      <c r="OBJ30" s="2511"/>
      <c r="OBK30" s="2511"/>
      <c r="OBL30" s="2511"/>
      <c r="OBM30" s="2511"/>
      <c r="OBN30" s="2511"/>
      <c r="OBO30" s="2511"/>
      <c r="OBP30" s="2511"/>
      <c r="OBQ30" s="2511"/>
      <c r="OBR30" s="2511"/>
      <c r="OBS30" s="2511"/>
      <c r="OBT30" s="2511"/>
      <c r="OBU30" s="2511"/>
      <c r="OBV30" s="2511"/>
      <c r="OBW30" s="2511"/>
      <c r="OBX30" s="2511"/>
      <c r="OBY30" s="2511"/>
      <c r="OBZ30" s="2511"/>
      <c r="OCA30" s="2511"/>
      <c r="OCB30" s="2511"/>
      <c r="OCC30" s="2511"/>
      <c r="OCD30" s="2511"/>
      <c r="OCE30" s="2511"/>
      <c r="OCF30" s="2511"/>
      <c r="OCG30" s="2511"/>
      <c r="OCH30" s="2511"/>
      <c r="OCI30" s="2511"/>
      <c r="OCJ30" s="2511"/>
      <c r="OCK30" s="2511"/>
      <c r="OCL30" s="2511"/>
      <c r="OCM30" s="2511"/>
      <c r="OCN30" s="2511"/>
      <c r="OCO30" s="2511"/>
      <c r="OCP30" s="2511"/>
      <c r="OCQ30" s="2511"/>
      <c r="OCR30" s="2511"/>
      <c r="OCS30" s="2511"/>
      <c r="OCT30" s="2511"/>
      <c r="OCU30" s="2511"/>
      <c r="OCV30" s="2511"/>
      <c r="OCW30" s="2511"/>
      <c r="OCX30" s="2511"/>
      <c r="OCY30" s="2511"/>
      <c r="OCZ30" s="2511"/>
      <c r="ODA30" s="2511"/>
      <c r="ODB30" s="2511"/>
      <c r="ODC30" s="2511"/>
      <c r="ODD30" s="2511"/>
      <c r="ODE30" s="2511"/>
      <c r="ODF30" s="2511"/>
      <c r="ODG30" s="2511"/>
      <c r="ODH30" s="2511"/>
      <c r="ODI30" s="2511"/>
      <c r="ODJ30" s="2511"/>
      <c r="ODK30" s="2511"/>
      <c r="ODL30" s="2511"/>
      <c r="ODM30" s="2511"/>
      <c r="ODN30" s="2511"/>
      <c r="ODO30" s="2511"/>
      <c r="ODP30" s="2511"/>
      <c r="ODQ30" s="2511"/>
      <c r="ODR30" s="2511"/>
      <c r="ODS30" s="2511"/>
      <c r="ODT30" s="2511"/>
      <c r="ODU30" s="2511"/>
      <c r="ODV30" s="2511"/>
      <c r="ODW30" s="2511"/>
      <c r="ODX30" s="2511"/>
      <c r="ODY30" s="2511"/>
      <c r="ODZ30" s="2511"/>
      <c r="OEA30" s="2511"/>
      <c r="OEB30" s="2511"/>
      <c r="OEC30" s="2511"/>
      <c r="OED30" s="2511"/>
      <c r="OEE30" s="2511"/>
      <c r="OEF30" s="2511"/>
      <c r="OEG30" s="2511"/>
      <c r="OEH30" s="2511"/>
      <c r="OEI30" s="2511"/>
      <c r="OEJ30" s="2511"/>
      <c r="OEK30" s="2511"/>
      <c r="OEL30" s="2511"/>
      <c r="OEM30" s="2511"/>
      <c r="OEN30" s="2511"/>
      <c r="OEO30" s="2511"/>
      <c r="OEP30" s="2511"/>
      <c r="OEQ30" s="2511"/>
      <c r="OER30" s="2511"/>
      <c r="OES30" s="2511"/>
      <c r="OET30" s="2511"/>
      <c r="OEU30" s="2511"/>
      <c r="OEV30" s="2511"/>
      <c r="OEW30" s="2511"/>
      <c r="OEX30" s="2511"/>
      <c r="OEY30" s="2511"/>
      <c r="OEZ30" s="2511"/>
      <c r="OFA30" s="2511"/>
      <c r="OFB30" s="2511"/>
      <c r="OFC30" s="2511"/>
      <c r="OFD30" s="2511"/>
      <c r="OFE30" s="2511"/>
      <c r="OFF30" s="2511"/>
      <c r="OFG30" s="2511"/>
      <c r="OFH30" s="2511"/>
      <c r="OFI30" s="2511"/>
      <c r="OFJ30" s="2511"/>
      <c r="OFK30" s="2511"/>
      <c r="OFL30" s="2511"/>
      <c r="OFM30" s="2511"/>
      <c r="OFN30" s="2511"/>
      <c r="OFO30" s="2511"/>
      <c r="OFP30" s="2511"/>
      <c r="OFQ30" s="2511"/>
      <c r="OFR30" s="2511"/>
      <c r="OFS30" s="2511"/>
      <c r="OFT30" s="2511"/>
      <c r="OFU30" s="2511"/>
      <c r="OFV30" s="2511"/>
      <c r="OFW30" s="2511"/>
      <c r="OFX30" s="2511"/>
      <c r="OFY30" s="2511"/>
      <c r="OFZ30" s="2511"/>
      <c r="OGA30" s="2511"/>
      <c r="OGB30" s="2511"/>
      <c r="OGC30" s="2511"/>
      <c r="OGD30" s="2511"/>
      <c r="OGE30" s="2511"/>
      <c r="OGF30" s="2511"/>
      <c r="OGG30" s="2511"/>
      <c r="OGH30" s="2511"/>
      <c r="OGI30" s="2511"/>
      <c r="OGJ30" s="2511"/>
      <c r="OGK30" s="2511"/>
      <c r="OGL30" s="2511"/>
      <c r="OGM30" s="2511"/>
      <c r="OGN30" s="2511"/>
      <c r="OGO30" s="2511"/>
      <c r="OGP30" s="2511"/>
      <c r="OGQ30" s="2511"/>
      <c r="OGR30" s="2511"/>
      <c r="OGS30" s="2511"/>
      <c r="OGT30" s="2511"/>
      <c r="OGU30" s="2511"/>
      <c r="OGV30" s="2511"/>
      <c r="OGW30" s="2511"/>
      <c r="OGX30" s="2511"/>
      <c r="OGY30" s="2511"/>
      <c r="OGZ30" s="2511"/>
      <c r="OHA30" s="2511"/>
      <c r="OHB30" s="2511"/>
      <c r="OHC30" s="2511"/>
      <c r="OHD30" s="2511"/>
      <c r="OHE30" s="2511"/>
      <c r="OHF30" s="2511"/>
      <c r="OHG30" s="2511"/>
      <c r="OHH30" s="2511"/>
      <c r="OHI30" s="2511"/>
      <c r="OHJ30" s="2511"/>
      <c r="OHK30" s="2511"/>
      <c r="OHL30" s="2511"/>
      <c r="OHM30" s="2511"/>
      <c r="OHN30" s="2511"/>
      <c r="OHO30" s="2511"/>
      <c r="OHP30" s="2511"/>
      <c r="OHQ30" s="2511"/>
      <c r="OHR30" s="2511"/>
      <c r="OHS30" s="2511"/>
      <c r="OHT30" s="2511"/>
      <c r="OHU30" s="2511"/>
      <c r="OHV30" s="2511"/>
      <c r="OHW30" s="2511"/>
      <c r="OHX30" s="2511"/>
      <c r="OHY30" s="2511"/>
      <c r="OHZ30" s="2511"/>
      <c r="OIA30" s="2511"/>
      <c r="OIB30" s="2511"/>
      <c r="OIC30" s="2511"/>
      <c r="OID30" s="2511"/>
      <c r="OIE30" s="2511"/>
      <c r="OIF30" s="2511"/>
      <c r="OIG30" s="2511"/>
      <c r="OIH30" s="2511"/>
      <c r="OII30" s="2511"/>
      <c r="OIJ30" s="2511"/>
      <c r="OIK30" s="2511"/>
      <c r="OIL30" s="2511"/>
      <c r="OIM30" s="2511"/>
      <c r="OIN30" s="2511"/>
      <c r="OIO30" s="2511"/>
      <c r="OIP30" s="2511"/>
      <c r="OIQ30" s="2511"/>
      <c r="OIR30" s="2511"/>
      <c r="OIS30" s="2511"/>
      <c r="OIT30" s="2511"/>
      <c r="OIU30" s="2511"/>
      <c r="OIV30" s="2511"/>
      <c r="OIW30" s="2511"/>
      <c r="OIX30" s="2511"/>
      <c r="OIY30" s="2511"/>
      <c r="OIZ30" s="2511"/>
      <c r="OJA30" s="2511"/>
      <c r="OJB30" s="2511"/>
      <c r="OJC30" s="2511"/>
      <c r="OJD30" s="2511"/>
      <c r="OJE30" s="2511"/>
      <c r="OJF30" s="2511"/>
      <c r="OJG30" s="2511"/>
      <c r="OJH30" s="2511"/>
      <c r="OJI30" s="2511"/>
      <c r="OJJ30" s="2511"/>
      <c r="OJK30" s="2511"/>
      <c r="OJL30" s="2511"/>
      <c r="OJM30" s="2511"/>
      <c r="OJN30" s="2511"/>
      <c r="OJO30" s="2511"/>
      <c r="OJP30" s="2511"/>
      <c r="OJQ30" s="2511"/>
      <c r="OJR30" s="2511"/>
      <c r="OJS30" s="2511"/>
      <c r="OJT30" s="2511"/>
      <c r="OJU30" s="2511"/>
      <c r="OJV30" s="2511"/>
      <c r="OJW30" s="2511"/>
      <c r="OJX30" s="2511"/>
      <c r="OJY30" s="2511"/>
      <c r="OJZ30" s="2511"/>
      <c r="OKA30" s="2511"/>
      <c r="OKB30" s="2511"/>
      <c r="OKC30" s="2511"/>
      <c r="OKD30" s="2511"/>
      <c r="OKE30" s="2511"/>
      <c r="OKF30" s="2511"/>
      <c r="OKG30" s="2511"/>
      <c r="OKH30" s="2511"/>
      <c r="OKI30" s="2511"/>
      <c r="OKJ30" s="2511"/>
      <c r="OKK30" s="2511"/>
      <c r="OKL30" s="2511"/>
      <c r="OKM30" s="2511"/>
      <c r="OKN30" s="2511"/>
      <c r="OKO30" s="2511"/>
      <c r="OKP30" s="2511"/>
      <c r="OKQ30" s="2511"/>
      <c r="OKR30" s="2511"/>
      <c r="OKS30" s="2511"/>
      <c r="OKT30" s="2511"/>
      <c r="OKU30" s="2511"/>
      <c r="OKV30" s="2511"/>
      <c r="OKW30" s="2511"/>
      <c r="OKX30" s="2511"/>
      <c r="OKY30" s="2511"/>
      <c r="OKZ30" s="2511"/>
      <c r="OLA30" s="2511"/>
      <c r="OLB30" s="2511"/>
      <c r="OLC30" s="2511"/>
      <c r="OLD30" s="2511"/>
      <c r="OLE30" s="2511"/>
      <c r="OLF30" s="2511"/>
      <c r="OLG30" s="2511"/>
      <c r="OLH30" s="2511"/>
      <c r="OLI30" s="2511"/>
      <c r="OLJ30" s="2511"/>
      <c r="OLK30" s="2511"/>
      <c r="OLL30" s="2511"/>
      <c r="OLM30" s="2511"/>
      <c r="OLN30" s="2511"/>
      <c r="OLO30" s="2511"/>
      <c r="OLP30" s="2511"/>
      <c r="OLQ30" s="2511"/>
      <c r="OLR30" s="2511"/>
      <c r="OLS30" s="2511"/>
      <c r="OLT30" s="2511"/>
      <c r="OLU30" s="2511"/>
      <c r="OLV30" s="2511"/>
      <c r="OLW30" s="2511"/>
      <c r="OLX30" s="2511"/>
      <c r="OLY30" s="2511"/>
      <c r="OLZ30" s="2511"/>
      <c r="OMA30" s="2511"/>
      <c r="OMB30" s="2511"/>
      <c r="OMC30" s="2511"/>
      <c r="OMD30" s="2511"/>
      <c r="OME30" s="2511"/>
      <c r="OMF30" s="2511"/>
      <c r="OMG30" s="2511"/>
      <c r="OMH30" s="2511"/>
      <c r="OMI30" s="2511"/>
      <c r="OMJ30" s="2511"/>
      <c r="OMK30" s="2511"/>
      <c r="OML30" s="2511"/>
      <c r="OMM30" s="2511"/>
      <c r="OMN30" s="2511"/>
      <c r="OMO30" s="2511"/>
      <c r="OMP30" s="2511"/>
      <c r="OMQ30" s="2511"/>
      <c r="OMR30" s="2511"/>
      <c r="OMS30" s="2511"/>
      <c r="OMT30" s="2511"/>
      <c r="OMU30" s="2511"/>
      <c r="OMV30" s="2511"/>
      <c r="OMW30" s="2511"/>
      <c r="OMX30" s="2511"/>
      <c r="OMY30" s="2511"/>
      <c r="OMZ30" s="2511"/>
      <c r="ONA30" s="2511"/>
      <c r="ONB30" s="2511"/>
      <c r="ONC30" s="2511"/>
      <c r="OND30" s="2511"/>
      <c r="ONE30" s="2511"/>
      <c r="ONF30" s="2511"/>
      <c r="ONG30" s="2511"/>
      <c r="ONH30" s="2511"/>
      <c r="ONI30" s="2511"/>
      <c r="ONJ30" s="2511"/>
      <c r="ONK30" s="2511"/>
      <c r="ONL30" s="2511"/>
      <c r="ONM30" s="2511"/>
      <c r="ONN30" s="2511"/>
      <c r="ONO30" s="2511"/>
      <c r="ONP30" s="2511"/>
      <c r="ONQ30" s="2511"/>
      <c r="ONR30" s="2511"/>
      <c r="ONS30" s="2511"/>
      <c r="ONT30" s="2511"/>
      <c r="ONU30" s="2511"/>
      <c r="ONV30" s="2511"/>
      <c r="ONW30" s="2511"/>
      <c r="ONX30" s="2511"/>
      <c r="ONY30" s="2511"/>
      <c r="ONZ30" s="2511"/>
      <c r="OOA30" s="2511"/>
      <c r="OOB30" s="2511"/>
      <c r="OOC30" s="2511"/>
      <c r="OOD30" s="2511"/>
      <c r="OOE30" s="2511"/>
      <c r="OOF30" s="2511"/>
      <c r="OOG30" s="2511"/>
      <c r="OOH30" s="2511"/>
      <c r="OOI30" s="2511"/>
      <c r="OOJ30" s="2511"/>
      <c r="OOK30" s="2511"/>
      <c r="OOL30" s="2511"/>
      <c r="OOM30" s="2511"/>
      <c r="OON30" s="2511"/>
      <c r="OOO30" s="2511"/>
      <c r="OOP30" s="2511"/>
      <c r="OOQ30" s="2511"/>
      <c r="OOR30" s="2511"/>
      <c r="OOS30" s="2511"/>
      <c r="OOT30" s="2511"/>
      <c r="OOU30" s="2511"/>
      <c r="OOV30" s="2511"/>
      <c r="OOW30" s="2511"/>
      <c r="OOX30" s="2511"/>
      <c r="OOY30" s="2511"/>
      <c r="OOZ30" s="2511"/>
      <c r="OPA30" s="2511"/>
      <c r="OPB30" s="2511"/>
      <c r="OPC30" s="2511"/>
      <c r="OPD30" s="2511"/>
      <c r="OPE30" s="2511"/>
      <c r="OPF30" s="2511"/>
      <c r="OPG30" s="2511"/>
      <c r="OPH30" s="2511"/>
      <c r="OPI30" s="2511"/>
      <c r="OPJ30" s="2511"/>
      <c r="OPK30" s="2511"/>
      <c r="OPL30" s="2511"/>
      <c r="OPM30" s="2511"/>
      <c r="OPN30" s="2511"/>
      <c r="OPO30" s="2511"/>
      <c r="OPP30" s="2511"/>
      <c r="OPQ30" s="2511"/>
      <c r="OPR30" s="2511"/>
      <c r="OPS30" s="2511"/>
      <c r="OPT30" s="2511"/>
      <c r="OPU30" s="2511"/>
      <c r="OPV30" s="2511"/>
      <c r="OPW30" s="2511"/>
      <c r="OPX30" s="2511"/>
      <c r="OPY30" s="2511"/>
      <c r="OPZ30" s="2511"/>
      <c r="OQA30" s="2511"/>
      <c r="OQB30" s="2511"/>
      <c r="OQC30" s="2511"/>
      <c r="OQD30" s="2511"/>
      <c r="OQE30" s="2511"/>
      <c r="OQF30" s="2511"/>
      <c r="OQG30" s="2511"/>
      <c r="OQH30" s="2511"/>
      <c r="OQI30" s="2511"/>
      <c r="OQJ30" s="2511"/>
      <c r="OQK30" s="2511"/>
      <c r="OQL30" s="2511"/>
      <c r="OQM30" s="2511"/>
      <c r="OQN30" s="2511"/>
      <c r="OQO30" s="2511"/>
      <c r="OQP30" s="2511"/>
      <c r="OQQ30" s="2511"/>
      <c r="OQR30" s="2511"/>
      <c r="OQS30" s="2511"/>
      <c r="OQT30" s="2511"/>
      <c r="OQU30" s="2511"/>
      <c r="OQV30" s="2511"/>
      <c r="OQW30" s="2511"/>
      <c r="OQX30" s="2511"/>
      <c r="OQY30" s="2511"/>
      <c r="OQZ30" s="2511"/>
      <c r="ORA30" s="2511"/>
      <c r="ORB30" s="2511"/>
      <c r="ORC30" s="2511"/>
      <c r="ORD30" s="2511"/>
      <c r="ORE30" s="2511"/>
      <c r="ORF30" s="2511"/>
      <c r="ORG30" s="2511"/>
      <c r="ORH30" s="2511"/>
      <c r="ORI30" s="2511"/>
      <c r="ORJ30" s="2511"/>
      <c r="ORK30" s="2511"/>
      <c r="ORL30" s="2511"/>
      <c r="ORM30" s="2511"/>
      <c r="ORN30" s="2511"/>
      <c r="ORO30" s="2511"/>
      <c r="ORP30" s="2511"/>
      <c r="ORQ30" s="2511"/>
      <c r="ORR30" s="2511"/>
      <c r="ORS30" s="2511"/>
      <c r="ORT30" s="2511"/>
      <c r="ORU30" s="2511"/>
      <c r="ORV30" s="2511"/>
      <c r="ORW30" s="2511"/>
      <c r="ORX30" s="2511"/>
      <c r="ORY30" s="2511"/>
      <c r="ORZ30" s="2511"/>
      <c r="OSA30" s="2511"/>
      <c r="OSB30" s="2511"/>
      <c r="OSC30" s="2511"/>
      <c r="OSD30" s="2511"/>
      <c r="OSE30" s="2511"/>
      <c r="OSF30" s="2511"/>
      <c r="OSG30" s="2511"/>
      <c r="OSH30" s="2511"/>
      <c r="OSI30" s="2511"/>
      <c r="OSJ30" s="2511"/>
      <c r="OSK30" s="2511"/>
      <c r="OSL30" s="2511"/>
      <c r="OSM30" s="2511"/>
      <c r="OSN30" s="2511"/>
      <c r="OSO30" s="2511"/>
      <c r="OSP30" s="2511"/>
      <c r="OSQ30" s="2511"/>
      <c r="OSR30" s="2511"/>
      <c r="OSS30" s="2511"/>
      <c r="OST30" s="2511"/>
      <c r="OSU30" s="2511"/>
      <c r="OSV30" s="2511"/>
      <c r="OSW30" s="2511"/>
      <c r="OSX30" s="2511"/>
      <c r="OSY30" s="2511"/>
      <c r="OSZ30" s="2511"/>
      <c r="OTA30" s="2511"/>
      <c r="OTB30" s="2511"/>
      <c r="OTC30" s="2511"/>
      <c r="OTD30" s="2511"/>
      <c r="OTE30" s="2511"/>
      <c r="OTF30" s="2511"/>
      <c r="OTG30" s="2511"/>
      <c r="OTH30" s="2511"/>
      <c r="OTI30" s="2511"/>
      <c r="OTJ30" s="2511"/>
      <c r="OTK30" s="2511"/>
      <c r="OTL30" s="2511"/>
      <c r="OTM30" s="2511"/>
      <c r="OTN30" s="2511"/>
      <c r="OTO30" s="2511"/>
      <c r="OTP30" s="2511"/>
      <c r="OTQ30" s="2511"/>
      <c r="OTR30" s="2511"/>
      <c r="OTS30" s="2511"/>
      <c r="OTT30" s="2511"/>
      <c r="OTU30" s="2511"/>
      <c r="OTV30" s="2511"/>
      <c r="OTW30" s="2511"/>
      <c r="OTX30" s="2511"/>
      <c r="OTY30" s="2511"/>
      <c r="OTZ30" s="2511"/>
      <c r="OUA30" s="2511"/>
      <c r="OUB30" s="2511"/>
      <c r="OUC30" s="2511"/>
      <c r="OUD30" s="2511"/>
      <c r="OUE30" s="2511"/>
      <c r="OUF30" s="2511"/>
      <c r="OUG30" s="2511"/>
      <c r="OUH30" s="2511"/>
      <c r="OUI30" s="2511"/>
      <c r="OUJ30" s="2511"/>
      <c r="OUK30" s="2511"/>
      <c r="OUL30" s="2511"/>
      <c r="OUM30" s="2511"/>
      <c r="OUN30" s="2511"/>
      <c r="OUO30" s="2511"/>
      <c r="OUP30" s="2511"/>
      <c r="OUQ30" s="2511"/>
      <c r="OUR30" s="2511"/>
      <c r="OUS30" s="2511"/>
      <c r="OUT30" s="2511"/>
      <c r="OUU30" s="2511"/>
      <c r="OUV30" s="2511"/>
      <c r="OUW30" s="2511"/>
      <c r="OUX30" s="2511"/>
      <c r="OUY30" s="2511"/>
      <c r="OUZ30" s="2511"/>
      <c r="OVA30" s="2511"/>
      <c r="OVB30" s="2511"/>
      <c r="OVC30" s="2511"/>
      <c r="OVD30" s="2511"/>
      <c r="OVE30" s="2511"/>
      <c r="OVF30" s="2511"/>
      <c r="OVG30" s="2511"/>
      <c r="OVH30" s="2511"/>
      <c r="OVI30" s="2511"/>
      <c r="OVJ30" s="2511"/>
      <c r="OVK30" s="2511"/>
      <c r="OVL30" s="2511"/>
      <c r="OVM30" s="2511"/>
      <c r="OVN30" s="2511"/>
      <c r="OVO30" s="2511"/>
      <c r="OVP30" s="2511"/>
      <c r="OVQ30" s="2511"/>
      <c r="OVR30" s="2511"/>
      <c r="OVS30" s="2511"/>
      <c r="OVT30" s="2511"/>
      <c r="OVU30" s="2511"/>
      <c r="OVV30" s="2511"/>
      <c r="OVW30" s="2511"/>
      <c r="OVX30" s="2511"/>
      <c r="OVY30" s="2511"/>
      <c r="OVZ30" s="2511"/>
      <c r="OWA30" s="2511"/>
      <c r="OWB30" s="2511"/>
      <c r="OWC30" s="2511"/>
      <c r="OWD30" s="2511"/>
      <c r="OWE30" s="2511"/>
      <c r="OWF30" s="2511"/>
      <c r="OWG30" s="2511"/>
      <c r="OWH30" s="2511"/>
      <c r="OWI30" s="2511"/>
      <c r="OWJ30" s="2511"/>
      <c r="OWK30" s="2511"/>
      <c r="OWL30" s="2511"/>
      <c r="OWM30" s="2511"/>
      <c r="OWN30" s="2511"/>
      <c r="OWO30" s="2511"/>
      <c r="OWP30" s="2511"/>
      <c r="OWQ30" s="2511"/>
      <c r="OWR30" s="2511"/>
      <c r="OWS30" s="2511"/>
      <c r="OWT30" s="2511"/>
      <c r="OWU30" s="2511"/>
      <c r="OWV30" s="2511"/>
      <c r="OWW30" s="2511"/>
      <c r="OWX30" s="2511"/>
      <c r="OWY30" s="2511"/>
      <c r="OWZ30" s="2511"/>
      <c r="OXA30" s="2511"/>
      <c r="OXB30" s="2511"/>
      <c r="OXC30" s="2511"/>
      <c r="OXD30" s="2511"/>
      <c r="OXE30" s="2511"/>
      <c r="OXF30" s="2511"/>
      <c r="OXG30" s="2511"/>
      <c r="OXH30" s="2511"/>
      <c r="OXI30" s="2511"/>
      <c r="OXJ30" s="2511"/>
      <c r="OXK30" s="2511"/>
      <c r="OXL30" s="2511"/>
      <c r="OXM30" s="2511"/>
      <c r="OXN30" s="2511"/>
      <c r="OXO30" s="2511"/>
      <c r="OXP30" s="2511"/>
      <c r="OXQ30" s="2511"/>
      <c r="OXR30" s="2511"/>
      <c r="OXS30" s="2511"/>
      <c r="OXT30" s="2511"/>
      <c r="OXU30" s="2511"/>
      <c r="OXV30" s="2511"/>
      <c r="OXW30" s="2511"/>
      <c r="OXX30" s="2511"/>
      <c r="OXY30" s="2511"/>
      <c r="OXZ30" s="2511"/>
      <c r="OYA30" s="2511"/>
      <c r="OYB30" s="2511"/>
      <c r="OYC30" s="2511"/>
      <c r="OYD30" s="2511"/>
      <c r="OYE30" s="2511"/>
      <c r="OYF30" s="2511"/>
      <c r="OYG30" s="2511"/>
      <c r="OYH30" s="2511"/>
      <c r="OYI30" s="2511"/>
      <c r="OYJ30" s="2511"/>
      <c r="OYK30" s="2511"/>
      <c r="OYL30" s="2511"/>
      <c r="OYM30" s="2511"/>
      <c r="OYN30" s="2511"/>
      <c r="OYO30" s="2511"/>
      <c r="OYP30" s="2511"/>
      <c r="OYQ30" s="2511"/>
      <c r="OYR30" s="2511"/>
      <c r="OYS30" s="2511"/>
      <c r="OYT30" s="2511"/>
      <c r="OYU30" s="2511"/>
      <c r="OYV30" s="2511"/>
      <c r="OYW30" s="2511"/>
      <c r="OYX30" s="2511"/>
      <c r="OYY30" s="2511"/>
      <c r="OYZ30" s="2511"/>
      <c r="OZA30" s="2511"/>
      <c r="OZB30" s="2511"/>
      <c r="OZC30" s="2511"/>
      <c r="OZD30" s="2511"/>
      <c r="OZE30" s="2511"/>
      <c r="OZF30" s="2511"/>
      <c r="OZG30" s="2511"/>
      <c r="OZH30" s="2511"/>
      <c r="OZI30" s="2511"/>
      <c r="OZJ30" s="2511"/>
      <c r="OZK30" s="2511"/>
      <c r="OZL30" s="2511"/>
      <c r="OZM30" s="2511"/>
      <c r="OZN30" s="2511"/>
      <c r="OZO30" s="2511"/>
      <c r="OZP30" s="2511"/>
      <c r="OZQ30" s="2511"/>
      <c r="OZR30" s="2511"/>
      <c r="OZS30" s="2511"/>
      <c r="OZT30" s="2511"/>
      <c r="OZU30" s="2511"/>
      <c r="OZV30" s="2511"/>
      <c r="OZW30" s="2511"/>
      <c r="OZX30" s="2511"/>
      <c r="OZY30" s="2511"/>
      <c r="OZZ30" s="2511"/>
      <c r="PAA30" s="2511"/>
      <c r="PAB30" s="2511"/>
      <c r="PAC30" s="2511"/>
      <c r="PAD30" s="2511"/>
      <c r="PAE30" s="2511"/>
      <c r="PAF30" s="2511"/>
      <c r="PAG30" s="2511"/>
      <c r="PAH30" s="2511"/>
      <c r="PAI30" s="2511"/>
      <c r="PAJ30" s="2511"/>
      <c r="PAK30" s="2511"/>
      <c r="PAL30" s="2511"/>
      <c r="PAM30" s="2511"/>
      <c r="PAN30" s="2511"/>
      <c r="PAO30" s="2511"/>
      <c r="PAP30" s="2511"/>
      <c r="PAQ30" s="2511"/>
      <c r="PAR30" s="2511"/>
      <c r="PAS30" s="2511"/>
      <c r="PAT30" s="2511"/>
      <c r="PAU30" s="2511"/>
      <c r="PAV30" s="2511"/>
      <c r="PAW30" s="2511"/>
      <c r="PAX30" s="2511"/>
      <c r="PAY30" s="2511"/>
      <c r="PAZ30" s="2511"/>
      <c r="PBA30" s="2511"/>
      <c r="PBB30" s="2511"/>
      <c r="PBC30" s="2511"/>
      <c r="PBD30" s="2511"/>
      <c r="PBE30" s="2511"/>
      <c r="PBF30" s="2511"/>
      <c r="PBG30" s="2511"/>
      <c r="PBH30" s="2511"/>
      <c r="PBI30" s="2511"/>
      <c r="PBJ30" s="2511"/>
      <c r="PBK30" s="2511"/>
      <c r="PBL30" s="2511"/>
      <c r="PBM30" s="2511"/>
      <c r="PBN30" s="2511"/>
      <c r="PBO30" s="2511"/>
      <c r="PBP30" s="2511"/>
      <c r="PBQ30" s="2511"/>
      <c r="PBR30" s="2511"/>
      <c r="PBS30" s="2511"/>
      <c r="PBT30" s="2511"/>
      <c r="PBU30" s="2511"/>
      <c r="PBV30" s="2511"/>
      <c r="PBW30" s="2511"/>
      <c r="PBX30" s="2511"/>
      <c r="PBY30" s="2511"/>
      <c r="PBZ30" s="2511"/>
      <c r="PCA30" s="2511"/>
      <c r="PCB30" s="2511"/>
      <c r="PCC30" s="2511"/>
      <c r="PCD30" s="2511"/>
      <c r="PCE30" s="2511"/>
      <c r="PCF30" s="2511"/>
      <c r="PCG30" s="2511"/>
      <c r="PCH30" s="2511"/>
      <c r="PCI30" s="2511"/>
      <c r="PCJ30" s="2511"/>
      <c r="PCK30" s="2511"/>
      <c r="PCL30" s="2511"/>
      <c r="PCM30" s="2511"/>
      <c r="PCN30" s="2511"/>
      <c r="PCO30" s="2511"/>
      <c r="PCP30" s="2511"/>
      <c r="PCQ30" s="2511"/>
      <c r="PCR30" s="2511"/>
      <c r="PCS30" s="2511"/>
      <c r="PCT30" s="2511"/>
      <c r="PCU30" s="2511"/>
      <c r="PCV30" s="2511"/>
      <c r="PCW30" s="2511"/>
      <c r="PCX30" s="2511"/>
      <c r="PCY30" s="2511"/>
      <c r="PCZ30" s="2511"/>
      <c r="PDA30" s="2511"/>
      <c r="PDB30" s="2511"/>
      <c r="PDC30" s="2511"/>
      <c r="PDD30" s="2511"/>
      <c r="PDE30" s="2511"/>
      <c r="PDF30" s="2511"/>
      <c r="PDG30" s="2511"/>
      <c r="PDH30" s="2511"/>
      <c r="PDI30" s="2511"/>
      <c r="PDJ30" s="2511"/>
      <c r="PDK30" s="2511"/>
      <c r="PDL30" s="2511"/>
      <c r="PDM30" s="2511"/>
      <c r="PDN30" s="2511"/>
      <c r="PDO30" s="2511"/>
      <c r="PDP30" s="2511"/>
      <c r="PDQ30" s="2511"/>
      <c r="PDR30" s="2511"/>
      <c r="PDS30" s="2511"/>
      <c r="PDT30" s="2511"/>
      <c r="PDU30" s="2511"/>
      <c r="PDV30" s="2511"/>
      <c r="PDW30" s="2511"/>
      <c r="PDX30" s="2511"/>
      <c r="PDY30" s="2511"/>
      <c r="PDZ30" s="2511"/>
      <c r="PEA30" s="2511"/>
      <c r="PEB30" s="2511"/>
      <c r="PEC30" s="2511"/>
      <c r="PED30" s="2511"/>
      <c r="PEE30" s="2511"/>
      <c r="PEF30" s="2511"/>
      <c r="PEG30" s="2511"/>
      <c r="PEH30" s="2511"/>
      <c r="PEI30" s="2511"/>
      <c r="PEJ30" s="2511"/>
      <c r="PEK30" s="2511"/>
      <c r="PEL30" s="2511"/>
      <c r="PEM30" s="2511"/>
      <c r="PEN30" s="2511"/>
      <c r="PEO30" s="2511"/>
      <c r="PEP30" s="2511"/>
      <c r="PEQ30" s="2511"/>
      <c r="PER30" s="2511"/>
      <c r="PES30" s="2511"/>
      <c r="PET30" s="2511"/>
      <c r="PEU30" s="2511"/>
      <c r="PEV30" s="2511"/>
      <c r="PEW30" s="2511"/>
      <c r="PEX30" s="2511"/>
      <c r="PEY30" s="2511"/>
      <c r="PEZ30" s="2511"/>
      <c r="PFA30" s="2511"/>
      <c r="PFB30" s="2511"/>
      <c r="PFC30" s="2511"/>
      <c r="PFD30" s="2511"/>
      <c r="PFE30" s="2511"/>
      <c r="PFF30" s="2511"/>
      <c r="PFG30" s="2511"/>
      <c r="PFH30" s="2511"/>
      <c r="PFI30" s="2511"/>
      <c r="PFJ30" s="2511"/>
      <c r="PFK30" s="2511"/>
      <c r="PFL30" s="2511"/>
      <c r="PFM30" s="2511"/>
      <c r="PFN30" s="2511"/>
      <c r="PFO30" s="2511"/>
      <c r="PFP30" s="2511"/>
      <c r="PFQ30" s="2511"/>
      <c r="PFR30" s="2511"/>
      <c r="PFS30" s="2511"/>
      <c r="PFT30" s="2511"/>
      <c r="PFU30" s="2511"/>
      <c r="PFV30" s="2511"/>
      <c r="PFW30" s="2511"/>
      <c r="PFX30" s="2511"/>
      <c r="PFY30" s="2511"/>
      <c r="PFZ30" s="2511"/>
      <c r="PGA30" s="2511"/>
      <c r="PGB30" s="2511"/>
      <c r="PGC30" s="2511"/>
      <c r="PGD30" s="2511"/>
      <c r="PGE30" s="2511"/>
      <c r="PGF30" s="2511"/>
      <c r="PGG30" s="2511"/>
      <c r="PGH30" s="2511"/>
      <c r="PGI30" s="2511"/>
      <c r="PGJ30" s="2511"/>
      <c r="PGK30" s="2511"/>
      <c r="PGL30" s="2511"/>
      <c r="PGM30" s="2511"/>
      <c r="PGN30" s="2511"/>
      <c r="PGO30" s="2511"/>
      <c r="PGP30" s="2511"/>
      <c r="PGQ30" s="2511"/>
      <c r="PGR30" s="2511"/>
      <c r="PGS30" s="2511"/>
      <c r="PGT30" s="2511"/>
      <c r="PGU30" s="2511"/>
      <c r="PGV30" s="2511"/>
      <c r="PGW30" s="2511"/>
      <c r="PGX30" s="2511"/>
      <c r="PGY30" s="2511"/>
      <c r="PGZ30" s="2511"/>
      <c r="PHA30" s="2511"/>
      <c r="PHB30" s="2511"/>
      <c r="PHC30" s="2511"/>
      <c r="PHD30" s="2511"/>
      <c r="PHE30" s="2511"/>
      <c r="PHF30" s="2511"/>
      <c r="PHG30" s="2511"/>
      <c r="PHH30" s="2511"/>
      <c r="PHI30" s="2511"/>
      <c r="PHJ30" s="2511"/>
      <c r="PHK30" s="2511"/>
      <c r="PHL30" s="2511"/>
      <c r="PHM30" s="2511"/>
      <c r="PHN30" s="2511"/>
      <c r="PHO30" s="2511"/>
      <c r="PHP30" s="2511"/>
      <c r="PHQ30" s="2511"/>
      <c r="PHR30" s="2511"/>
      <c r="PHS30" s="2511"/>
      <c r="PHT30" s="2511"/>
      <c r="PHU30" s="2511"/>
      <c r="PHV30" s="2511"/>
      <c r="PHW30" s="2511"/>
      <c r="PHX30" s="2511"/>
      <c r="PHY30" s="2511"/>
      <c r="PHZ30" s="2511"/>
      <c r="PIA30" s="2511"/>
      <c r="PIB30" s="2511"/>
      <c r="PIC30" s="2511"/>
      <c r="PID30" s="2511"/>
      <c r="PIE30" s="2511"/>
      <c r="PIF30" s="2511"/>
      <c r="PIG30" s="2511"/>
      <c r="PIH30" s="2511"/>
      <c r="PII30" s="2511"/>
      <c r="PIJ30" s="2511"/>
      <c r="PIK30" s="2511"/>
      <c r="PIL30" s="2511"/>
      <c r="PIM30" s="2511"/>
      <c r="PIN30" s="2511"/>
      <c r="PIO30" s="2511"/>
      <c r="PIP30" s="2511"/>
      <c r="PIQ30" s="2511"/>
      <c r="PIR30" s="2511"/>
      <c r="PIS30" s="2511"/>
      <c r="PIT30" s="2511"/>
      <c r="PIU30" s="2511"/>
      <c r="PIV30" s="2511"/>
      <c r="PIW30" s="2511"/>
      <c r="PIX30" s="2511"/>
      <c r="PIY30" s="2511"/>
      <c r="PIZ30" s="2511"/>
      <c r="PJA30" s="2511"/>
      <c r="PJB30" s="2511"/>
      <c r="PJC30" s="2511"/>
      <c r="PJD30" s="2511"/>
      <c r="PJE30" s="2511"/>
      <c r="PJF30" s="2511"/>
      <c r="PJG30" s="2511"/>
      <c r="PJH30" s="2511"/>
      <c r="PJI30" s="2511"/>
      <c r="PJJ30" s="2511"/>
      <c r="PJK30" s="2511"/>
      <c r="PJL30" s="2511"/>
      <c r="PJM30" s="2511"/>
      <c r="PJN30" s="2511"/>
      <c r="PJO30" s="2511"/>
      <c r="PJP30" s="2511"/>
      <c r="PJQ30" s="2511"/>
      <c r="PJR30" s="2511"/>
      <c r="PJS30" s="2511"/>
      <c r="PJT30" s="2511"/>
      <c r="PJU30" s="2511"/>
      <c r="PJV30" s="2511"/>
      <c r="PJW30" s="2511"/>
      <c r="PJX30" s="2511"/>
      <c r="PJY30" s="2511"/>
      <c r="PJZ30" s="2511"/>
      <c r="PKA30" s="2511"/>
      <c r="PKB30" s="2511"/>
      <c r="PKC30" s="2511"/>
      <c r="PKD30" s="2511"/>
      <c r="PKE30" s="2511"/>
      <c r="PKF30" s="2511"/>
      <c r="PKG30" s="2511"/>
      <c r="PKH30" s="2511"/>
      <c r="PKI30" s="2511"/>
      <c r="PKJ30" s="2511"/>
      <c r="PKK30" s="2511"/>
      <c r="PKL30" s="2511"/>
      <c r="PKM30" s="2511"/>
      <c r="PKN30" s="2511"/>
      <c r="PKO30" s="2511"/>
      <c r="PKP30" s="2511"/>
      <c r="PKQ30" s="2511"/>
      <c r="PKR30" s="2511"/>
      <c r="PKS30" s="2511"/>
      <c r="PKT30" s="2511"/>
      <c r="PKU30" s="2511"/>
      <c r="PKV30" s="2511"/>
      <c r="PKW30" s="2511"/>
      <c r="PKX30" s="2511"/>
      <c r="PKY30" s="2511"/>
      <c r="PKZ30" s="2511"/>
      <c r="PLA30" s="2511"/>
      <c r="PLB30" s="2511"/>
      <c r="PLC30" s="2511"/>
      <c r="PLD30" s="2511"/>
      <c r="PLE30" s="2511"/>
      <c r="PLF30" s="2511"/>
      <c r="PLG30" s="2511"/>
      <c r="PLH30" s="2511"/>
      <c r="PLI30" s="2511"/>
      <c r="PLJ30" s="2511"/>
      <c r="PLK30" s="2511"/>
      <c r="PLL30" s="2511"/>
      <c r="PLM30" s="2511"/>
      <c r="PLN30" s="2511"/>
      <c r="PLO30" s="2511"/>
      <c r="PLP30" s="2511"/>
      <c r="PLQ30" s="2511"/>
      <c r="PLR30" s="2511"/>
      <c r="PLS30" s="2511"/>
      <c r="PLT30" s="2511"/>
      <c r="PLU30" s="2511"/>
      <c r="PLV30" s="2511"/>
      <c r="PLW30" s="2511"/>
      <c r="PLX30" s="2511"/>
      <c r="PLY30" s="2511"/>
      <c r="PLZ30" s="2511"/>
      <c r="PMA30" s="2511"/>
      <c r="PMB30" s="2511"/>
      <c r="PMC30" s="2511"/>
      <c r="PMD30" s="2511"/>
      <c r="PME30" s="2511"/>
      <c r="PMF30" s="2511"/>
      <c r="PMG30" s="2511"/>
      <c r="PMH30" s="2511"/>
      <c r="PMI30" s="2511"/>
      <c r="PMJ30" s="2511"/>
      <c r="PMK30" s="2511"/>
      <c r="PML30" s="2511"/>
      <c r="PMM30" s="2511"/>
      <c r="PMN30" s="2511"/>
      <c r="PMO30" s="2511"/>
      <c r="PMP30" s="2511"/>
      <c r="PMQ30" s="2511"/>
      <c r="PMR30" s="2511"/>
      <c r="PMS30" s="2511"/>
      <c r="PMT30" s="2511"/>
      <c r="PMU30" s="2511"/>
      <c r="PMV30" s="2511"/>
      <c r="PMW30" s="2511"/>
      <c r="PMX30" s="2511"/>
      <c r="PMY30" s="2511"/>
      <c r="PMZ30" s="2511"/>
      <c r="PNA30" s="2511"/>
      <c r="PNB30" s="2511"/>
      <c r="PNC30" s="2511"/>
      <c r="PND30" s="2511"/>
      <c r="PNE30" s="2511"/>
      <c r="PNF30" s="2511"/>
      <c r="PNG30" s="2511"/>
      <c r="PNH30" s="2511"/>
      <c r="PNI30" s="2511"/>
      <c r="PNJ30" s="2511"/>
      <c r="PNK30" s="2511"/>
      <c r="PNL30" s="2511"/>
      <c r="PNM30" s="2511"/>
      <c r="PNN30" s="2511"/>
      <c r="PNO30" s="2511"/>
      <c r="PNP30" s="2511"/>
      <c r="PNQ30" s="2511"/>
      <c r="PNR30" s="2511"/>
      <c r="PNS30" s="2511"/>
      <c r="PNT30" s="2511"/>
      <c r="PNU30" s="2511"/>
      <c r="PNV30" s="2511"/>
      <c r="PNW30" s="2511"/>
      <c r="PNX30" s="2511"/>
      <c r="PNY30" s="2511"/>
      <c r="PNZ30" s="2511"/>
      <c r="POA30" s="2511"/>
      <c r="POB30" s="2511"/>
      <c r="POC30" s="2511"/>
      <c r="POD30" s="2511"/>
      <c r="POE30" s="2511"/>
      <c r="POF30" s="2511"/>
      <c r="POG30" s="2511"/>
      <c r="POH30" s="2511"/>
      <c r="POI30" s="2511"/>
      <c r="POJ30" s="2511"/>
      <c r="POK30" s="2511"/>
      <c r="POL30" s="2511"/>
      <c r="POM30" s="2511"/>
      <c r="PON30" s="2511"/>
      <c r="POO30" s="2511"/>
      <c r="POP30" s="2511"/>
      <c r="POQ30" s="2511"/>
      <c r="POR30" s="2511"/>
      <c r="POS30" s="2511"/>
      <c r="POT30" s="2511"/>
      <c r="POU30" s="2511"/>
      <c r="POV30" s="2511"/>
      <c r="POW30" s="2511"/>
      <c r="POX30" s="2511"/>
      <c r="POY30" s="2511"/>
      <c r="POZ30" s="2511"/>
      <c r="PPA30" s="2511"/>
      <c r="PPB30" s="2511"/>
      <c r="PPC30" s="2511"/>
      <c r="PPD30" s="2511"/>
      <c r="PPE30" s="2511"/>
      <c r="PPF30" s="2511"/>
      <c r="PPG30" s="2511"/>
      <c r="PPH30" s="2511"/>
      <c r="PPI30" s="2511"/>
      <c r="PPJ30" s="2511"/>
      <c r="PPK30" s="2511"/>
      <c r="PPL30" s="2511"/>
      <c r="PPM30" s="2511"/>
      <c r="PPN30" s="2511"/>
      <c r="PPO30" s="2511"/>
      <c r="PPP30" s="2511"/>
      <c r="PPQ30" s="2511"/>
      <c r="PPR30" s="2511"/>
      <c r="PPS30" s="2511"/>
      <c r="PPT30" s="2511"/>
      <c r="PPU30" s="2511"/>
      <c r="PPV30" s="2511"/>
      <c r="PPW30" s="2511"/>
      <c r="PPX30" s="2511"/>
      <c r="PPY30" s="2511"/>
      <c r="PPZ30" s="2511"/>
      <c r="PQA30" s="2511"/>
      <c r="PQB30" s="2511"/>
      <c r="PQC30" s="2511"/>
      <c r="PQD30" s="2511"/>
      <c r="PQE30" s="2511"/>
      <c r="PQF30" s="2511"/>
      <c r="PQG30" s="2511"/>
      <c r="PQH30" s="2511"/>
      <c r="PQI30" s="2511"/>
      <c r="PQJ30" s="2511"/>
      <c r="PQK30" s="2511"/>
      <c r="PQL30" s="2511"/>
      <c r="PQM30" s="2511"/>
      <c r="PQN30" s="2511"/>
      <c r="PQO30" s="2511"/>
      <c r="PQP30" s="2511"/>
      <c r="PQQ30" s="2511"/>
      <c r="PQR30" s="2511"/>
      <c r="PQS30" s="2511"/>
      <c r="PQT30" s="2511"/>
      <c r="PQU30" s="2511"/>
      <c r="PQV30" s="2511"/>
      <c r="PQW30" s="2511"/>
      <c r="PQX30" s="2511"/>
      <c r="PQY30" s="2511"/>
      <c r="PQZ30" s="2511"/>
      <c r="PRA30" s="2511"/>
      <c r="PRB30" s="2511"/>
      <c r="PRC30" s="2511"/>
      <c r="PRD30" s="2511"/>
      <c r="PRE30" s="2511"/>
      <c r="PRF30" s="2511"/>
      <c r="PRG30" s="2511"/>
      <c r="PRH30" s="2511"/>
      <c r="PRI30" s="2511"/>
      <c r="PRJ30" s="2511"/>
      <c r="PRK30" s="2511"/>
      <c r="PRL30" s="2511"/>
      <c r="PRM30" s="2511"/>
      <c r="PRN30" s="2511"/>
      <c r="PRO30" s="2511"/>
      <c r="PRP30" s="2511"/>
      <c r="PRQ30" s="2511"/>
      <c r="PRR30" s="2511"/>
      <c r="PRS30" s="2511"/>
      <c r="PRT30" s="2511"/>
      <c r="PRU30" s="2511"/>
      <c r="PRV30" s="2511"/>
      <c r="PRW30" s="2511"/>
      <c r="PRX30" s="2511"/>
      <c r="PRY30" s="2511"/>
      <c r="PRZ30" s="2511"/>
      <c r="PSA30" s="2511"/>
      <c r="PSB30" s="2511"/>
      <c r="PSC30" s="2511"/>
      <c r="PSD30" s="2511"/>
      <c r="PSE30" s="2511"/>
      <c r="PSF30" s="2511"/>
      <c r="PSG30" s="2511"/>
      <c r="PSH30" s="2511"/>
      <c r="PSI30" s="2511"/>
      <c r="PSJ30" s="2511"/>
      <c r="PSK30" s="2511"/>
      <c r="PSL30" s="2511"/>
      <c r="PSM30" s="2511"/>
      <c r="PSN30" s="2511"/>
      <c r="PSO30" s="2511"/>
      <c r="PSP30" s="2511"/>
      <c r="PSQ30" s="2511"/>
      <c r="PSR30" s="2511"/>
      <c r="PSS30" s="2511"/>
      <c r="PST30" s="2511"/>
      <c r="PSU30" s="2511"/>
      <c r="PSV30" s="2511"/>
      <c r="PSW30" s="2511"/>
      <c r="PSX30" s="2511"/>
      <c r="PSY30" s="2511"/>
      <c r="PSZ30" s="2511"/>
      <c r="PTA30" s="2511"/>
      <c r="PTB30" s="2511"/>
      <c r="PTC30" s="2511"/>
      <c r="PTD30" s="2511"/>
      <c r="PTE30" s="2511"/>
      <c r="PTF30" s="2511"/>
      <c r="PTG30" s="2511"/>
      <c r="PTH30" s="2511"/>
      <c r="PTI30" s="2511"/>
      <c r="PTJ30" s="2511"/>
      <c r="PTK30" s="2511"/>
      <c r="PTL30" s="2511"/>
      <c r="PTM30" s="2511"/>
      <c r="PTN30" s="2511"/>
      <c r="PTO30" s="2511"/>
      <c r="PTP30" s="2511"/>
      <c r="PTQ30" s="2511"/>
      <c r="PTR30" s="2511"/>
      <c r="PTS30" s="2511"/>
      <c r="PTT30" s="2511"/>
      <c r="PTU30" s="2511"/>
      <c r="PTV30" s="2511"/>
      <c r="PTW30" s="2511"/>
      <c r="PTX30" s="2511"/>
      <c r="PTY30" s="2511"/>
      <c r="PTZ30" s="2511"/>
      <c r="PUA30" s="2511"/>
      <c r="PUB30" s="2511"/>
      <c r="PUC30" s="2511"/>
      <c r="PUD30" s="2511"/>
      <c r="PUE30" s="2511"/>
      <c r="PUF30" s="2511"/>
      <c r="PUG30" s="2511"/>
      <c r="PUH30" s="2511"/>
      <c r="PUI30" s="2511"/>
      <c r="PUJ30" s="2511"/>
      <c r="PUK30" s="2511"/>
      <c r="PUL30" s="2511"/>
      <c r="PUM30" s="2511"/>
      <c r="PUN30" s="2511"/>
      <c r="PUO30" s="2511"/>
      <c r="PUP30" s="2511"/>
      <c r="PUQ30" s="2511"/>
      <c r="PUR30" s="2511"/>
      <c r="PUS30" s="2511"/>
      <c r="PUT30" s="2511"/>
      <c r="PUU30" s="2511"/>
      <c r="PUV30" s="2511"/>
      <c r="PUW30" s="2511"/>
      <c r="PUX30" s="2511"/>
      <c r="PUY30" s="2511"/>
      <c r="PUZ30" s="2511"/>
      <c r="PVA30" s="2511"/>
      <c r="PVB30" s="2511"/>
      <c r="PVC30" s="2511"/>
      <c r="PVD30" s="2511"/>
      <c r="PVE30" s="2511"/>
      <c r="PVF30" s="2511"/>
      <c r="PVG30" s="2511"/>
      <c r="PVH30" s="2511"/>
      <c r="PVI30" s="2511"/>
      <c r="PVJ30" s="2511"/>
      <c r="PVK30" s="2511"/>
      <c r="PVL30" s="2511"/>
      <c r="PVM30" s="2511"/>
      <c r="PVN30" s="2511"/>
      <c r="PVO30" s="2511"/>
      <c r="PVP30" s="2511"/>
      <c r="PVQ30" s="2511"/>
      <c r="PVR30" s="2511"/>
      <c r="PVS30" s="2511"/>
      <c r="PVT30" s="2511"/>
      <c r="PVU30" s="2511"/>
      <c r="PVV30" s="2511"/>
      <c r="PVW30" s="2511"/>
      <c r="PVX30" s="2511"/>
      <c r="PVY30" s="2511"/>
      <c r="PVZ30" s="2511"/>
      <c r="PWA30" s="2511"/>
      <c r="PWB30" s="2511"/>
      <c r="PWC30" s="2511"/>
      <c r="PWD30" s="2511"/>
      <c r="PWE30" s="2511"/>
      <c r="PWF30" s="2511"/>
      <c r="PWG30" s="2511"/>
      <c r="PWH30" s="2511"/>
      <c r="PWI30" s="2511"/>
      <c r="PWJ30" s="2511"/>
      <c r="PWK30" s="2511"/>
      <c r="PWL30" s="2511"/>
      <c r="PWM30" s="2511"/>
      <c r="PWN30" s="2511"/>
      <c r="PWO30" s="2511"/>
      <c r="PWP30" s="2511"/>
      <c r="PWQ30" s="2511"/>
      <c r="PWR30" s="2511"/>
      <c r="PWS30" s="2511"/>
      <c r="PWT30" s="2511"/>
      <c r="PWU30" s="2511"/>
      <c r="PWV30" s="2511"/>
      <c r="PWW30" s="2511"/>
      <c r="PWX30" s="2511"/>
      <c r="PWY30" s="2511"/>
      <c r="PWZ30" s="2511"/>
      <c r="PXA30" s="2511"/>
      <c r="PXB30" s="2511"/>
      <c r="PXC30" s="2511"/>
      <c r="PXD30" s="2511"/>
      <c r="PXE30" s="2511"/>
      <c r="PXF30" s="2511"/>
      <c r="PXG30" s="2511"/>
      <c r="PXH30" s="2511"/>
      <c r="PXI30" s="2511"/>
      <c r="PXJ30" s="2511"/>
      <c r="PXK30" s="2511"/>
      <c r="PXL30" s="2511"/>
      <c r="PXM30" s="2511"/>
      <c r="PXN30" s="2511"/>
      <c r="PXO30" s="2511"/>
      <c r="PXP30" s="2511"/>
      <c r="PXQ30" s="2511"/>
      <c r="PXR30" s="2511"/>
      <c r="PXS30" s="2511"/>
      <c r="PXT30" s="2511"/>
      <c r="PXU30" s="2511"/>
      <c r="PXV30" s="2511"/>
      <c r="PXW30" s="2511"/>
      <c r="PXX30" s="2511"/>
      <c r="PXY30" s="2511"/>
      <c r="PXZ30" s="2511"/>
      <c r="PYA30" s="2511"/>
      <c r="PYB30" s="2511"/>
      <c r="PYC30" s="2511"/>
      <c r="PYD30" s="2511"/>
      <c r="PYE30" s="2511"/>
      <c r="PYF30" s="2511"/>
      <c r="PYG30" s="2511"/>
      <c r="PYH30" s="2511"/>
      <c r="PYI30" s="2511"/>
      <c r="PYJ30" s="2511"/>
      <c r="PYK30" s="2511"/>
      <c r="PYL30" s="2511"/>
      <c r="PYM30" s="2511"/>
      <c r="PYN30" s="2511"/>
      <c r="PYO30" s="2511"/>
      <c r="PYP30" s="2511"/>
      <c r="PYQ30" s="2511"/>
      <c r="PYR30" s="2511"/>
      <c r="PYS30" s="2511"/>
      <c r="PYT30" s="2511"/>
      <c r="PYU30" s="2511"/>
      <c r="PYV30" s="2511"/>
      <c r="PYW30" s="2511"/>
      <c r="PYX30" s="2511"/>
      <c r="PYY30" s="2511"/>
      <c r="PYZ30" s="2511"/>
      <c r="PZA30" s="2511"/>
      <c r="PZB30" s="2511"/>
      <c r="PZC30" s="2511"/>
      <c r="PZD30" s="2511"/>
      <c r="PZE30" s="2511"/>
      <c r="PZF30" s="2511"/>
      <c r="PZG30" s="2511"/>
      <c r="PZH30" s="2511"/>
      <c r="PZI30" s="2511"/>
      <c r="PZJ30" s="2511"/>
      <c r="PZK30" s="2511"/>
      <c r="PZL30" s="2511"/>
      <c r="PZM30" s="2511"/>
      <c r="PZN30" s="2511"/>
      <c r="PZO30" s="2511"/>
      <c r="PZP30" s="2511"/>
      <c r="PZQ30" s="2511"/>
      <c r="PZR30" s="2511"/>
      <c r="PZS30" s="2511"/>
      <c r="PZT30" s="2511"/>
      <c r="PZU30" s="2511"/>
      <c r="PZV30" s="2511"/>
      <c r="PZW30" s="2511"/>
      <c r="PZX30" s="2511"/>
      <c r="PZY30" s="2511"/>
      <c r="PZZ30" s="2511"/>
      <c r="QAA30" s="2511"/>
      <c r="QAB30" s="2511"/>
      <c r="QAC30" s="2511"/>
      <c r="QAD30" s="2511"/>
      <c r="QAE30" s="2511"/>
      <c r="QAF30" s="2511"/>
      <c r="QAG30" s="2511"/>
      <c r="QAH30" s="2511"/>
      <c r="QAI30" s="2511"/>
      <c r="QAJ30" s="2511"/>
      <c r="QAK30" s="2511"/>
      <c r="QAL30" s="2511"/>
      <c r="QAM30" s="2511"/>
      <c r="QAN30" s="2511"/>
      <c r="QAO30" s="2511"/>
      <c r="QAP30" s="2511"/>
      <c r="QAQ30" s="2511"/>
      <c r="QAR30" s="2511"/>
      <c r="QAS30" s="2511"/>
      <c r="QAT30" s="2511"/>
      <c r="QAU30" s="2511"/>
      <c r="QAV30" s="2511"/>
      <c r="QAW30" s="2511"/>
      <c r="QAX30" s="2511"/>
      <c r="QAY30" s="2511"/>
      <c r="QAZ30" s="2511"/>
      <c r="QBA30" s="2511"/>
      <c r="QBB30" s="2511"/>
      <c r="QBC30" s="2511"/>
      <c r="QBD30" s="2511"/>
      <c r="QBE30" s="2511"/>
      <c r="QBF30" s="2511"/>
      <c r="QBG30" s="2511"/>
      <c r="QBH30" s="2511"/>
      <c r="QBI30" s="2511"/>
      <c r="QBJ30" s="2511"/>
      <c r="QBK30" s="2511"/>
      <c r="QBL30" s="2511"/>
      <c r="QBM30" s="2511"/>
      <c r="QBN30" s="2511"/>
      <c r="QBO30" s="2511"/>
      <c r="QBP30" s="2511"/>
      <c r="QBQ30" s="2511"/>
      <c r="QBR30" s="2511"/>
      <c r="QBS30" s="2511"/>
      <c r="QBT30" s="2511"/>
      <c r="QBU30" s="2511"/>
      <c r="QBV30" s="2511"/>
      <c r="QBW30" s="2511"/>
      <c r="QBX30" s="2511"/>
      <c r="QBY30" s="2511"/>
      <c r="QBZ30" s="2511"/>
      <c r="QCA30" s="2511"/>
      <c r="QCB30" s="2511"/>
      <c r="QCC30" s="2511"/>
      <c r="QCD30" s="2511"/>
      <c r="QCE30" s="2511"/>
      <c r="QCF30" s="2511"/>
      <c r="QCG30" s="2511"/>
      <c r="QCH30" s="2511"/>
      <c r="QCI30" s="2511"/>
      <c r="QCJ30" s="2511"/>
      <c r="QCK30" s="2511"/>
      <c r="QCL30" s="2511"/>
      <c r="QCM30" s="2511"/>
      <c r="QCN30" s="2511"/>
      <c r="QCO30" s="2511"/>
      <c r="QCP30" s="2511"/>
      <c r="QCQ30" s="2511"/>
      <c r="QCR30" s="2511"/>
      <c r="QCS30" s="2511"/>
      <c r="QCT30" s="2511"/>
      <c r="QCU30" s="2511"/>
      <c r="QCV30" s="2511"/>
      <c r="QCW30" s="2511"/>
      <c r="QCX30" s="2511"/>
      <c r="QCY30" s="2511"/>
      <c r="QCZ30" s="2511"/>
      <c r="QDA30" s="2511"/>
      <c r="QDB30" s="2511"/>
      <c r="QDC30" s="2511"/>
      <c r="QDD30" s="2511"/>
      <c r="QDE30" s="2511"/>
      <c r="QDF30" s="2511"/>
      <c r="QDG30" s="2511"/>
      <c r="QDH30" s="2511"/>
      <c r="QDI30" s="2511"/>
      <c r="QDJ30" s="2511"/>
      <c r="QDK30" s="2511"/>
      <c r="QDL30" s="2511"/>
      <c r="QDM30" s="2511"/>
      <c r="QDN30" s="2511"/>
      <c r="QDO30" s="2511"/>
      <c r="QDP30" s="2511"/>
      <c r="QDQ30" s="2511"/>
      <c r="QDR30" s="2511"/>
      <c r="QDS30" s="2511"/>
      <c r="QDT30" s="2511"/>
      <c r="QDU30" s="2511"/>
      <c r="QDV30" s="2511"/>
      <c r="QDW30" s="2511"/>
      <c r="QDX30" s="2511"/>
      <c r="QDY30" s="2511"/>
      <c r="QDZ30" s="2511"/>
      <c r="QEA30" s="2511"/>
      <c r="QEB30" s="2511"/>
      <c r="QEC30" s="2511"/>
      <c r="QED30" s="2511"/>
      <c r="QEE30" s="2511"/>
      <c r="QEF30" s="2511"/>
      <c r="QEG30" s="2511"/>
      <c r="QEH30" s="2511"/>
      <c r="QEI30" s="2511"/>
      <c r="QEJ30" s="2511"/>
      <c r="QEK30" s="2511"/>
      <c r="QEL30" s="2511"/>
      <c r="QEM30" s="2511"/>
      <c r="QEN30" s="2511"/>
      <c r="QEO30" s="2511"/>
      <c r="QEP30" s="2511"/>
      <c r="QEQ30" s="2511"/>
      <c r="QER30" s="2511"/>
      <c r="QES30" s="2511"/>
      <c r="QET30" s="2511"/>
      <c r="QEU30" s="2511"/>
      <c r="QEV30" s="2511"/>
      <c r="QEW30" s="2511"/>
      <c r="QEX30" s="2511"/>
      <c r="QEY30" s="2511"/>
      <c r="QEZ30" s="2511"/>
      <c r="QFA30" s="2511"/>
      <c r="QFB30" s="2511"/>
      <c r="QFC30" s="2511"/>
      <c r="QFD30" s="2511"/>
      <c r="QFE30" s="2511"/>
      <c r="QFF30" s="2511"/>
      <c r="QFG30" s="2511"/>
      <c r="QFH30" s="2511"/>
      <c r="QFI30" s="2511"/>
      <c r="QFJ30" s="2511"/>
      <c r="QFK30" s="2511"/>
      <c r="QFL30" s="2511"/>
      <c r="QFM30" s="2511"/>
      <c r="QFN30" s="2511"/>
      <c r="QFO30" s="2511"/>
      <c r="QFP30" s="2511"/>
      <c r="QFQ30" s="2511"/>
      <c r="QFR30" s="2511"/>
      <c r="QFS30" s="2511"/>
      <c r="QFT30" s="2511"/>
      <c r="QFU30" s="2511"/>
      <c r="QFV30" s="2511"/>
      <c r="QFW30" s="2511"/>
      <c r="QFX30" s="2511"/>
      <c r="QFY30" s="2511"/>
      <c r="QFZ30" s="2511"/>
      <c r="QGA30" s="2511"/>
      <c r="QGB30" s="2511"/>
      <c r="QGC30" s="2511"/>
      <c r="QGD30" s="2511"/>
      <c r="QGE30" s="2511"/>
      <c r="QGF30" s="2511"/>
      <c r="QGG30" s="2511"/>
      <c r="QGH30" s="2511"/>
      <c r="QGI30" s="2511"/>
      <c r="QGJ30" s="2511"/>
      <c r="QGK30" s="2511"/>
      <c r="QGL30" s="2511"/>
      <c r="QGM30" s="2511"/>
      <c r="QGN30" s="2511"/>
      <c r="QGO30" s="2511"/>
      <c r="QGP30" s="2511"/>
      <c r="QGQ30" s="2511"/>
      <c r="QGR30" s="2511"/>
      <c r="QGS30" s="2511"/>
      <c r="QGT30" s="2511"/>
      <c r="QGU30" s="2511"/>
      <c r="QGV30" s="2511"/>
      <c r="QGW30" s="2511"/>
      <c r="QGX30" s="2511"/>
      <c r="QGY30" s="2511"/>
      <c r="QGZ30" s="2511"/>
      <c r="QHA30" s="2511"/>
      <c r="QHB30" s="2511"/>
      <c r="QHC30" s="2511"/>
      <c r="QHD30" s="2511"/>
      <c r="QHE30" s="2511"/>
      <c r="QHF30" s="2511"/>
      <c r="QHG30" s="2511"/>
      <c r="QHH30" s="2511"/>
      <c r="QHI30" s="2511"/>
      <c r="QHJ30" s="2511"/>
      <c r="QHK30" s="2511"/>
      <c r="QHL30" s="2511"/>
      <c r="QHM30" s="2511"/>
      <c r="QHN30" s="2511"/>
      <c r="QHO30" s="2511"/>
      <c r="QHP30" s="2511"/>
      <c r="QHQ30" s="2511"/>
      <c r="QHR30" s="2511"/>
      <c r="QHS30" s="2511"/>
      <c r="QHT30" s="2511"/>
      <c r="QHU30" s="2511"/>
      <c r="QHV30" s="2511"/>
      <c r="QHW30" s="2511"/>
      <c r="QHX30" s="2511"/>
      <c r="QHY30" s="2511"/>
      <c r="QHZ30" s="2511"/>
      <c r="QIA30" s="2511"/>
      <c r="QIB30" s="2511"/>
      <c r="QIC30" s="2511"/>
      <c r="QID30" s="2511"/>
      <c r="QIE30" s="2511"/>
      <c r="QIF30" s="2511"/>
      <c r="QIG30" s="2511"/>
      <c r="QIH30" s="2511"/>
      <c r="QII30" s="2511"/>
      <c r="QIJ30" s="2511"/>
      <c r="QIK30" s="2511"/>
      <c r="QIL30" s="2511"/>
      <c r="QIM30" s="2511"/>
      <c r="QIN30" s="2511"/>
      <c r="QIO30" s="2511"/>
      <c r="QIP30" s="2511"/>
      <c r="QIQ30" s="2511"/>
      <c r="QIR30" s="2511"/>
      <c r="QIS30" s="2511"/>
      <c r="QIT30" s="2511"/>
      <c r="QIU30" s="2511"/>
      <c r="QIV30" s="2511"/>
      <c r="QIW30" s="2511"/>
      <c r="QIX30" s="2511"/>
      <c r="QIY30" s="2511"/>
      <c r="QIZ30" s="2511"/>
      <c r="QJA30" s="2511"/>
      <c r="QJB30" s="2511"/>
      <c r="QJC30" s="2511"/>
      <c r="QJD30" s="2511"/>
      <c r="QJE30" s="2511"/>
      <c r="QJF30" s="2511"/>
      <c r="QJG30" s="2511"/>
      <c r="QJH30" s="2511"/>
      <c r="QJI30" s="2511"/>
      <c r="QJJ30" s="2511"/>
      <c r="QJK30" s="2511"/>
      <c r="QJL30" s="2511"/>
      <c r="QJM30" s="2511"/>
      <c r="QJN30" s="2511"/>
      <c r="QJO30" s="2511"/>
      <c r="QJP30" s="2511"/>
      <c r="QJQ30" s="2511"/>
      <c r="QJR30" s="2511"/>
      <c r="QJS30" s="2511"/>
      <c r="QJT30" s="2511"/>
      <c r="QJU30" s="2511"/>
      <c r="QJV30" s="2511"/>
      <c r="QJW30" s="2511"/>
      <c r="QJX30" s="2511"/>
      <c r="QJY30" s="2511"/>
      <c r="QJZ30" s="2511"/>
      <c r="QKA30" s="2511"/>
      <c r="QKB30" s="2511"/>
      <c r="QKC30" s="2511"/>
      <c r="QKD30" s="2511"/>
      <c r="QKE30" s="2511"/>
      <c r="QKF30" s="2511"/>
      <c r="QKG30" s="2511"/>
      <c r="QKH30" s="2511"/>
      <c r="QKI30" s="2511"/>
      <c r="QKJ30" s="2511"/>
      <c r="QKK30" s="2511"/>
      <c r="QKL30" s="2511"/>
      <c r="QKM30" s="2511"/>
      <c r="QKN30" s="2511"/>
      <c r="QKO30" s="2511"/>
      <c r="QKP30" s="2511"/>
      <c r="QKQ30" s="2511"/>
      <c r="QKR30" s="2511"/>
      <c r="QKS30" s="2511"/>
      <c r="QKT30" s="2511"/>
      <c r="QKU30" s="2511"/>
      <c r="QKV30" s="2511"/>
      <c r="QKW30" s="2511"/>
      <c r="QKX30" s="2511"/>
      <c r="QKY30" s="2511"/>
      <c r="QKZ30" s="2511"/>
      <c r="QLA30" s="2511"/>
      <c r="QLB30" s="2511"/>
      <c r="QLC30" s="2511"/>
      <c r="QLD30" s="2511"/>
      <c r="QLE30" s="2511"/>
      <c r="QLF30" s="2511"/>
      <c r="QLG30" s="2511"/>
      <c r="QLH30" s="2511"/>
      <c r="QLI30" s="2511"/>
      <c r="QLJ30" s="2511"/>
      <c r="QLK30" s="2511"/>
      <c r="QLL30" s="2511"/>
      <c r="QLM30" s="2511"/>
      <c r="QLN30" s="2511"/>
      <c r="QLO30" s="2511"/>
      <c r="QLP30" s="2511"/>
      <c r="QLQ30" s="2511"/>
      <c r="QLR30" s="2511"/>
      <c r="QLS30" s="2511"/>
      <c r="QLT30" s="2511"/>
      <c r="QLU30" s="2511"/>
      <c r="QLV30" s="2511"/>
      <c r="QLW30" s="2511"/>
      <c r="QLX30" s="2511"/>
      <c r="QLY30" s="2511"/>
      <c r="QLZ30" s="2511"/>
      <c r="QMA30" s="2511"/>
      <c r="QMB30" s="2511"/>
      <c r="QMC30" s="2511"/>
      <c r="QMD30" s="2511"/>
      <c r="QME30" s="2511"/>
      <c r="QMF30" s="2511"/>
      <c r="QMG30" s="2511"/>
      <c r="QMH30" s="2511"/>
      <c r="QMI30" s="2511"/>
      <c r="QMJ30" s="2511"/>
      <c r="QMK30" s="2511"/>
      <c r="QML30" s="2511"/>
      <c r="QMM30" s="2511"/>
      <c r="QMN30" s="2511"/>
      <c r="QMO30" s="2511"/>
      <c r="QMP30" s="2511"/>
      <c r="QMQ30" s="2511"/>
      <c r="QMR30" s="2511"/>
      <c r="QMS30" s="2511"/>
      <c r="QMT30" s="2511"/>
      <c r="QMU30" s="2511"/>
      <c r="QMV30" s="2511"/>
      <c r="QMW30" s="2511"/>
      <c r="QMX30" s="2511"/>
      <c r="QMY30" s="2511"/>
      <c r="QMZ30" s="2511"/>
      <c r="QNA30" s="2511"/>
      <c r="QNB30" s="2511"/>
      <c r="QNC30" s="2511"/>
      <c r="QND30" s="2511"/>
      <c r="QNE30" s="2511"/>
      <c r="QNF30" s="2511"/>
      <c r="QNG30" s="2511"/>
      <c r="QNH30" s="2511"/>
      <c r="QNI30" s="2511"/>
      <c r="QNJ30" s="2511"/>
      <c r="QNK30" s="2511"/>
      <c r="QNL30" s="2511"/>
      <c r="QNM30" s="2511"/>
      <c r="QNN30" s="2511"/>
      <c r="QNO30" s="2511"/>
      <c r="QNP30" s="2511"/>
      <c r="QNQ30" s="2511"/>
      <c r="QNR30" s="2511"/>
      <c r="QNS30" s="2511"/>
      <c r="QNT30" s="2511"/>
      <c r="QNU30" s="2511"/>
      <c r="QNV30" s="2511"/>
      <c r="QNW30" s="2511"/>
      <c r="QNX30" s="2511"/>
      <c r="QNY30" s="2511"/>
      <c r="QNZ30" s="2511"/>
      <c r="QOA30" s="2511"/>
      <c r="QOB30" s="2511"/>
      <c r="QOC30" s="2511"/>
      <c r="QOD30" s="2511"/>
      <c r="QOE30" s="2511"/>
      <c r="QOF30" s="2511"/>
      <c r="QOG30" s="2511"/>
      <c r="QOH30" s="2511"/>
      <c r="QOI30" s="2511"/>
      <c r="QOJ30" s="2511"/>
      <c r="QOK30" s="2511"/>
      <c r="QOL30" s="2511"/>
      <c r="QOM30" s="2511"/>
      <c r="QON30" s="2511"/>
      <c r="QOO30" s="2511"/>
      <c r="QOP30" s="2511"/>
      <c r="QOQ30" s="2511"/>
      <c r="QOR30" s="2511"/>
      <c r="QOS30" s="2511"/>
      <c r="QOT30" s="2511"/>
      <c r="QOU30" s="2511"/>
      <c r="QOV30" s="2511"/>
      <c r="QOW30" s="2511"/>
      <c r="QOX30" s="2511"/>
      <c r="QOY30" s="2511"/>
      <c r="QOZ30" s="2511"/>
      <c r="QPA30" s="2511"/>
      <c r="QPB30" s="2511"/>
      <c r="QPC30" s="2511"/>
      <c r="QPD30" s="2511"/>
      <c r="QPE30" s="2511"/>
      <c r="QPF30" s="2511"/>
      <c r="QPG30" s="2511"/>
      <c r="QPH30" s="2511"/>
      <c r="QPI30" s="2511"/>
      <c r="QPJ30" s="2511"/>
      <c r="QPK30" s="2511"/>
      <c r="QPL30" s="2511"/>
      <c r="QPM30" s="2511"/>
      <c r="QPN30" s="2511"/>
      <c r="QPO30" s="2511"/>
      <c r="QPP30" s="2511"/>
      <c r="QPQ30" s="2511"/>
      <c r="QPR30" s="2511"/>
      <c r="QPS30" s="2511"/>
      <c r="QPT30" s="2511"/>
      <c r="QPU30" s="2511"/>
      <c r="QPV30" s="2511"/>
      <c r="QPW30" s="2511"/>
      <c r="QPX30" s="2511"/>
      <c r="QPY30" s="2511"/>
      <c r="QPZ30" s="2511"/>
      <c r="QQA30" s="2511"/>
      <c r="QQB30" s="2511"/>
      <c r="QQC30" s="2511"/>
      <c r="QQD30" s="2511"/>
      <c r="QQE30" s="2511"/>
      <c r="QQF30" s="2511"/>
      <c r="QQG30" s="2511"/>
      <c r="QQH30" s="2511"/>
      <c r="QQI30" s="2511"/>
      <c r="QQJ30" s="2511"/>
      <c r="QQK30" s="2511"/>
      <c r="QQL30" s="2511"/>
      <c r="QQM30" s="2511"/>
      <c r="QQN30" s="2511"/>
      <c r="QQO30" s="2511"/>
      <c r="QQP30" s="2511"/>
      <c r="QQQ30" s="2511"/>
      <c r="QQR30" s="2511"/>
      <c r="QQS30" s="2511"/>
      <c r="QQT30" s="2511"/>
      <c r="QQU30" s="2511"/>
      <c r="QQV30" s="2511"/>
      <c r="QQW30" s="2511"/>
      <c r="QQX30" s="2511"/>
      <c r="QQY30" s="2511"/>
      <c r="QQZ30" s="2511"/>
      <c r="QRA30" s="2511"/>
      <c r="QRB30" s="2511"/>
      <c r="QRC30" s="2511"/>
      <c r="QRD30" s="2511"/>
      <c r="QRE30" s="2511"/>
      <c r="QRF30" s="2511"/>
      <c r="QRG30" s="2511"/>
      <c r="QRH30" s="2511"/>
      <c r="QRI30" s="2511"/>
      <c r="QRJ30" s="2511"/>
      <c r="QRK30" s="2511"/>
      <c r="QRL30" s="2511"/>
      <c r="QRM30" s="2511"/>
      <c r="QRN30" s="2511"/>
      <c r="QRO30" s="2511"/>
      <c r="QRP30" s="2511"/>
      <c r="QRQ30" s="2511"/>
      <c r="QRR30" s="2511"/>
      <c r="QRS30" s="2511"/>
      <c r="QRT30" s="2511"/>
      <c r="QRU30" s="2511"/>
      <c r="QRV30" s="2511"/>
      <c r="QRW30" s="2511"/>
      <c r="QRX30" s="2511"/>
      <c r="QRY30" s="2511"/>
      <c r="QRZ30" s="2511"/>
      <c r="QSA30" s="2511"/>
      <c r="QSB30" s="2511"/>
      <c r="QSC30" s="2511"/>
      <c r="QSD30" s="2511"/>
      <c r="QSE30" s="2511"/>
      <c r="QSF30" s="2511"/>
      <c r="QSG30" s="2511"/>
      <c r="QSH30" s="2511"/>
      <c r="QSI30" s="2511"/>
      <c r="QSJ30" s="2511"/>
      <c r="QSK30" s="2511"/>
      <c r="QSL30" s="2511"/>
      <c r="QSM30" s="2511"/>
      <c r="QSN30" s="2511"/>
      <c r="QSO30" s="2511"/>
      <c r="QSP30" s="2511"/>
      <c r="QSQ30" s="2511"/>
      <c r="QSR30" s="2511"/>
      <c r="QSS30" s="2511"/>
      <c r="QST30" s="2511"/>
      <c r="QSU30" s="2511"/>
      <c r="QSV30" s="2511"/>
      <c r="QSW30" s="2511"/>
      <c r="QSX30" s="2511"/>
      <c r="QSY30" s="2511"/>
      <c r="QSZ30" s="2511"/>
      <c r="QTA30" s="2511"/>
      <c r="QTB30" s="2511"/>
      <c r="QTC30" s="2511"/>
      <c r="QTD30" s="2511"/>
      <c r="QTE30" s="2511"/>
      <c r="QTF30" s="2511"/>
      <c r="QTG30" s="2511"/>
      <c r="QTH30" s="2511"/>
      <c r="QTI30" s="2511"/>
      <c r="QTJ30" s="2511"/>
      <c r="QTK30" s="2511"/>
      <c r="QTL30" s="2511"/>
      <c r="QTM30" s="2511"/>
      <c r="QTN30" s="2511"/>
      <c r="QTO30" s="2511"/>
      <c r="QTP30" s="2511"/>
      <c r="QTQ30" s="2511"/>
      <c r="QTR30" s="2511"/>
      <c r="QTS30" s="2511"/>
      <c r="QTT30" s="2511"/>
      <c r="QTU30" s="2511"/>
      <c r="QTV30" s="2511"/>
      <c r="QTW30" s="2511"/>
      <c r="QTX30" s="2511"/>
      <c r="QTY30" s="2511"/>
      <c r="QTZ30" s="2511"/>
      <c r="QUA30" s="2511"/>
      <c r="QUB30" s="2511"/>
      <c r="QUC30" s="2511"/>
      <c r="QUD30" s="2511"/>
      <c r="QUE30" s="2511"/>
      <c r="QUF30" s="2511"/>
      <c r="QUG30" s="2511"/>
      <c r="QUH30" s="2511"/>
      <c r="QUI30" s="2511"/>
      <c r="QUJ30" s="2511"/>
      <c r="QUK30" s="2511"/>
      <c r="QUL30" s="2511"/>
      <c r="QUM30" s="2511"/>
      <c r="QUN30" s="2511"/>
      <c r="QUO30" s="2511"/>
      <c r="QUP30" s="2511"/>
      <c r="QUQ30" s="2511"/>
      <c r="QUR30" s="2511"/>
      <c r="QUS30" s="2511"/>
      <c r="QUT30" s="2511"/>
      <c r="QUU30" s="2511"/>
      <c r="QUV30" s="2511"/>
      <c r="QUW30" s="2511"/>
      <c r="QUX30" s="2511"/>
      <c r="QUY30" s="2511"/>
      <c r="QUZ30" s="2511"/>
      <c r="QVA30" s="2511"/>
      <c r="QVB30" s="2511"/>
      <c r="QVC30" s="2511"/>
      <c r="QVD30" s="2511"/>
      <c r="QVE30" s="2511"/>
      <c r="QVF30" s="2511"/>
      <c r="QVG30" s="2511"/>
      <c r="QVH30" s="2511"/>
      <c r="QVI30" s="2511"/>
      <c r="QVJ30" s="2511"/>
      <c r="QVK30" s="2511"/>
      <c r="QVL30" s="2511"/>
      <c r="QVM30" s="2511"/>
      <c r="QVN30" s="2511"/>
      <c r="QVO30" s="2511"/>
      <c r="QVP30" s="2511"/>
      <c r="QVQ30" s="2511"/>
      <c r="QVR30" s="2511"/>
      <c r="QVS30" s="2511"/>
      <c r="QVT30" s="2511"/>
      <c r="QVU30" s="2511"/>
      <c r="QVV30" s="2511"/>
      <c r="QVW30" s="2511"/>
      <c r="QVX30" s="2511"/>
      <c r="QVY30" s="2511"/>
      <c r="QVZ30" s="2511"/>
      <c r="QWA30" s="2511"/>
      <c r="QWB30" s="2511"/>
      <c r="QWC30" s="2511"/>
      <c r="QWD30" s="2511"/>
      <c r="QWE30" s="2511"/>
      <c r="QWF30" s="2511"/>
      <c r="QWG30" s="2511"/>
      <c r="QWH30" s="2511"/>
      <c r="QWI30" s="2511"/>
      <c r="QWJ30" s="2511"/>
      <c r="QWK30" s="2511"/>
      <c r="QWL30" s="2511"/>
      <c r="QWM30" s="2511"/>
      <c r="QWN30" s="2511"/>
      <c r="QWO30" s="2511"/>
      <c r="QWP30" s="2511"/>
      <c r="QWQ30" s="2511"/>
      <c r="QWR30" s="2511"/>
      <c r="QWS30" s="2511"/>
      <c r="QWT30" s="2511"/>
      <c r="QWU30" s="2511"/>
      <c r="QWV30" s="2511"/>
      <c r="QWW30" s="2511"/>
      <c r="QWX30" s="2511"/>
      <c r="QWY30" s="2511"/>
      <c r="QWZ30" s="2511"/>
      <c r="QXA30" s="2511"/>
      <c r="QXB30" s="2511"/>
      <c r="QXC30" s="2511"/>
      <c r="QXD30" s="2511"/>
      <c r="QXE30" s="2511"/>
      <c r="QXF30" s="2511"/>
      <c r="QXG30" s="2511"/>
      <c r="QXH30" s="2511"/>
      <c r="QXI30" s="2511"/>
      <c r="QXJ30" s="2511"/>
      <c r="QXK30" s="2511"/>
      <c r="QXL30" s="2511"/>
      <c r="QXM30" s="2511"/>
      <c r="QXN30" s="2511"/>
      <c r="QXO30" s="2511"/>
      <c r="QXP30" s="2511"/>
      <c r="QXQ30" s="2511"/>
      <c r="QXR30" s="2511"/>
      <c r="QXS30" s="2511"/>
      <c r="QXT30" s="2511"/>
      <c r="QXU30" s="2511"/>
      <c r="QXV30" s="2511"/>
      <c r="QXW30" s="2511"/>
      <c r="QXX30" s="2511"/>
      <c r="QXY30" s="2511"/>
      <c r="QXZ30" s="2511"/>
      <c r="QYA30" s="2511"/>
      <c r="QYB30" s="2511"/>
      <c r="QYC30" s="2511"/>
      <c r="QYD30" s="2511"/>
      <c r="QYE30" s="2511"/>
      <c r="QYF30" s="2511"/>
      <c r="QYG30" s="2511"/>
      <c r="QYH30" s="2511"/>
      <c r="QYI30" s="2511"/>
      <c r="QYJ30" s="2511"/>
      <c r="QYK30" s="2511"/>
      <c r="QYL30" s="2511"/>
      <c r="QYM30" s="2511"/>
      <c r="QYN30" s="2511"/>
      <c r="QYO30" s="2511"/>
      <c r="QYP30" s="2511"/>
      <c r="QYQ30" s="2511"/>
      <c r="QYR30" s="2511"/>
      <c r="QYS30" s="2511"/>
      <c r="QYT30" s="2511"/>
      <c r="QYU30" s="2511"/>
      <c r="QYV30" s="2511"/>
      <c r="QYW30" s="2511"/>
      <c r="QYX30" s="2511"/>
      <c r="QYY30" s="2511"/>
      <c r="QYZ30" s="2511"/>
      <c r="QZA30" s="2511"/>
      <c r="QZB30" s="2511"/>
      <c r="QZC30" s="2511"/>
      <c r="QZD30" s="2511"/>
      <c r="QZE30" s="2511"/>
      <c r="QZF30" s="2511"/>
      <c r="QZG30" s="2511"/>
      <c r="QZH30" s="2511"/>
      <c r="QZI30" s="2511"/>
      <c r="QZJ30" s="2511"/>
      <c r="QZK30" s="2511"/>
      <c r="QZL30" s="2511"/>
      <c r="QZM30" s="2511"/>
      <c r="QZN30" s="2511"/>
      <c r="QZO30" s="2511"/>
      <c r="QZP30" s="2511"/>
      <c r="QZQ30" s="2511"/>
      <c r="QZR30" s="2511"/>
      <c r="QZS30" s="2511"/>
      <c r="QZT30" s="2511"/>
      <c r="QZU30" s="2511"/>
      <c r="QZV30" s="2511"/>
      <c r="QZW30" s="2511"/>
      <c r="QZX30" s="2511"/>
      <c r="QZY30" s="2511"/>
      <c r="QZZ30" s="2511"/>
      <c r="RAA30" s="2511"/>
      <c r="RAB30" s="2511"/>
      <c r="RAC30" s="2511"/>
      <c r="RAD30" s="2511"/>
      <c r="RAE30" s="2511"/>
      <c r="RAF30" s="2511"/>
      <c r="RAG30" s="2511"/>
      <c r="RAH30" s="2511"/>
      <c r="RAI30" s="2511"/>
      <c r="RAJ30" s="2511"/>
      <c r="RAK30" s="2511"/>
      <c r="RAL30" s="2511"/>
      <c r="RAM30" s="2511"/>
      <c r="RAN30" s="2511"/>
      <c r="RAO30" s="2511"/>
      <c r="RAP30" s="2511"/>
      <c r="RAQ30" s="2511"/>
      <c r="RAR30" s="2511"/>
      <c r="RAS30" s="2511"/>
      <c r="RAT30" s="2511"/>
      <c r="RAU30" s="2511"/>
      <c r="RAV30" s="2511"/>
      <c r="RAW30" s="2511"/>
      <c r="RAX30" s="2511"/>
      <c r="RAY30" s="2511"/>
      <c r="RAZ30" s="2511"/>
      <c r="RBA30" s="2511"/>
      <c r="RBB30" s="2511"/>
      <c r="RBC30" s="2511"/>
      <c r="RBD30" s="2511"/>
      <c r="RBE30" s="2511"/>
      <c r="RBF30" s="2511"/>
      <c r="RBG30" s="2511"/>
      <c r="RBH30" s="2511"/>
      <c r="RBI30" s="2511"/>
      <c r="RBJ30" s="2511"/>
      <c r="RBK30" s="2511"/>
      <c r="RBL30" s="2511"/>
      <c r="RBM30" s="2511"/>
      <c r="RBN30" s="2511"/>
      <c r="RBO30" s="2511"/>
      <c r="RBP30" s="2511"/>
      <c r="RBQ30" s="2511"/>
      <c r="RBR30" s="2511"/>
      <c r="RBS30" s="2511"/>
      <c r="RBT30" s="2511"/>
      <c r="RBU30" s="2511"/>
      <c r="RBV30" s="2511"/>
      <c r="RBW30" s="2511"/>
      <c r="RBX30" s="2511"/>
      <c r="RBY30" s="2511"/>
      <c r="RBZ30" s="2511"/>
      <c r="RCA30" s="2511"/>
      <c r="RCB30" s="2511"/>
      <c r="RCC30" s="2511"/>
      <c r="RCD30" s="2511"/>
      <c r="RCE30" s="2511"/>
      <c r="RCF30" s="2511"/>
      <c r="RCG30" s="2511"/>
      <c r="RCH30" s="2511"/>
      <c r="RCI30" s="2511"/>
      <c r="RCJ30" s="2511"/>
      <c r="RCK30" s="2511"/>
      <c r="RCL30" s="2511"/>
      <c r="RCM30" s="2511"/>
      <c r="RCN30" s="2511"/>
      <c r="RCO30" s="2511"/>
      <c r="RCP30" s="2511"/>
      <c r="RCQ30" s="2511"/>
      <c r="RCR30" s="2511"/>
      <c r="RCS30" s="2511"/>
      <c r="RCT30" s="2511"/>
      <c r="RCU30" s="2511"/>
      <c r="RCV30" s="2511"/>
      <c r="RCW30" s="2511"/>
      <c r="RCX30" s="2511"/>
      <c r="RCY30" s="2511"/>
      <c r="RCZ30" s="2511"/>
      <c r="RDA30" s="2511"/>
      <c r="RDB30" s="2511"/>
      <c r="RDC30" s="2511"/>
      <c r="RDD30" s="2511"/>
      <c r="RDE30" s="2511"/>
      <c r="RDF30" s="2511"/>
      <c r="RDG30" s="2511"/>
      <c r="RDH30" s="2511"/>
      <c r="RDI30" s="2511"/>
      <c r="RDJ30" s="2511"/>
      <c r="RDK30" s="2511"/>
      <c r="RDL30" s="2511"/>
      <c r="RDM30" s="2511"/>
      <c r="RDN30" s="2511"/>
      <c r="RDO30" s="2511"/>
      <c r="RDP30" s="2511"/>
      <c r="RDQ30" s="2511"/>
      <c r="RDR30" s="2511"/>
      <c r="RDS30" s="2511"/>
      <c r="RDT30" s="2511"/>
      <c r="RDU30" s="2511"/>
      <c r="RDV30" s="2511"/>
      <c r="RDW30" s="2511"/>
      <c r="RDX30" s="2511"/>
      <c r="RDY30" s="2511"/>
      <c r="RDZ30" s="2511"/>
      <c r="REA30" s="2511"/>
      <c r="REB30" s="2511"/>
      <c r="REC30" s="2511"/>
      <c r="RED30" s="2511"/>
      <c r="REE30" s="2511"/>
      <c r="REF30" s="2511"/>
      <c r="REG30" s="2511"/>
      <c r="REH30" s="2511"/>
      <c r="REI30" s="2511"/>
      <c r="REJ30" s="2511"/>
      <c r="REK30" s="2511"/>
      <c r="REL30" s="2511"/>
      <c r="REM30" s="2511"/>
      <c r="REN30" s="2511"/>
      <c r="REO30" s="2511"/>
      <c r="REP30" s="2511"/>
      <c r="REQ30" s="2511"/>
      <c r="RER30" s="2511"/>
      <c r="RES30" s="2511"/>
      <c r="RET30" s="2511"/>
      <c r="REU30" s="2511"/>
      <c r="REV30" s="2511"/>
      <c r="REW30" s="2511"/>
      <c r="REX30" s="2511"/>
      <c r="REY30" s="2511"/>
      <c r="REZ30" s="2511"/>
      <c r="RFA30" s="2511"/>
      <c r="RFB30" s="2511"/>
      <c r="RFC30" s="2511"/>
      <c r="RFD30" s="2511"/>
      <c r="RFE30" s="2511"/>
      <c r="RFF30" s="2511"/>
      <c r="RFG30" s="2511"/>
      <c r="RFH30" s="2511"/>
      <c r="RFI30" s="2511"/>
      <c r="RFJ30" s="2511"/>
      <c r="RFK30" s="2511"/>
      <c r="RFL30" s="2511"/>
      <c r="RFM30" s="2511"/>
      <c r="RFN30" s="2511"/>
      <c r="RFO30" s="2511"/>
      <c r="RFP30" s="2511"/>
      <c r="RFQ30" s="2511"/>
      <c r="RFR30" s="2511"/>
      <c r="RFS30" s="2511"/>
      <c r="RFT30" s="2511"/>
      <c r="RFU30" s="2511"/>
      <c r="RFV30" s="2511"/>
      <c r="RFW30" s="2511"/>
      <c r="RFX30" s="2511"/>
      <c r="RFY30" s="2511"/>
      <c r="RFZ30" s="2511"/>
      <c r="RGA30" s="2511"/>
      <c r="RGB30" s="2511"/>
      <c r="RGC30" s="2511"/>
      <c r="RGD30" s="2511"/>
      <c r="RGE30" s="2511"/>
      <c r="RGF30" s="2511"/>
      <c r="RGG30" s="2511"/>
      <c r="RGH30" s="2511"/>
      <c r="RGI30" s="2511"/>
      <c r="RGJ30" s="2511"/>
      <c r="RGK30" s="2511"/>
      <c r="RGL30" s="2511"/>
      <c r="RGM30" s="2511"/>
      <c r="RGN30" s="2511"/>
      <c r="RGO30" s="2511"/>
      <c r="RGP30" s="2511"/>
      <c r="RGQ30" s="2511"/>
      <c r="RGR30" s="2511"/>
      <c r="RGS30" s="2511"/>
      <c r="RGT30" s="2511"/>
      <c r="RGU30" s="2511"/>
      <c r="RGV30" s="2511"/>
      <c r="RGW30" s="2511"/>
      <c r="RGX30" s="2511"/>
      <c r="RGY30" s="2511"/>
      <c r="RGZ30" s="2511"/>
      <c r="RHA30" s="2511"/>
      <c r="RHB30" s="2511"/>
      <c r="RHC30" s="2511"/>
      <c r="RHD30" s="2511"/>
      <c r="RHE30" s="2511"/>
      <c r="RHF30" s="2511"/>
      <c r="RHG30" s="2511"/>
      <c r="RHH30" s="2511"/>
      <c r="RHI30" s="2511"/>
      <c r="RHJ30" s="2511"/>
      <c r="RHK30" s="2511"/>
      <c r="RHL30" s="2511"/>
      <c r="RHM30" s="2511"/>
      <c r="RHN30" s="2511"/>
      <c r="RHO30" s="2511"/>
      <c r="RHP30" s="2511"/>
      <c r="RHQ30" s="2511"/>
      <c r="RHR30" s="2511"/>
      <c r="RHS30" s="2511"/>
      <c r="RHT30" s="2511"/>
      <c r="RHU30" s="2511"/>
      <c r="RHV30" s="2511"/>
      <c r="RHW30" s="2511"/>
      <c r="RHX30" s="2511"/>
      <c r="RHY30" s="2511"/>
      <c r="RHZ30" s="2511"/>
      <c r="RIA30" s="2511"/>
      <c r="RIB30" s="2511"/>
      <c r="RIC30" s="2511"/>
      <c r="RID30" s="2511"/>
      <c r="RIE30" s="2511"/>
      <c r="RIF30" s="2511"/>
      <c r="RIG30" s="2511"/>
      <c r="RIH30" s="2511"/>
      <c r="RII30" s="2511"/>
      <c r="RIJ30" s="2511"/>
      <c r="RIK30" s="2511"/>
      <c r="RIL30" s="2511"/>
      <c r="RIM30" s="2511"/>
      <c r="RIN30" s="2511"/>
      <c r="RIO30" s="2511"/>
      <c r="RIP30" s="2511"/>
      <c r="RIQ30" s="2511"/>
      <c r="RIR30" s="2511"/>
      <c r="RIS30" s="2511"/>
      <c r="RIT30" s="2511"/>
      <c r="RIU30" s="2511"/>
      <c r="RIV30" s="2511"/>
      <c r="RIW30" s="2511"/>
      <c r="RIX30" s="2511"/>
      <c r="RIY30" s="2511"/>
      <c r="RIZ30" s="2511"/>
      <c r="RJA30" s="2511"/>
      <c r="RJB30" s="2511"/>
      <c r="RJC30" s="2511"/>
      <c r="RJD30" s="2511"/>
      <c r="RJE30" s="2511"/>
      <c r="RJF30" s="2511"/>
      <c r="RJG30" s="2511"/>
      <c r="RJH30" s="2511"/>
      <c r="RJI30" s="2511"/>
      <c r="RJJ30" s="2511"/>
      <c r="RJK30" s="2511"/>
      <c r="RJL30" s="2511"/>
      <c r="RJM30" s="2511"/>
      <c r="RJN30" s="2511"/>
      <c r="RJO30" s="2511"/>
      <c r="RJP30" s="2511"/>
      <c r="RJQ30" s="2511"/>
      <c r="RJR30" s="2511"/>
      <c r="RJS30" s="2511"/>
      <c r="RJT30" s="2511"/>
      <c r="RJU30" s="2511"/>
      <c r="RJV30" s="2511"/>
      <c r="RJW30" s="2511"/>
      <c r="RJX30" s="2511"/>
      <c r="RJY30" s="2511"/>
      <c r="RJZ30" s="2511"/>
      <c r="RKA30" s="2511"/>
      <c r="RKB30" s="2511"/>
      <c r="RKC30" s="2511"/>
      <c r="RKD30" s="2511"/>
      <c r="RKE30" s="2511"/>
      <c r="RKF30" s="2511"/>
      <c r="RKG30" s="2511"/>
      <c r="RKH30" s="2511"/>
      <c r="RKI30" s="2511"/>
      <c r="RKJ30" s="2511"/>
      <c r="RKK30" s="2511"/>
      <c r="RKL30" s="2511"/>
      <c r="RKM30" s="2511"/>
      <c r="RKN30" s="2511"/>
      <c r="RKO30" s="2511"/>
      <c r="RKP30" s="2511"/>
      <c r="RKQ30" s="2511"/>
      <c r="RKR30" s="2511"/>
      <c r="RKS30" s="2511"/>
      <c r="RKT30" s="2511"/>
      <c r="RKU30" s="2511"/>
      <c r="RKV30" s="2511"/>
      <c r="RKW30" s="2511"/>
      <c r="RKX30" s="2511"/>
      <c r="RKY30" s="2511"/>
      <c r="RKZ30" s="2511"/>
      <c r="RLA30" s="2511"/>
      <c r="RLB30" s="2511"/>
      <c r="RLC30" s="2511"/>
      <c r="RLD30" s="2511"/>
      <c r="RLE30" s="2511"/>
      <c r="RLF30" s="2511"/>
      <c r="RLG30" s="2511"/>
      <c r="RLH30" s="2511"/>
      <c r="RLI30" s="2511"/>
      <c r="RLJ30" s="2511"/>
      <c r="RLK30" s="2511"/>
      <c r="RLL30" s="2511"/>
      <c r="RLM30" s="2511"/>
      <c r="RLN30" s="2511"/>
      <c r="RLO30" s="2511"/>
      <c r="RLP30" s="2511"/>
      <c r="RLQ30" s="2511"/>
      <c r="RLR30" s="2511"/>
      <c r="RLS30" s="2511"/>
      <c r="RLT30" s="2511"/>
      <c r="RLU30" s="2511"/>
      <c r="RLV30" s="2511"/>
      <c r="RLW30" s="2511"/>
      <c r="RLX30" s="2511"/>
      <c r="RLY30" s="2511"/>
      <c r="RLZ30" s="2511"/>
      <c r="RMA30" s="2511"/>
      <c r="RMB30" s="2511"/>
      <c r="RMC30" s="2511"/>
      <c r="RMD30" s="2511"/>
      <c r="RME30" s="2511"/>
      <c r="RMF30" s="2511"/>
      <c r="RMG30" s="2511"/>
      <c r="RMH30" s="2511"/>
      <c r="RMI30" s="2511"/>
      <c r="RMJ30" s="2511"/>
      <c r="RMK30" s="2511"/>
      <c r="RML30" s="2511"/>
      <c r="RMM30" s="2511"/>
      <c r="RMN30" s="2511"/>
      <c r="RMO30" s="2511"/>
      <c r="RMP30" s="2511"/>
      <c r="RMQ30" s="2511"/>
      <c r="RMR30" s="2511"/>
      <c r="RMS30" s="2511"/>
      <c r="RMT30" s="2511"/>
      <c r="RMU30" s="2511"/>
      <c r="RMV30" s="2511"/>
      <c r="RMW30" s="2511"/>
      <c r="RMX30" s="2511"/>
      <c r="RMY30" s="2511"/>
      <c r="RMZ30" s="2511"/>
      <c r="RNA30" s="2511"/>
      <c r="RNB30" s="2511"/>
      <c r="RNC30" s="2511"/>
      <c r="RND30" s="2511"/>
      <c r="RNE30" s="2511"/>
      <c r="RNF30" s="2511"/>
      <c r="RNG30" s="2511"/>
      <c r="RNH30" s="2511"/>
      <c r="RNI30" s="2511"/>
      <c r="RNJ30" s="2511"/>
      <c r="RNK30" s="2511"/>
      <c r="RNL30" s="2511"/>
      <c r="RNM30" s="2511"/>
      <c r="RNN30" s="2511"/>
      <c r="RNO30" s="2511"/>
      <c r="RNP30" s="2511"/>
      <c r="RNQ30" s="2511"/>
      <c r="RNR30" s="2511"/>
      <c r="RNS30" s="2511"/>
      <c r="RNT30" s="2511"/>
      <c r="RNU30" s="2511"/>
      <c r="RNV30" s="2511"/>
      <c r="RNW30" s="2511"/>
      <c r="RNX30" s="2511"/>
      <c r="RNY30" s="2511"/>
      <c r="RNZ30" s="2511"/>
      <c r="ROA30" s="2511"/>
      <c r="ROB30" s="2511"/>
      <c r="ROC30" s="2511"/>
      <c r="ROD30" s="2511"/>
      <c r="ROE30" s="2511"/>
      <c r="ROF30" s="2511"/>
      <c r="ROG30" s="2511"/>
      <c r="ROH30" s="2511"/>
      <c r="ROI30" s="2511"/>
      <c r="ROJ30" s="2511"/>
      <c r="ROK30" s="2511"/>
      <c r="ROL30" s="2511"/>
      <c r="ROM30" s="2511"/>
      <c r="RON30" s="2511"/>
      <c r="ROO30" s="2511"/>
      <c r="ROP30" s="2511"/>
      <c r="ROQ30" s="2511"/>
      <c r="ROR30" s="2511"/>
      <c r="ROS30" s="2511"/>
      <c r="ROT30" s="2511"/>
      <c r="ROU30" s="2511"/>
      <c r="ROV30" s="2511"/>
      <c r="ROW30" s="2511"/>
      <c r="ROX30" s="2511"/>
      <c r="ROY30" s="2511"/>
      <c r="ROZ30" s="2511"/>
      <c r="RPA30" s="2511"/>
      <c r="RPB30" s="2511"/>
      <c r="RPC30" s="2511"/>
      <c r="RPD30" s="2511"/>
      <c r="RPE30" s="2511"/>
      <c r="RPF30" s="2511"/>
      <c r="RPG30" s="2511"/>
      <c r="RPH30" s="2511"/>
      <c r="RPI30" s="2511"/>
      <c r="RPJ30" s="2511"/>
      <c r="RPK30" s="2511"/>
      <c r="RPL30" s="2511"/>
      <c r="RPM30" s="2511"/>
      <c r="RPN30" s="2511"/>
      <c r="RPO30" s="2511"/>
      <c r="RPP30" s="2511"/>
      <c r="RPQ30" s="2511"/>
      <c r="RPR30" s="2511"/>
      <c r="RPS30" s="2511"/>
      <c r="RPT30" s="2511"/>
      <c r="RPU30" s="2511"/>
      <c r="RPV30" s="2511"/>
      <c r="RPW30" s="2511"/>
      <c r="RPX30" s="2511"/>
      <c r="RPY30" s="2511"/>
      <c r="RPZ30" s="2511"/>
      <c r="RQA30" s="2511"/>
      <c r="RQB30" s="2511"/>
      <c r="RQC30" s="2511"/>
      <c r="RQD30" s="2511"/>
      <c r="RQE30" s="2511"/>
      <c r="RQF30" s="2511"/>
      <c r="RQG30" s="2511"/>
      <c r="RQH30" s="2511"/>
      <c r="RQI30" s="2511"/>
      <c r="RQJ30" s="2511"/>
      <c r="RQK30" s="2511"/>
      <c r="RQL30" s="2511"/>
      <c r="RQM30" s="2511"/>
      <c r="RQN30" s="2511"/>
      <c r="RQO30" s="2511"/>
      <c r="RQP30" s="2511"/>
      <c r="RQQ30" s="2511"/>
      <c r="RQR30" s="2511"/>
      <c r="RQS30" s="2511"/>
      <c r="RQT30" s="2511"/>
      <c r="RQU30" s="2511"/>
      <c r="RQV30" s="2511"/>
      <c r="RQW30" s="2511"/>
      <c r="RQX30" s="2511"/>
      <c r="RQY30" s="2511"/>
      <c r="RQZ30" s="2511"/>
      <c r="RRA30" s="2511"/>
      <c r="RRB30" s="2511"/>
      <c r="RRC30" s="2511"/>
      <c r="RRD30" s="2511"/>
      <c r="RRE30" s="2511"/>
      <c r="RRF30" s="2511"/>
      <c r="RRG30" s="2511"/>
      <c r="RRH30" s="2511"/>
      <c r="RRI30" s="2511"/>
      <c r="RRJ30" s="2511"/>
      <c r="RRK30" s="2511"/>
      <c r="RRL30" s="2511"/>
      <c r="RRM30" s="2511"/>
      <c r="RRN30" s="2511"/>
      <c r="RRO30" s="2511"/>
      <c r="RRP30" s="2511"/>
      <c r="RRQ30" s="2511"/>
      <c r="RRR30" s="2511"/>
      <c r="RRS30" s="2511"/>
      <c r="RRT30" s="2511"/>
      <c r="RRU30" s="2511"/>
      <c r="RRV30" s="2511"/>
      <c r="RRW30" s="2511"/>
      <c r="RRX30" s="2511"/>
      <c r="RRY30" s="2511"/>
      <c r="RRZ30" s="2511"/>
      <c r="RSA30" s="2511"/>
      <c r="RSB30" s="2511"/>
      <c r="RSC30" s="2511"/>
      <c r="RSD30" s="2511"/>
      <c r="RSE30" s="2511"/>
      <c r="RSF30" s="2511"/>
      <c r="RSG30" s="2511"/>
      <c r="RSH30" s="2511"/>
      <c r="RSI30" s="2511"/>
      <c r="RSJ30" s="2511"/>
      <c r="RSK30" s="2511"/>
      <c r="RSL30" s="2511"/>
      <c r="RSM30" s="2511"/>
      <c r="RSN30" s="2511"/>
      <c r="RSO30" s="2511"/>
      <c r="RSP30" s="2511"/>
      <c r="RSQ30" s="2511"/>
      <c r="RSR30" s="2511"/>
      <c r="RSS30" s="2511"/>
      <c r="RST30" s="2511"/>
      <c r="RSU30" s="2511"/>
      <c r="RSV30" s="2511"/>
      <c r="RSW30" s="2511"/>
      <c r="RSX30" s="2511"/>
      <c r="RSY30" s="2511"/>
      <c r="RSZ30" s="2511"/>
      <c r="RTA30" s="2511"/>
      <c r="RTB30" s="2511"/>
      <c r="RTC30" s="2511"/>
      <c r="RTD30" s="2511"/>
      <c r="RTE30" s="2511"/>
      <c r="RTF30" s="2511"/>
      <c r="RTG30" s="2511"/>
      <c r="RTH30" s="2511"/>
      <c r="RTI30" s="2511"/>
      <c r="RTJ30" s="2511"/>
      <c r="RTK30" s="2511"/>
      <c r="RTL30" s="2511"/>
      <c r="RTM30" s="2511"/>
      <c r="RTN30" s="2511"/>
      <c r="RTO30" s="2511"/>
      <c r="RTP30" s="2511"/>
      <c r="RTQ30" s="2511"/>
      <c r="RTR30" s="2511"/>
      <c r="RTS30" s="2511"/>
      <c r="RTT30" s="2511"/>
      <c r="RTU30" s="2511"/>
      <c r="RTV30" s="2511"/>
      <c r="RTW30" s="2511"/>
      <c r="RTX30" s="2511"/>
      <c r="RTY30" s="2511"/>
      <c r="RTZ30" s="2511"/>
      <c r="RUA30" s="2511"/>
      <c r="RUB30" s="2511"/>
      <c r="RUC30" s="2511"/>
      <c r="RUD30" s="2511"/>
      <c r="RUE30" s="2511"/>
      <c r="RUF30" s="2511"/>
      <c r="RUG30" s="2511"/>
      <c r="RUH30" s="2511"/>
      <c r="RUI30" s="2511"/>
      <c r="RUJ30" s="2511"/>
      <c r="RUK30" s="2511"/>
      <c r="RUL30" s="2511"/>
      <c r="RUM30" s="2511"/>
      <c r="RUN30" s="2511"/>
      <c r="RUO30" s="2511"/>
      <c r="RUP30" s="2511"/>
      <c r="RUQ30" s="2511"/>
      <c r="RUR30" s="2511"/>
      <c r="RUS30" s="2511"/>
      <c r="RUT30" s="2511"/>
      <c r="RUU30" s="2511"/>
      <c r="RUV30" s="2511"/>
      <c r="RUW30" s="2511"/>
      <c r="RUX30" s="2511"/>
      <c r="RUY30" s="2511"/>
      <c r="RUZ30" s="2511"/>
      <c r="RVA30" s="2511"/>
      <c r="RVB30" s="2511"/>
      <c r="RVC30" s="2511"/>
      <c r="RVD30" s="2511"/>
      <c r="RVE30" s="2511"/>
      <c r="RVF30" s="2511"/>
      <c r="RVG30" s="2511"/>
      <c r="RVH30" s="2511"/>
      <c r="RVI30" s="2511"/>
      <c r="RVJ30" s="2511"/>
      <c r="RVK30" s="2511"/>
      <c r="RVL30" s="2511"/>
      <c r="RVM30" s="2511"/>
      <c r="RVN30" s="2511"/>
      <c r="RVO30" s="2511"/>
      <c r="RVP30" s="2511"/>
      <c r="RVQ30" s="2511"/>
      <c r="RVR30" s="2511"/>
      <c r="RVS30" s="2511"/>
      <c r="RVT30" s="2511"/>
      <c r="RVU30" s="2511"/>
      <c r="RVV30" s="2511"/>
      <c r="RVW30" s="2511"/>
      <c r="RVX30" s="2511"/>
      <c r="RVY30" s="2511"/>
      <c r="RVZ30" s="2511"/>
      <c r="RWA30" s="2511"/>
      <c r="RWB30" s="2511"/>
      <c r="RWC30" s="2511"/>
      <c r="RWD30" s="2511"/>
      <c r="RWE30" s="2511"/>
      <c r="RWF30" s="2511"/>
      <c r="RWG30" s="2511"/>
      <c r="RWH30" s="2511"/>
      <c r="RWI30" s="2511"/>
      <c r="RWJ30" s="2511"/>
      <c r="RWK30" s="2511"/>
      <c r="RWL30" s="2511"/>
      <c r="RWM30" s="2511"/>
      <c r="RWN30" s="2511"/>
      <c r="RWO30" s="2511"/>
      <c r="RWP30" s="2511"/>
      <c r="RWQ30" s="2511"/>
      <c r="RWR30" s="2511"/>
      <c r="RWS30" s="2511"/>
      <c r="RWT30" s="2511"/>
      <c r="RWU30" s="2511"/>
      <c r="RWV30" s="2511"/>
      <c r="RWW30" s="2511"/>
      <c r="RWX30" s="2511"/>
      <c r="RWY30" s="2511"/>
      <c r="RWZ30" s="2511"/>
      <c r="RXA30" s="2511"/>
      <c r="RXB30" s="2511"/>
      <c r="RXC30" s="2511"/>
      <c r="RXD30" s="2511"/>
      <c r="RXE30" s="2511"/>
      <c r="RXF30" s="2511"/>
      <c r="RXG30" s="2511"/>
      <c r="RXH30" s="2511"/>
      <c r="RXI30" s="2511"/>
      <c r="RXJ30" s="2511"/>
      <c r="RXK30" s="2511"/>
      <c r="RXL30" s="2511"/>
      <c r="RXM30" s="2511"/>
      <c r="RXN30" s="2511"/>
      <c r="RXO30" s="2511"/>
      <c r="RXP30" s="2511"/>
      <c r="RXQ30" s="2511"/>
      <c r="RXR30" s="2511"/>
      <c r="RXS30" s="2511"/>
      <c r="RXT30" s="2511"/>
      <c r="RXU30" s="2511"/>
      <c r="RXV30" s="2511"/>
      <c r="RXW30" s="2511"/>
      <c r="RXX30" s="2511"/>
      <c r="RXY30" s="2511"/>
      <c r="RXZ30" s="2511"/>
      <c r="RYA30" s="2511"/>
      <c r="RYB30" s="2511"/>
      <c r="RYC30" s="2511"/>
      <c r="RYD30" s="2511"/>
      <c r="RYE30" s="2511"/>
      <c r="RYF30" s="2511"/>
      <c r="RYG30" s="2511"/>
      <c r="RYH30" s="2511"/>
      <c r="RYI30" s="2511"/>
      <c r="RYJ30" s="2511"/>
      <c r="RYK30" s="2511"/>
      <c r="RYL30" s="2511"/>
      <c r="RYM30" s="2511"/>
      <c r="RYN30" s="2511"/>
      <c r="RYO30" s="2511"/>
      <c r="RYP30" s="2511"/>
      <c r="RYQ30" s="2511"/>
      <c r="RYR30" s="2511"/>
      <c r="RYS30" s="2511"/>
      <c r="RYT30" s="2511"/>
      <c r="RYU30" s="2511"/>
      <c r="RYV30" s="2511"/>
      <c r="RYW30" s="2511"/>
      <c r="RYX30" s="2511"/>
      <c r="RYY30" s="2511"/>
      <c r="RYZ30" s="2511"/>
      <c r="RZA30" s="2511"/>
      <c r="RZB30" s="2511"/>
      <c r="RZC30" s="2511"/>
      <c r="RZD30" s="2511"/>
      <c r="RZE30" s="2511"/>
      <c r="RZF30" s="2511"/>
      <c r="RZG30" s="2511"/>
      <c r="RZH30" s="2511"/>
      <c r="RZI30" s="2511"/>
      <c r="RZJ30" s="2511"/>
      <c r="RZK30" s="2511"/>
      <c r="RZL30" s="2511"/>
      <c r="RZM30" s="2511"/>
      <c r="RZN30" s="2511"/>
      <c r="RZO30" s="2511"/>
      <c r="RZP30" s="2511"/>
      <c r="RZQ30" s="2511"/>
      <c r="RZR30" s="2511"/>
      <c r="RZS30" s="2511"/>
      <c r="RZT30" s="2511"/>
      <c r="RZU30" s="2511"/>
      <c r="RZV30" s="2511"/>
      <c r="RZW30" s="2511"/>
      <c r="RZX30" s="2511"/>
      <c r="RZY30" s="2511"/>
      <c r="RZZ30" s="2511"/>
      <c r="SAA30" s="2511"/>
      <c r="SAB30" s="2511"/>
      <c r="SAC30" s="2511"/>
      <c r="SAD30" s="2511"/>
      <c r="SAE30" s="2511"/>
      <c r="SAF30" s="2511"/>
      <c r="SAG30" s="2511"/>
      <c r="SAH30" s="2511"/>
      <c r="SAI30" s="2511"/>
      <c r="SAJ30" s="2511"/>
      <c r="SAK30" s="2511"/>
      <c r="SAL30" s="2511"/>
      <c r="SAM30" s="2511"/>
      <c r="SAN30" s="2511"/>
      <c r="SAO30" s="2511"/>
      <c r="SAP30" s="2511"/>
      <c r="SAQ30" s="2511"/>
      <c r="SAR30" s="2511"/>
      <c r="SAS30" s="2511"/>
      <c r="SAT30" s="2511"/>
      <c r="SAU30" s="2511"/>
      <c r="SAV30" s="2511"/>
      <c r="SAW30" s="2511"/>
      <c r="SAX30" s="2511"/>
      <c r="SAY30" s="2511"/>
      <c r="SAZ30" s="2511"/>
      <c r="SBA30" s="2511"/>
      <c r="SBB30" s="2511"/>
      <c r="SBC30" s="2511"/>
      <c r="SBD30" s="2511"/>
      <c r="SBE30" s="2511"/>
      <c r="SBF30" s="2511"/>
      <c r="SBG30" s="2511"/>
      <c r="SBH30" s="2511"/>
      <c r="SBI30" s="2511"/>
      <c r="SBJ30" s="2511"/>
      <c r="SBK30" s="2511"/>
      <c r="SBL30" s="2511"/>
      <c r="SBM30" s="2511"/>
      <c r="SBN30" s="2511"/>
      <c r="SBO30" s="2511"/>
      <c r="SBP30" s="2511"/>
      <c r="SBQ30" s="2511"/>
      <c r="SBR30" s="2511"/>
      <c r="SBS30" s="2511"/>
      <c r="SBT30" s="2511"/>
      <c r="SBU30" s="2511"/>
      <c r="SBV30" s="2511"/>
      <c r="SBW30" s="2511"/>
      <c r="SBX30" s="2511"/>
      <c r="SBY30" s="2511"/>
      <c r="SBZ30" s="2511"/>
      <c r="SCA30" s="2511"/>
      <c r="SCB30" s="2511"/>
      <c r="SCC30" s="2511"/>
      <c r="SCD30" s="2511"/>
      <c r="SCE30" s="2511"/>
      <c r="SCF30" s="2511"/>
      <c r="SCG30" s="2511"/>
      <c r="SCH30" s="2511"/>
      <c r="SCI30" s="2511"/>
      <c r="SCJ30" s="2511"/>
      <c r="SCK30" s="2511"/>
      <c r="SCL30" s="2511"/>
      <c r="SCM30" s="2511"/>
      <c r="SCN30" s="2511"/>
      <c r="SCO30" s="2511"/>
      <c r="SCP30" s="2511"/>
      <c r="SCQ30" s="2511"/>
      <c r="SCR30" s="2511"/>
      <c r="SCS30" s="2511"/>
      <c r="SCT30" s="2511"/>
      <c r="SCU30" s="2511"/>
      <c r="SCV30" s="2511"/>
      <c r="SCW30" s="2511"/>
      <c r="SCX30" s="2511"/>
      <c r="SCY30" s="2511"/>
      <c r="SCZ30" s="2511"/>
      <c r="SDA30" s="2511"/>
      <c r="SDB30" s="2511"/>
      <c r="SDC30" s="2511"/>
      <c r="SDD30" s="2511"/>
      <c r="SDE30" s="2511"/>
      <c r="SDF30" s="2511"/>
      <c r="SDG30" s="2511"/>
      <c r="SDH30" s="2511"/>
      <c r="SDI30" s="2511"/>
      <c r="SDJ30" s="2511"/>
      <c r="SDK30" s="2511"/>
      <c r="SDL30" s="2511"/>
      <c r="SDM30" s="2511"/>
      <c r="SDN30" s="2511"/>
      <c r="SDO30" s="2511"/>
      <c r="SDP30" s="2511"/>
      <c r="SDQ30" s="2511"/>
      <c r="SDR30" s="2511"/>
      <c r="SDS30" s="2511"/>
      <c r="SDT30" s="2511"/>
      <c r="SDU30" s="2511"/>
      <c r="SDV30" s="2511"/>
      <c r="SDW30" s="2511"/>
      <c r="SDX30" s="2511"/>
      <c r="SDY30" s="2511"/>
      <c r="SDZ30" s="2511"/>
      <c r="SEA30" s="2511"/>
      <c r="SEB30" s="2511"/>
      <c r="SEC30" s="2511"/>
      <c r="SED30" s="2511"/>
      <c r="SEE30" s="2511"/>
      <c r="SEF30" s="2511"/>
      <c r="SEG30" s="2511"/>
      <c r="SEH30" s="2511"/>
      <c r="SEI30" s="2511"/>
      <c r="SEJ30" s="2511"/>
      <c r="SEK30" s="2511"/>
      <c r="SEL30" s="2511"/>
      <c r="SEM30" s="2511"/>
      <c r="SEN30" s="2511"/>
      <c r="SEO30" s="2511"/>
      <c r="SEP30" s="2511"/>
      <c r="SEQ30" s="2511"/>
      <c r="SER30" s="2511"/>
      <c r="SES30" s="2511"/>
      <c r="SET30" s="2511"/>
      <c r="SEU30" s="2511"/>
      <c r="SEV30" s="2511"/>
      <c r="SEW30" s="2511"/>
      <c r="SEX30" s="2511"/>
      <c r="SEY30" s="2511"/>
      <c r="SEZ30" s="2511"/>
      <c r="SFA30" s="2511"/>
      <c r="SFB30" s="2511"/>
      <c r="SFC30" s="2511"/>
      <c r="SFD30" s="2511"/>
      <c r="SFE30" s="2511"/>
      <c r="SFF30" s="2511"/>
      <c r="SFG30" s="2511"/>
      <c r="SFH30" s="2511"/>
      <c r="SFI30" s="2511"/>
      <c r="SFJ30" s="2511"/>
      <c r="SFK30" s="2511"/>
      <c r="SFL30" s="2511"/>
      <c r="SFM30" s="2511"/>
      <c r="SFN30" s="2511"/>
      <c r="SFO30" s="2511"/>
      <c r="SFP30" s="2511"/>
      <c r="SFQ30" s="2511"/>
      <c r="SFR30" s="2511"/>
      <c r="SFS30" s="2511"/>
      <c r="SFT30" s="2511"/>
      <c r="SFU30" s="2511"/>
      <c r="SFV30" s="2511"/>
      <c r="SFW30" s="2511"/>
      <c r="SFX30" s="2511"/>
      <c r="SFY30" s="2511"/>
      <c r="SFZ30" s="2511"/>
      <c r="SGA30" s="2511"/>
      <c r="SGB30" s="2511"/>
      <c r="SGC30" s="2511"/>
      <c r="SGD30" s="2511"/>
      <c r="SGE30" s="2511"/>
      <c r="SGF30" s="2511"/>
      <c r="SGG30" s="2511"/>
      <c r="SGH30" s="2511"/>
      <c r="SGI30" s="2511"/>
      <c r="SGJ30" s="2511"/>
      <c r="SGK30" s="2511"/>
      <c r="SGL30" s="2511"/>
      <c r="SGM30" s="2511"/>
      <c r="SGN30" s="2511"/>
      <c r="SGO30" s="2511"/>
      <c r="SGP30" s="2511"/>
      <c r="SGQ30" s="2511"/>
      <c r="SGR30" s="2511"/>
      <c r="SGS30" s="2511"/>
      <c r="SGT30" s="2511"/>
      <c r="SGU30" s="2511"/>
      <c r="SGV30" s="2511"/>
      <c r="SGW30" s="2511"/>
      <c r="SGX30" s="2511"/>
      <c r="SGY30" s="2511"/>
      <c r="SGZ30" s="2511"/>
      <c r="SHA30" s="2511"/>
      <c r="SHB30" s="2511"/>
      <c r="SHC30" s="2511"/>
      <c r="SHD30" s="2511"/>
      <c r="SHE30" s="2511"/>
      <c r="SHF30" s="2511"/>
      <c r="SHG30" s="2511"/>
      <c r="SHH30" s="2511"/>
      <c r="SHI30" s="2511"/>
      <c r="SHJ30" s="2511"/>
      <c r="SHK30" s="2511"/>
      <c r="SHL30" s="2511"/>
      <c r="SHM30" s="2511"/>
      <c r="SHN30" s="2511"/>
      <c r="SHO30" s="2511"/>
      <c r="SHP30" s="2511"/>
      <c r="SHQ30" s="2511"/>
      <c r="SHR30" s="2511"/>
      <c r="SHS30" s="2511"/>
      <c r="SHT30" s="2511"/>
      <c r="SHU30" s="2511"/>
      <c r="SHV30" s="2511"/>
      <c r="SHW30" s="2511"/>
      <c r="SHX30" s="2511"/>
      <c r="SHY30" s="2511"/>
      <c r="SHZ30" s="2511"/>
      <c r="SIA30" s="2511"/>
      <c r="SIB30" s="2511"/>
      <c r="SIC30" s="2511"/>
      <c r="SID30" s="2511"/>
      <c r="SIE30" s="2511"/>
      <c r="SIF30" s="2511"/>
      <c r="SIG30" s="2511"/>
      <c r="SIH30" s="2511"/>
      <c r="SII30" s="2511"/>
      <c r="SIJ30" s="2511"/>
      <c r="SIK30" s="2511"/>
      <c r="SIL30" s="2511"/>
      <c r="SIM30" s="2511"/>
      <c r="SIN30" s="2511"/>
      <c r="SIO30" s="2511"/>
      <c r="SIP30" s="2511"/>
      <c r="SIQ30" s="2511"/>
      <c r="SIR30" s="2511"/>
      <c r="SIS30" s="2511"/>
      <c r="SIT30" s="2511"/>
      <c r="SIU30" s="2511"/>
      <c r="SIV30" s="2511"/>
      <c r="SIW30" s="2511"/>
      <c r="SIX30" s="2511"/>
      <c r="SIY30" s="2511"/>
      <c r="SIZ30" s="2511"/>
      <c r="SJA30" s="2511"/>
      <c r="SJB30" s="2511"/>
      <c r="SJC30" s="2511"/>
      <c r="SJD30" s="2511"/>
      <c r="SJE30" s="2511"/>
      <c r="SJF30" s="2511"/>
      <c r="SJG30" s="2511"/>
      <c r="SJH30" s="2511"/>
      <c r="SJI30" s="2511"/>
      <c r="SJJ30" s="2511"/>
      <c r="SJK30" s="2511"/>
      <c r="SJL30" s="2511"/>
      <c r="SJM30" s="2511"/>
      <c r="SJN30" s="2511"/>
      <c r="SJO30" s="2511"/>
      <c r="SJP30" s="2511"/>
      <c r="SJQ30" s="2511"/>
      <c r="SJR30" s="2511"/>
      <c r="SJS30" s="2511"/>
      <c r="SJT30" s="2511"/>
      <c r="SJU30" s="2511"/>
      <c r="SJV30" s="2511"/>
      <c r="SJW30" s="2511"/>
      <c r="SJX30" s="2511"/>
      <c r="SJY30" s="2511"/>
      <c r="SJZ30" s="2511"/>
      <c r="SKA30" s="2511"/>
      <c r="SKB30" s="2511"/>
      <c r="SKC30" s="2511"/>
      <c r="SKD30" s="2511"/>
      <c r="SKE30" s="2511"/>
      <c r="SKF30" s="2511"/>
      <c r="SKG30" s="2511"/>
      <c r="SKH30" s="2511"/>
      <c r="SKI30" s="2511"/>
      <c r="SKJ30" s="2511"/>
      <c r="SKK30" s="2511"/>
      <c r="SKL30" s="2511"/>
      <c r="SKM30" s="2511"/>
      <c r="SKN30" s="2511"/>
      <c r="SKO30" s="2511"/>
      <c r="SKP30" s="2511"/>
      <c r="SKQ30" s="2511"/>
      <c r="SKR30" s="2511"/>
      <c r="SKS30" s="2511"/>
      <c r="SKT30" s="2511"/>
      <c r="SKU30" s="2511"/>
      <c r="SKV30" s="2511"/>
      <c r="SKW30" s="2511"/>
      <c r="SKX30" s="2511"/>
      <c r="SKY30" s="2511"/>
      <c r="SKZ30" s="2511"/>
      <c r="SLA30" s="2511"/>
      <c r="SLB30" s="2511"/>
      <c r="SLC30" s="2511"/>
      <c r="SLD30" s="2511"/>
      <c r="SLE30" s="2511"/>
      <c r="SLF30" s="2511"/>
      <c r="SLG30" s="2511"/>
      <c r="SLH30" s="2511"/>
      <c r="SLI30" s="2511"/>
      <c r="SLJ30" s="2511"/>
      <c r="SLK30" s="2511"/>
      <c r="SLL30" s="2511"/>
      <c r="SLM30" s="2511"/>
      <c r="SLN30" s="2511"/>
      <c r="SLO30" s="2511"/>
      <c r="SLP30" s="2511"/>
      <c r="SLQ30" s="2511"/>
      <c r="SLR30" s="2511"/>
      <c r="SLS30" s="2511"/>
      <c r="SLT30" s="2511"/>
      <c r="SLU30" s="2511"/>
      <c r="SLV30" s="2511"/>
      <c r="SLW30" s="2511"/>
      <c r="SLX30" s="2511"/>
      <c r="SLY30" s="2511"/>
      <c r="SLZ30" s="2511"/>
      <c r="SMA30" s="2511"/>
      <c r="SMB30" s="2511"/>
      <c r="SMC30" s="2511"/>
      <c r="SMD30" s="2511"/>
      <c r="SME30" s="2511"/>
      <c r="SMF30" s="2511"/>
      <c r="SMG30" s="2511"/>
      <c r="SMH30" s="2511"/>
      <c r="SMI30" s="2511"/>
      <c r="SMJ30" s="2511"/>
      <c r="SMK30" s="2511"/>
      <c r="SML30" s="2511"/>
      <c r="SMM30" s="2511"/>
      <c r="SMN30" s="2511"/>
      <c r="SMO30" s="2511"/>
      <c r="SMP30" s="2511"/>
      <c r="SMQ30" s="2511"/>
      <c r="SMR30" s="2511"/>
      <c r="SMS30" s="2511"/>
      <c r="SMT30" s="2511"/>
      <c r="SMU30" s="2511"/>
      <c r="SMV30" s="2511"/>
      <c r="SMW30" s="2511"/>
      <c r="SMX30" s="2511"/>
      <c r="SMY30" s="2511"/>
      <c r="SMZ30" s="2511"/>
      <c r="SNA30" s="2511"/>
      <c r="SNB30" s="2511"/>
      <c r="SNC30" s="2511"/>
      <c r="SND30" s="2511"/>
      <c r="SNE30" s="2511"/>
      <c r="SNF30" s="2511"/>
      <c r="SNG30" s="2511"/>
      <c r="SNH30" s="2511"/>
      <c r="SNI30" s="2511"/>
      <c r="SNJ30" s="2511"/>
      <c r="SNK30" s="2511"/>
      <c r="SNL30" s="2511"/>
      <c r="SNM30" s="2511"/>
      <c r="SNN30" s="2511"/>
      <c r="SNO30" s="2511"/>
      <c r="SNP30" s="2511"/>
      <c r="SNQ30" s="2511"/>
      <c r="SNR30" s="2511"/>
      <c r="SNS30" s="2511"/>
      <c r="SNT30" s="2511"/>
      <c r="SNU30" s="2511"/>
      <c r="SNV30" s="2511"/>
      <c r="SNW30" s="2511"/>
      <c r="SNX30" s="2511"/>
      <c r="SNY30" s="2511"/>
      <c r="SNZ30" s="2511"/>
      <c r="SOA30" s="2511"/>
      <c r="SOB30" s="2511"/>
      <c r="SOC30" s="2511"/>
      <c r="SOD30" s="2511"/>
      <c r="SOE30" s="2511"/>
      <c r="SOF30" s="2511"/>
      <c r="SOG30" s="2511"/>
      <c r="SOH30" s="2511"/>
      <c r="SOI30" s="2511"/>
      <c r="SOJ30" s="2511"/>
      <c r="SOK30" s="2511"/>
      <c r="SOL30" s="2511"/>
      <c r="SOM30" s="2511"/>
      <c r="SON30" s="2511"/>
      <c r="SOO30" s="2511"/>
      <c r="SOP30" s="2511"/>
      <c r="SOQ30" s="2511"/>
      <c r="SOR30" s="2511"/>
      <c r="SOS30" s="2511"/>
      <c r="SOT30" s="2511"/>
      <c r="SOU30" s="2511"/>
      <c r="SOV30" s="2511"/>
      <c r="SOW30" s="2511"/>
      <c r="SOX30" s="2511"/>
      <c r="SOY30" s="2511"/>
      <c r="SOZ30" s="2511"/>
      <c r="SPA30" s="2511"/>
      <c r="SPB30" s="2511"/>
      <c r="SPC30" s="2511"/>
      <c r="SPD30" s="2511"/>
      <c r="SPE30" s="2511"/>
      <c r="SPF30" s="2511"/>
      <c r="SPG30" s="2511"/>
      <c r="SPH30" s="2511"/>
      <c r="SPI30" s="2511"/>
      <c r="SPJ30" s="2511"/>
      <c r="SPK30" s="2511"/>
      <c r="SPL30" s="2511"/>
      <c r="SPM30" s="2511"/>
      <c r="SPN30" s="2511"/>
      <c r="SPO30" s="2511"/>
      <c r="SPP30" s="2511"/>
      <c r="SPQ30" s="2511"/>
      <c r="SPR30" s="2511"/>
      <c r="SPS30" s="2511"/>
      <c r="SPT30" s="2511"/>
      <c r="SPU30" s="2511"/>
      <c r="SPV30" s="2511"/>
      <c r="SPW30" s="2511"/>
      <c r="SPX30" s="2511"/>
      <c r="SPY30" s="2511"/>
      <c r="SPZ30" s="2511"/>
      <c r="SQA30" s="2511"/>
      <c r="SQB30" s="2511"/>
      <c r="SQC30" s="2511"/>
      <c r="SQD30" s="2511"/>
      <c r="SQE30" s="2511"/>
      <c r="SQF30" s="2511"/>
      <c r="SQG30" s="2511"/>
      <c r="SQH30" s="2511"/>
      <c r="SQI30" s="2511"/>
      <c r="SQJ30" s="2511"/>
      <c r="SQK30" s="2511"/>
      <c r="SQL30" s="2511"/>
      <c r="SQM30" s="2511"/>
      <c r="SQN30" s="2511"/>
      <c r="SQO30" s="2511"/>
      <c r="SQP30" s="2511"/>
      <c r="SQQ30" s="2511"/>
      <c r="SQR30" s="2511"/>
      <c r="SQS30" s="2511"/>
      <c r="SQT30" s="2511"/>
      <c r="SQU30" s="2511"/>
      <c r="SQV30" s="2511"/>
      <c r="SQW30" s="2511"/>
      <c r="SQX30" s="2511"/>
      <c r="SQY30" s="2511"/>
      <c r="SQZ30" s="2511"/>
      <c r="SRA30" s="2511"/>
      <c r="SRB30" s="2511"/>
      <c r="SRC30" s="2511"/>
      <c r="SRD30" s="2511"/>
      <c r="SRE30" s="2511"/>
      <c r="SRF30" s="2511"/>
      <c r="SRG30" s="2511"/>
      <c r="SRH30" s="2511"/>
      <c r="SRI30" s="2511"/>
      <c r="SRJ30" s="2511"/>
      <c r="SRK30" s="2511"/>
      <c r="SRL30" s="2511"/>
      <c r="SRM30" s="2511"/>
      <c r="SRN30" s="2511"/>
      <c r="SRO30" s="2511"/>
      <c r="SRP30" s="2511"/>
      <c r="SRQ30" s="2511"/>
      <c r="SRR30" s="2511"/>
      <c r="SRS30" s="2511"/>
      <c r="SRT30" s="2511"/>
      <c r="SRU30" s="2511"/>
      <c r="SRV30" s="2511"/>
      <c r="SRW30" s="2511"/>
      <c r="SRX30" s="2511"/>
      <c r="SRY30" s="2511"/>
      <c r="SRZ30" s="2511"/>
      <c r="SSA30" s="2511"/>
      <c r="SSB30" s="2511"/>
      <c r="SSC30" s="2511"/>
      <c r="SSD30" s="2511"/>
      <c r="SSE30" s="2511"/>
      <c r="SSF30" s="2511"/>
      <c r="SSG30" s="2511"/>
      <c r="SSH30" s="2511"/>
      <c r="SSI30" s="2511"/>
      <c r="SSJ30" s="2511"/>
      <c r="SSK30" s="2511"/>
      <c r="SSL30" s="2511"/>
      <c r="SSM30" s="2511"/>
      <c r="SSN30" s="2511"/>
      <c r="SSO30" s="2511"/>
      <c r="SSP30" s="2511"/>
      <c r="SSQ30" s="2511"/>
      <c r="SSR30" s="2511"/>
      <c r="SSS30" s="2511"/>
      <c r="SST30" s="2511"/>
      <c r="SSU30" s="2511"/>
      <c r="SSV30" s="2511"/>
      <c r="SSW30" s="2511"/>
      <c r="SSX30" s="2511"/>
      <c r="SSY30" s="2511"/>
      <c r="SSZ30" s="2511"/>
      <c r="STA30" s="2511"/>
      <c r="STB30" s="2511"/>
      <c r="STC30" s="2511"/>
      <c r="STD30" s="2511"/>
      <c r="STE30" s="2511"/>
      <c r="STF30" s="2511"/>
      <c r="STG30" s="2511"/>
      <c r="STH30" s="2511"/>
      <c r="STI30" s="2511"/>
      <c r="STJ30" s="2511"/>
      <c r="STK30" s="2511"/>
      <c r="STL30" s="2511"/>
      <c r="STM30" s="2511"/>
      <c r="STN30" s="2511"/>
      <c r="STO30" s="2511"/>
      <c r="STP30" s="2511"/>
      <c r="STQ30" s="2511"/>
      <c r="STR30" s="2511"/>
      <c r="STS30" s="2511"/>
      <c r="STT30" s="2511"/>
      <c r="STU30" s="2511"/>
      <c r="STV30" s="2511"/>
      <c r="STW30" s="2511"/>
      <c r="STX30" s="2511"/>
      <c r="STY30" s="2511"/>
      <c r="STZ30" s="2511"/>
      <c r="SUA30" s="2511"/>
      <c r="SUB30" s="2511"/>
      <c r="SUC30" s="2511"/>
      <c r="SUD30" s="2511"/>
      <c r="SUE30" s="2511"/>
      <c r="SUF30" s="2511"/>
      <c r="SUG30" s="2511"/>
      <c r="SUH30" s="2511"/>
      <c r="SUI30" s="2511"/>
      <c r="SUJ30" s="2511"/>
      <c r="SUK30" s="2511"/>
      <c r="SUL30" s="2511"/>
      <c r="SUM30" s="2511"/>
      <c r="SUN30" s="2511"/>
      <c r="SUO30" s="2511"/>
      <c r="SUP30" s="2511"/>
      <c r="SUQ30" s="2511"/>
      <c r="SUR30" s="2511"/>
      <c r="SUS30" s="2511"/>
      <c r="SUT30" s="2511"/>
      <c r="SUU30" s="2511"/>
      <c r="SUV30" s="2511"/>
      <c r="SUW30" s="2511"/>
      <c r="SUX30" s="2511"/>
      <c r="SUY30" s="2511"/>
      <c r="SUZ30" s="2511"/>
      <c r="SVA30" s="2511"/>
      <c r="SVB30" s="2511"/>
      <c r="SVC30" s="2511"/>
      <c r="SVD30" s="2511"/>
      <c r="SVE30" s="2511"/>
      <c r="SVF30" s="2511"/>
      <c r="SVG30" s="2511"/>
      <c r="SVH30" s="2511"/>
      <c r="SVI30" s="2511"/>
      <c r="SVJ30" s="2511"/>
      <c r="SVK30" s="2511"/>
      <c r="SVL30" s="2511"/>
      <c r="SVM30" s="2511"/>
      <c r="SVN30" s="2511"/>
      <c r="SVO30" s="2511"/>
      <c r="SVP30" s="2511"/>
      <c r="SVQ30" s="2511"/>
      <c r="SVR30" s="2511"/>
      <c r="SVS30" s="2511"/>
      <c r="SVT30" s="2511"/>
      <c r="SVU30" s="2511"/>
      <c r="SVV30" s="2511"/>
      <c r="SVW30" s="2511"/>
      <c r="SVX30" s="2511"/>
      <c r="SVY30" s="2511"/>
      <c r="SVZ30" s="2511"/>
      <c r="SWA30" s="2511"/>
      <c r="SWB30" s="2511"/>
      <c r="SWC30" s="2511"/>
      <c r="SWD30" s="2511"/>
      <c r="SWE30" s="2511"/>
      <c r="SWF30" s="2511"/>
      <c r="SWG30" s="2511"/>
      <c r="SWH30" s="2511"/>
      <c r="SWI30" s="2511"/>
      <c r="SWJ30" s="2511"/>
      <c r="SWK30" s="2511"/>
      <c r="SWL30" s="2511"/>
      <c r="SWM30" s="2511"/>
      <c r="SWN30" s="2511"/>
      <c r="SWO30" s="2511"/>
      <c r="SWP30" s="2511"/>
      <c r="SWQ30" s="2511"/>
      <c r="SWR30" s="2511"/>
      <c r="SWS30" s="2511"/>
      <c r="SWT30" s="2511"/>
      <c r="SWU30" s="2511"/>
      <c r="SWV30" s="2511"/>
      <c r="SWW30" s="2511"/>
      <c r="SWX30" s="2511"/>
      <c r="SWY30" s="2511"/>
      <c r="SWZ30" s="2511"/>
      <c r="SXA30" s="2511"/>
      <c r="SXB30" s="2511"/>
      <c r="SXC30" s="2511"/>
      <c r="SXD30" s="2511"/>
      <c r="SXE30" s="2511"/>
      <c r="SXF30" s="2511"/>
      <c r="SXG30" s="2511"/>
      <c r="SXH30" s="2511"/>
      <c r="SXI30" s="2511"/>
      <c r="SXJ30" s="2511"/>
      <c r="SXK30" s="2511"/>
      <c r="SXL30" s="2511"/>
      <c r="SXM30" s="2511"/>
      <c r="SXN30" s="2511"/>
      <c r="SXO30" s="2511"/>
      <c r="SXP30" s="2511"/>
      <c r="SXQ30" s="2511"/>
      <c r="SXR30" s="2511"/>
      <c r="SXS30" s="2511"/>
      <c r="SXT30" s="2511"/>
      <c r="SXU30" s="2511"/>
      <c r="SXV30" s="2511"/>
      <c r="SXW30" s="2511"/>
      <c r="SXX30" s="2511"/>
      <c r="SXY30" s="2511"/>
      <c r="SXZ30" s="2511"/>
      <c r="SYA30" s="2511"/>
      <c r="SYB30" s="2511"/>
      <c r="SYC30" s="2511"/>
      <c r="SYD30" s="2511"/>
      <c r="SYE30" s="2511"/>
      <c r="SYF30" s="2511"/>
      <c r="SYG30" s="2511"/>
      <c r="SYH30" s="2511"/>
      <c r="SYI30" s="2511"/>
      <c r="SYJ30" s="2511"/>
      <c r="SYK30" s="2511"/>
      <c r="SYL30" s="2511"/>
      <c r="SYM30" s="2511"/>
      <c r="SYN30" s="2511"/>
      <c r="SYO30" s="2511"/>
      <c r="SYP30" s="2511"/>
      <c r="SYQ30" s="2511"/>
      <c r="SYR30" s="2511"/>
      <c r="SYS30" s="2511"/>
      <c r="SYT30" s="2511"/>
      <c r="SYU30" s="2511"/>
      <c r="SYV30" s="2511"/>
      <c r="SYW30" s="2511"/>
      <c r="SYX30" s="2511"/>
      <c r="SYY30" s="2511"/>
      <c r="SYZ30" s="2511"/>
      <c r="SZA30" s="2511"/>
      <c r="SZB30" s="2511"/>
      <c r="SZC30" s="2511"/>
      <c r="SZD30" s="2511"/>
      <c r="SZE30" s="2511"/>
      <c r="SZF30" s="2511"/>
      <c r="SZG30" s="2511"/>
      <c r="SZH30" s="2511"/>
      <c r="SZI30" s="2511"/>
      <c r="SZJ30" s="2511"/>
      <c r="SZK30" s="2511"/>
      <c r="SZL30" s="2511"/>
      <c r="SZM30" s="2511"/>
      <c r="SZN30" s="2511"/>
      <c r="SZO30" s="2511"/>
      <c r="SZP30" s="2511"/>
      <c r="SZQ30" s="2511"/>
      <c r="SZR30" s="2511"/>
      <c r="SZS30" s="2511"/>
      <c r="SZT30" s="2511"/>
      <c r="SZU30" s="2511"/>
      <c r="SZV30" s="2511"/>
      <c r="SZW30" s="2511"/>
      <c r="SZX30" s="2511"/>
      <c r="SZY30" s="2511"/>
      <c r="SZZ30" s="2511"/>
      <c r="TAA30" s="2511"/>
      <c r="TAB30" s="2511"/>
      <c r="TAC30" s="2511"/>
      <c r="TAD30" s="2511"/>
      <c r="TAE30" s="2511"/>
      <c r="TAF30" s="2511"/>
      <c r="TAG30" s="2511"/>
      <c r="TAH30" s="2511"/>
      <c r="TAI30" s="2511"/>
      <c r="TAJ30" s="2511"/>
      <c r="TAK30" s="2511"/>
      <c r="TAL30" s="2511"/>
      <c r="TAM30" s="2511"/>
      <c r="TAN30" s="2511"/>
      <c r="TAO30" s="2511"/>
      <c r="TAP30" s="2511"/>
      <c r="TAQ30" s="2511"/>
      <c r="TAR30" s="2511"/>
      <c r="TAS30" s="2511"/>
      <c r="TAT30" s="2511"/>
      <c r="TAU30" s="2511"/>
      <c r="TAV30" s="2511"/>
      <c r="TAW30" s="2511"/>
      <c r="TAX30" s="2511"/>
      <c r="TAY30" s="2511"/>
      <c r="TAZ30" s="2511"/>
      <c r="TBA30" s="2511"/>
      <c r="TBB30" s="2511"/>
      <c r="TBC30" s="2511"/>
      <c r="TBD30" s="2511"/>
      <c r="TBE30" s="2511"/>
      <c r="TBF30" s="2511"/>
      <c r="TBG30" s="2511"/>
      <c r="TBH30" s="2511"/>
      <c r="TBI30" s="2511"/>
      <c r="TBJ30" s="2511"/>
      <c r="TBK30" s="2511"/>
      <c r="TBL30" s="2511"/>
      <c r="TBM30" s="2511"/>
      <c r="TBN30" s="2511"/>
      <c r="TBO30" s="2511"/>
      <c r="TBP30" s="2511"/>
      <c r="TBQ30" s="2511"/>
      <c r="TBR30" s="2511"/>
      <c r="TBS30" s="2511"/>
      <c r="TBT30" s="2511"/>
      <c r="TBU30" s="2511"/>
      <c r="TBV30" s="2511"/>
      <c r="TBW30" s="2511"/>
      <c r="TBX30" s="2511"/>
      <c r="TBY30" s="2511"/>
      <c r="TBZ30" s="2511"/>
      <c r="TCA30" s="2511"/>
      <c r="TCB30" s="2511"/>
      <c r="TCC30" s="2511"/>
      <c r="TCD30" s="2511"/>
      <c r="TCE30" s="2511"/>
      <c r="TCF30" s="2511"/>
      <c r="TCG30" s="2511"/>
      <c r="TCH30" s="2511"/>
      <c r="TCI30" s="2511"/>
      <c r="TCJ30" s="2511"/>
      <c r="TCK30" s="2511"/>
      <c r="TCL30" s="2511"/>
      <c r="TCM30" s="2511"/>
      <c r="TCN30" s="2511"/>
      <c r="TCO30" s="2511"/>
      <c r="TCP30" s="2511"/>
      <c r="TCQ30" s="2511"/>
      <c r="TCR30" s="2511"/>
      <c r="TCS30" s="2511"/>
      <c r="TCT30" s="2511"/>
      <c r="TCU30" s="2511"/>
      <c r="TCV30" s="2511"/>
      <c r="TCW30" s="2511"/>
      <c r="TCX30" s="2511"/>
      <c r="TCY30" s="2511"/>
      <c r="TCZ30" s="2511"/>
      <c r="TDA30" s="2511"/>
      <c r="TDB30" s="2511"/>
      <c r="TDC30" s="2511"/>
      <c r="TDD30" s="2511"/>
      <c r="TDE30" s="2511"/>
      <c r="TDF30" s="2511"/>
      <c r="TDG30" s="2511"/>
      <c r="TDH30" s="2511"/>
      <c r="TDI30" s="2511"/>
      <c r="TDJ30" s="2511"/>
      <c r="TDK30" s="2511"/>
      <c r="TDL30" s="2511"/>
      <c r="TDM30" s="2511"/>
      <c r="TDN30" s="2511"/>
      <c r="TDO30" s="2511"/>
      <c r="TDP30" s="2511"/>
      <c r="TDQ30" s="2511"/>
      <c r="TDR30" s="2511"/>
      <c r="TDS30" s="2511"/>
      <c r="TDT30" s="2511"/>
      <c r="TDU30" s="2511"/>
      <c r="TDV30" s="2511"/>
      <c r="TDW30" s="2511"/>
      <c r="TDX30" s="2511"/>
      <c r="TDY30" s="2511"/>
      <c r="TDZ30" s="2511"/>
      <c r="TEA30" s="2511"/>
      <c r="TEB30" s="2511"/>
      <c r="TEC30" s="2511"/>
      <c r="TED30" s="2511"/>
      <c r="TEE30" s="2511"/>
      <c r="TEF30" s="2511"/>
      <c r="TEG30" s="2511"/>
      <c r="TEH30" s="2511"/>
      <c r="TEI30" s="2511"/>
      <c r="TEJ30" s="2511"/>
      <c r="TEK30" s="2511"/>
      <c r="TEL30" s="2511"/>
      <c r="TEM30" s="2511"/>
      <c r="TEN30" s="2511"/>
      <c r="TEO30" s="2511"/>
      <c r="TEP30" s="2511"/>
      <c r="TEQ30" s="2511"/>
      <c r="TER30" s="2511"/>
      <c r="TES30" s="2511"/>
      <c r="TET30" s="2511"/>
      <c r="TEU30" s="2511"/>
      <c r="TEV30" s="2511"/>
      <c r="TEW30" s="2511"/>
      <c r="TEX30" s="2511"/>
      <c r="TEY30" s="2511"/>
      <c r="TEZ30" s="2511"/>
      <c r="TFA30" s="2511"/>
      <c r="TFB30" s="2511"/>
      <c r="TFC30" s="2511"/>
      <c r="TFD30" s="2511"/>
      <c r="TFE30" s="2511"/>
      <c r="TFF30" s="2511"/>
      <c r="TFG30" s="2511"/>
      <c r="TFH30" s="2511"/>
      <c r="TFI30" s="2511"/>
      <c r="TFJ30" s="2511"/>
      <c r="TFK30" s="2511"/>
      <c r="TFL30" s="2511"/>
      <c r="TFM30" s="2511"/>
      <c r="TFN30" s="2511"/>
      <c r="TFO30" s="2511"/>
      <c r="TFP30" s="2511"/>
      <c r="TFQ30" s="2511"/>
      <c r="TFR30" s="2511"/>
      <c r="TFS30" s="2511"/>
      <c r="TFT30" s="2511"/>
      <c r="TFU30" s="2511"/>
      <c r="TFV30" s="2511"/>
      <c r="TFW30" s="2511"/>
      <c r="TFX30" s="2511"/>
      <c r="TFY30" s="2511"/>
      <c r="TFZ30" s="2511"/>
      <c r="TGA30" s="2511"/>
      <c r="TGB30" s="2511"/>
      <c r="TGC30" s="2511"/>
      <c r="TGD30" s="2511"/>
      <c r="TGE30" s="2511"/>
      <c r="TGF30" s="2511"/>
      <c r="TGG30" s="2511"/>
      <c r="TGH30" s="2511"/>
      <c r="TGI30" s="2511"/>
      <c r="TGJ30" s="2511"/>
      <c r="TGK30" s="2511"/>
      <c r="TGL30" s="2511"/>
      <c r="TGM30" s="2511"/>
      <c r="TGN30" s="2511"/>
      <c r="TGO30" s="2511"/>
      <c r="TGP30" s="2511"/>
      <c r="TGQ30" s="2511"/>
      <c r="TGR30" s="2511"/>
      <c r="TGS30" s="2511"/>
      <c r="TGT30" s="2511"/>
      <c r="TGU30" s="2511"/>
      <c r="TGV30" s="2511"/>
      <c r="TGW30" s="2511"/>
      <c r="TGX30" s="2511"/>
      <c r="TGY30" s="2511"/>
      <c r="TGZ30" s="2511"/>
      <c r="THA30" s="2511"/>
      <c r="THB30" s="2511"/>
      <c r="THC30" s="2511"/>
      <c r="THD30" s="2511"/>
      <c r="THE30" s="2511"/>
      <c r="THF30" s="2511"/>
      <c r="THG30" s="2511"/>
      <c r="THH30" s="2511"/>
      <c r="THI30" s="2511"/>
      <c r="THJ30" s="2511"/>
      <c r="THK30" s="2511"/>
      <c r="THL30" s="2511"/>
      <c r="THM30" s="2511"/>
      <c r="THN30" s="2511"/>
      <c r="THO30" s="2511"/>
      <c r="THP30" s="2511"/>
      <c r="THQ30" s="2511"/>
      <c r="THR30" s="2511"/>
      <c r="THS30" s="2511"/>
      <c r="THT30" s="2511"/>
      <c r="THU30" s="2511"/>
      <c r="THV30" s="2511"/>
      <c r="THW30" s="2511"/>
      <c r="THX30" s="2511"/>
      <c r="THY30" s="2511"/>
      <c r="THZ30" s="2511"/>
      <c r="TIA30" s="2511"/>
      <c r="TIB30" s="2511"/>
      <c r="TIC30" s="2511"/>
      <c r="TID30" s="2511"/>
      <c r="TIE30" s="2511"/>
      <c r="TIF30" s="2511"/>
      <c r="TIG30" s="2511"/>
      <c r="TIH30" s="2511"/>
      <c r="TII30" s="2511"/>
      <c r="TIJ30" s="2511"/>
      <c r="TIK30" s="2511"/>
      <c r="TIL30" s="2511"/>
      <c r="TIM30" s="2511"/>
      <c r="TIN30" s="2511"/>
      <c r="TIO30" s="2511"/>
      <c r="TIP30" s="2511"/>
      <c r="TIQ30" s="2511"/>
      <c r="TIR30" s="2511"/>
      <c r="TIS30" s="2511"/>
      <c r="TIT30" s="2511"/>
      <c r="TIU30" s="2511"/>
      <c r="TIV30" s="2511"/>
      <c r="TIW30" s="2511"/>
      <c r="TIX30" s="2511"/>
      <c r="TIY30" s="2511"/>
      <c r="TIZ30" s="2511"/>
      <c r="TJA30" s="2511"/>
      <c r="TJB30" s="2511"/>
      <c r="TJC30" s="2511"/>
      <c r="TJD30" s="2511"/>
      <c r="TJE30" s="2511"/>
      <c r="TJF30" s="2511"/>
      <c r="TJG30" s="2511"/>
      <c r="TJH30" s="2511"/>
      <c r="TJI30" s="2511"/>
      <c r="TJJ30" s="2511"/>
      <c r="TJK30" s="2511"/>
      <c r="TJL30" s="2511"/>
      <c r="TJM30" s="2511"/>
      <c r="TJN30" s="2511"/>
      <c r="TJO30" s="2511"/>
      <c r="TJP30" s="2511"/>
      <c r="TJQ30" s="2511"/>
      <c r="TJR30" s="2511"/>
      <c r="TJS30" s="2511"/>
      <c r="TJT30" s="2511"/>
      <c r="TJU30" s="2511"/>
      <c r="TJV30" s="2511"/>
      <c r="TJW30" s="2511"/>
      <c r="TJX30" s="2511"/>
      <c r="TJY30" s="2511"/>
      <c r="TJZ30" s="2511"/>
      <c r="TKA30" s="2511"/>
      <c r="TKB30" s="2511"/>
      <c r="TKC30" s="2511"/>
      <c r="TKD30" s="2511"/>
      <c r="TKE30" s="2511"/>
      <c r="TKF30" s="2511"/>
      <c r="TKG30" s="2511"/>
      <c r="TKH30" s="2511"/>
      <c r="TKI30" s="2511"/>
      <c r="TKJ30" s="2511"/>
      <c r="TKK30" s="2511"/>
      <c r="TKL30" s="2511"/>
      <c r="TKM30" s="2511"/>
      <c r="TKN30" s="2511"/>
      <c r="TKO30" s="2511"/>
      <c r="TKP30" s="2511"/>
      <c r="TKQ30" s="2511"/>
      <c r="TKR30" s="2511"/>
      <c r="TKS30" s="2511"/>
      <c r="TKT30" s="2511"/>
      <c r="TKU30" s="2511"/>
      <c r="TKV30" s="2511"/>
      <c r="TKW30" s="2511"/>
      <c r="TKX30" s="2511"/>
      <c r="TKY30" s="2511"/>
      <c r="TKZ30" s="2511"/>
      <c r="TLA30" s="2511"/>
      <c r="TLB30" s="2511"/>
      <c r="TLC30" s="2511"/>
      <c r="TLD30" s="2511"/>
      <c r="TLE30" s="2511"/>
      <c r="TLF30" s="2511"/>
      <c r="TLG30" s="2511"/>
      <c r="TLH30" s="2511"/>
      <c r="TLI30" s="2511"/>
      <c r="TLJ30" s="2511"/>
      <c r="TLK30" s="2511"/>
      <c r="TLL30" s="2511"/>
      <c r="TLM30" s="2511"/>
      <c r="TLN30" s="2511"/>
      <c r="TLO30" s="2511"/>
      <c r="TLP30" s="2511"/>
      <c r="TLQ30" s="2511"/>
      <c r="TLR30" s="2511"/>
      <c r="TLS30" s="2511"/>
      <c r="TLT30" s="2511"/>
      <c r="TLU30" s="2511"/>
      <c r="TLV30" s="2511"/>
      <c r="TLW30" s="2511"/>
      <c r="TLX30" s="2511"/>
      <c r="TLY30" s="2511"/>
      <c r="TLZ30" s="2511"/>
      <c r="TMA30" s="2511"/>
      <c r="TMB30" s="2511"/>
      <c r="TMC30" s="2511"/>
      <c r="TMD30" s="2511"/>
      <c r="TME30" s="2511"/>
      <c r="TMF30" s="2511"/>
      <c r="TMG30" s="2511"/>
      <c r="TMH30" s="2511"/>
      <c r="TMI30" s="2511"/>
      <c r="TMJ30" s="2511"/>
      <c r="TMK30" s="2511"/>
      <c r="TML30" s="2511"/>
      <c r="TMM30" s="2511"/>
      <c r="TMN30" s="2511"/>
      <c r="TMO30" s="2511"/>
      <c r="TMP30" s="2511"/>
      <c r="TMQ30" s="2511"/>
      <c r="TMR30" s="2511"/>
      <c r="TMS30" s="2511"/>
      <c r="TMT30" s="2511"/>
      <c r="TMU30" s="2511"/>
      <c r="TMV30" s="2511"/>
      <c r="TMW30" s="2511"/>
      <c r="TMX30" s="2511"/>
      <c r="TMY30" s="2511"/>
      <c r="TMZ30" s="2511"/>
      <c r="TNA30" s="2511"/>
      <c r="TNB30" s="2511"/>
      <c r="TNC30" s="2511"/>
      <c r="TND30" s="2511"/>
      <c r="TNE30" s="2511"/>
      <c r="TNF30" s="2511"/>
      <c r="TNG30" s="2511"/>
      <c r="TNH30" s="2511"/>
      <c r="TNI30" s="2511"/>
      <c r="TNJ30" s="2511"/>
      <c r="TNK30" s="2511"/>
      <c r="TNL30" s="2511"/>
      <c r="TNM30" s="2511"/>
      <c r="TNN30" s="2511"/>
      <c r="TNO30" s="2511"/>
      <c r="TNP30" s="2511"/>
      <c r="TNQ30" s="2511"/>
      <c r="TNR30" s="2511"/>
      <c r="TNS30" s="2511"/>
      <c r="TNT30" s="2511"/>
      <c r="TNU30" s="2511"/>
      <c r="TNV30" s="2511"/>
      <c r="TNW30" s="2511"/>
      <c r="TNX30" s="2511"/>
      <c r="TNY30" s="2511"/>
      <c r="TNZ30" s="2511"/>
      <c r="TOA30" s="2511"/>
      <c r="TOB30" s="2511"/>
      <c r="TOC30" s="2511"/>
      <c r="TOD30" s="2511"/>
      <c r="TOE30" s="2511"/>
      <c r="TOF30" s="2511"/>
      <c r="TOG30" s="2511"/>
      <c r="TOH30" s="2511"/>
      <c r="TOI30" s="2511"/>
      <c r="TOJ30" s="2511"/>
      <c r="TOK30" s="2511"/>
      <c r="TOL30" s="2511"/>
      <c r="TOM30" s="2511"/>
      <c r="TON30" s="2511"/>
      <c r="TOO30" s="2511"/>
      <c r="TOP30" s="2511"/>
      <c r="TOQ30" s="2511"/>
      <c r="TOR30" s="2511"/>
      <c r="TOS30" s="2511"/>
      <c r="TOT30" s="2511"/>
      <c r="TOU30" s="2511"/>
      <c r="TOV30" s="2511"/>
      <c r="TOW30" s="2511"/>
      <c r="TOX30" s="2511"/>
      <c r="TOY30" s="2511"/>
      <c r="TOZ30" s="2511"/>
      <c r="TPA30" s="2511"/>
      <c r="TPB30" s="2511"/>
      <c r="TPC30" s="2511"/>
      <c r="TPD30" s="2511"/>
      <c r="TPE30" s="2511"/>
      <c r="TPF30" s="2511"/>
      <c r="TPG30" s="2511"/>
      <c r="TPH30" s="2511"/>
      <c r="TPI30" s="2511"/>
      <c r="TPJ30" s="2511"/>
      <c r="TPK30" s="2511"/>
      <c r="TPL30" s="2511"/>
      <c r="TPM30" s="2511"/>
      <c r="TPN30" s="2511"/>
      <c r="TPO30" s="2511"/>
      <c r="TPP30" s="2511"/>
      <c r="TPQ30" s="2511"/>
      <c r="TPR30" s="2511"/>
      <c r="TPS30" s="2511"/>
      <c r="TPT30" s="2511"/>
      <c r="TPU30" s="2511"/>
      <c r="TPV30" s="2511"/>
      <c r="TPW30" s="2511"/>
      <c r="TPX30" s="2511"/>
      <c r="TPY30" s="2511"/>
      <c r="TPZ30" s="2511"/>
      <c r="TQA30" s="2511"/>
      <c r="TQB30" s="2511"/>
      <c r="TQC30" s="2511"/>
      <c r="TQD30" s="2511"/>
      <c r="TQE30" s="2511"/>
      <c r="TQF30" s="2511"/>
      <c r="TQG30" s="2511"/>
      <c r="TQH30" s="2511"/>
      <c r="TQI30" s="2511"/>
      <c r="TQJ30" s="2511"/>
      <c r="TQK30" s="2511"/>
      <c r="TQL30" s="2511"/>
      <c r="TQM30" s="2511"/>
      <c r="TQN30" s="2511"/>
      <c r="TQO30" s="2511"/>
      <c r="TQP30" s="2511"/>
      <c r="TQQ30" s="2511"/>
      <c r="TQR30" s="2511"/>
      <c r="TQS30" s="2511"/>
      <c r="TQT30" s="2511"/>
      <c r="TQU30" s="2511"/>
      <c r="TQV30" s="2511"/>
      <c r="TQW30" s="2511"/>
      <c r="TQX30" s="2511"/>
      <c r="TQY30" s="2511"/>
      <c r="TQZ30" s="2511"/>
      <c r="TRA30" s="2511"/>
      <c r="TRB30" s="2511"/>
      <c r="TRC30" s="2511"/>
      <c r="TRD30" s="2511"/>
      <c r="TRE30" s="2511"/>
      <c r="TRF30" s="2511"/>
      <c r="TRG30" s="2511"/>
      <c r="TRH30" s="2511"/>
      <c r="TRI30" s="2511"/>
      <c r="TRJ30" s="2511"/>
      <c r="TRK30" s="2511"/>
      <c r="TRL30" s="2511"/>
      <c r="TRM30" s="2511"/>
      <c r="TRN30" s="2511"/>
      <c r="TRO30" s="2511"/>
      <c r="TRP30" s="2511"/>
      <c r="TRQ30" s="2511"/>
      <c r="TRR30" s="2511"/>
      <c r="TRS30" s="2511"/>
      <c r="TRT30" s="2511"/>
      <c r="TRU30" s="2511"/>
      <c r="TRV30" s="2511"/>
      <c r="TRW30" s="2511"/>
      <c r="TRX30" s="2511"/>
      <c r="TRY30" s="2511"/>
      <c r="TRZ30" s="2511"/>
      <c r="TSA30" s="2511"/>
      <c r="TSB30" s="2511"/>
      <c r="TSC30" s="2511"/>
      <c r="TSD30" s="2511"/>
      <c r="TSE30" s="2511"/>
      <c r="TSF30" s="2511"/>
      <c r="TSG30" s="2511"/>
      <c r="TSH30" s="2511"/>
      <c r="TSI30" s="2511"/>
      <c r="TSJ30" s="2511"/>
      <c r="TSK30" s="2511"/>
      <c r="TSL30" s="2511"/>
      <c r="TSM30" s="2511"/>
      <c r="TSN30" s="2511"/>
      <c r="TSO30" s="2511"/>
      <c r="TSP30" s="2511"/>
      <c r="TSQ30" s="2511"/>
      <c r="TSR30" s="2511"/>
      <c r="TSS30" s="2511"/>
      <c r="TST30" s="2511"/>
      <c r="TSU30" s="2511"/>
      <c r="TSV30" s="2511"/>
      <c r="TSW30" s="2511"/>
      <c r="TSX30" s="2511"/>
      <c r="TSY30" s="2511"/>
      <c r="TSZ30" s="2511"/>
      <c r="TTA30" s="2511"/>
      <c r="TTB30" s="2511"/>
      <c r="TTC30" s="2511"/>
      <c r="TTD30" s="2511"/>
      <c r="TTE30" s="2511"/>
      <c r="TTF30" s="2511"/>
      <c r="TTG30" s="2511"/>
      <c r="TTH30" s="2511"/>
      <c r="TTI30" s="2511"/>
      <c r="TTJ30" s="2511"/>
      <c r="TTK30" s="2511"/>
      <c r="TTL30" s="2511"/>
      <c r="TTM30" s="2511"/>
      <c r="TTN30" s="2511"/>
      <c r="TTO30" s="2511"/>
      <c r="TTP30" s="2511"/>
      <c r="TTQ30" s="2511"/>
      <c r="TTR30" s="2511"/>
      <c r="TTS30" s="2511"/>
      <c r="TTT30" s="2511"/>
      <c r="TTU30" s="2511"/>
      <c r="TTV30" s="2511"/>
      <c r="TTW30" s="2511"/>
      <c r="TTX30" s="2511"/>
      <c r="TTY30" s="2511"/>
      <c r="TTZ30" s="2511"/>
      <c r="TUA30" s="2511"/>
      <c r="TUB30" s="2511"/>
      <c r="TUC30" s="2511"/>
      <c r="TUD30" s="2511"/>
      <c r="TUE30" s="2511"/>
      <c r="TUF30" s="2511"/>
      <c r="TUG30" s="2511"/>
      <c r="TUH30" s="2511"/>
      <c r="TUI30" s="2511"/>
      <c r="TUJ30" s="2511"/>
      <c r="TUK30" s="2511"/>
      <c r="TUL30" s="2511"/>
      <c r="TUM30" s="2511"/>
      <c r="TUN30" s="2511"/>
      <c r="TUO30" s="2511"/>
      <c r="TUP30" s="2511"/>
      <c r="TUQ30" s="2511"/>
      <c r="TUR30" s="2511"/>
      <c r="TUS30" s="2511"/>
      <c r="TUT30" s="2511"/>
      <c r="TUU30" s="2511"/>
      <c r="TUV30" s="2511"/>
      <c r="TUW30" s="2511"/>
      <c r="TUX30" s="2511"/>
      <c r="TUY30" s="2511"/>
      <c r="TUZ30" s="2511"/>
      <c r="TVA30" s="2511"/>
      <c r="TVB30" s="2511"/>
      <c r="TVC30" s="2511"/>
      <c r="TVD30" s="2511"/>
      <c r="TVE30" s="2511"/>
      <c r="TVF30" s="2511"/>
      <c r="TVG30" s="2511"/>
      <c r="TVH30" s="2511"/>
      <c r="TVI30" s="2511"/>
      <c r="TVJ30" s="2511"/>
      <c r="TVK30" s="2511"/>
      <c r="TVL30" s="2511"/>
      <c r="TVM30" s="2511"/>
      <c r="TVN30" s="2511"/>
      <c r="TVO30" s="2511"/>
      <c r="TVP30" s="2511"/>
      <c r="TVQ30" s="2511"/>
      <c r="TVR30" s="2511"/>
      <c r="TVS30" s="2511"/>
      <c r="TVT30" s="2511"/>
      <c r="TVU30" s="2511"/>
      <c r="TVV30" s="2511"/>
      <c r="TVW30" s="2511"/>
      <c r="TVX30" s="2511"/>
      <c r="TVY30" s="2511"/>
      <c r="TVZ30" s="2511"/>
      <c r="TWA30" s="2511"/>
      <c r="TWB30" s="2511"/>
      <c r="TWC30" s="2511"/>
      <c r="TWD30" s="2511"/>
      <c r="TWE30" s="2511"/>
      <c r="TWF30" s="2511"/>
      <c r="TWG30" s="2511"/>
      <c r="TWH30" s="2511"/>
      <c r="TWI30" s="2511"/>
      <c r="TWJ30" s="2511"/>
      <c r="TWK30" s="2511"/>
      <c r="TWL30" s="2511"/>
      <c r="TWM30" s="2511"/>
      <c r="TWN30" s="2511"/>
      <c r="TWO30" s="2511"/>
      <c r="TWP30" s="2511"/>
      <c r="TWQ30" s="2511"/>
      <c r="TWR30" s="2511"/>
      <c r="TWS30" s="2511"/>
      <c r="TWT30" s="2511"/>
      <c r="TWU30" s="2511"/>
      <c r="TWV30" s="2511"/>
      <c r="TWW30" s="2511"/>
      <c r="TWX30" s="2511"/>
      <c r="TWY30" s="2511"/>
      <c r="TWZ30" s="2511"/>
      <c r="TXA30" s="2511"/>
      <c r="TXB30" s="2511"/>
      <c r="TXC30" s="2511"/>
      <c r="TXD30" s="2511"/>
      <c r="TXE30" s="2511"/>
      <c r="TXF30" s="2511"/>
      <c r="TXG30" s="2511"/>
      <c r="TXH30" s="2511"/>
      <c r="TXI30" s="2511"/>
      <c r="TXJ30" s="2511"/>
      <c r="TXK30" s="2511"/>
      <c r="TXL30" s="2511"/>
      <c r="TXM30" s="2511"/>
      <c r="TXN30" s="2511"/>
      <c r="TXO30" s="2511"/>
      <c r="TXP30" s="2511"/>
      <c r="TXQ30" s="2511"/>
      <c r="TXR30" s="2511"/>
      <c r="TXS30" s="2511"/>
      <c r="TXT30" s="2511"/>
      <c r="TXU30" s="2511"/>
      <c r="TXV30" s="2511"/>
      <c r="TXW30" s="2511"/>
      <c r="TXX30" s="2511"/>
      <c r="TXY30" s="2511"/>
      <c r="TXZ30" s="2511"/>
      <c r="TYA30" s="2511"/>
      <c r="TYB30" s="2511"/>
      <c r="TYC30" s="2511"/>
      <c r="TYD30" s="2511"/>
      <c r="TYE30" s="2511"/>
      <c r="TYF30" s="2511"/>
      <c r="TYG30" s="2511"/>
      <c r="TYH30" s="2511"/>
      <c r="TYI30" s="2511"/>
      <c r="TYJ30" s="2511"/>
      <c r="TYK30" s="2511"/>
      <c r="TYL30" s="2511"/>
      <c r="TYM30" s="2511"/>
      <c r="TYN30" s="2511"/>
      <c r="TYO30" s="2511"/>
      <c r="TYP30" s="2511"/>
      <c r="TYQ30" s="2511"/>
      <c r="TYR30" s="2511"/>
      <c r="TYS30" s="2511"/>
      <c r="TYT30" s="2511"/>
      <c r="TYU30" s="2511"/>
      <c r="TYV30" s="2511"/>
      <c r="TYW30" s="2511"/>
      <c r="TYX30" s="2511"/>
      <c r="TYY30" s="2511"/>
      <c r="TYZ30" s="2511"/>
      <c r="TZA30" s="2511"/>
      <c r="TZB30" s="2511"/>
      <c r="TZC30" s="2511"/>
      <c r="TZD30" s="2511"/>
      <c r="TZE30" s="2511"/>
      <c r="TZF30" s="2511"/>
      <c r="TZG30" s="2511"/>
      <c r="TZH30" s="2511"/>
      <c r="TZI30" s="2511"/>
      <c r="TZJ30" s="2511"/>
      <c r="TZK30" s="2511"/>
      <c r="TZL30" s="2511"/>
      <c r="TZM30" s="2511"/>
      <c r="TZN30" s="2511"/>
      <c r="TZO30" s="2511"/>
      <c r="TZP30" s="2511"/>
      <c r="TZQ30" s="2511"/>
      <c r="TZR30" s="2511"/>
      <c r="TZS30" s="2511"/>
      <c r="TZT30" s="2511"/>
      <c r="TZU30" s="2511"/>
      <c r="TZV30" s="2511"/>
      <c r="TZW30" s="2511"/>
      <c r="TZX30" s="2511"/>
      <c r="TZY30" s="2511"/>
      <c r="TZZ30" s="2511"/>
      <c r="UAA30" s="2511"/>
      <c r="UAB30" s="2511"/>
      <c r="UAC30" s="2511"/>
      <c r="UAD30" s="2511"/>
      <c r="UAE30" s="2511"/>
      <c r="UAF30" s="2511"/>
      <c r="UAG30" s="2511"/>
      <c r="UAH30" s="2511"/>
      <c r="UAI30" s="2511"/>
      <c r="UAJ30" s="2511"/>
      <c r="UAK30" s="2511"/>
      <c r="UAL30" s="2511"/>
      <c r="UAM30" s="2511"/>
      <c r="UAN30" s="2511"/>
      <c r="UAO30" s="2511"/>
      <c r="UAP30" s="2511"/>
      <c r="UAQ30" s="2511"/>
      <c r="UAR30" s="2511"/>
      <c r="UAS30" s="2511"/>
      <c r="UAT30" s="2511"/>
      <c r="UAU30" s="2511"/>
      <c r="UAV30" s="2511"/>
      <c r="UAW30" s="2511"/>
      <c r="UAX30" s="2511"/>
      <c r="UAY30" s="2511"/>
      <c r="UAZ30" s="2511"/>
      <c r="UBA30" s="2511"/>
      <c r="UBB30" s="2511"/>
      <c r="UBC30" s="2511"/>
      <c r="UBD30" s="2511"/>
      <c r="UBE30" s="2511"/>
      <c r="UBF30" s="2511"/>
      <c r="UBG30" s="2511"/>
      <c r="UBH30" s="2511"/>
      <c r="UBI30" s="2511"/>
      <c r="UBJ30" s="2511"/>
      <c r="UBK30" s="2511"/>
      <c r="UBL30" s="2511"/>
      <c r="UBM30" s="2511"/>
      <c r="UBN30" s="2511"/>
      <c r="UBO30" s="2511"/>
      <c r="UBP30" s="2511"/>
      <c r="UBQ30" s="2511"/>
      <c r="UBR30" s="2511"/>
      <c r="UBS30" s="2511"/>
      <c r="UBT30" s="2511"/>
      <c r="UBU30" s="2511"/>
      <c r="UBV30" s="2511"/>
      <c r="UBW30" s="2511"/>
      <c r="UBX30" s="2511"/>
      <c r="UBY30" s="2511"/>
      <c r="UBZ30" s="2511"/>
      <c r="UCA30" s="2511"/>
      <c r="UCB30" s="2511"/>
      <c r="UCC30" s="2511"/>
      <c r="UCD30" s="2511"/>
      <c r="UCE30" s="2511"/>
      <c r="UCF30" s="2511"/>
      <c r="UCG30" s="2511"/>
      <c r="UCH30" s="2511"/>
      <c r="UCI30" s="2511"/>
      <c r="UCJ30" s="2511"/>
      <c r="UCK30" s="2511"/>
      <c r="UCL30" s="2511"/>
      <c r="UCM30" s="2511"/>
      <c r="UCN30" s="2511"/>
      <c r="UCO30" s="2511"/>
      <c r="UCP30" s="2511"/>
      <c r="UCQ30" s="2511"/>
      <c r="UCR30" s="2511"/>
      <c r="UCS30" s="2511"/>
      <c r="UCT30" s="2511"/>
      <c r="UCU30" s="2511"/>
      <c r="UCV30" s="2511"/>
      <c r="UCW30" s="2511"/>
      <c r="UCX30" s="2511"/>
      <c r="UCY30" s="2511"/>
      <c r="UCZ30" s="2511"/>
      <c r="UDA30" s="2511"/>
      <c r="UDB30" s="2511"/>
      <c r="UDC30" s="2511"/>
      <c r="UDD30" s="2511"/>
      <c r="UDE30" s="2511"/>
      <c r="UDF30" s="2511"/>
      <c r="UDG30" s="2511"/>
      <c r="UDH30" s="2511"/>
      <c r="UDI30" s="2511"/>
      <c r="UDJ30" s="2511"/>
      <c r="UDK30" s="2511"/>
      <c r="UDL30" s="2511"/>
      <c r="UDM30" s="2511"/>
      <c r="UDN30" s="2511"/>
      <c r="UDO30" s="2511"/>
      <c r="UDP30" s="2511"/>
      <c r="UDQ30" s="2511"/>
      <c r="UDR30" s="2511"/>
      <c r="UDS30" s="2511"/>
      <c r="UDT30" s="2511"/>
      <c r="UDU30" s="2511"/>
      <c r="UDV30" s="2511"/>
      <c r="UDW30" s="2511"/>
      <c r="UDX30" s="2511"/>
      <c r="UDY30" s="2511"/>
      <c r="UDZ30" s="2511"/>
      <c r="UEA30" s="2511"/>
      <c r="UEB30" s="2511"/>
      <c r="UEC30" s="2511"/>
      <c r="UED30" s="2511"/>
      <c r="UEE30" s="2511"/>
      <c r="UEF30" s="2511"/>
      <c r="UEG30" s="2511"/>
      <c r="UEH30" s="2511"/>
      <c r="UEI30" s="2511"/>
      <c r="UEJ30" s="2511"/>
      <c r="UEK30" s="2511"/>
      <c r="UEL30" s="2511"/>
      <c r="UEM30" s="2511"/>
      <c r="UEN30" s="2511"/>
      <c r="UEO30" s="2511"/>
      <c r="UEP30" s="2511"/>
      <c r="UEQ30" s="2511"/>
      <c r="UER30" s="2511"/>
      <c r="UES30" s="2511"/>
      <c r="UET30" s="2511"/>
      <c r="UEU30" s="2511"/>
      <c r="UEV30" s="2511"/>
      <c r="UEW30" s="2511"/>
      <c r="UEX30" s="2511"/>
      <c r="UEY30" s="2511"/>
      <c r="UEZ30" s="2511"/>
      <c r="UFA30" s="2511"/>
      <c r="UFB30" s="2511"/>
      <c r="UFC30" s="2511"/>
      <c r="UFD30" s="2511"/>
      <c r="UFE30" s="2511"/>
      <c r="UFF30" s="2511"/>
      <c r="UFG30" s="2511"/>
      <c r="UFH30" s="2511"/>
      <c r="UFI30" s="2511"/>
      <c r="UFJ30" s="2511"/>
      <c r="UFK30" s="2511"/>
      <c r="UFL30" s="2511"/>
      <c r="UFM30" s="2511"/>
      <c r="UFN30" s="2511"/>
      <c r="UFO30" s="2511"/>
      <c r="UFP30" s="2511"/>
      <c r="UFQ30" s="2511"/>
      <c r="UFR30" s="2511"/>
      <c r="UFS30" s="2511"/>
      <c r="UFT30" s="2511"/>
      <c r="UFU30" s="2511"/>
      <c r="UFV30" s="2511"/>
      <c r="UFW30" s="2511"/>
      <c r="UFX30" s="2511"/>
      <c r="UFY30" s="2511"/>
      <c r="UFZ30" s="2511"/>
      <c r="UGA30" s="2511"/>
      <c r="UGB30" s="2511"/>
      <c r="UGC30" s="2511"/>
      <c r="UGD30" s="2511"/>
      <c r="UGE30" s="2511"/>
      <c r="UGF30" s="2511"/>
      <c r="UGG30" s="2511"/>
      <c r="UGH30" s="2511"/>
      <c r="UGI30" s="2511"/>
      <c r="UGJ30" s="2511"/>
      <c r="UGK30" s="2511"/>
      <c r="UGL30" s="2511"/>
      <c r="UGM30" s="2511"/>
      <c r="UGN30" s="2511"/>
      <c r="UGO30" s="2511"/>
      <c r="UGP30" s="2511"/>
      <c r="UGQ30" s="2511"/>
      <c r="UGR30" s="2511"/>
      <c r="UGS30" s="2511"/>
      <c r="UGT30" s="2511"/>
      <c r="UGU30" s="2511"/>
      <c r="UGV30" s="2511"/>
      <c r="UGW30" s="2511"/>
      <c r="UGX30" s="2511"/>
      <c r="UGY30" s="2511"/>
      <c r="UGZ30" s="2511"/>
      <c r="UHA30" s="2511"/>
      <c r="UHB30" s="2511"/>
      <c r="UHC30" s="2511"/>
      <c r="UHD30" s="2511"/>
      <c r="UHE30" s="2511"/>
      <c r="UHF30" s="2511"/>
      <c r="UHG30" s="2511"/>
      <c r="UHH30" s="2511"/>
      <c r="UHI30" s="2511"/>
      <c r="UHJ30" s="2511"/>
      <c r="UHK30" s="2511"/>
      <c r="UHL30" s="2511"/>
      <c r="UHM30" s="2511"/>
      <c r="UHN30" s="2511"/>
      <c r="UHO30" s="2511"/>
      <c r="UHP30" s="2511"/>
      <c r="UHQ30" s="2511"/>
      <c r="UHR30" s="2511"/>
      <c r="UHS30" s="2511"/>
      <c r="UHT30" s="2511"/>
      <c r="UHU30" s="2511"/>
      <c r="UHV30" s="2511"/>
      <c r="UHW30" s="2511"/>
      <c r="UHX30" s="2511"/>
      <c r="UHY30" s="2511"/>
      <c r="UHZ30" s="2511"/>
      <c r="UIA30" s="2511"/>
      <c r="UIB30" s="2511"/>
      <c r="UIC30" s="2511"/>
      <c r="UID30" s="2511"/>
      <c r="UIE30" s="2511"/>
      <c r="UIF30" s="2511"/>
      <c r="UIG30" s="2511"/>
      <c r="UIH30" s="2511"/>
      <c r="UII30" s="2511"/>
      <c r="UIJ30" s="2511"/>
      <c r="UIK30" s="2511"/>
      <c r="UIL30" s="2511"/>
      <c r="UIM30" s="2511"/>
      <c r="UIN30" s="2511"/>
      <c r="UIO30" s="2511"/>
      <c r="UIP30" s="2511"/>
      <c r="UIQ30" s="2511"/>
      <c r="UIR30" s="2511"/>
      <c r="UIS30" s="2511"/>
      <c r="UIT30" s="2511"/>
      <c r="UIU30" s="2511"/>
      <c r="UIV30" s="2511"/>
      <c r="UIW30" s="2511"/>
      <c r="UIX30" s="2511"/>
      <c r="UIY30" s="2511"/>
      <c r="UIZ30" s="2511"/>
      <c r="UJA30" s="2511"/>
      <c r="UJB30" s="2511"/>
      <c r="UJC30" s="2511"/>
      <c r="UJD30" s="2511"/>
      <c r="UJE30" s="2511"/>
      <c r="UJF30" s="2511"/>
      <c r="UJG30" s="2511"/>
      <c r="UJH30" s="2511"/>
      <c r="UJI30" s="2511"/>
      <c r="UJJ30" s="2511"/>
      <c r="UJK30" s="2511"/>
      <c r="UJL30" s="2511"/>
      <c r="UJM30" s="2511"/>
      <c r="UJN30" s="2511"/>
      <c r="UJO30" s="2511"/>
      <c r="UJP30" s="2511"/>
      <c r="UJQ30" s="2511"/>
      <c r="UJR30" s="2511"/>
      <c r="UJS30" s="2511"/>
      <c r="UJT30" s="2511"/>
      <c r="UJU30" s="2511"/>
      <c r="UJV30" s="2511"/>
      <c r="UJW30" s="2511"/>
      <c r="UJX30" s="2511"/>
      <c r="UJY30" s="2511"/>
      <c r="UJZ30" s="2511"/>
      <c r="UKA30" s="2511"/>
      <c r="UKB30" s="2511"/>
      <c r="UKC30" s="2511"/>
      <c r="UKD30" s="2511"/>
      <c r="UKE30" s="2511"/>
      <c r="UKF30" s="2511"/>
      <c r="UKG30" s="2511"/>
      <c r="UKH30" s="2511"/>
      <c r="UKI30" s="2511"/>
      <c r="UKJ30" s="2511"/>
      <c r="UKK30" s="2511"/>
      <c r="UKL30" s="2511"/>
      <c r="UKM30" s="2511"/>
      <c r="UKN30" s="2511"/>
      <c r="UKO30" s="2511"/>
      <c r="UKP30" s="2511"/>
      <c r="UKQ30" s="2511"/>
      <c r="UKR30" s="2511"/>
      <c r="UKS30" s="2511"/>
      <c r="UKT30" s="2511"/>
      <c r="UKU30" s="2511"/>
      <c r="UKV30" s="2511"/>
      <c r="UKW30" s="2511"/>
      <c r="UKX30" s="2511"/>
      <c r="UKY30" s="2511"/>
      <c r="UKZ30" s="2511"/>
      <c r="ULA30" s="2511"/>
      <c r="ULB30" s="2511"/>
      <c r="ULC30" s="2511"/>
      <c r="ULD30" s="2511"/>
      <c r="ULE30" s="2511"/>
      <c r="ULF30" s="2511"/>
      <c r="ULG30" s="2511"/>
      <c r="ULH30" s="2511"/>
      <c r="ULI30" s="2511"/>
      <c r="ULJ30" s="2511"/>
      <c r="ULK30" s="2511"/>
      <c r="ULL30" s="2511"/>
      <c r="ULM30" s="2511"/>
      <c r="ULN30" s="2511"/>
      <c r="ULO30" s="2511"/>
      <c r="ULP30" s="2511"/>
      <c r="ULQ30" s="2511"/>
      <c r="ULR30" s="2511"/>
      <c r="ULS30" s="2511"/>
      <c r="ULT30" s="2511"/>
      <c r="ULU30" s="2511"/>
      <c r="ULV30" s="2511"/>
      <c r="ULW30" s="2511"/>
      <c r="ULX30" s="2511"/>
      <c r="ULY30" s="2511"/>
      <c r="ULZ30" s="2511"/>
      <c r="UMA30" s="2511"/>
      <c r="UMB30" s="2511"/>
      <c r="UMC30" s="2511"/>
      <c r="UMD30" s="2511"/>
      <c r="UME30" s="2511"/>
      <c r="UMF30" s="2511"/>
      <c r="UMG30" s="2511"/>
      <c r="UMH30" s="2511"/>
      <c r="UMI30" s="2511"/>
      <c r="UMJ30" s="2511"/>
      <c r="UMK30" s="2511"/>
      <c r="UML30" s="2511"/>
      <c r="UMM30" s="2511"/>
      <c r="UMN30" s="2511"/>
      <c r="UMO30" s="2511"/>
      <c r="UMP30" s="2511"/>
      <c r="UMQ30" s="2511"/>
      <c r="UMR30" s="2511"/>
      <c r="UMS30" s="2511"/>
      <c r="UMT30" s="2511"/>
      <c r="UMU30" s="2511"/>
      <c r="UMV30" s="2511"/>
      <c r="UMW30" s="2511"/>
      <c r="UMX30" s="2511"/>
      <c r="UMY30" s="2511"/>
      <c r="UMZ30" s="2511"/>
      <c r="UNA30" s="2511"/>
      <c r="UNB30" s="2511"/>
      <c r="UNC30" s="2511"/>
      <c r="UND30" s="2511"/>
      <c r="UNE30" s="2511"/>
      <c r="UNF30" s="2511"/>
      <c r="UNG30" s="2511"/>
      <c r="UNH30" s="2511"/>
      <c r="UNI30" s="2511"/>
      <c r="UNJ30" s="2511"/>
      <c r="UNK30" s="2511"/>
      <c r="UNL30" s="2511"/>
      <c r="UNM30" s="2511"/>
      <c r="UNN30" s="2511"/>
      <c r="UNO30" s="2511"/>
      <c r="UNP30" s="2511"/>
      <c r="UNQ30" s="2511"/>
      <c r="UNR30" s="2511"/>
      <c r="UNS30" s="2511"/>
      <c r="UNT30" s="2511"/>
      <c r="UNU30" s="2511"/>
      <c r="UNV30" s="2511"/>
      <c r="UNW30" s="2511"/>
      <c r="UNX30" s="2511"/>
      <c r="UNY30" s="2511"/>
      <c r="UNZ30" s="2511"/>
      <c r="UOA30" s="2511"/>
      <c r="UOB30" s="2511"/>
      <c r="UOC30" s="2511"/>
      <c r="UOD30" s="2511"/>
      <c r="UOE30" s="2511"/>
      <c r="UOF30" s="2511"/>
      <c r="UOG30" s="2511"/>
      <c r="UOH30" s="2511"/>
      <c r="UOI30" s="2511"/>
      <c r="UOJ30" s="2511"/>
      <c r="UOK30" s="2511"/>
      <c r="UOL30" s="2511"/>
      <c r="UOM30" s="2511"/>
      <c r="UON30" s="2511"/>
      <c r="UOO30" s="2511"/>
      <c r="UOP30" s="2511"/>
      <c r="UOQ30" s="2511"/>
      <c r="UOR30" s="2511"/>
      <c r="UOS30" s="2511"/>
      <c r="UOT30" s="2511"/>
      <c r="UOU30" s="2511"/>
      <c r="UOV30" s="2511"/>
      <c r="UOW30" s="2511"/>
      <c r="UOX30" s="2511"/>
      <c r="UOY30" s="2511"/>
      <c r="UOZ30" s="2511"/>
      <c r="UPA30" s="2511"/>
      <c r="UPB30" s="2511"/>
      <c r="UPC30" s="2511"/>
      <c r="UPD30" s="2511"/>
      <c r="UPE30" s="2511"/>
      <c r="UPF30" s="2511"/>
      <c r="UPG30" s="2511"/>
      <c r="UPH30" s="2511"/>
      <c r="UPI30" s="2511"/>
      <c r="UPJ30" s="2511"/>
      <c r="UPK30" s="2511"/>
      <c r="UPL30" s="2511"/>
      <c r="UPM30" s="2511"/>
      <c r="UPN30" s="2511"/>
      <c r="UPO30" s="2511"/>
      <c r="UPP30" s="2511"/>
      <c r="UPQ30" s="2511"/>
      <c r="UPR30" s="2511"/>
      <c r="UPS30" s="2511"/>
      <c r="UPT30" s="2511"/>
      <c r="UPU30" s="2511"/>
      <c r="UPV30" s="2511"/>
      <c r="UPW30" s="2511"/>
      <c r="UPX30" s="2511"/>
      <c r="UPY30" s="2511"/>
      <c r="UPZ30" s="2511"/>
      <c r="UQA30" s="2511"/>
      <c r="UQB30" s="2511"/>
      <c r="UQC30" s="2511"/>
      <c r="UQD30" s="2511"/>
      <c r="UQE30" s="2511"/>
      <c r="UQF30" s="2511"/>
      <c r="UQG30" s="2511"/>
      <c r="UQH30" s="2511"/>
      <c r="UQI30" s="2511"/>
      <c r="UQJ30" s="2511"/>
      <c r="UQK30" s="2511"/>
      <c r="UQL30" s="2511"/>
      <c r="UQM30" s="2511"/>
      <c r="UQN30" s="2511"/>
      <c r="UQO30" s="2511"/>
      <c r="UQP30" s="2511"/>
      <c r="UQQ30" s="2511"/>
      <c r="UQR30" s="2511"/>
      <c r="UQS30" s="2511"/>
      <c r="UQT30" s="2511"/>
      <c r="UQU30" s="2511"/>
      <c r="UQV30" s="2511"/>
      <c r="UQW30" s="2511"/>
      <c r="UQX30" s="2511"/>
      <c r="UQY30" s="2511"/>
      <c r="UQZ30" s="2511"/>
      <c r="URA30" s="2511"/>
      <c r="URB30" s="2511"/>
      <c r="URC30" s="2511"/>
      <c r="URD30" s="2511"/>
      <c r="URE30" s="2511"/>
      <c r="URF30" s="2511"/>
      <c r="URG30" s="2511"/>
      <c r="URH30" s="2511"/>
      <c r="URI30" s="2511"/>
      <c r="URJ30" s="2511"/>
      <c r="URK30" s="2511"/>
      <c r="URL30" s="2511"/>
      <c r="URM30" s="2511"/>
      <c r="URN30" s="2511"/>
      <c r="URO30" s="2511"/>
      <c r="URP30" s="2511"/>
      <c r="URQ30" s="2511"/>
      <c r="URR30" s="2511"/>
      <c r="URS30" s="2511"/>
      <c r="URT30" s="2511"/>
      <c r="URU30" s="2511"/>
      <c r="URV30" s="2511"/>
      <c r="URW30" s="2511"/>
      <c r="URX30" s="2511"/>
      <c r="URY30" s="2511"/>
      <c r="URZ30" s="2511"/>
      <c r="USA30" s="2511"/>
      <c r="USB30" s="2511"/>
      <c r="USC30" s="2511"/>
      <c r="USD30" s="2511"/>
      <c r="USE30" s="2511"/>
      <c r="USF30" s="2511"/>
      <c r="USG30" s="2511"/>
      <c r="USH30" s="2511"/>
      <c r="USI30" s="2511"/>
      <c r="USJ30" s="2511"/>
      <c r="USK30" s="2511"/>
      <c r="USL30" s="2511"/>
      <c r="USM30" s="2511"/>
      <c r="USN30" s="2511"/>
      <c r="USO30" s="2511"/>
      <c r="USP30" s="2511"/>
      <c r="USQ30" s="2511"/>
      <c r="USR30" s="2511"/>
      <c r="USS30" s="2511"/>
      <c r="UST30" s="2511"/>
      <c r="USU30" s="2511"/>
      <c r="USV30" s="2511"/>
      <c r="USW30" s="2511"/>
      <c r="USX30" s="2511"/>
      <c r="USY30" s="2511"/>
      <c r="USZ30" s="2511"/>
      <c r="UTA30" s="2511"/>
      <c r="UTB30" s="2511"/>
      <c r="UTC30" s="2511"/>
      <c r="UTD30" s="2511"/>
      <c r="UTE30" s="2511"/>
      <c r="UTF30" s="2511"/>
      <c r="UTG30" s="2511"/>
      <c r="UTH30" s="2511"/>
      <c r="UTI30" s="2511"/>
      <c r="UTJ30" s="2511"/>
      <c r="UTK30" s="2511"/>
      <c r="UTL30" s="2511"/>
      <c r="UTM30" s="2511"/>
      <c r="UTN30" s="2511"/>
      <c r="UTO30" s="2511"/>
      <c r="UTP30" s="2511"/>
      <c r="UTQ30" s="2511"/>
      <c r="UTR30" s="2511"/>
      <c r="UTS30" s="2511"/>
      <c r="UTT30" s="2511"/>
      <c r="UTU30" s="2511"/>
      <c r="UTV30" s="2511"/>
      <c r="UTW30" s="2511"/>
      <c r="UTX30" s="2511"/>
      <c r="UTY30" s="2511"/>
      <c r="UTZ30" s="2511"/>
      <c r="UUA30" s="2511"/>
      <c r="UUB30" s="2511"/>
      <c r="UUC30" s="2511"/>
      <c r="UUD30" s="2511"/>
      <c r="UUE30" s="2511"/>
      <c r="UUF30" s="2511"/>
      <c r="UUG30" s="2511"/>
      <c r="UUH30" s="2511"/>
      <c r="UUI30" s="2511"/>
      <c r="UUJ30" s="2511"/>
      <c r="UUK30" s="2511"/>
      <c r="UUL30" s="2511"/>
      <c r="UUM30" s="2511"/>
      <c r="UUN30" s="2511"/>
      <c r="UUO30" s="2511"/>
      <c r="UUP30" s="2511"/>
      <c r="UUQ30" s="2511"/>
      <c r="UUR30" s="2511"/>
      <c r="UUS30" s="2511"/>
      <c r="UUT30" s="2511"/>
      <c r="UUU30" s="2511"/>
      <c r="UUV30" s="2511"/>
      <c r="UUW30" s="2511"/>
      <c r="UUX30" s="2511"/>
      <c r="UUY30" s="2511"/>
      <c r="UUZ30" s="2511"/>
      <c r="UVA30" s="2511"/>
      <c r="UVB30" s="2511"/>
      <c r="UVC30" s="2511"/>
      <c r="UVD30" s="2511"/>
      <c r="UVE30" s="2511"/>
      <c r="UVF30" s="2511"/>
      <c r="UVG30" s="2511"/>
      <c r="UVH30" s="2511"/>
      <c r="UVI30" s="2511"/>
      <c r="UVJ30" s="2511"/>
      <c r="UVK30" s="2511"/>
      <c r="UVL30" s="2511"/>
      <c r="UVM30" s="2511"/>
      <c r="UVN30" s="2511"/>
      <c r="UVO30" s="2511"/>
      <c r="UVP30" s="2511"/>
      <c r="UVQ30" s="2511"/>
      <c r="UVR30" s="2511"/>
      <c r="UVS30" s="2511"/>
      <c r="UVT30" s="2511"/>
      <c r="UVU30" s="2511"/>
      <c r="UVV30" s="2511"/>
      <c r="UVW30" s="2511"/>
      <c r="UVX30" s="2511"/>
      <c r="UVY30" s="2511"/>
      <c r="UVZ30" s="2511"/>
      <c r="UWA30" s="2511"/>
      <c r="UWB30" s="2511"/>
      <c r="UWC30" s="2511"/>
      <c r="UWD30" s="2511"/>
      <c r="UWE30" s="2511"/>
      <c r="UWF30" s="2511"/>
      <c r="UWG30" s="2511"/>
      <c r="UWH30" s="2511"/>
      <c r="UWI30" s="2511"/>
      <c r="UWJ30" s="2511"/>
      <c r="UWK30" s="2511"/>
      <c r="UWL30" s="2511"/>
      <c r="UWM30" s="2511"/>
      <c r="UWN30" s="2511"/>
      <c r="UWO30" s="2511"/>
      <c r="UWP30" s="2511"/>
      <c r="UWQ30" s="2511"/>
      <c r="UWR30" s="2511"/>
      <c r="UWS30" s="2511"/>
      <c r="UWT30" s="2511"/>
      <c r="UWU30" s="2511"/>
      <c r="UWV30" s="2511"/>
      <c r="UWW30" s="2511"/>
      <c r="UWX30" s="2511"/>
      <c r="UWY30" s="2511"/>
      <c r="UWZ30" s="2511"/>
      <c r="UXA30" s="2511"/>
      <c r="UXB30" s="2511"/>
      <c r="UXC30" s="2511"/>
      <c r="UXD30" s="2511"/>
      <c r="UXE30" s="2511"/>
      <c r="UXF30" s="2511"/>
      <c r="UXG30" s="2511"/>
      <c r="UXH30" s="2511"/>
      <c r="UXI30" s="2511"/>
      <c r="UXJ30" s="2511"/>
      <c r="UXK30" s="2511"/>
      <c r="UXL30" s="2511"/>
      <c r="UXM30" s="2511"/>
      <c r="UXN30" s="2511"/>
      <c r="UXO30" s="2511"/>
      <c r="UXP30" s="2511"/>
      <c r="UXQ30" s="2511"/>
      <c r="UXR30" s="2511"/>
      <c r="UXS30" s="2511"/>
      <c r="UXT30" s="2511"/>
      <c r="UXU30" s="2511"/>
      <c r="UXV30" s="2511"/>
      <c r="UXW30" s="2511"/>
      <c r="UXX30" s="2511"/>
      <c r="UXY30" s="2511"/>
      <c r="UXZ30" s="2511"/>
      <c r="UYA30" s="2511"/>
      <c r="UYB30" s="2511"/>
      <c r="UYC30" s="2511"/>
      <c r="UYD30" s="2511"/>
      <c r="UYE30" s="2511"/>
      <c r="UYF30" s="2511"/>
      <c r="UYG30" s="2511"/>
      <c r="UYH30" s="2511"/>
      <c r="UYI30" s="2511"/>
      <c r="UYJ30" s="2511"/>
      <c r="UYK30" s="2511"/>
      <c r="UYL30" s="2511"/>
      <c r="UYM30" s="2511"/>
      <c r="UYN30" s="2511"/>
      <c r="UYO30" s="2511"/>
      <c r="UYP30" s="2511"/>
      <c r="UYQ30" s="2511"/>
      <c r="UYR30" s="2511"/>
      <c r="UYS30" s="2511"/>
      <c r="UYT30" s="2511"/>
      <c r="UYU30" s="2511"/>
      <c r="UYV30" s="2511"/>
      <c r="UYW30" s="2511"/>
      <c r="UYX30" s="2511"/>
      <c r="UYY30" s="2511"/>
      <c r="UYZ30" s="2511"/>
      <c r="UZA30" s="2511"/>
      <c r="UZB30" s="2511"/>
      <c r="UZC30" s="2511"/>
      <c r="UZD30" s="2511"/>
      <c r="UZE30" s="2511"/>
      <c r="UZF30" s="2511"/>
      <c r="UZG30" s="2511"/>
      <c r="UZH30" s="2511"/>
      <c r="UZI30" s="2511"/>
      <c r="UZJ30" s="2511"/>
      <c r="UZK30" s="2511"/>
      <c r="UZL30" s="2511"/>
      <c r="UZM30" s="2511"/>
      <c r="UZN30" s="2511"/>
      <c r="UZO30" s="2511"/>
      <c r="UZP30" s="2511"/>
      <c r="UZQ30" s="2511"/>
      <c r="UZR30" s="2511"/>
      <c r="UZS30" s="2511"/>
      <c r="UZT30" s="2511"/>
      <c r="UZU30" s="2511"/>
      <c r="UZV30" s="2511"/>
      <c r="UZW30" s="2511"/>
      <c r="UZX30" s="2511"/>
      <c r="UZY30" s="2511"/>
      <c r="UZZ30" s="2511"/>
      <c r="VAA30" s="2511"/>
      <c r="VAB30" s="2511"/>
      <c r="VAC30" s="2511"/>
      <c r="VAD30" s="2511"/>
      <c r="VAE30" s="2511"/>
      <c r="VAF30" s="2511"/>
      <c r="VAG30" s="2511"/>
      <c r="VAH30" s="2511"/>
      <c r="VAI30" s="2511"/>
      <c r="VAJ30" s="2511"/>
      <c r="VAK30" s="2511"/>
      <c r="VAL30" s="2511"/>
      <c r="VAM30" s="2511"/>
      <c r="VAN30" s="2511"/>
      <c r="VAO30" s="2511"/>
      <c r="VAP30" s="2511"/>
      <c r="VAQ30" s="2511"/>
      <c r="VAR30" s="2511"/>
      <c r="VAS30" s="2511"/>
      <c r="VAT30" s="2511"/>
      <c r="VAU30" s="2511"/>
      <c r="VAV30" s="2511"/>
      <c r="VAW30" s="2511"/>
      <c r="VAX30" s="2511"/>
      <c r="VAY30" s="2511"/>
      <c r="VAZ30" s="2511"/>
      <c r="VBA30" s="2511"/>
      <c r="VBB30" s="2511"/>
      <c r="VBC30" s="2511"/>
      <c r="VBD30" s="2511"/>
      <c r="VBE30" s="2511"/>
      <c r="VBF30" s="2511"/>
      <c r="VBG30" s="2511"/>
      <c r="VBH30" s="2511"/>
      <c r="VBI30" s="2511"/>
      <c r="VBJ30" s="2511"/>
      <c r="VBK30" s="2511"/>
      <c r="VBL30" s="2511"/>
      <c r="VBM30" s="2511"/>
      <c r="VBN30" s="2511"/>
      <c r="VBO30" s="2511"/>
      <c r="VBP30" s="2511"/>
      <c r="VBQ30" s="2511"/>
      <c r="VBR30" s="2511"/>
      <c r="VBS30" s="2511"/>
      <c r="VBT30" s="2511"/>
      <c r="VBU30" s="2511"/>
      <c r="VBV30" s="2511"/>
      <c r="VBW30" s="2511"/>
      <c r="VBX30" s="2511"/>
      <c r="VBY30" s="2511"/>
      <c r="VBZ30" s="2511"/>
      <c r="VCA30" s="2511"/>
      <c r="VCB30" s="2511"/>
      <c r="VCC30" s="2511"/>
      <c r="VCD30" s="2511"/>
      <c r="VCE30" s="2511"/>
      <c r="VCF30" s="2511"/>
      <c r="VCG30" s="2511"/>
      <c r="VCH30" s="2511"/>
      <c r="VCI30" s="2511"/>
      <c r="VCJ30" s="2511"/>
      <c r="VCK30" s="2511"/>
      <c r="VCL30" s="2511"/>
      <c r="VCM30" s="2511"/>
      <c r="VCN30" s="2511"/>
      <c r="VCO30" s="2511"/>
      <c r="VCP30" s="2511"/>
      <c r="VCQ30" s="2511"/>
      <c r="VCR30" s="2511"/>
      <c r="VCS30" s="2511"/>
      <c r="VCT30" s="2511"/>
      <c r="VCU30" s="2511"/>
      <c r="VCV30" s="2511"/>
      <c r="VCW30" s="2511"/>
      <c r="VCX30" s="2511"/>
      <c r="VCY30" s="2511"/>
      <c r="VCZ30" s="2511"/>
      <c r="VDA30" s="2511"/>
      <c r="VDB30" s="2511"/>
      <c r="VDC30" s="2511"/>
      <c r="VDD30" s="2511"/>
      <c r="VDE30" s="2511"/>
      <c r="VDF30" s="2511"/>
      <c r="VDG30" s="2511"/>
      <c r="VDH30" s="2511"/>
      <c r="VDI30" s="2511"/>
      <c r="VDJ30" s="2511"/>
      <c r="VDK30" s="2511"/>
      <c r="VDL30" s="2511"/>
      <c r="VDM30" s="2511"/>
      <c r="VDN30" s="2511"/>
      <c r="VDO30" s="2511"/>
      <c r="VDP30" s="2511"/>
      <c r="VDQ30" s="2511"/>
      <c r="VDR30" s="2511"/>
      <c r="VDS30" s="2511"/>
      <c r="VDT30" s="2511"/>
      <c r="VDU30" s="2511"/>
      <c r="VDV30" s="2511"/>
      <c r="VDW30" s="2511"/>
      <c r="VDX30" s="2511"/>
      <c r="VDY30" s="2511"/>
      <c r="VDZ30" s="2511"/>
      <c r="VEA30" s="2511"/>
      <c r="VEB30" s="2511"/>
      <c r="VEC30" s="2511"/>
      <c r="VED30" s="2511"/>
      <c r="VEE30" s="2511"/>
      <c r="VEF30" s="2511"/>
      <c r="VEG30" s="2511"/>
      <c r="VEH30" s="2511"/>
      <c r="VEI30" s="2511"/>
      <c r="VEJ30" s="2511"/>
      <c r="VEK30" s="2511"/>
      <c r="VEL30" s="2511"/>
      <c r="VEM30" s="2511"/>
      <c r="VEN30" s="2511"/>
      <c r="VEO30" s="2511"/>
      <c r="VEP30" s="2511"/>
      <c r="VEQ30" s="2511"/>
      <c r="VER30" s="2511"/>
      <c r="VES30" s="2511"/>
      <c r="VET30" s="2511"/>
      <c r="VEU30" s="2511"/>
      <c r="VEV30" s="2511"/>
      <c r="VEW30" s="2511"/>
      <c r="VEX30" s="2511"/>
      <c r="VEY30" s="2511"/>
      <c r="VEZ30" s="2511"/>
      <c r="VFA30" s="2511"/>
      <c r="VFB30" s="2511"/>
      <c r="VFC30" s="2511"/>
      <c r="VFD30" s="2511"/>
      <c r="VFE30" s="2511"/>
      <c r="VFF30" s="2511"/>
      <c r="VFG30" s="2511"/>
      <c r="VFH30" s="2511"/>
      <c r="VFI30" s="2511"/>
      <c r="VFJ30" s="2511"/>
      <c r="VFK30" s="2511"/>
      <c r="VFL30" s="2511"/>
      <c r="VFM30" s="2511"/>
      <c r="VFN30" s="2511"/>
      <c r="VFO30" s="2511"/>
      <c r="VFP30" s="2511"/>
      <c r="VFQ30" s="2511"/>
      <c r="VFR30" s="2511"/>
      <c r="VFS30" s="2511"/>
      <c r="VFT30" s="2511"/>
      <c r="VFU30" s="2511"/>
      <c r="VFV30" s="2511"/>
      <c r="VFW30" s="2511"/>
      <c r="VFX30" s="2511"/>
      <c r="VFY30" s="2511"/>
      <c r="VFZ30" s="2511"/>
      <c r="VGA30" s="2511"/>
      <c r="VGB30" s="2511"/>
      <c r="VGC30" s="2511"/>
      <c r="VGD30" s="2511"/>
      <c r="VGE30" s="2511"/>
      <c r="VGF30" s="2511"/>
      <c r="VGG30" s="2511"/>
      <c r="VGH30" s="2511"/>
      <c r="VGI30" s="2511"/>
      <c r="VGJ30" s="2511"/>
      <c r="VGK30" s="2511"/>
      <c r="VGL30" s="2511"/>
      <c r="VGM30" s="2511"/>
      <c r="VGN30" s="2511"/>
      <c r="VGO30" s="2511"/>
      <c r="VGP30" s="2511"/>
      <c r="VGQ30" s="2511"/>
      <c r="VGR30" s="2511"/>
      <c r="VGS30" s="2511"/>
      <c r="VGT30" s="2511"/>
      <c r="VGU30" s="2511"/>
      <c r="VGV30" s="2511"/>
      <c r="VGW30" s="2511"/>
      <c r="VGX30" s="2511"/>
      <c r="VGY30" s="2511"/>
      <c r="VGZ30" s="2511"/>
      <c r="VHA30" s="2511"/>
      <c r="VHB30" s="2511"/>
      <c r="VHC30" s="2511"/>
      <c r="VHD30" s="2511"/>
      <c r="VHE30" s="2511"/>
      <c r="VHF30" s="2511"/>
      <c r="VHG30" s="2511"/>
      <c r="VHH30" s="2511"/>
      <c r="VHI30" s="2511"/>
      <c r="VHJ30" s="2511"/>
      <c r="VHK30" s="2511"/>
      <c r="VHL30" s="2511"/>
      <c r="VHM30" s="2511"/>
      <c r="VHN30" s="2511"/>
      <c r="VHO30" s="2511"/>
      <c r="VHP30" s="2511"/>
      <c r="VHQ30" s="2511"/>
      <c r="VHR30" s="2511"/>
      <c r="VHS30" s="2511"/>
      <c r="VHT30" s="2511"/>
      <c r="VHU30" s="2511"/>
      <c r="VHV30" s="2511"/>
      <c r="VHW30" s="2511"/>
      <c r="VHX30" s="2511"/>
      <c r="VHY30" s="2511"/>
      <c r="VHZ30" s="2511"/>
      <c r="VIA30" s="2511"/>
      <c r="VIB30" s="2511"/>
      <c r="VIC30" s="2511"/>
      <c r="VID30" s="2511"/>
      <c r="VIE30" s="2511"/>
      <c r="VIF30" s="2511"/>
      <c r="VIG30" s="2511"/>
      <c r="VIH30" s="2511"/>
      <c r="VII30" s="2511"/>
      <c r="VIJ30" s="2511"/>
      <c r="VIK30" s="2511"/>
      <c r="VIL30" s="2511"/>
      <c r="VIM30" s="2511"/>
      <c r="VIN30" s="2511"/>
      <c r="VIO30" s="2511"/>
      <c r="VIP30" s="2511"/>
      <c r="VIQ30" s="2511"/>
      <c r="VIR30" s="2511"/>
      <c r="VIS30" s="2511"/>
      <c r="VIT30" s="2511"/>
      <c r="VIU30" s="2511"/>
      <c r="VIV30" s="2511"/>
      <c r="VIW30" s="2511"/>
      <c r="VIX30" s="2511"/>
      <c r="VIY30" s="2511"/>
      <c r="VIZ30" s="2511"/>
      <c r="VJA30" s="2511"/>
      <c r="VJB30" s="2511"/>
      <c r="VJC30" s="2511"/>
      <c r="VJD30" s="2511"/>
      <c r="VJE30" s="2511"/>
      <c r="VJF30" s="2511"/>
      <c r="VJG30" s="2511"/>
      <c r="VJH30" s="2511"/>
      <c r="VJI30" s="2511"/>
      <c r="VJJ30" s="2511"/>
      <c r="VJK30" s="2511"/>
      <c r="VJL30" s="2511"/>
      <c r="VJM30" s="2511"/>
      <c r="VJN30" s="2511"/>
      <c r="VJO30" s="2511"/>
      <c r="VJP30" s="2511"/>
      <c r="VJQ30" s="2511"/>
      <c r="VJR30" s="2511"/>
      <c r="VJS30" s="2511"/>
      <c r="VJT30" s="2511"/>
      <c r="VJU30" s="2511"/>
      <c r="VJV30" s="2511"/>
      <c r="VJW30" s="2511"/>
      <c r="VJX30" s="2511"/>
      <c r="VJY30" s="2511"/>
      <c r="VJZ30" s="2511"/>
      <c r="VKA30" s="2511"/>
      <c r="VKB30" s="2511"/>
      <c r="VKC30" s="2511"/>
      <c r="VKD30" s="2511"/>
      <c r="VKE30" s="2511"/>
      <c r="VKF30" s="2511"/>
      <c r="VKG30" s="2511"/>
      <c r="VKH30" s="2511"/>
      <c r="VKI30" s="2511"/>
      <c r="VKJ30" s="2511"/>
      <c r="VKK30" s="2511"/>
      <c r="VKL30" s="2511"/>
      <c r="VKM30" s="2511"/>
      <c r="VKN30" s="2511"/>
      <c r="VKO30" s="2511"/>
      <c r="VKP30" s="2511"/>
      <c r="VKQ30" s="2511"/>
      <c r="VKR30" s="2511"/>
      <c r="VKS30" s="2511"/>
      <c r="VKT30" s="2511"/>
      <c r="VKU30" s="2511"/>
      <c r="VKV30" s="2511"/>
      <c r="VKW30" s="2511"/>
      <c r="VKX30" s="2511"/>
      <c r="VKY30" s="2511"/>
      <c r="VKZ30" s="2511"/>
      <c r="VLA30" s="2511"/>
      <c r="VLB30" s="2511"/>
      <c r="VLC30" s="2511"/>
      <c r="VLD30" s="2511"/>
      <c r="VLE30" s="2511"/>
      <c r="VLF30" s="2511"/>
      <c r="VLG30" s="2511"/>
      <c r="VLH30" s="2511"/>
      <c r="VLI30" s="2511"/>
      <c r="VLJ30" s="2511"/>
      <c r="VLK30" s="2511"/>
      <c r="VLL30" s="2511"/>
      <c r="VLM30" s="2511"/>
      <c r="VLN30" s="2511"/>
      <c r="VLO30" s="2511"/>
      <c r="VLP30" s="2511"/>
      <c r="VLQ30" s="2511"/>
      <c r="VLR30" s="2511"/>
      <c r="VLS30" s="2511"/>
      <c r="VLT30" s="2511"/>
      <c r="VLU30" s="2511"/>
      <c r="VLV30" s="2511"/>
      <c r="VLW30" s="2511"/>
      <c r="VLX30" s="2511"/>
      <c r="VLY30" s="2511"/>
      <c r="VLZ30" s="2511"/>
      <c r="VMA30" s="2511"/>
      <c r="VMB30" s="2511"/>
      <c r="VMC30" s="2511"/>
      <c r="VMD30" s="2511"/>
      <c r="VME30" s="2511"/>
      <c r="VMF30" s="2511"/>
      <c r="VMG30" s="2511"/>
      <c r="VMH30" s="2511"/>
      <c r="VMI30" s="2511"/>
      <c r="VMJ30" s="2511"/>
      <c r="VMK30" s="2511"/>
      <c r="VML30" s="2511"/>
      <c r="VMM30" s="2511"/>
      <c r="VMN30" s="2511"/>
      <c r="VMO30" s="2511"/>
      <c r="VMP30" s="2511"/>
      <c r="VMQ30" s="2511"/>
      <c r="VMR30" s="2511"/>
      <c r="VMS30" s="2511"/>
      <c r="VMT30" s="2511"/>
      <c r="VMU30" s="2511"/>
      <c r="VMV30" s="2511"/>
      <c r="VMW30" s="2511"/>
      <c r="VMX30" s="2511"/>
      <c r="VMY30" s="2511"/>
      <c r="VMZ30" s="2511"/>
      <c r="VNA30" s="2511"/>
      <c r="VNB30" s="2511"/>
      <c r="VNC30" s="2511"/>
      <c r="VND30" s="2511"/>
      <c r="VNE30" s="2511"/>
      <c r="VNF30" s="2511"/>
      <c r="VNG30" s="2511"/>
      <c r="VNH30" s="2511"/>
      <c r="VNI30" s="2511"/>
      <c r="VNJ30" s="2511"/>
      <c r="VNK30" s="2511"/>
      <c r="VNL30" s="2511"/>
      <c r="VNM30" s="2511"/>
      <c r="VNN30" s="2511"/>
      <c r="VNO30" s="2511"/>
      <c r="VNP30" s="2511"/>
      <c r="VNQ30" s="2511"/>
      <c r="VNR30" s="2511"/>
      <c r="VNS30" s="2511"/>
      <c r="VNT30" s="2511"/>
      <c r="VNU30" s="2511"/>
      <c r="VNV30" s="2511"/>
      <c r="VNW30" s="2511"/>
      <c r="VNX30" s="2511"/>
      <c r="VNY30" s="2511"/>
      <c r="VNZ30" s="2511"/>
      <c r="VOA30" s="2511"/>
      <c r="VOB30" s="2511"/>
      <c r="VOC30" s="2511"/>
      <c r="VOD30" s="2511"/>
      <c r="VOE30" s="2511"/>
      <c r="VOF30" s="2511"/>
      <c r="VOG30" s="2511"/>
      <c r="VOH30" s="2511"/>
      <c r="VOI30" s="2511"/>
      <c r="VOJ30" s="2511"/>
      <c r="VOK30" s="2511"/>
      <c r="VOL30" s="2511"/>
      <c r="VOM30" s="2511"/>
      <c r="VON30" s="2511"/>
      <c r="VOO30" s="2511"/>
      <c r="VOP30" s="2511"/>
      <c r="VOQ30" s="2511"/>
      <c r="VOR30" s="2511"/>
      <c r="VOS30" s="2511"/>
      <c r="VOT30" s="2511"/>
      <c r="VOU30" s="2511"/>
      <c r="VOV30" s="2511"/>
      <c r="VOW30" s="2511"/>
      <c r="VOX30" s="2511"/>
      <c r="VOY30" s="2511"/>
      <c r="VOZ30" s="2511"/>
      <c r="VPA30" s="2511"/>
      <c r="VPB30" s="2511"/>
      <c r="VPC30" s="2511"/>
      <c r="VPD30" s="2511"/>
      <c r="VPE30" s="2511"/>
      <c r="VPF30" s="2511"/>
      <c r="VPG30" s="2511"/>
      <c r="VPH30" s="2511"/>
      <c r="VPI30" s="2511"/>
      <c r="VPJ30" s="2511"/>
      <c r="VPK30" s="2511"/>
      <c r="VPL30" s="2511"/>
      <c r="VPM30" s="2511"/>
      <c r="VPN30" s="2511"/>
      <c r="VPO30" s="2511"/>
      <c r="VPP30" s="2511"/>
      <c r="VPQ30" s="2511"/>
      <c r="VPR30" s="2511"/>
      <c r="VPS30" s="2511"/>
      <c r="VPT30" s="2511"/>
      <c r="VPU30" s="2511"/>
      <c r="VPV30" s="2511"/>
      <c r="VPW30" s="2511"/>
      <c r="VPX30" s="2511"/>
      <c r="VPY30" s="2511"/>
      <c r="VPZ30" s="2511"/>
      <c r="VQA30" s="2511"/>
      <c r="VQB30" s="2511"/>
      <c r="VQC30" s="2511"/>
      <c r="VQD30" s="2511"/>
      <c r="VQE30" s="2511"/>
      <c r="VQF30" s="2511"/>
      <c r="VQG30" s="2511"/>
      <c r="VQH30" s="2511"/>
      <c r="VQI30" s="2511"/>
      <c r="VQJ30" s="2511"/>
      <c r="VQK30" s="2511"/>
      <c r="VQL30" s="2511"/>
      <c r="VQM30" s="2511"/>
      <c r="VQN30" s="2511"/>
      <c r="VQO30" s="2511"/>
      <c r="VQP30" s="2511"/>
      <c r="VQQ30" s="2511"/>
      <c r="VQR30" s="2511"/>
      <c r="VQS30" s="2511"/>
      <c r="VQT30" s="2511"/>
      <c r="VQU30" s="2511"/>
      <c r="VQV30" s="2511"/>
      <c r="VQW30" s="2511"/>
      <c r="VQX30" s="2511"/>
      <c r="VQY30" s="2511"/>
      <c r="VQZ30" s="2511"/>
      <c r="VRA30" s="2511"/>
      <c r="VRB30" s="2511"/>
      <c r="VRC30" s="2511"/>
      <c r="VRD30" s="2511"/>
      <c r="VRE30" s="2511"/>
      <c r="VRF30" s="2511"/>
      <c r="VRG30" s="2511"/>
      <c r="VRH30" s="2511"/>
      <c r="VRI30" s="2511"/>
      <c r="VRJ30" s="2511"/>
      <c r="VRK30" s="2511"/>
      <c r="VRL30" s="2511"/>
      <c r="VRM30" s="2511"/>
      <c r="VRN30" s="2511"/>
      <c r="VRO30" s="2511"/>
      <c r="VRP30" s="2511"/>
      <c r="VRQ30" s="2511"/>
      <c r="VRR30" s="2511"/>
      <c r="VRS30" s="2511"/>
      <c r="VRT30" s="2511"/>
      <c r="VRU30" s="2511"/>
      <c r="VRV30" s="2511"/>
      <c r="VRW30" s="2511"/>
      <c r="VRX30" s="2511"/>
      <c r="VRY30" s="2511"/>
      <c r="VRZ30" s="2511"/>
      <c r="VSA30" s="2511"/>
      <c r="VSB30" s="2511"/>
      <c r="VSC30" s="2511"/>
      <c r="VSD30" s="2511"/>
      <c r="VSE30" s="2511"/>
      <c r="VSF30" s="2511"/>
      <c r="VSG30" s="2511"/>
      <c r="VSH30" s="2511"/>
      <c r="VSI30" s="2511"/>
      <c r="VSJ30" s="2511"/>
      <c r="VSK30" s="2511"/>
      <c r="VSL30" s="2511"/>
      <c r="VSM30" s="2511"/>
      <c r="VSN30" s="2511"/>
      <c r="VSO30" s="2511"/>
      <c r="VSP30" s="2511"/>
      <c r="VSQ30" s="2511"/>
      <c r="VSR30" s="2511"/>
      <c r="VSS30" s="2511"/>
      <c r="VST30" s="2511"/>
      <c r="VSU30" s="2511"/>
      <c r="VSV30" s="2511"/>
      <c r="VSW30" s="2511"/>
      <c r="VSX30" s="2511"/>
      <c r="VSY30" s="2511"/>
      <c r="VSZ30" s="2511"/>
      <c r="VTA30" s="2511"/>
      <c r="VTB30" s="2511"/>
      <c r="VTC30" s="2511"/>
      <c r="VTD30" s="2511"/>
      <c r="VTE30" s="2511"/>
      <c r="VTF30" s="2511"/>
      <c r="VTG30" s="2511"/>
      <c r="VTH30" s="2511"/>
      <c r="VTI30" s="2511"/>
      <c r="VTJ30" s="2511"/>
      <c r="VTK30" s="2511"/>
      <c r="VTL30" s="2511"/>
      <c r="VTM30" s="2511"/>
      <c r="VTN30" s="2511"/>
      <c r="VTO30" s="2511"/>
      <c r="VTP30" s="2511"/>
      <c r="VTQ30" s="2511"/>
      <c r="VTR30" s="2511"/>
      <c r="VTS30" s="2511"/>
      <c r="VTT30" s="2511"/>
      <c r="VTU30" s="2511"/>
      <c r="VTV30" s="2511"/>
      <c r="VTW30" s="2511"/>
      <c r="VTX30" s="2511"/>
      <c r="VTY30" s="2511"/>
      <c r="VTZ30" s="2511"/>
      <c r="VUA30" s="2511"/>
      <c r="VUB30" s="2511"/>
      <c r="VUC30" s="2511"/>
      <c r="VUD30" s="2511"/>
      <c r="VUE30" s="2511"/>
      <c r="VUF30" s="2511"/>
      <c r="VUG30" s="2511"/>
      <c r="VUH30" s="2511"/>
      <c r="VUI30" s="2511"/>
      <c r="VUJ30" s="2511"/>
      <c r="VUK30" s="2511"/>
      <c r="VUL30" s="2511"/>
      <c r="VUM30" s="2511"/>
      <c r="VUN30" s="2511"/>
      <c r="VUO30" s="2511"/>
      <c r="VUP30" s="2511"/>
      <c r="VUQ30" s="2511"/>
      <c r="VUR30" s="2511"/>
      <c r="VUS30" s="2511"/>
      <c r="VUT30" s="2511"/>
      <c r="VUU30" s="2511"/>
      <c r="VUV30" s="2511"/>
      <c r="VUW30" s="2511"/>
      <c r="VUX30" s="2511"/>
      <c r="VUY30" s="2511"/>
      <c r="VUZ30" s="2511"/>
      <c r="VVA30" s="2511"/>
      <c r="VVB30" s="2511"/>
      <c r="VVC30" s="2511"/>
      <c r="VVD30" s="2511"/>
      <c r="VVE30" s="2511"/>
      <c r="VVF30" s="2511"/>
      <c r="VVG30" s="2511"/>
      <c r="VVH30" s="2511"/>
      <c r="VVI30" s="2511"/>
      <c r="VVJ30" s="2511"/>
      <c r="VVK30" s="2511"/>
      <c r="VVL30" s="2511"/>
      <c r="VVM30" s="2511"/>
      <c r="VVN30" s="2511"/>
      <c r="VVO30" s="2511"/>
      <c r="VVP30" s="2511"/>
      <c r="VVQ30" s="2511"/>
      <c r="VVR30" s="2511"/>
      <c r="VVS30" s="2511"/>
      <c r="VVT30" s="2511"/>
      <c r="VVU30" s="2511"/>
      <c r="VVV30" s="2511"/>
      <c r="VVW30" s="2511"/>
      <c r="VVX30" s="2511"/>
      <c r="VVY30" s="2511"/>
      <c r="VVZ30" s="2511"/>
      <c r="VWA30" s="2511"/>
      <c r="VWB30" s="2511"/>
      <c r="VWC30" s="2511"/>
      <c r="VWD30" s="2511"/>
      <c r="VWE30" s="2511"/>
      <c r="VWF30" s="2511"/>
      <c r="VWG30" s="2511"/>
      <c r="VWH30" s="2511"/>
      <c r="VWI30" s="2511"/>
      <c r="VWJ30" s="2511"/>
      <c r="VWK30" s="2511"/>
      <c r="VWL30" s="2511"/>
      <c r="VWM30" s="2511"/>
      <c r="VWN30" s="2511"/>
      <c r="VWO30" s="2511"/>
      <c r="VWP30" s="2511"/>
      <c r="VWQ30" s="2511"/>
      <c r="VWR30" s="2511"/>
      <c r="VWS30" s="2511"/>
      <c r="VWT30" s="2511"/>
      <c r="VWU30" s="2511"/>
      <c r="VWV30" s="2511"/>
      <c r="VWW30" s="2511"/>
      <c r="VWX30" s="2511"/>
      <c r="VWY30" s="2511"/>
      <c r="VWZ30" s="2511"/>
      <c r="VXA30" s="2511"/>
      <c r="VXB30" s="2511"/>
      <c r="VXC30" s="2511"/>
      <c r="VXD30" s="2511"/>
      <c r="VXE30" s="2511"/>
      <c r="VXF30" s="2511"/>
      <c r="VXG30" s="2511"/>
      <c r="VXH30" s="2511"/>
      <c r="VXI30" s="2511"/>
      <c r="VXJ30" s="2511"/>
      <c r="VXK30" s="2511"/>
      <c r="VXL30" s="2511"/>
      <c r="VXM30" s="2511"/>
      <c r="VXN30" s="2511"/>
      <c r="VXO30" s="2511"/>
      <c r="VXP30" s="2511"/>
      <c r="VXQ30" s="2511"/>
      <c r="VXR30" s="2511"/>
      <c r="VXS30" s="2511"/>
      <c r="VXT30" s="2511"/>
      <c r="VXU30" s="2511"/>
      <c r="VXV30" s="2511"/>
      <c r="VXW30" s="2511"/>
      <c r="VXX30" s="2511"/>
      <c r="VXY30" s="2511"/>
      <c r="VXZ30" s="2511"/>
      <c r="VYA30" s="2511"/>
      <c r="VYB30" s="2511"/>
      <c r="VYC30" s="2511"/>
      <c r="VYD30" s="2511"/>
      <c r="VYE30" s="2511"/>
      <c r="VYF30" s="2511"/>
      <c r="VYG30" s="2511"/>
      <c r="VYH30" s="2511"/>
      <c r="VYI30" s="2511"/>
      <c r="VYJ30" s="2511"/>
      <c r="VYK30" s="2511"/>
      <c r="VYL30" s="2511"/>
      <c r="VYM30" s="2511"/>
      <c r="VYN30" s="2511"/>
      <c r="VYO30" s="2511"/>
      <c r="VYP30" s="2511"/>
      <c r="VYQ30" s="2511"/>
      <c r="VYR30" s="2511"/>
      <c r="VYS30" s="2511"/>
      <c r="VYT30" s="2511"/>
      <c r="VYU30" s="2511"/>
      <c r="VYV30" s="2511"/>
      <c r="VYW30" s="2511"/>
      <c r="VYX30" s="2511"/>
      <c r="VYY30" s="2511"/>
      <c r="VYZ30" s="2511"/>
      <c r="VZA30" s="2511"/>
      <c r="VZB30" s="2511"/>
      <c r="VZC30" s="2511"/>
      <c r="VZD30" s="2511"/>
      <c r="VZE30" s="2511"/>
      <c r="VZF30" s="2511"/>
      <c r="VZG30" s="2511"/>
      <c r="VZH30" s="2511"/>
      <c r="VZI30" s="2511"/>
      <c r="VZJ30" s="2511"/>
      <c r="VZK30" s="2511"/>
      <c r="VZL30" s="2511"/>
      <c r="VZM30" s="2511"/>
      <c r="VZN30" s="2511"/>
      <c r="VZO30" s="2511"/>
      <c r="VZP30" s="2511"/>
      <c r="VZQ30" s="2511"/>
      <c r="VZR30" s="2511"/>
      <c r="VZS30" s="2511"/>
      <c r="VZT30" s="2511"/>
      <c r="VZU30" s="2511"/>
      <c r="VZV30" s="2511"/>
      <c r="VZW30" s="2511"/>
      <c r="VZX30" s="2511"/>
      <c r="VZY30" s="2511"/>
      <c r="VZZ30" s="2511"/>
      <c r="WAA30" s="2511"/>
      <c r="WAB30" s="2511"/>
      <c r="WAC30" s="2511"/>
      <c r="WAD30" s="2511"/>
      <c r="WAE30" s="2511"/>
      <c r="WAF30" s="2511"/>
      <c r="WAG30" s="2511"/>
      <c r="WAH30" s="2511"/>
      <c r="WAI30" s="2511"/>
      <c r="WAJ30" s="2511"/>
      <c r="WAK30" s="2511"/>
      <c r="WAL30" s="2511"/>
      <c r="WAM30" s="2511"/>
      <c r="WAN30" s="2511"/>
      <c r="WAO30" s="2511"/>
      <c r="WAP30" s="2511"/>
      <c r="WAQ30" s="2511"/>
      <c r="WAR30" s="2511"/>
      <c r="WAS30" s="2511"/>
      <c r="WAT30" s="2511"/>
      <c r="WAU30" s="2511"/>
      <c r="WAV30" s="2511"/>
      <c r="WAW30" s="2511"/>
      <c r="WAX30" s="2511"/>
      <c r="WAY30" s="2511"/>
      <c r="WAZ30" s="2511"/>
      <c r="WBA30" s="2511"/>
      <c r="WBB30" s="2511"/>
      <c r="WBC30" s="2511"/>
      <c r="WBD30" s="2511"/>
      <c r="WBE30" s="2511"/>
      <c r="WBF30" s="2511"/>
      <c r="WBG30" s="2511"/>
      <c r="WBH30" s="2511"/>
      <c r="WBI30" s="2511"/>
      <c r="WBJ30" s="2511"/>
      <c r="WBK30" s="2511"/>
      <c r="WBL30" s="2511"/>
      <c r="WBM30" s="2511"/>
      <c r="WBN30" s="2511"/>
      <c r="WBO30" s="2511"/>
      <c r="WBP30" s="2511"/>
      <c r="WBQ30" s="2511"/>
      <c r="WBR30" s="2511"/>
      <c r="WBS30" s="2511"/>
      <c r="WBT30" s="2511"/>
      <c r="WBU30" s="2511"/>
      <c r="WBV30" s="2511"/>
      <c r="WBW30" s="2511"/>
      <c r="WBX30" s="2511"/>
      <c r="WBY30" s="2511"/>
      <c r="WBZ30" s="2511"/>
      <c r="WCA30" s="2511"/>
      <c r="WCB30" s="2511"/>
      <c r="WCC30" s="2511"/>
      <c r="WCD30" s="2511"/>
      <c r="WCE30" s="2511"/>
      <c r="WCF30" s="2511"/>
      <c r="WCG30" s="2511"/>
      <c r="WCH30" s="2511"/>
      <c r="WCI30" s="2511"/>
      <c r="WCJ30" s="2511"/>
      <c r="WCK30" s="2511"/>
      <c r="WCL30" s="2511"/>
      <c r="WCM30" s="2511"/>
      <c r="WCN30" s="2511"/>
      <c r="WCO30" s="2511"/>
      <c r="WCP30" s="2511"/>
      <c r="WCQ30" s="2511"/>
      <c r="WCR30" s="2511"/>
      <c r="WCS30" s="2511"/>
      <c r="WCT30" s="2511"/>
      <c r="WCU30" s="2511"/>
      <c r="WCV30" s="2511"/>
      <c r="WCW30" s="2511"/>
      <c r="WCX30" s="2511"/>
      <c r="WCY30" s="2511"/>
      <c r="WCZ30" s="2511"/>
      <c r="WDA30" s="2511"/>
      <c r="WDB30" s="2511"/>
      <c r="WDC30" s="2511"/>
      <c r="WDD30" s="2511"/>
      <c r="WDE30" s="2511"/>
      <c r="WDF30" s="2511"/>
      <c r="WDG30" s="2511"/>
      <c r="WDH30" s="2511"/>
      <c r="WDI30" s="2511"/>
      <c r="WDJ30" s="2511"/>
      <c r="WDK30" s="2511"/>
      <c r="WDL30" s="2511"/>
      <c r="WDM30" s="2511"/>
      <c r="WDN30" s="2511"/>
      <c r="WDO30" s="2511"/>
      <c r="WDP30" s="2511"/>
      <c r="WDQ30" s="2511"/>
      <c r="WDR30" s="2511"/>
      <c r="WDS30" s="2511"/>
      <c r="WDT30" s="2511"/>
      <c r="WDU30" s="2511"/>
      <c r="WDV30" s="2511"/>
      <c r="WDW30" s="2511"/>
      <c r="WDX30" s="2511"/>
      <c r="WDY30" s="2511"/>
      <c r="WDZ30" s="2511"/>
      <c r="WEA30" s="2511"/>
      <c r="WEB30" s="2511"/>
      <c r="WEC30" s="2511"/>
      <c r="WED30" s="2511"/>
      <c r="WEE30" s="2511"/>
      <c r="WEF30" s="2511"/>
      <c r="WEG30" s="2511"/>
      <c r="WEH30" s="2511"/>
      <c r="WEI30" s="2511"/>
      <c r="WEJ30" s="2511"/>
      <c r="WEK30" s="2511"/>
      <c r="WEL30" s="2511"/>
      <c r="WEM30" s="2511"/>
      <c r="WEN30" s="2511"/>
      <c r="WEO30" s="2511"/>
      <c r="WEP30" s="2511"/>
      <c r="WEQ30" s="2511"/>
      <c r="WER30" s="2511"/>
      <c r="WES30" s="2511"/>
      <c r="WET30" s="2511"/>
      <c r="WEU30" s="2511"/>
      <c r="WEV30" s="2511"/>
      <c r="WEW30" s="2511"/>
      <c r="WEX30" s="2511"/>
      <c r="WEY30" s="2511"/>
      <c r="WEZ30" s="2511"/>
      <c r="WFA30" s="2511"/>
      <c r="WFB30" s="2511"/>
      <c r="WFC30" s="2511"/>
      <c r="WFD30" s="2511"/>
      <c r="WFE30" s="2511"/>
      <c r="WFF30" s="2511"/>
      <c r="WFG30" s="2511"/>
      <c r="WFH30" s="2511"/>
      <c r="WFI30" s="2511"/>
      <c r="WFJ30" s="2511"/>
      <c r="WFK30" s="2511"/>
      <c r="WFL30" s="2511"/>
      <c r="WFM30" s="2511"/>
      <c r="WFN30" s="2511"/>
      <c r="WFO30" s="2511"/>
      <c r="WFP30" s="2511"/>
      <c r="WFQ30" s="2511"/>
      <c r="WFR30" s="2511"/>
      <c r="WFS30" s="2511"/>
      <c r="WFT30" s="2511"/>
      <c r="WFU30" s="2511"/>
      <c r="WFV30" s="2511"/>
      <c r="WFW30" s="2511"/>
      <c r="WFX30" s="2511"/>
      <c r="WFY30" s="2511"/>
      <c r="WFZ30" s="2511"/>
      <c r="WGA30" s="2511"/>
      <c r="WGB30" s="2511"/>
      <c r="WGC30" s="2511"/>
      <c r="WGD30" s="2511"/>
      <c r="WGE30" s="2511"/>
      <c r="WGF30" s="2511"/>
      <c r="WGG30" s="2511"/>
      <c r="WGH30" s="2511"/>
      <c r="WGI30" s="2511"/>
      <c r="WGJ30" s="2511"/>
      <c r="WGK30" s="2511"/>
      <c r="WGL30" s="2511"/>
      <c r="WGM30" s="2511"/>
      <c r="WGN30" s="2511"/>
      <c r="WGO30" s="2511"/>
      <c r="WGP30" s="2511"/>
      <c r="WGQ30" s="2511"/>
      <c r="WGR30" s="2511"/>
      <c r="WGS30" s="2511"/>
      <c r="WGT30" s="2511"/>
      <c r="WGU30" s="2511"/>
      <c r="WGV30" s="2511"/>
      <c r="WGW30" s="2511"/>
      <c r="WGX30" s="2511"/>
      <c r="WGY30" s="2511"/>
      <c r="WGZ30" s="2511"/>
      <c r="WHA30" s="2511"/>
      <c r="WHB30" s="2511"/>
      <c r="WHC30" s="2511"/>
      <c r="WHD30" s="2511"/>
      <c r="WHE30" s="2511"/>
      <c r="WHF30" s="2511"/>
      <c r="WHG30" s="2511"/>
      <c r="WHH30" s="2511"/>
      <c r="WHI30" s="2511"/>
      <c r="WHJ30" s="2511"/>
      <c r="WHK30" s="2511"/>
      <c r="WHL30" s="2511"/>
      <c r="WHM30" s="2511"/>
      <c r="WHN30" s="2511"/>
      <c r="WHO30" s="2511"/>
      <c r="WHP30" s="2511"/>
      <c r="WHQ30" s="2511"/>
      <c r="WHR30" s="2511"/>
      <c r="WHS30" s="2511"/>
      <c r="WHT30" s="2511"/>
      <c r="WHU30" s="2511"/>
      <c r="WHV30" s="2511"/>
      <c r="WHW30" s="2511"/>
      <c r="WHX30" s="2511"/>
      <c r="WHY30" s="2511"/>
      <c r="WHZ30" s="2511"/>
      <c r="WIA30" s="2511"/>
      <c r="WIB30" s="2511"/>
      <c r="WIC30" s="2511"/>
      <c r="WID30" s="2511"/>
      <c r="WIE30" s="2511"/>
      <c r="WIF30" s="2511"/>
      <c r="WIG30" s="2511"/>
      <c r="WIH30" s="2511"/>
      <c r="WII30" s="2511"/>
      <c r="WIJ30" s="2511"/>
      <c r="WIK30" s="2511"/>
      <c r="WIL30" s="2511"/>
      <c r="WIM30" s="2511"/>
      <c r="WIN30" s="2511"/>
      <c r="WIO30" s="2511"/>
      <c r="WIP30" s="2511"/>
      <c r="WIQ30" s="2511"/>
      <c r="WIR30" s="2511"/>
      <c r="WIS30" s="2511"/>
      <c r="WIT30" s="2511"/>
      <c r="WIU30" s="2511"/>
      <c r="WIV30" s="2511"/>
      <c r="WIW30" s="2511"/>
      <c r="WIX30" s="2511"/>
      <c r="WIY30" s="2511"/>
      <c r="WIZ30" s="2511"/>
      <c r="WJA30" s="2511"/>
      <c r="WJB30" s="2511"/>
      <c r="WJC30" s="2511"/>
      <c r="WJD30" s="2511"/>
      <c r="WJE30" s="2511"/>
      <c r="WJF30" s="2511"/>
      <c r="WJG30" s="2511"/>
      <c r="WJH30" s="2511"/>
      <c r="WJI30" s="2511"/>
      <c r="WJJ30" s="2511"/>
      <c r="WJK30" s="2511"/>
      <c r="WJL30" s="2511"/>
      <c r="WJM30" s="2511"/>
      <c r="WJN30" s="2511"/>
      <c r="WJO30" s="2511"/>
      <c r="WJP30" s="2511"/>
      <c r="WJQ30" s="2511"/>
      <c r="WJR30" s="2511"/>
      <c r="WJS30" s="2511"/>
      <c r="WJT30" s="2511"/>
      <c r="WJU30" s="2511"/>
      <c r="WJV30" s="2511"/>
      <c r="WJW30" s="2511"/>
      <c r="WJX30" s="2511"/>
      <c r="WJY30" s="2511"/>
      <c r="WJZ30" s="2511"/>
      <c r="WKA30" s="2511"/>
      <c r="WKB30" s="2511"/>
      <c r="WKC30" s="2511"/>
      <c r="WKD30" s="2511"/>
      <c r="WKE30" s="2511"/>
      <c r="WKF30" s="2511"/>
      <c r="WKG30" s="2511"/>
      <c r="WKH30" s="2511"/>
      <c r="WKI30" s="2511"/>
      <c r="WKJ30" s="2511"/>
      <c r="WKK30" s="2511"/>
      <c r="WKL30" s="2511"/>
      <c r="WKM30" s="2511"/>
      <c r="WKN30" s="2511"/>
      <c r="WKO30" s="2511"/>
      <c r="WKP30" s="2511"/>
      <c r="WKQ30" s="2511"/>
      <c r="WKR30" s="2511"/>
      <c r="WKS30" s="2511"/>
      <c r="WKT30" s="2511"/>
      <c r="WKU30" s="2511"/>
      <c r="WKV30" s="2511"/>
      <c r="WKW30" s="2511"/>
      <c r="WKX30" s="2511"/>
      <c r="WKY30" s="2511"/>
      <c r="WKZ30" s="2511"/>
      <c r="WLA30" s="2511"/>
      <c r="WLB30" s="2511"/>
      <c r="WLC30" s="2511"/>
      <c r="WLD30" s="2511"/>
      <c r="WLE30" s="2511"/>
      <c r="WLF30" s="2511"/>
      <c r="WLG30" s="2511"/>
      <c r="WLH30" s="2511"/>
      <c r="WLI30" s="2511"/>
      <c r="WLJ30" s="2511"/>
      <c r="WLK30" s="2511"/>
      <c r="WLL30" s="2511"/>
      <c r="WLM30" s="2511"/>
      <c r="WLN30" s="2511"/>
      <c r="WLO30" s="2511"/>
      <c r="WLP30" s="2511"/>
      <c r="WLQ30" s="2511"/>
      <c r="WLR30" s="2511"/>
      <c r="WLS30" s="2511"/>
      <c r="WLT30" s="2511"/>
      <c r="WLU30" s="2511"/>
      <c r="WLV30" s="2511"/>
      <c r="WLW30" s="2511"/>
      <c r="WLX30" s="2511"/>
      <c r="WLY30" s="2511"/>
      <c r="WLZ30" s="2511"/>
      <c r="WMA30" s="2511"/>
      <c r="WMB30" s="2511"/>
      <c r="WMC30" s="2511"/>
      <c r="WMD30" s="2511"/>
      <c r="WME30" s="2511"/>
      <c r="WMF30" s="2511"/>
      <c r="WMG30" s="2511"/>
      <c r="WMH30" s="2511"/>
      <c r="WMI30" s="2511"/>
      <c r="WMJ30" s="2511"/>
      <c r="WMK30" s="2511"/>
      <c r="WML30" s="2511"/>
      <c r="WMM30" s="2511"/>
      <c r="WMN30" s="2511"/>
      <c r="WMO30" s="2511"/>
      <c r="WMP30" s="2511"/>
      <c r="WMQ30" s="2511"/>
      <c r="WMR30" s="2511"/>
      <c r="WMS30" s="2511"/>
      <c r="WMT30" s="2511"/>
      <c r="WMU30" s="2511"/>
      <c r="WMV30" s="2511"/>
      <c r="WMW30" s="2511"/>
      <c r="WMX30" s="2511"/>
      <c r="WMY30" s="2511"/>
      <c r="WMZ30" s="2511"/>
      <c r="WNA30" s="2511"/>
      <c r="WNB30" s="2511"/>
      <c r="WNC30" s="2511"/>
      <c r="WND30" s="2511"/>
      <c r="WNE30" s="2511"/>
      <c r="WNF30" s="2511"/>
      <c r="WNG30" s="2511"/>
      <c r="WNH30" s="2511"/>
      <c r="WNI30" s="2511"/>
      <c r="WNJ30" s="2511"/>
      <c r="WNK30" s="2511"/>
      <c r="WNL30" s="2511"/>
      <c r="WNM30" s="2511"/>
      <c r="WNN30" s="2511"/>
      <c r="WNO30" s="2511"/>
      <c r="WNP30" s="2511"/>
      <c r="WNQ30" s="2511"/>
      <c r="WNR30" s="2511"/>
      <c r="WNS30" s="2511"/>
      <c r="WNT30" s="2511"/>
      <c r="WNU30" s="2511"/>
      <c r="WNV30" s="2511"/>
      <c r="WNW30" s="2511"/>
      <c r="WNX30" s="2511"/>
      <c r="WNY30" s="2511"/>
      <c r="WNZ30" s="2511"/>
      <c r="WOA30" s="2511"/>
      <c r="WOB30" s="2511"/>
      <c r="WOC30" s="2511"/>
      <c r="WOD30" s="2511"/>
      <c r="WOE30" s="2511"/>
      <c r="WOF30" s="2511"/>
      <c r="WOG30" s="2511"/>
      <c r="WOH30" s="2511"/>
      <c r="WOI30" s="2511"/>
      <c r="WOJ30" s="2511"/>
      <c r="WOK30" s="2511"/>
      <c r="WOL30" s="2511"/>
      <c r="WOM30" s="2511"/>
      <c r="WON30" s="2511"/>
      <c r="WOO30" s="2511"/>
      <c r="WOP30" s="2511"/>
      <c r="WOQ30" s="2511"/>
      <c r="WOR30" s="2511"/>
      <c r="WOS30" s="2511"/>
      <c r="WOT30" s="2511"/>
      <c r="WOU30" s="2511"/>
      <c r="WOV30" s="2511"/>
      <c r="WOW30" s="2511"/>
      <c r="WOX30" s="2511"/>
      <c r="WOY30" s="2511"/>
      <c r="WOZ30" s="2511"/>
      <c r="WPA30" s="2511"/>
      <c r="WPB30" s="2511"/>
      <c r="WPC30" s="2511"/>
      <c r="WPD30" s="2511"/>
      <c r="WPE30" s="2511"/>
      <c r="WPF30" s="2511"/>
      <c r="WPG30" s="2511"/>
      <c r="WPH30" s="2511"/>
      <c r="WPI30" s="2511"/>
      <c r="WPJ30" s="2511"/>
      <c r="WPK30" s="2511"/>
      <c r="WPL30" s="2511"/>
      <c r="WPM30" s="2511"/>
      <c r="WPN30" s="2511"/>
      <c r="WPO30" s="2511"/>
      <c r="WPP30" s="2511"/>
      <c r="WPQ30" s="2511"/>
      <c r="WPR30" s="2511"/>
      <c r="WPS30" s="2511"/>
      <c r="WPT30" s="2511"/>
      <c r="WPU30" s="2511"/>
      <c r="WPV30" s="2511"/>
      <c r="WPW30" s="2511"/>
      <c r="WPX30" s="2511"/>
      <c r="WPY30" s="2511"/>
      <c r="WPZ30" s="2511"/>
      <c r="WQA30" s="2511"/>
      <c r="WQB30" s="2511"/>
      <c r="WQC30" s="2511"/>
      <c r="WQD30" s="2511"/>
      <c r="WQE30" s="2511"/>
      <c r="WQF30" s="2511"/>
      <c r="WQG30" s="2511"/>
      <c r="WQH30" s="2511"/>
      <c r="WQI30" s="2511"/>
      <c r="WQJ30" s="2511"/>
      <c r="WQK30" s="2511"/>
      <c r="WQL30" s="2511"/>
      <c r="WQM30" s="2511"/>
      <c r="WQN30" s="2511"/>
      <c r="WQO30" s="2511"/>
      <c r="WQP30" s="2511"/>
      <c r="WQQ30" s="2511"/>
      <c r="WQR30" s="2511"/>
      <c r="WQS30" s="2511"/>
      <c r="WQT30" s="2511"/>
      <c r="WQU30" s="2511"/>
      <c r="WQV30" s="2511"/>
      <c r="WQW30" s="2511"/>
      <c r="WQX30" s="2511"/>
      <c r="WQY30" s="2511"/>
      <c r="WQZ30" s="2511"/>
      <c r="WRA30" s="2511"/>
      <c r="WRB30" s="2511"/>
      <c r="WRC30" s="2511"/>
      <c r="WRD30" s="2511"/>
      <c r="WRE30" s="2511"/>
      <c r="WRF30" s="2511"/>
      <c r="WRG30" s="2511"/>
      <c r="WRH30" s="2511"/>
      <c r="WRI30" s="2511"/>
      <c r="WRJ30" s="2511"/>
      <c r="WRK30" s="2511"/>
      <c r="WRL30" s="2511"/>
      <c r="WRM30" s="2511"/>
      <c r="WRN30" s="2511"/>
      <c r="WRO30" s="2511"/>
      <c r="WRP30" s="2511"/>
      <c r="WRQ30" s="2511"/>
      <c r="WRR30" s="2511"/>
      <c r="WRS30" s="2511"/>
      <c r="WRT30" s="2511"/>
      <c r="WRU30" s="2511"/>
      <c r="WRV30" s="2511"/>
      <c r="WRW30" s="2511"/>
      <c r="WRX30" s="2511"/>
      <c r="WRY30" s="2511"/>
      <c r="WRZ30" s="2511"/>
      <c r="WSA30" s="2511"/>
      <c r="WSB30" s="2511"/>
      <c r="WSC30" s="2511"/>
      <c r="WSD30" s="2511"/>
      <c r="WSE30" s="2511"/>
      <c r="WSF30" s="2511"/>
      <c r="WSG30" s="2511"/>
      <c r="WSH30" s="2511"/>
      <c r="WSI30" s="2511"/>
      <c r="WSJ30" s="2511"/>
      <c r="WSK30" s="2511"/>
      <c r="WSL30" s="2511"/>
      <c r="WSM30" s="2511"/>
      <c r="WSN30" s="2511"/>
      <c r="WSO30" s="2511"/>
      <c r="WSP30" s="2511"/>
      <c r="WSQ30" s="2511"/>
      <c r="WSR30" s="2511"/>
      <c r="WSS30" s="2511"/>
      <c r="WST30" s="2511"/>
      <c r="WSU30" s="2511"/>
      <c r="WSV30" s="2511"/>
      <c r="WSW30" s="2511"/>
      <c r="WSX30" s="2511"/>
      <c r="WSY30" s="2511"/>
      <c r="WSZ30" s="2511"/>
      <c r="WTA30" s="2511"/>
      <c r="WTB30" s="2511"/>
      <c r="WTC30" s="2511"/>
      <c r="WTD30" s="2511"/>
      <c r="WTE30" s="2511"/>
      <c r="WTF30" s="2511"/>
      <c r="WTG30" s="2511"/>
      <c r="WTH30" s="2511"/>
      <c r="WTI30" s="2511"/>
      <c r="WTJ30" s="2511"/>
      <c r="WTK30" s="2511"/>
      <c r="WTL30" s="2511"/>
      <c r="WTM30" s="2511"/>
      <c r="WTN30" s="2511"/>
      <c r="WTO30" s="2511"/>
      <c r="WTP30" s="2511"/>
      <c r="WTQ30" s="2511"/>
      <c r="WTR30" s="2511"/>
      <c r="WTS30" s="2511"/>
      <c r="WTT30" s="2511"/>
      <c r="WTU30" s="2511"/>
      <c r="WTV30" s="2511"/>
      <c r="WTW30" s="2511"/>
      <c r="WTX30" s="2511"/>
      <c r="WTY30" s="2511"/>
      <c r="WTZ30" s="2511"/>
      <c r="WUA30" s="2511"/>
      <c r="WUB30" s="2511"/>
      <c r="WUC30" s="2511"/>
      <c r="WUD30" s="2511"/>
      <c r="WUE30" s="2511"/>
      <c r="WUF30" s="2511"/>
      <c r="WUG30" s="2511"/>
      <c r="WUH30" s="2511"/>
      <c r="WUI30" s="2511"/>
      <c r="WUJ30" s="2511"/>
      <c r="WUK30" s="2511"/>
      <c r="WUL30" s="2511"/>
      <c r="WUM30" s="2511"/>
      <c r="WUN30" s="2511"/>
      <c r="WUO30" s="2511"/>
      <c r="WUP30" s="2511"/>
      <c r="WUQ30" s="2511"/>
      <c r="WUR30" s="2511"/>
      <c r="WUS30" s="2511"/>
      <c r="WUT30" s="2511"/>
      <c r="WUU30" s="2511"/>
      <c r="WUV30" s="2511"/>
      <c r="WUW30" s="2511"/>
      <c r="WUX30" s="2511"/>
      <c r="WUY30" s="2511"/>
      <c r="WUZ30" s="2511"/>
      <c r="WVA30" s="2511"/>
      <c r="WVB30" s="2511"/>
      <c r="WVC30" s="2511"/>
      <c r="WVD30" s="2511"/>
      <c r="WVE30" s="2511"/>
      <c r="WVF30" s="2511"/>
      <c r="WVG30" s="2511"/>
      <c r="WVH30" s="2511"/>
      <c r="WVI30" s="2511"/>
      <c r="WVJ30" s="2511"/>
      <c r="WVK30" s="2511"/>
      <c r="WVL30" s="2511"/>
      <c r="WVM30" s="2511"/>
      <c r="WVN30" s="2511"/>
      <c r="WVO30" s="2511"/>
      <c r="WVP30" s="2511"/>
      <c r="WVQ30" s="2511"/>
      <c r="WVR30" s="2511"/>
      <c r="WVS30" s="2511"/>
      <c r="WVT30" s="2511"/>
      <c r="WVU30" s="2511"/>
      <c r="WVV30" s="2511"/>
      <c r="WVW30" s="2511"/>
      <c r="WVX30" s="2511"/>
      <c r="WVY30" s="2511"/>
      <c r="WVZ30" s="2511"/>
      <c r="WWA30" s="2511"/>
      <c r="WWB30" s="2511"/>
      <c r="WWC30" s="2511"/>
      <c r="WWD30" s="2511"/>
      <c r="WWE30" s="2511"/>
      <c r="WWF30" s="2511"/>
      <c r="WWG30" s="2511"/>
      <c r="WWH30" s="2511"/>
      <c r="WWI30" s="2511"/>
      <c r="WWJ30" s="2511"/>
      <c r="WWK30" s="2511"/>
      <c r="WWL30" s="2511"/>
      <c r="WWM30" s="2511"/>
      <c r="WWN30" s="2511"/>
      <c r="WWO30" s="2511"/>
      <c r="WWP30" s="2511"/>
      <c r="WWQ30" s="2511"/>
      <c r="WWR30" s="2511"/>
      <c r="WWS30" s="2511"/>
      <c r="WWT30" s="2511"/>
      <c r="WWU30" s="2511"/>
      <c r="WWV30" s="2511"/>
      <c r="WWW30" s="2511"/>
      <c r="WWX30" s="2511"/>
      <c r="WWY30" s="2511"/>
      <c r="WWZ30" s="2511"/>
      <c r="WXA30" s="2511"/>
      <c r="WXB30" s="2511"/>
      <c r="WXC30" s="2511"/>
      <c r="WXD30" s="2511"/>
      <c r="WXE30" s="2511"/>
      <c r="WXF30" s="2511"/>
      <c r="WXG30" s="2511"/>
      <c r="WXH30" s="2511"/>
      <c r="WXI30" s="2511"/>
      <c r="WXJ30" s="2511"/>
      <c r="WXK30" s="2511"/>
      <c r="WXL30" s="2511"/>
      <c r="WXM30" s="2511"/>
      <c r="WXN30" s="2511"/>
      <c r="WXO30" s="2511"/>
      <c r="WXP30" s="2511"/>
      <c r="WXQ30" s="2511"/>
      <c r="WXR30" s="2511"/>
      <c r="WXS30" s="2511"/>
      <c r="WXT30" s="2511"/>
      <c r="WXU30" s="2511"/>
      <c r="WXV30" s="2511"/>
      <c r="WXW30" s="2511"/>
      <c r="WXX30" s="2511"/>
      <c r="WXY30" s="2511"/>
      <c r="WXZ30" s="2511"/>
      <c r="WYA30" s="2511"/>
      <c r="WYB30" s="2511"/>
      <c r="WYC30" s="2511"/>
      <c r="WYD30" s="2511"/>
      <c r="WYE30" s="2511"/>
      <c r="WYF30" s="2511"/>
      <c r="WYG30" s="2511"/>
      <c r="WYH30" s="2511"/>
      <c r="WYI30" s="2511"/>
      <c r="WYJ30" s="2511"/>
      <c r="WYK30" s="2511"/>
      <c r="WYL30" s="2511"/>
      <c r="WYM30" s="2511"/>
      <c r="WYN30" s="2511"/>
      <c r="WYO30" s="2511"/>
      <c r="WYP30" s="2511"/>
      <c r="WYQ30" s="2511"/>
      <c r="WYR30" s="2511"/>
      <c r="WYS30" s="2511"/>
      <c r="WYT30" s="2511"/>
      <c r="WYU30" s="2511"/>
      <c r="WYV30" s="2511"/>
      <c r="WYW30" s="2511"/>
      <c r="WYX30" s="2511"/>
      <c r="WYY30" s="2511"/>
      <c r="WYZ30" s="2511"/>
      <c r="WZA30" s="2511"/>
      <c r="WZB30" s="2511"/>
      <c r="WZC30" s="2511"/>
      <c r="WZD30" s="2511"/>
      <c r="WZE30" s="2511"/>
      <c r="WZF30" s="2511"/>
      <c r="WZG30" s="2511"/>
      <c r="WZH30" s="2511"/>
      <c r="WZI30" s="2511"/>
      <c r="WZJ30" s="2511"/>
      <c r="WZK30" s="2511"/>
      <c r="WZL30" s="2511"/>
      <c r="WZM30" s="2511"/>
      <c r="WZN30" s="2511"/>
      <c r="WZO30" s="2511"/>
      <c r="WZP30" s="2511"/>
      <c r="WZQ30" s="2511"/>
      <c r="WZR30" s="2511"/>
      <c r="WZS30" s="2511"/>
      <c r="WZT30" s="2511"/>
      <c r="WZU30" s="2511"/>
      <c r="WZV30" s="2511"/>
      <c r="WZW30" s="2511"/>
      <c r="WZX30" s="2511"/>
      <c r="WZY30" s="2511"/>
      <c r="WZZ30" s="2511"/>
      <c r="XAA30" s="2511"/>
      <c r="XAB30" s="2511"/>
      <c r="XAC30" s="2511"/>
      <c r="XAD30" s="2511"/>
      <c r="XAE30" s="2511"/>
      <c r="XAF30" s="2511"/>
      <c r="XAG30" s="2511"/>
      <c r="XAH30" s="2511"/>
      <c r="XAI30" s="2511"/>
      <c r="XAJ30" s="2511"/>
      <c r="XAK30" s="2511"/>
      <c r="XAL30" s="2511"/>
      <c r="XAM30" s="2511"/>
      <c r="XAN30" s="2511"/>
      <c r="XAO30" s="2511"/>
      <c r="XAP30" s="2511"/>
      <c r="XAQ30" s="2511"/>
      <c r="XAR30" s="2511"/>
      <c r="XAS30" s="2511"/>
      <c r="XAT30" s="2511"/>
      <c r="XAU30" s="2511"/>
      <c r="XAV30" s="2511"/>
      <c r="XAW30" s="2511"/>
      <c r="XAX30" s="2511"/>
      <c r="XAY30" s="2511"/>
      <c r="XAZ30" s="2511"/>
      <c r="XBA30" s="2511"/>
      <c r="XBB30" s="2511"/>
      <c r="XBC30" s="2511"/>
      <c r="XBD30" s="2511"/>
      <c r="XBE30" s="2511"/>
      <c r="XBF30" s="2511"/>
      <c r="XBG30" s="2511"/>
      <c r="XBH30" s="2511"/>
      <c r="XBI30" s="2511"/>
      <c r="XBJ30" s="2511"/>
      <c r="XBK30" s="2511"/>
      <c r="XBL30" s="2511"/>
      <c r="XBM30" s="2511"/>
      <c r="XBN30" s="2511"/>
      <c r="XBO30" s="2511"/>
      <c r="XBP30" s="2511"/>
      <c r="XBQ30" s="2511"/>
      <c r="XBR30" s="2511"/>
      <c r="XBS30" s="2511"/>
      <c r="XBT30" s="2511"/>
      <c r="XBU30" s="2511"/>
      <c r="XBV30" s="2511"/>
      <c r="XBW30" s="2511"/>
      <c r="XBX30" s="2511"/>
      <c r="XBY30" s="2511"/>
      <c r="XBZ30" s="2511"/>
      <c r="XCA30" s="2511"/>
      <c r="XCB30" s="2511"/>
      <c r="XCC30" s="2511"/>
      <c r="XCD30" s="2511"/>
      <c r="XCE30" s="2511"/>
      <c r="XCF30" s="2511"/>
      <c r="XCG30" s="2511"/>
      <c r="XCH30" s="2511"/>
      <c r="XCI30" s="2511"/>
      <c r="XCJ30" s="2511"/>
      <c r="XCK30" s="2511"/>
      <c r="XCL30" s="2511"/>
      <c r="XCM30" s="2511"/>
      <c r="XCN30" s="2511"/>
      <c r="XCO30" s="2511"/>
      <c r="XCP30" s="2511"/>
      <c r="XCQ30" s="2511"/>
      <c r="XCR30" s="2511"/>
      <c r="XCS30" s="2511"/>
      <c r="XCT30" s="2511"/>
      <c r="XCU30" s="2511"/>
      <c r="XCV30" s="2511"/>
      <c r="XCW30" s="2511"/>
      <c r="XCX30" s="2511"/>
      <c r="XCY30" s="2511"/>
      <c r="XCZ30" s="2511"/>
      <c r="XDA30" s="2511"/>
      <c r="XDB30" s="2511"/>
      <c r="XDC30" s="2511"/>
      <c r="XDD30" s="2511"/>
      <c r="XDE30" s="2511"/>
      <c r="XDF30" s="2511"/>
      <c r="XDG30" s="2511"/>
      <c r="XDH30" s="2511"/>
      <c r="XDI30" s="2511"/>
      <c r="XDJ30" s="2511"/>
      <c r="XDK30" s="2511"/>
      <c r="XDL30" s="2511"/>
      <c r="XDM30" s="2511"/>
      <c r="XDN30" s="2511"/>
      <c r="XDO30" s="2511"/>
      <c r="XDP30" s="2511"/>
      <c r="XDQ30" s="2511"/>
      <c r="XDR30" s="2511"/>
      <c r="XDS30" s="2511"/>
      <c r="XDT30" s="2511"/>
      <c r="XDU30" s="2511"/>
      <c r="XDV30" s="2511"/>
      <c r="XDW30" s="2511"/>
      <c r="XDX30" s="2511"/>
      <c r="XDY30" s="2511"/>
      <c r="XDZ30" s="2511"/>
      <c r="XEA30" s="2511"/>
      <c r="XEB30" s="2511"/>
      <c r="XEC30" s="2511"/>
      <c r="XED30" s="2511"/>
      <c r="XEE30" s="2511"/>
      <c r="XEF30" s="2511"/>
      <c r="XEG30" s="2511"/>
      <c r="XEH30" s="2511"/>
      <c r="XEI30" s="2511"/>
      <c r="XEJ30" s="2511"/>
      <c r="XEK30" s="2511"/>
      <c r="XEL30" s="2511"/>
      <c r="XEM30" s="2511"/>
      <c r="XEN30" s="2511"/>
      <c r="XEO30" s="2511"/>
      <c r="XEP30" s="2511"/>
      <c r="XEQ30" s="2511"/>
      <c r="XER30" s="2511"/>
      <c r="XES30" s="2511"/>
      <c r="XET30" s="2511"/>
      <c r="XEU30" s="2511"/>
      <c r="XEV30" s="2511"/>
      <c r="XEW30" s="2511"/>
      <c r="XEX30" s="2511"/>
      <c r="XEY30" s="2511"/>
      <c r="XEZ30" s="2511"/>
      <c r="XFA30" s="2511"/>
      <c r="XFB30" s="2511"/>
      <c r="XFC30" s="2511"/>
      <c r="XFD30" s="2511"/>
    </row>
    <row r="31" spans="1:16384" s="723" customFormat="1" ht="45" customHeight="1">
      <c r="A31" s="2511" t="s">
        <v>1334</v>
      </c>
      <c r="B31" s="2511"/>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511"/>
      <c r="BB31" s="2511"/>
      <c r="BC31" s="2511"/>
      <c r="BD31" s="2511"/>
      <c r="BE31" s="2511"/>
      <c r="BF31" s="2511"/>
      <c r="BG31" s="2511"/>
      <c r="BH31" s="2511"/>
      <c r="BI31" s="2511"/>
      <c r="BJ31" s="2511"/>
      <c r="BK31" s="2511"/>
      <c r="BL31" s="2511"/>
      <c r="BM31" s="2511"/>
      <c r="BN31" s="2511"/>
      <c r="BO31" s="2511"/>
      <c r="BP31" s="2511"/>
      <c r="BQ31" s="2511"/>
      <c r="BR31" s="2511"/>
      <c r="BS31" s="2511"/>
      <c r="BT31" s="2511"/>
      <c r="BU31" s="2511"/>
      <c r="BV31" s="2511"/>
      <c r="BW31" s="2511"/>
      <c r="BX31" s="2511"/>
      <c r="BY31" s="2511"/>
      <c r="BZ31" s="2511"/>
      <c r="CA31" s="2511"/>
      <c r="CB31" s="2511"/>
      <c r="CC31" s="2511"/>
      <c r="CD31" s="2511"/>
      <c r="CE31" s="2511"/>
      <c r="CF31" s="2511"/>
      <c r="CG31" s="2511"/>
      <c r="CH31" s="2511"/>
      <c r="CI31" s="2511"/>
      <c r="CJ31" s="2511"/>
      <c r="CK31" s="2511"/>
      <c r="CL31" s="2511"/>
      <c r="CM31" s="2511"/>
      <c r="CN31" s="2511"/>
      <c r="CO31" s="2511"/>
      <c r="CP31" s="2511"/>
      <c r="CQ31" s="2511"/>
      <c r="CR31" s="2511"/>
      <c r="CS31" s="2511"/>
      <c r="CT31" s="2511"/>
      <c r="CU31" s="2511"/>
      <c r="CV31" s="2511"/>
      <c r="CW31" s="2511"/>
      <c r="CX31" s="2511"/>
      <c r="CY31" s="2511"/>
      <c r="CZ31" s="2511"/>
      <c r="DA31" s="2511"/>
      <c r="DB31" s="2511"/>
      <c r="DC31" s="2511"/>
      <c r="DD31" s="2511"/>
      <c r="DE31" s="2511"/>
      <c r="DF31" s="2511"/>
      <c r="DG31" s="2511"/>
      <c r="DH31" s="2511"/>
      <c r="DI31" s="2511"/>
      <c r="DJ31" s="2511"/>
      <c r="DK31" s="2511"/>
      <c r="DL31" s="2511"/>
      <c r="DM31" s="2511"/>
      <c r="DN31" s="2511"/>
      <c r="DO31" s="2511"/>
      <c r="DP31" s="2511"/>
      <c r="DQ31" s="2511"/>
      <c r="DR31" s="2511"/>
      <c r="DS31" s="2511"/>
      <c r="DT31" s="2511"/>
      <c r="DU31" s="2511"/>
      <c r="DV31" s="2511"/>
      <c r="DW31" s="2511"/>
      <c r="DX31" s="2511"/>
      <c r="DY31" s="2511"/>
      <c r="DZ31" s="2511"/>
      <c r="EA31" s="2511"/>
      <c r="EB31" s="2511"/>
      <c r="EC31" s="2511"/>
      <c r="ED31" s="2511"/>
      <c r="EE31" s="2511"/>
      <c r="EF31" s="2511"/>
      <c r="EG31" s="2511"/>
      <c r="EH31" s="2511"/>
      <c r="EI31" s="2511"/>
      <c r="EJ31" s="2511"/>
      <c r="EK31" s="2511"/>
      <c r="EL31" s="2511"/>
      <c r="EM31" s="2511"/>
      <c r="EN31" s="2511"/>
      <c r="EO31" s="2511"/>
      <c r="EP31" s="2511"/>
      <c r="EQ31" s="2511"/>
      <c r="ER31" s="2511"/>
      <c r="ES31" s="2511"/>
      <c r="ET31" s="2511"/>
      <c r="EU31" s="2511"/>
      <c r="EV31" s="2511"/>
      <c r="EW31" s="2511"/>
      <c r="EX31" s="2511"/>
      <c r="EY31" s="2511"/>
      <c r="EZ31" s="2511"/>
      <c r="FA31" s="2511"/>
      <c r="FB31" s="2511"/>
      <c r="FC31" s="2511"/>
      <c r="FD31" s="2511"/>
      <c r="FE31" s="2511"/>
      <c r="FF31" s="2511"/>
      <c r="FG31" s="2511"/>
      <c r="FH31" s="2511"/>
      <c r="FI31" s="2511"/>
      <c r="FJ31" s="2511"/>
      <c r="FK31" s="2511"/>
      <c r="FL31" s="2511"/>
      <c r="FM31" s="2511"/>
      <c r="FN31" s="2511"/>
      <c r="FO31" s="2511"/>
      <c r="FP31" s="2511"/>
      <c r="FQ31" s="2511"/>
      <c r="FR31" s="2511"/>
      <c r="FS31" s="2511"/>
      <c r="FT31" s="2511"/>
      <c r="FU31" s="2511"/>
      <c r="FV31" s="2511"/>
      <c r="FW31" s="2511"/>
      <c r="FX31" s="2511"/>
      <c r="FY31" s="2511"/>
      <c r="FZ31" s="2511"/>
      <c r="GA31" s="2511"/>
      <c r="GB31" s="2511"/>
      <c r="GC31" s="2511"/>
      <c r="GD31" s="2511"/>
      <c r="GE31" s="2511"/>
      <c r="GF31" s="2511"/>
      <c r="GG31" s="2511"/>
      <c r="GH31" s="2511"/>
      <c r="GI31" s="2511"/>
      <c r="GJ31" s="2511"/>
      <c r="GK31" s="2511"/>
      <c r="GL31" s="2511"/>
      <c r="GM31" s="2511"/>
      <c r="GN31" s="2511"/>
      <c r="GO31" s="2511"/>
      <c r="GP31" s="2511"/>
      <c r="GQ31" s="2511"/>
      <c r="GR31" s="2511"/>
      <c r="GS31" s="2511"/>
      <c r="GT31" s="2511"/>
      <c r="GU31" s="2511"/>
      <c r="GV31" s="2511"/>
      <c r="GW31" s="2511"/>
      <c r="GX31" s="2511"/>
      <c r="GY31" s="2511"/>
      <c r="GZ31" s="2511"/>
      <c r="HA31" s="2511"/>
      <c r="HB31" s="2511"/>
      <c r="HC31" s="2511"/>
      <c r="HD31" s="2511"/>
      <c r="HE31" s="2511"/>
      <c r="HF31" s="2511"/>
      <c r="HG31" s="2511"/>
      <c r="HH31" s="2511"/>
      <c r="HI31" s="2511"/>
      <c r="HJ31" s="2511"/>
      <c r="HK31" s="2511"/>
      <c r="HL31" s="2511"/>
      <c r="HM31" s="2511"/>
      <c r="HN31" s="2511"/>
      <c r="HO31" s="2511"/>
      <c r="HP31" s="2511"/>
      <c r="HQ31" s="2511"/>
      <c r="HR31" s="2511"/>
      <c r="HS31" s="2511"/>
      <c r="HT31" s="2511"/>
      <c r="HU31" s="2511"/>
      <c r="HV31" s="2511"/>
      <c r="HW31" s="2511"/>
      <c r="HX31" s="2511"/>
      <c r="HY31" s="2511"/>
      <c r="HZ31" s="2511"/>
      <c r="IA31" s="2511"/>
      <c r="IB31" s="2511"/>
      <c r="IC31" s="2511"/>
      <c r="ID31" s="2511"/>
      <c r="IE31" s="2511"/>
      <c r="IF31" s="2511"/>
      <c r="IG31" s="2511"/>
      <c r="IH31" s="2511"/>
      <c r="II31" s="2511"/>
      <c r="IJ31" s="2511"/>
      <c r="IK31" s="2511"/>
      <c r="IL31" s="2511"/>
      <c r="IM31" s="2511"/>
      <c r="IN31" s="2511"/>
      <c r="IO31" s="2511"/>
      <c r="IP31" s="2511"/>
      <c r="IQ31" s="2511"/>
      <c r="IR31" s="2511"/>
      <c r="IS31" s="2511"/>
      <c r="IT31" s="2511"/>
      <c r="IU31" s="2511"/>
      <c r="IV31" s="2511"/>
      <c r="IW31" s="2511"/>
      <c r="IX31" s="2511"/>
      <c r="IY31" s="2511"/>
      <c r="IZ31" s="2511"/>
      <c r="JA31" s="2511"/>
      <c r="JB31" s="2511"/>
      <c r="JC31" s="2511"/>
      <c r="JD31" s="2511"/>
      <c r="JE31" s="2511"/>
      <c r="JF31" s="2511"/>
      <c r="JG31" s="2511"/>
      <c r="JH31" s="2511"/>
      <c r="JI31" s="2511"/>
      <c r="JJ31" s="2511"/>
      <c r="JK31" s="2511"/>
      <c r="JL31" s="2511"/>
      <c r="JM31" s="2511"/>
      <c r="JN31" s="2511"/>
      <c r="JO31" s="2511"/>
      <c r="JP31" s="2511"/>
      <c r="JQ31" s="2511"/>
      <c r="JR31" s="2511"/>
      <c r="JS31" s="2511"/>
      <c r="JT31" s="2511"/>
      <c r="JU31" s="2511"/>
      <c r="JV31" s="2511"/>
      <c r="JW31" s="2511"/>
      <c r="JX31" s="2511"/>
      <c r="JY31" s="2511"/>
      <c r="JZ31" s="2511"/>
      <c r="KA31" s="2511"/>
      <c r="KB31" s="2511"/>
      <c r="KC31" s="2511"/>
      <c r="KD31" s="2511"/>
      <c r="KE31" s="2511"/>
      <c r="KF31" s="2511"/>
      <c r="KG31" s="2511"/>
      <c r="KH31" s="2511"/>
      <c r="KI31" s="2511"/>
      <c r="KJ31" s="2511"/>
      <c r="KK31" s="2511"/>
      <c r="KL31" s="2511"/>
      <c r="KM31" s="2511"/>
      <c r="KN31" s="2511"/>
      <c r="KO31" s="2511"/>
      <c r="KP31" s="2511"/>
      <c r="KQ31" s="2511"/>
      <c r="KR31" s="2511"/>
      <c r="KS31" s="2511"/>
      <c r="KT31" s="2511"/>
      <c r="KU31" s="2511"/>
      <c r="KV31" s="2511"/>
      <c r="KW31" s="2511"/>
      <c r="KX31" s="2511"/>
      <c r="KY31" s="2511"/>
      <c r="KZ31" s="2511"/>
      <c r="LA31" s="2511"/>
      <c r="LB31" s="2511"/>
      <c r="LC31" s="2511"/>
      <c r="LD31" s="2511"/>
      <c r="LE31" s="2511"/>
      <c r="LF31" s="2511"/>
      <c r="LG31" s="2511"/>
      <c r="LH31" s="2511"/>
      <c r="LI31" s="2511"/>
      <c r="LJ31" s="2511"/>
      <c r="LK31" s="2511"/>
      <c r="LL31" s="2511"/>
      <c r="LM31" s="2511"/>
      <c r="LN31" s="2511"/>
      <c r="LO31" s="2511"/>
      <c r="LP31" s="2511"/>
      <c r="LQ31" s="2511"/>
      <c r="LR31" s="2511"/>
      <c r="LS31" s="2511"/>
      <c r="LT31" s="2511"/>
      <c r="LU31" s="2511"/>
      <c r="LV31" s="2511"/>
      <c r="LW31" s="2511"/>
      <c r="LX31" s="2511"/>
      <c r="LY31" s="2511"/>
      <c r="LZ31" s="2511"/>
      <c r="MA31" s="2511"/>
      <c r="MB31" s="2511"/>
      <c r="MC31" s="2511"/>
      <c r="MD31" s="2511"/>
      <c r="ME31" s="2511"/>
      <c r="MF31" s="2511"/>
      <c r="MG31" s="2511"/>
      <c r="MH31" s="2511"/>
      <c r="MI31" s="2511"/>
      <c r="MJ31" s="2511"/>
      <c r="MK31" s="2511"/>
      <c r="ML31" s="2511"/>
      <c r="MM31" s="2511"/>
      <c r="MN31" s="2511"/>
      <c r="MO31" s="2511"/>
      <c r="MP31" s="2511"/>
      <c r="MQ31" s="2511"/>
      <c r="MR31" s="2511"/>
      <c r="MS31" s="2511"/>
      <c r="MT31" s="2511"/>
      <c r="MU31" s="2511"/>
      <c r="MV31" s="2511"/>
      <c r="MW31" s="2511"/>
      <c r="MX31" s="2511"/>
      <c r="MY31" s="2511"/>
      <c r="MZ31" s="2511"/>
      <c r="NA31" s="2511"/>
      <c r="NB31" s="2511"/>
      <c r="NC31" s="2511"/>
      <c r="ND31" s="2511"/>
      <c r="NE31" s="2511"/>
      <c r="NF31" s="2511"/>
      <c r="NG31" s="2511"/>
      <c r="NH31" s="2511"/>
      <c r="NI31" s="2511"/>
      <c r="NJ31" s="2511"/>
      <c r="NK31" s="2511"/>
      <c r="NL31" s="2511"/>
      <c r="NM31" s="2511"/>
      <c r="NN31" s="2511"/>
      <c r="NO31" s="2511"/>
      <c r="NP31" s="2511"/>
      <c r="NQ31" s="2511"/>
      <c r="NR31" s="2511"/>
      <c r="NS31" s="2511"/>
      <c r="NT31" s="2511"/>
      <c r="NU31" s="2511"/>
      <c r="NV31" s="2511"/>
      <c r="NW31" s="2511"/>
      <c r="NX31" s="2511"/>
      <c r="NY31" s="2511"/>
      <c r="NZ31" s="2511"/>
      <c r="OA31" s="2511"/>
      <c r="OB31" s="2511"/>
      <c r="OC31" s="2511"/>
      <c r="OD31" s="2511"/>
      <c r="OE31" s="2511"/>
      <c r="OF31" s="2511"/>
      <c r="OG31" s="2511"/>
      <c r="OH31" s="2511"/>
      <c r="OI31" s="2511"/>
      <c r="OJ31" s="2511"/>
      <c r="OK31" s="2511"/>
      <c r="OL31" s="2511"/>
      <c r="OM31" s="2511"/>
      <c r="ON31" s="2511"/>
      <c r="OO31" s="2511"/>
      <c r="OP31" s="2511"/>
      <c r="OQ31" s="2511"/>
      <c r="OR31" s="2511"/>
      <c r="OS31" s="2511"/>
      <c r="OT31" s="2511"/>
      <c r="OU31" s="2511"/>
      <c r="OV31" s="2511"/>
      <c r="OW31" s="2511"/>
      <c r="OX31" s="2511"/>
      <c r="OY31" s="2511"/>
      <c r="OZ31" s="2511"/>
      <c r="PA31" s="2511"/>
      <c r="PB31" s="2511"/>
      <c r="PC31" s="2511"/>
      <c r="PD31" s="2511"/>
      <c r="PE31" s="2511"/>
      <c r="PF31" s="2511"/>
      <c r="PG31" s="2511"/>
      <c r="PH31" s="2511"/>
      <c r="PI31" s="2511"/>
      <c r="PJ31" s="2511"/>
      <c r="PK31" s="2511"/>
      <c r="PL31" s="2511"/>
      <c r="PM31" s="2511"/>
      <c r="PN31" s="2511"/>
      <c r="PO31" s="2511"/>
      <c r="PP31" s="2511"/>
      <c r="PQ31" s="2511"/>
      <c r="PR31" s="2511"/>
      <c r="PS31" s="2511"/>
      <c r="PT31" s="2511"/>
      <c r="PU31" s="2511"/>
      <c r="PV31" s="2511"/>
      <c r="PW31" s="2511"/>
      <c r="PX31" s="2511"/>
      <c r="PY31" s="2511"/>
      <c r="PZ31" s="2511"/>
      <c r="QA31" s="2511"/>
      <c r="QB31" s="2511"/>
      <c r="QC31" s="2511"/>
      <c r="QD31" s="2511"/>
      <c r="QE31" s="2511"/>
      <c r="QF31" s="2511"/>
      <c r="QG31" s="2511"/>
      <c r="QH31" s="2511"/>
      <c r="QI31" s="2511"/>
      <c r="QJ31" s="2511"/>
      <c r="QK31" s="2511"/>
      <c r="QL31" s="2511"/>
      <c r="QM31" s="2511"/>
      <c r="QN31" s="2511"/>
      <c r="QO31" s="2511"/>
      <c r="QP31" s="2511"/>
      <c r="QQ31" s="2511"/>
      <c r="QR31" s="2511"/>
      <c r="QS31" s="2511"/>
      <c r="QT31" s="2511"/>
      <c r="QU31" s="2511"/>
      <c r="QV31" s="2511"/>
      <c r="QW31" s="2511"/>
      <c r="QX31" s="2511"/>
      <c r="QY31" s="2511"/>
      <c r="QZ31" s="2511"/>
      <c r="RA31" s="2511"/>
      <c r="RB31" s="2511"/>
      <c r="RC31" s="2511"/>
      <c r="RD31" s="2511"/>
      <c r="RE31" s="2511"/>
      <c r="RF31" s="2511"/>
      <c r="RG31" s="2511"/>
      <c r="RH31" s="2511"/>
      <c r="RI31" s="2511"/>
      <c r="RJ31" s="2511"/>
      <c r="RK31" s="2511"/>
      <c r="RL31" s="2511"/>
      <c r="RM31" s="2511"/>
      <c r="RN31" s="2511"/>
      <c r="RO31" s="2511"/>
      <c r="RP31" s="2511"/>
      <c r="RQ31" s="2511"/>
      <c r="RR31" s="2511"/>
      <c r="RS31" s="2511"/>
      <c r="RT31" s="2511"/>
      <c r="RU31" s="2511"/>
      <c r="RV31" s="2511"/>
      <c r="RW31" s="2511"/>
      <c r="RX31" s="2511"/>
      <c r="RY31" s="2511"/>
      <c r="RZ31" s="2511"/>
      <c r="SA31" s="2511"/>
      <c r="SB31" s="2511"/>
      <c r="SC31" s="2511"/>
      <c r="SD31" s="2511"/>
      <c r="SE31" s="2511"/>
      <c r="SF31" s="2511"/>
      <c r="SG31" s="2511"/>
      <c r="SH31" s="2511"/>
      <c r="SI31" s="2511"/>
      <c r="SJ31" s="2511"/>
      <c r="SK31" s="2511"/>
      <c r="SL31" s="2511"/>
      <c r="SM31" s="2511"/>
      <c r="SN31" s="2511"/>
      <c r="SO31" s="2511"/>
      <c r="SP31" s="2511"/>
      <c r="SQ31" s="2511"/>
      <c r="SR31" s="2511"/>
      <c r="SS31" s="2511"/>
      <c r="ST31" s="2511"/>
      <c r="SU31" s="2511"/>
      <c r="SV31" s="2511"/>
      <c r="SW31" s="2511"/>
      <c r="SX31" s="2511"/>
      <c r="SY31" s="2511"/>
      <c r="SZ31" s="2511"/>
      <c r="TA31" s="2511"/>
      <c r="TB31" s="2511"/>
      <c r="TC31" s="2511"/>
      <c r="TD31" s="2511"/>
      <c r="TE31" s="2511"/>
      <c r="TF31" s="2511"/>
      <c r="TG31" s="2511"/>
      <c r="TH31" s="2511"/>
      <c r="TI31" s="2511"/>
      <c r="TJ31" s="2511"/>
      <c r="TK31" s="2511"/>
      <c r="TL31" s="2511"/>
      <c r="TM31" s="2511"/>
      <c r="TN31" s="2511"/>
      <c r="TO31" s="2511"/>
      <c r="TP31" s="2511"/>
      <c r="TQ31" s="2511"/>
      <c r="TR31" s="2511"/>
      <c r="TS31" s="2511"/>
      <c r="TT31" s="2511"/>
      <c r="TU31" s="2511"/>
      <c r="TV31" s="2511"/>
      <c r="TW31" s="2511"/>
      <c r="TX31" s="2511"/>
      <c r="TY31" s="2511"/>
      <c r="TZ31" s="2511"/>
      <c r="UA31" s="2511"/>
      <c r="UB31" s="2511"/>
      <c r="UC31" s="2511"/>
      <c r="UD31" s="2511"/>
      <c r="UE31" s="2511"/>
      <c r="UF31" s="2511"/>
      <c r="UG31" s="2511"/>
      <c r="UH31" s="2511"/>
      <c r="UI31" s="2511"/>
      <c r="UJ31" s="2511"/>
      <c r="UK31" s="2511"/>
      <c r="UL31" s="2511"/>
      <c r="UM31" s="2511"/>
      <c r="UN31" s="2511"/>
      <c r="UO31" s="2511"/>
      <c r="UP31" s="2511"/>
      <c r="UQ31" s="2511"/>
      <c r="UR31" s="2511"/>
      <c r="US31" s="2511"/>
      <c r="UT31" s="2511"/>
      <c r="UU31" s="2511"/>
      <c r="UV31" s="2511"/>
      <c r="UW31" s="2511"/>
      <c r="UX31" s="2511"/>
      <c r="UY31" s="2511"/>
      <c r="UZ31" s="2511"/>
      <c r="VA31" s="2511"/>
      <c r="VB31" s="2511"/>
      <c r="VC31" s="2511"/>
      <c r="VD31" s="2511"/>
      <c r="VE31" s="2511"/>
      <c r="VF31" s="2511"/>
      <c r="VG31" s="2511"/>
      <c r="VH31" s="2511"/>
      <c r="VI31" s="2511"/>
      <c r="VJ31" s="2511"/>
      <c r="VK31" s="2511"/>
      <c r="VL31" s="2511"/>
      <c r="VM31" s="2511"/>
      <c r="VN31" s="2511"/>
      <c r="VO31" s="2511"/>
      <c r="VP31" s="2511"/>
      <c r="VQ31" s="2511"/>
      <c r="VR31" s="2511"/>
      <c r="VS31" s="2511"/>
      <c r="VT31" s="2511"/>
      <c r="VU31" s="2511"/>
      <c r="VV31" s="2511"/>
      <c r="VW31" s="2511"/>
      <c r="VX31" s="2511"/>
      <c r="VY31" s="2511"/>
      <c r="VZ31" s="2511"/>
      <c r="WA31" s="2511"/>
      <c r="WB31" s="2511"/>
      <c r="WC31" s="2511"/>
      <c r="WD31" s="2511"/>
      <c r="WE31" s="2511"/>
      <c r="WF31" s="2511"/>
      <c r="WG31" s="2511"/>
      <c r="WH31" s="2511"/>
      <c r="WI31" s="2511"/>
      <c r="WJ31" s="2511"/>
      <c r="WK31" s="2511"/>
      <c r="WL31" s="2511"/>
      <c r="WM31" s="2511"/>
      <c r="WN31" s="2511"/>
      <c r="WO31" s="2511"/>
      <c r="WP31" s="2511"/>
      <c r="WQ31" s="2511"/>
      <c r="WR31" s="2511"/>
      <c r="WS31" s="2511"/>
      <c r="WT31" s="2511"/>
      <c r="WU31" s="2511"/>
      <c r="WV31" s="2511"/>
      <c r="WW31" s="2511"/>
      <c r="WX31" s="2511"/>
      <c r="WY31" s="2511"/>
      <c r="WZ31" s="2511"/>
      <c r="XA31" s="2511"/>
      <c r="XB31" s="2511"/>
      <c r="XC31" s="2511"/>
      <c r="XD31" s="2511"/>
      <c r="XE31" s="2511"/>
      <c r="XF31" s="2511"/>
      <c r="XG31" s="2511"/>
      <c r="XH31" s="2511"/>
      <c r="XI31" s="2511"/>
      <c r="XJ31" s="2511"/>
      <c r="XK31" s="2511"/>
      <c r="XL31" s="2511"/>
      <c r="XM31" s="2511"/>
      <c r="XN31" s="2511"/>
      <c r="XO31" s="2511"/>
      <c r="XP31" s="2511"/>
      <c r="XQ31" s="2511"/>
      <c r="XR31" s="2511"/>
      <c r="XS31" s="2511"/>
      <c r="XT31" s="2511"/>
      <c r="XU31" s="2511"/>
      <c r="XV31" s="2511"/>
      <c r="XW31" s="2511"/>
      <c r="XX31" s="2511"/>
      <c r="XY31" s="2511"/>
      <c r="XZ31" s="2511"/>
      <c r="YA31" s="2511"/>
      <c r="YB31" s="2511"/>
      <c r="YC31" s="2511"/>
      <c r="YD31" s="2511"/>
      <c r="YE31" s="2511"/>
      <c r="YF31" s="2511"/>
      <c r="YG31" s="2511"/>
      <c r="YH31" s="2511"/>
      <c r="YI31" s="2511"/>
      <c r="YJ31" s="2511"/>
      <c r="YK31" s="2511"/>
      <c r="YL31" s="2511"/>
      <c r="YM31" s="2511"/>
      <c r="YN31" s="2511"/>
      <c r="YO31" s="2511"/>
      <c r="YP31" s="2511"/>
      <c r="YQ31" s="2511"/>
      <c r="YR31" s="2511"/>
      <c r="YS31" s="2511"/>
      <c r="YT31" s="2511"/>
      <c r="YU31" s="2511"/>
      <c r="YV31" s="2511"/>
      <c r="YW31" s="2511"/>
      <c r="YX31" s="2511"/>
      <c r="YY31" s="2511"/>
      <c r="YZ31" s="2511"/>
      <c r="ZA31" s="2511"/>
      <c r="ZB31" s="2511"/>
      <c r="ZC31" s="2511"/>
      <c r="ZD31" s="2511"/>
      <c r="ZE31" s="2511"/>
      <c r="ZF31" s="2511"/>
      <c r="ZG31" s="2511"/>
      <c r="ZH31" s="2511"/>
      <c r="ZI31" s="2511"/>
      <c r="ZJ31" s="2511"/>
      <c r="ZK31" s="2511"/>
      <c r="ZL31" s="2511"/>
      <c r="ZM31" s="2511"/>
      <c r="ZN31" s="2511"/>
      <c r="ZO31" s="2511"/>
      <c r="ZP31" s="2511"/>
      <c r="ZQ31" s="2511"/>
      <c r="ZR31" s="2511"/>
      <c r="ZS31" s="2511"/>
      <c r="ZT31" s="2511"/>
      <c r="ZU31" s="2511"/>
      <c r="ZV31" s="2511"/>
      <c r="ZW31" s="2511"/>
      <c r="ZX31" s="2511"/>
      <c r="ZY31" s="2511"/>
      <c r="ZZ31" s="2511"/>
      <c r="AAA31" s="2511"/>
      <c r="AAB31" s="2511"/>
      <c r="AAC31" s="2511"/>
      <c r="AAD31" s="2511"/>
      <c r="AAE31" s="2511"/>
      <c r="AAF31" s="2511"/>
      <c r="AAG31" s="2511"/>
      <c r="AAH31" s="2511"/>
      <c r="AAI31" s="2511"/>
      <c r="AAJ31" s="2511"/>
      <c r="AAK31" s="2511"/>
      <c r="AAL31" s="2511"/>
      <c r="AAM31" s="2511"/>
      <c r="AAN31" s="2511"/>
      <c r="AAO31" s="2511"/>
      <c r="AAP31" s="2511"/>
      <c r="AAQ31" s="2511"/>
      <c r="AAR31" s="2511"/>
      <c r="AAS31" s="2511"/>
      <c r="AAT31" s="2511"/>
      <c r="AAU31" s="2511"/>
      <c r="AAV31" s="2511"/>
      <c r="AAW31" s="2511"/>
      <c r="AAX31" s="2511"/>
      <c r="AAY31" s="2511"/>
      <c r="AAZ31" s="2511"/>
      <c r="ABA31" s="2511"/>
      <c r="ABB31" s="2511"/>
      <c r="ABC31" s="2511"/>
      <c r="ABD31" s="2511"/>
      <c r="ABE31" s="2511"/>
      <c r="ABF31" s="2511"/>
      <c r="ABG31" s="2511"/>
      <c r="ABH31" s="2511"/>
      <c r="ABI31" s="2511"/>
      <c r="ABJ31" s="2511"/>
      <c r="ABK31" s="2511"/>
      <c r="ABL31" s="2511"/>
      <c r="ABM31" s="2511"/>
      <c r="ABN31" s="2511"/>
      <c r="ABO31" s="2511"/>
      <c r="ABP31" s="2511"/>
      <c r="ABQ31" s="2511"/>
      <c r="ABR31" s="2511"/>
      <c r="ABS31" s="2511"/>
      <c r="ABT31" s="2511"/>
      <c r="ABU31" s="2511"/>
      <c r="ABV31" s="2511"/>
      <c r="ABW31" s="2511"/>
      <c r="ABX31" s="2511"/>
      <c r="ABY31" s="2511"/>
      <c r="ABZ31" s="2511"/>
      <c r="ACA31" s="2511"/>
      <c r="ACB31" s="2511"/>
      <c r="ACC31" s="2511"/>
      <c r="ACD31" s="2511"/>
      <c r="ACE31" s="2511"/>
      <c r="ACF31" s="2511"/>
      <c r="ACG31" s="2511"/>
      <c r="ACH31" s="2511"/>
      <c r="ACI31" s="2511"/>
      <c r="ACJ31" s="2511"/>
      <c r="ACK31" s="2511"/>
      <c r="ACL31" s="2511"/>
      <c r="ACM31" s="2511"/>
      <c r="ACN31" s="2511"/>
      <c r="ACO31" s="2511"/>
      <c r="ACP31" s="2511"/>
      <c r="ACQ31" s="2511"/>
      <c r="ACR31" s="2511"/>
      <c r="ACS31" s="2511"/>
      <c r="ACT31" s="2511"/>
      <c r="ACU31" s="2511"/>
      <c r="ACV31" s="2511"/>
      <c r="ACW31" s="2511"/>
      <c r="ACX31" s="2511"/>
      <c r="ACY31" s="2511"/>
      <c r="ACZ31" s="2511"/>
      <c r="ADA31" s="2511"/>
      <c r="ADB31" s="2511"/>
      <c r="ADC31" s="2511"/>
      <c r="ADD31" s="2511"/>
      <c r="ADE31" s="2511"/>
      <c r="ADF31" s="2511"/>
      <c r="ADG31" s="2511"/>
      <c r="ADH31" s="2511"/>
      <c r="ADI31" s="2511"/>
      <c r="ADJ31" s="2511"/>
      <c r="ADK31" s="2511"/>
      <c r="ADL31" s="2511"/>
      <c r="ADM31" s="2511"/>
      <c r="ADN31" s="2511"/>
      <c r="ADO31" s="2511"/>
      <c r="ADP31" s="2511"/>
      <c r="ADQ31" s="2511"/>
      <c r="ADR31" s="2511"/>
      <c r="ADS31" s="2511"/>
      <c r="ADT31" s="2511"/>
      <c r="ADU31" s="2511"/>
      <c r="ADV31" s="2511"/>
      <c r="ADW31" s="2511"/>
      <c r="ADX31" s="2511"/>
      <c r="ADY31" s="2511"/>
      <c r="ADZ31" s="2511"/>
      <c r="AEA31" s="2511"/>
      <c r="AEB31" s="2511"/>
      <c r="AEC31" s="2511"/>
      <c r="AED31" s="2511"/>
      <c r="AEE31" s="2511"/>
      <c r="AEF31" s="2511"/>
      <c r="AEG31" s="2511"/>
      <c r="AEH31" s="2511"/>
      <c r="AEI31" s="2511"/>
      <c r="AEJ31" s="2511"/>
      <c r="AEK31" s="2511"/>
      <c r="AEL31" s="2511"/>
      <c r="AEM31" s="2511"/>
      <c r="AEN31" s="2511"/>
      <c r="AEO31" s="2511"/>
      <c r="AEP31" s="2511"/>
      <c r="AEQ31" s="2511"/>
      <c r="AER31" s="2511"/>
      <c r="AES31" s="2511"/>
      <c r="AET31" s="2511"/>
      <c r="AEU31" s="2511"/>
      <c r="AEV31" s="2511"/>
      <c r="AEW31" s="2511"/>
      <c r="AEX31" s="2511"/>
      <c r="AEY31" s="2511"/>
      <c r="AEZ31" s="2511"/>
      <c r="AFA31" s="2511"/>
      <c r="AFB31" s="2511"/>
      <c r="AFC31" s="2511"/>
      <c r="AFD31" s="2511"/>
      <c r="AFE31" s="2511"/>
      <c r="AFF31" s="2511"/>
      <c r="AFG31" s="2511"/>
      <c r="AFH31" s="2511"/>
      <c r="AFI31" s="2511"/>
      <c r="AFJ31" s="2511"/>
      <c r="AFK31" s="2511"/>
      <c r="AFL31" s="2511"/>
      <c r="AFM31" s="2511"/>
      <c r="AFN31" s="2511"/>
      <c r="AFO31" s="2511"/>
      <c r="AFP31" s="2511"/>
      <c r="AFQ31" s="2511"/>
      <c r="AFR31" s="2511"/>
      <c r="AFS31" s="2511"/>
      <c r="AFT31" s="2511"/>
      <c r="AFU31" s="2511"/>
      <c r="AFV31" s="2511"/>
      <c r="AFW31" s="2511"/>
      <c r="AFX31" s="2511"/>
      <c r="AFY31" s="2511"/>
      <c r="AFZ31" s="2511"/>
      <c r="AGA31" s="2511"/>
      <c r="AGB31" s="2511"/>
      <c r="AGC31" s="2511"/>
      <c r="AGD31" s="2511"/>
      <c r="AGE31" s="2511"/>
      <c r="AGF31" s="2511"/>
      <c r="AGG31" s="2511"/>
      <c r="AGH31" s="2511"/>
      <c r="AGI31" s="2511"/>
      <c r="AGJ31" s="2511"/>
      <c r="AGK31" s="2511"/>
      <c r="AGL31" s="2511"/>
      <c r="AGM31" s="2511"/>
      <c r="AGN31" s="2511"/>
      <c r="AGO31" s="2511"/>
      <c r="AGP31" s="2511"/>
      <c r="AGQ31" s="2511"/>
      <c r="AGR31" s="2511"/>
      <c r="AGS31" s="2511"/>
      <c r="AGT31" s="2511"/>
      <c r="AGU31" s="2511"/>
      <c r="AGV31" s="2511"/>
      <c r="AGW31" s="2511"/>
      <c r="AGX31" s="2511"/>
      <c r="AGY31" s="2511"/>
      <c r="AGZ31" s="2511"/>
      <c r="AHA31" s="2511"/>
      <c r="AHB31" s="2511"/>
      <c r="AHC31" s="2511"/>
      <c r="AHD31" s="2511"/>
      <c r="AHE31" s="2511"/>
      <c r="AHF31" s="2511"/>
      <c r="AHG31" s="2511"/>
      <c r="AHH31" s="2511"/>
      <c r="AHI31" s="2511"/>
      <c r="AHJ31" s="2511"/>
      <c r="AHK31" s="2511"/>
      <c r="AHL31" s="2511"/>
      <c r="AHM31" s="2511"/>
      <c r="AHN31" s="2511"/>
      <c r="AHO31" s="2511"/>
      <c r="AHP31" s="2511"/>
      <c r="AHQ31" s="2511"/>
      <c r="AHR31" s="2511"/>
      <c r="AHS31" s="2511"/>
      <c r="AHT31" s="2511"/>
      <c r="AHU31" s="2511"/>
      <c r="AHV31" s="2511"/>
      <c r="AHW31" s="2511"/>
      <c r="AHX31" s="2511"/>
      <c r="AHY31" s="2511"/>
      <c r="AHZ31" s="2511"/>
      <c r="AIA31" s="2511"/>
      <c r="AIB31" s="2511"/>
      <c r="AIC31" s="2511"/>
      <c r="AID31" s="2511"/>
      <c r="AIE31" s="2511"/>
      <c r="AIF31" s="2511"/>
      <c r="AIG31" s="2511"/>
      <c r="AIH31" s="2511"/>
      <c r="AII31" s="2511"/>
      <c r="AIJ31" s="2511"/>
      <c r="AIK31" s="2511"/>
      <c r="AIL31" s="2511"/>
      <c r="AIM31" s="2511"/>
      <c r="AIN31" s="2511"/>
      <c r="AIO31" s="2511"/>
      <c r="AIP31" s="2511"/>
      <c r="AIQ31" s="2511"/>
      <c r="AIR31" s="2511"/>
      <c r="AIS31" s="2511"/>
      <c r="AIT31" s="2511"/>
      <c r="AIU31" s="2511"/>
      <c r="AIV31" s="2511"/>
      <c r="AIW31" s="2511"/>
      <c r="AIX31" s="2511"/>
      <c r="AIY31" s="2511"/>
      <c r="AIZ31" s="2511"/>
      <c r="AJA31" s="2511"/>
      <c r="AJB31" s="2511"/>
      <c r="AJC31" s="2511"/>
      <c r="AJD31" s="2511"/>
      <c r="AJE31" s="2511"/>
      <c r="AJF31" s="2511"/>
      <c r="AJG31" s="2511"/>
      <c r="AJH31" s="2511"/>
      <c r="AJI31" s="2511"/>
      <c r="AJJ31" s="2511"/>
      <c r="AJK31" s="2511"/>
      <c r="AJL31" s="2511"/>
      <c r="AJM31" s="2511"/>
      <c r="AJN31" s="2511"/>
      <c r="AJO31" s="2511"/>
      <c r="AJP31" s="2511"/>
      <c r="AJQ31" s="2511"/>
      <c r="AJR31" s="2511"/>
      <c r="AJS31" s="2511"/>
      <c r="AJT31" s="2511"/>
      <c r="AJU31" s="2511"/>
      <c r="AJV31" s="2511"/>
      <c r="AJW31" s="2511"/>
      <c r="AJX31" s="2511"/>
      <c r="AJY31" s="2511"/>
      <c r="AJZ31" s="2511"/>
      <c r="AKA31" s="2511"/>
      <c r="AKB31" s="2511"/>
      <c r="AKC31" s="2511"/>
      <c r="AKD31" s="2511"/>
      <c r="AKE31" s="2511"/>
      <c r="AKF31" s="2511"/>
      <c r="AKG31" s="2511"/>
      <c r="AKH31" s="2511"/>
      <c r="AKI31" s="2511"/>
      <c r="AKJ31" s="2511"/>
      <c r="AKK31" s="2511"/>
      <c r="AKL31" s="2511"/>
      <c r="AKM31" s="2511"/>
      <c r="AKN31" s="2511"/>
      <c r="AKO31" s="2511"/>
      <c r="AKP31" s="2511"/>
      <c r="AKQ31" s="2511"/>
      <c r="AKR31" s="2511"/>
      <c r="AKS31" s="2511"/>
      <c r="AKT31" s="2511"/>
      <c r="AKU31" s="2511"/>
      <c r="AKV31" s="2511"/>
      <c r="AKW31" s="2511"/>
      <c r="AKX31" s="2511"/>
      <c r="AKY31" s="2511"/>
      <c r="AKZ31" s="2511"/>
      <c r="ALA31" s="2511"/>
      <c r="ALB31" s="2511"/>
      <c r="ALC31" s="2511"/>
      <c r="ALD31" s="2511"/>
      <c r="ALE31" s="2511"/>
      <c r="ALF31" s="2511"/>
      <c r="ALG31" s="2511"/>
      <c r="ALH31" s="2511"/>
      <c r="ALI31" s="2511"/>
      <c r="ALJ31" s="2511"/>
      <c r="ALK31" s="2511"/>
      <c r="ALL31" s="2511"/>
      <c r="ALM31" s="2511"/>
      <c r="ALN31" s="2511"/>
      <c r="ALO31" s="2511"/>
      <c r="ALP31" s="2511"/>
      <c r="ALQ31" s="2511"/>
      <c r="ALR31" s="2511"/>
      <c r="ALS31" s="2511"/>
      <c r="ALT31" s="2511"/>
      <c r="ALU31" s="2511"/>
      <c r="ALV31" s="2511"/>
      <c r="ALW31" s="2511"/>
      <c r="ALX31" s="2511"/>
      <c r="ALY31" s="2511"/>
      <c r="ALZ31" s="2511"/>
      <c r="AMA31" s="2511"/>
      <c r="AMB31" s="2511"/>
      <c r="AMC31" s="2511"/>
      <c r="AMD31" s="2511"/>
      <c r="AME31" s="2511"/>
      <c r="AMF31" s="2511"/>
      <c r="AMG31" s="2511"/>
      <c r="AMH31" s="2511"/>
      <c r="AMI31" s="2511"/>
      <c r="AMJ31" s="2511"/>
      <c r="AMK31" s="2511"/>
      <c r="AML31" s="2511"/>
      <c r="AMM31" s="2511"/>
      <c r="AMN31" s="2511"/>
      <c r="AMO31" s="2511"/>
      <c r="AMP31" s="2511"/>
      <c r="AMQ31" s="2511"/>
      <c r="AMR31" s="2511"/>
      <c r="AMS31" s="2511"/>
      <c r="AMT31" s="2511"/>
      <c r="AMU31" s="2511"/>
      <c r="AMV31" s="2511"/>
      <c r="AMW31" s="2511"/>
      <c r="AMX31" s="2511"/>
      <c r="AMY31" s="2511"/>
      <c r="AMZ31" s="2511"/>
      <c r="ANA31" s="2511"/>
      <c r="ANB31" s="2511"/>
      <c r="ANC31" s="2511"/>
      <c r="AND31" s="2511"/>
      <c r="ANE31" s="2511"/>
      <c r="ANF31" s="2511"/>
      <c r="ANG31" s="2511"/>
      <c r="ANH31" s="2511"/>
      <c r="ANI31" s="2511"/>
      <c r="ANJ31" s="2511"/>
      <c r="ANK31" s="2511"/>
      <c r="ANL31" s="2511"/>
      <c r="ANM31" s="2511"/>
      <c r="ANN31" s="2511"/>
      <c r="ANO31" s="2511"/>
      <c r="ANP31" s="2511"/>
      <c r="ANQ31" s="2511"/>
      <c r="ANR31" s="2511"/>
      <c r="ANS31" s="2511"/>
      <c r="ANT31" s="2511"/>
      <c r="ANU31" s="2511"/>
      <c r="ANV31" s="2511"/>
      <c r="ANW31" s="2511"/>
      <c r="ANX31" s="2511"/>
      <c r="ANY31" s="2511"/>
      <c r="ANZ31" s="2511"/>
      <c r="AOA31" s="2511"/>
      <c r="AOB31" s="2511"/>
      <c r="AOC31" s="2511"/>
      <c r="AOD31" s="2511"/>
      <c r="AOE31" s="2511"/>
      <c r="AOF31" s="2511"/>
      <c r="AOG31" s="2511"/>
      <c r="AOH31" s="2511"/>
      <c r="AOI31" s="2511"/>
      <c r="AOJ31" s="2511"/>
      <c r="AOK31" s="2511"/>
      <c r="AOL31" s="2511"/>
      <c r="AOM31" s="2511"/>
      <c r="AON31" s="2511"/>
      <c r="AOO31" s="2511"/>
      <c r="AOP31" s="2511"/>
      <c r="AOQ31" s="2511"/>
      <c r="AOR31" s="2511"/>
      <c r="AOS31" s="2511"/>
      <c r="AOT31" s="2511"/>
      <c r="AOU31" s="2511"/>
      <c r="AOV31" s="2511"/>
      <c r="AOW31" s="2511"/>
      <c r="AOX31" s="2511"/>
      <c r="AOY31" s="2511"/>
      <c r="AOZ31" s="2511"/>
      <c r="APA31" s="2511"/>
      <c r="APB31" s="2511"/>
      <c r="APC31" s="2511"/>
      <c r="APD31" s="2511"/>
      <c r="APE31" s="2511"/>
      <c r="APF31" s="2511"/>
      <c r="APG31" s="2511"/>
      <c r="APH31" s="2511"/>
      <c r="API31" s="2511"/>
      <c r="APJ31" s="2511"/>
      <c r="APK31" s="2511"/>
      <c r="APL31" s="2511"/>
      <c r="APM31" s="2511"/>
      <c r="APN31" s="2511"/>
      <c r="APO31" s="2511"/>
      <c r="APP31" s="2511"/>
      <c r="APQ31" s="2511"/>
      <c r="APR31" s="2511"/>
      <c r="APS31" s="2511"/>
      <c r="APT31" s="2511"/>
      <c r="APU31" s="2511"/>
      <c r="APV31" s="2511"/>
      <c r="APW31" s="2511"/>
      <c r="APX31" s="2511"/>
      <c r="APY31" s="2511"/>
      <c r="APZ31" s="2511"/>
      <c r="AQA31" s="2511"/>
      <c r="AQB31" s="2511"/>
      <c r="AQC31" s="2511"/>
      <c r="AQD31" s="2511"/>
      <c r="AQE31" s="2511"/>
      <c r="AQF31" s="2511"/>
      <c r="AQG31" s="2511"/>
      <c r="AQH31" s="2511"/>
      <c r="AQI31" s="2511"/>
      <c r="AQJ31" s="2511"/>
      <c r="AQK31" s="2511"/>
      <c r="AQL31" s="2511"/>
      <c r="AQM31" s="2511"/>
      <c r="AQN31" s="2511"/>
      <c r="AQO31" s="2511"/>
      <c r="AQP31" s="2511"/>
      <c r="AQQ31" s="2511"/>
      <c r="AQR31" s="2511"/>
      <c r="AQS31" s="2511"/>
      <c r="AQT31" s="2511"/>
      <c r="AQU31" s="2511"/>
      <c r="AQV31" s="2511"/>
      <c r="AQW31" s="2511"/>
      <c r="AQX31" s="2511"/>
      <c r="AQY31" s="2511"/>
      <c r="AQZ31" s="2511"/>
      <c r="ARA31" s="2511"/>
      <c r="ARB31" s="2511"/>
      <c r="ARC31" s="2511"/>
      <c r="ARD31" s="2511"/>
      <c r="ARE31" s="2511"/>
      <c r="ARF31" s="2511"/>
      <c r="ARG31" s="2511"/>
      <c r="ARH31" s="2511"/>
      <c r="ARI31" s="2511"/>
      <c r="ARJ31" s="2511"/>
      <c r="ARK31" s="2511"/>
      <c r="ARL31" s="2511"/>
      <c r="ARM31" s="2511"/>
      <c r="ARN31" s="2511"/>
      <c r="ARO31" s="2511"/>
      <c r="ARP31" s="2511"/>
      <c r="ARQ31" s="2511"/>
      <c r="ARR31" s="2511"/>
      <c r="ARS31" s="2511"/>
      <c r="ART31" s="2511"/>
      <c r="ARU31" s="2511"/>
      <c r="ARV31" s="2511"/>
      <c r="ARW31" s="2511"/>
      <c r="ARX31" s="2511"/>
      <c r="ARY31" s="2511"/>
      <c r="ARZ31" s="2511"/>
      <c r="ASA31" s="2511"/>
      <c r="ASB31" s="2511"/>
      <c r="ASC31" s="2511"/>
      <c r="ASD31" s="2511"/>
      <c r="ASE31" s="2511"/>
      <c r="ASF31" s="2511"/>
      <c r="ASG31" s="2511"/>
      <c r="ASH31" s="2511"/>
      <c r="ASI31" s="2511"/>
      <c r="ASJ31" s="2511"/>
      <c r="ASK31" s="2511"/>
      <c r="ASL31" s="2511"/>
      <c r="ASM31" s="2511"/>
      <c r="ASN31" s="2511"/>
      <c r="ASO31" s="2511"/>
      <c r="ASP31" s="2511"/>
      <c r="ASQ31" s="2511"/>
      <c r="ASR31" s="2511"/>
      <c r="ASS31" s="2511"/>
      <c r="AST31" s="2511"/>
      <c r="ASU31" s="2511"/>
      <c r="ASV31" s="2511"/>
      <c r="ASW31" s="2511"/>
      <c r="ASX31" s="2511"/>
      <c r="ASY31" s="2511"/>
      <c r="ASZ31" s="2511"/>
      <c r="ATA31" s="2511"/>
      <c r="ATB31" s="2511"/>
      <c r="ATC31" s="2511"/>
      <c r="ATD31" s="2511"/>
      <c r="ATE31" s="2511"/>
      <c r="ATF31" s="2511"/>
      <c r="ATG31" s="2511"/>
      <c r="ATH31" s="2511"/>
      <c r="ATI31" s="2511"/>
      <c r="ATJ31" s="2511"/>
      <c r="ATK31" s="2511"/>
      <c r="ATL31" s="2511"/>
      <c r="ATM31" s="2511"/>
      <c r="ATN31" s="2511"/>
      <c r="ATO31" s="2511"/>
      <c r="ATP31" s="2511"/>
      <c r="ATQ31" s="2511"/>
      <c r="ATR31" s="2511"/>
      <c r="ATS31" s="2511"/>
      <c r="ATT31" s="2511"/>
      <c r="ATU31" s="2511"/>
      <c r="ATV31" s="2511"/>
      <c r="ATW31" s="2511"/>
      <c r="ATX31" s="2511"/>
      <c r="ATY31" s="2511"/>
      <c r="ATZ31" s="2511"/>
      <c r="AUA31" s="2511"/>
      <c r="AUB31" s="2511"/>
      <c r="AUC31" s="2511"/>
      <c r="AUD31" s="2511"/>
      <c r="AUE31" s="2511"/>
      <c r="AUF31" s="2511"/>
      <c r="AUG31" s="2511"/>
      <c r="AUH31" s="2511"/>
      <c r="AUI31" s="2511"/>
      <c r="AUJ31" s="2511"/>
      <c r="AUK31" s="2511"/>
      <c r="AUL31" s="2511"/>
      <c r="AUM31" s="2511"/>
      <c r="AUN31" s="2511"/>
      <c r="AUO31" s="2511"/>
      <c r="AUP31" s="2511"/>
      <c r="AUQ31" s="2511"/>
      <c r="AUR31" s="2511"/>
      <c r="AUS31" s="2511"/>
      <c r="AUT31" s="2511"/>
      <c r="AUU31" s="2511"/>
      <c r="AUV31" s="2511"/>
      <c r="AUW31" s="2511"/>
      <c r="AUX31" s="2511"/>
      <c r="AUY31" s="2511"/>
      <c r="AUZ31" s="2511"/>
      <c r="AVA31" s="2511"/>
      <c r="AVB31" s="2511"/>
      <c r="AVC31" s="2511"/>
      <c r="AVD31" s="2511"/>
      <c r="AVE31" s="2511"/>
      <c r="AVF31" s="2511"/>
      <c r="AVG31" s="2511"/>
      <c r="AVH31" s="2511"/>
      <c r="AVI31" s="2511"/>
      <c r="AVJ31" s="2511"/>
      <c r="AVK31" s="2511"/>
      <c r="AVL31" s="2511"/>
      <c r="AVM31" s="2511"/>
      <c r="AVN31" s="2511"/>
      <c r="AVO31" s="2511"/>
      <c r="AVP31" s="2511"/>
      <c r="AVQ31" s="2511"/>
      <c r="AVR31" s="2511"/>
      <c r="AVS31" s="2511"/>
      <c r="AVT31" s="2511"/>
      <c r="AVU31" s="2511"/>
      <c r="AVV31" s="2511"/>
      <c r="AVW31" s="2511"/>
      <c r="AVX31" s="2511"/>
      <c r="AVY31" s="2511"/>
      <c r="AVZ31" s="2511"/>
      <c r="AWA31" s="2511"/>
      <c r="AWB31" s="2511"/>
      <c r="AWC31" s="2511"/>
      <c r="AWD31" s="2511"/>
      <c r="AWE31" s="2511"/>
      <c r="AWF31" s="2511"/>
      <c r="AWG31" s="2511"/>
      <c r="AWH31" s="2511"/>
      <c r="AWI31" s="2511"/>
      <c r="AWJ31" s="2511"/>
      <c r="AWK31" s="2511"/>
      <c r="AWL31" s="2511"/>
      <c r="AWM31" s="2511"/>
      <c r="AWN31" s="2511"/>
      <c r="AWO31" s="2511"/>
      <c r="AWP31" s="2511"/>
      <c r="AWQ31" s="2511"/>
      <c r="AWR31" s="2511"/>
      <c r="AWS31" s="2511"/>
      <c r="AWT31" s="2511"/>
      <c r="AWU31" s="2511"/>
      <c r="AWV31" s="2511"/>
      <c r="AWW31" s="2511"/>
      <c r="AWX31" s="2511"/>
      <c r="AWY31" s="2511"/>
      <c r="AWZ31" s="2511"/>
      <c r="AXA31" s="2511"/>
      <c r="AXB31" s="2511"/>
      <c r="AXC31" s="2511"/>
      <c r="AXD31" s="2511"/>
      <c r="AXE31" s="2511"/>
      <c r="AXF31" s="2511"/>
      <c r="AXG31" s="2511"/>
      <c r="AXH31" s="2511"/>
      <c r="AXI31" s="2511"/>
      <c r="AXJ31" s="2511"/>
      <c r="AXK31" s="2511"/>
      <c r="AXL31" s="2511"/>
      <c r="AXM31" s="2511"/>
      <c r="AXN31" s="2511"/>
      <c r="AXO31" s="2511"/>
      <c r="AXP31" s="2511"/>
      <c r="AXQ31" s="2511"/>
      <c r="AXR31" s="2511"/>
      <c r="AXS31" s="2511"/>
      <c r="AXT31" s="2511"/>
      <c r="AXU31" s="2511"/>
      <c r="AXV31" s="2511"/>
      <c r="AXW31" s="2511"/>
      <c r="AXX31" s="2511"/>
      <c r="AXY31" s="2511"/>
      <c r="AXZ31" s="2511"/>
      <c r="AYA31" s="2511"/>
      <c r="AYB31" s="2511"/>
      <c r="AYC31" s="2511"/>
      <c r="AYD31" s="2511"/>
      <c r="AYE31" s="2511"/>
      <c r="AYF31" s="2511"/>
      <c r="AYG31" s="2511"/>
      <c r="AYH31" s="2511"/>
      <c r="AYI31" s="2511"/>
      <c r="AYJ31" s="2511"/>
      <c r="AYK31" s="2511"/>
      <c r="AYL31" s="2511"/>
      <c r="AYM31" s="2511"/>
      <c r="AYN31" s="2511"/>
      <c r="AYO31" s="2511"/>
      <c r="AYP31" s="2511"/>
      <c r="AYQ31" s="2511"/>
      <c r="AYR31" s="2511"/>
      <c r="AYS31" s="2511"/>
      <c r="AYT31" s="2511"/>
      <c r="AYU31" s="2511"/>
      <c r="AYV31" s="2511"/>
      <c r="AYW31" s="2511"/>
      <c r="AYX31" s="2511"/>
      <c r="AYY31" s="2511"/>
      <c r="AYZ31" s="2511"/>
      <c r="AZA31" s="2511"/>
      <c r="AZB31" s="2511"/>
      <c r="AZC31" s="2511"/>
      <c r="AZD31" s="2511"/>
      <c r="AZE31" s="2511"/>
      <c r="AZF31" s="2511"/>
      <c r="AZG31" s="2511"/>
      <c r="AZH31" s="2511"/>
      <c r="AZI31" s="2511"/>
      <c r="AZJ31" s="2511"/>
      <c r="AZK31" s="2511"/>
      <c r="AZL31" s="2511"/>
      <c r="AZM31" s="2511"/>
      <c r="AZN31" s="2511"/>
      <c r="AZO31" s="2511"/>
      <c r="AZP31" s="2511"/>
      <c r="AZQ31" s="2511"/>
      <c r="AZR31" s="2511"/>
      <c r="AZS31" s="2511"/>
      <c r="AZT31" s="2511"/>
      <c r="AZU31" s="2511"/>
      <c r="AZV31" s="2511"/>
      <c r="AZW31" s="2511"/>
      <c r="AZX31" s="2511"/>
      <c r="AZY31" s="2511"/>
      <c r="AZZ31" s="2511"/>
      <c r="BAA31" s="2511"/>
      <c r="BAB31" s="2511"/>
      <c r="BAC31" s="2511"/>
      <c r="BAD31" s="2511"/>
      <c r="BAE31" s="2511"/>
      <c r="BAF31" s="2511"/>
      <c r="BAG31" s="2511"/>
      <c r="BAH31" s="2511"/>
      <c r="BAI31" s="2511"/>
      <c r="BAJ31" s="2511"/>
      <c r="BAK31" s="2511"/>
      <c r="BAL31" s="2511"/>
      <c r="BAM31" s="2511"/>
      <c r="BAN31" s="2511"/>
      <c r="BAO31" s="2511"/>
      <c r="BAP31" s="2511"/>
      <c r="BAQ31" s="2511"/>
      <c r="BAR31" s="2511"/>
      <c r="BAS31" s="2511"/>
      <c r="BAT31" s="2511"/>
      <c r="BAU31" s="2511"/>
      <c r="BAV31" s="2511"/>
      <c r="BAW31" s="2511"/>
      <c r="BAX31" s="2511"/>
      <c r="BAY31" s="2511"/>
      <c r="BAZ31" s="2511"/>
      <c r="BBA31" s="2511"/>
      <c r="BBB31" s="2511"/>
      <c r="BBC31" s="2511"/>
      <c r="BBD31" s="2511"/>
      <c r="BBE31" s="2511"/>
      <c r="BBF31" s="2511"/>
      <c r="BBG31" s="2511"/>
      <c r="BBH31" s="2511"/>
      <c r="BBI31" s="2511"/>
      <c r="BBJ31" s="2511"/>
      <c r="BBK31" s="2511"/>
      <c r="BBL31" s="2511"/>
      <c r="BBM31" s="2511"/>
      <c r="BBN31" s="2511"/>
      <c r="BBO31" s="2511"/>
      <c r="BBP31" s="2511"/>
      <c r="BBQ31" s="2511"/>
      <c r="BBR31" s="2511"/>
      <c r="BBS31" s="2511"/>
      <c r="BBT31" s="2511"/>
      <c r="BBU31" s="2511"/>
      <c r="BBV31" s="2511"/>
      <c r="BBW31" s="2511"/>
      <c r="BBX31" s="2511"/>
      <c r="BBY31" s="2511"/>
      <c r="BBZ31" s="2511"/>
      <c r="BCA31" s="2511"/>
      <c r="BCB31" s="2511"/>
      <c r="BCC31" s="2511"/>
      <c r="BCD31" s="2511"/>
      <c r="BCE31" s="2511"/>
      <c r="BCF31" s="2511"/>
      <c r="BCG31" s="2511"/>
      <c r="BCH31" s="2511"/>
      <c r="BCI31" s="2511"/>
      <c r="BCJ31" s="2511"/>
      <c r="BCK31" s="2511"/>
      <c r="BCL31" s="2511"/>
      <c r="BCM31" s="2511"/>
      <c r="BCN31" s="2511"/>
      <c r="BCO31" s="2511"/>
      <c r="BCP31" s="2511"/>
      <c r="BCQ31" s="2511"/>
      <c r="BCR31" s="2511"/>
      <c r="BCS31" s="2511"/>
      <c r="BCT31" s="2511"/>
      <c r="BCU31" s="2511"/>
      <c r="BCV31" s="2511"/>
      <c r="BCW31" s="2511"/>
      <c r="BCX31" s="2511"/>
      <c r="BCY31" s="2511"/>
      <c r="BCZ31" s="2511"/>
      <c r="BDA31" s="2511"/>
      <c r="BDB31" s="2511"/>
      <c r="BDC31" s="2511"/>
      <c r="BDD31" s="2511"/>
      <c r="BDE31" s="2511"/>
      <c r="BDF31" s="2511"/>
      <c r="BDG31" s="2511"/>
      <c r="BDH31" s="2511"/>
      <c r="BDI31" s="2511"/>
      <c r="BDJ31" s="2511"/>
      <c r="BDK31" s="2511"/>
      <c r="BDL31" s="2511"/>
      <c r="BDM31" s="2511"/>
      <c r="BDN31" s="2511"/>
      <c r="BDO31" s="2511"/>
      <c r="BDP31" s="2511"/>
      <c r="BDQ31" s="2511"/>
      <c r="BDR31" s="2511"/>
      <c r="BDS31" s="2511"/>
      <c r="BDT31" s="2511"/>
      <c r="BDU31" s="2511"/>
      <c r="BDV31" s="2511"/>
      <c r="BDW31" s="2511"/>
      <c r="BDX31" s="2511"/>
      <c r="BDY31" s="2511"/>
      <c r="BDZ31" s="2511"/>
      <c r="BEA31" s="2511"/>
      <c r="BEB31" s="2511"/>
      <c r="BEC31" s="2511"/>
      <c r="BED31" s="2511"/>
      <c r="BEE31" s="2511"/>
      <c r="BEF31" s="2511"/>
      <c r="BEG31" s="2511"/>
      <c r="BEH31" s="2511"/>
      <c r="BEI31" s="2511"/>
      <c r="BEJ31" s="2511"/>
      <c r="BEK31" s="2511"/>
      <c r="BEL31" s="2511"/>
      <c r="BEM31" s="2511"/>
      <c r="BEN31" s="2511"/>
      <c r="BEO31" s="2511"/>
      <c r="BEP31" s="2511"/>
      <c r="BEQ31" s="2511"/>
      <c r="BER31" s="2511"/>
      <c r="BES31" s="2511"/>
      <c r="BET31" s="2511"/>
      <c r="BEU31" s="2511"/>
      <c r="BEV31" s="2511"/>
      <c r="BEW31" s="2511"/>
      <c r="BEX31" s="2511"/>
      <c r="BEY31" s="2511"/>
      <c r="BEZ31" s="2511"/>
      <c r="BFA31" s="2511"/>
      <c r="BFB31" s="2511"/>
      <c r="BFC31" s="2511"/>
      <c r="BFD31" s="2511"/>
      <c r="BFE31" s="2511"/>
      <c r="BFF31" s="2511"/>
      <c r="BFG31" s="2511"/>
      <c r="BFH31" s="2511"/>
      <c r="BFI31" s="2511"/>
      <c r="BFJ31" s="2511"/>
      <c r="BFK31" s="2511"/>
      <c r="BFL31" s="2511"/>
      <c r="BFM31" s="2511"/>
      <c r="BFN31" s="2511"/>
      <c r="BFO31" s="2511"/>
      <c r="BFP31" s="2511"/>
      <c r="BFQ31" s="2511"/>
      <c r="BFR31" s="2511"/>
      <c r="BFS31" s="2511"/>
      <c r="BFT31" s="2511"/>
      <c r="BFU31" s="2511"/>
      <c r="BFV31" s="2511"/>
      <c r="BFW31" s="2511"/>
      <c r="BFX31" s="2511"/>
      <c r="BFY31" s="2511"/>
      <c r="BFZ31" s="2511"/>
      <c r="BGA31" s="2511"/>
      <c r="BGB31" s="2511"/>
      <c r="BGC31" s="2511"/>
      <c r="BGD31" s="2511"/>
      <c r="BGE31" s="2511"/>
      <c r="BGF31" s="2511"/>
      <c r="BGG31" s="2511"/>
      <c r="BGH31" s="2511"/>
      <c r="BGI31" s="2511"/>
      <c r="BGJ31" s="2511"/>
      <c r="BGK31" s="2511"/>
      <c r="BGL31" s="2511"/>
      <c r="BGM31" s="2511"/>
      <c r="BGN31" s="2511"/>
      <c r="BGO31" s="2511"/>
      <c r="BGP31" s="2511"/>
      <c r="BGQ31" s="2511"/>
      <c r="BGR31" s="2511"/>
      <c r="BGS31" s="2511"/>
      <c r="BGT31" s="2511"/>
      <c r="BGU31" s="2511"/>
      <c r="BGV31" s="2511"/>
      <c r="BGW31" s="2511"/>
      <c r="BGX31" s="2511"/>
      <c r="BGY31" s="2511"/>
      <c r="BGZ31" s="2511"/>
      <c r="BHA31" s="2511"/>
      <c r="BHB31" s="2511"/>
      <c r="BHC31" s="2511"/>
      <c r="BHD31" s="2511"/>
      <c r="BHE31" s="2511"/>
      <c r="BHF31" s="2511"/>
      <c r="BHG31" s="2511"/>
      <c r="BHH31" s="2511"/>
      <c r="BHI31" s="2511"/>
      <c r="BHJ31" s="2511"/>
      <c r="BHK31" s="2511"/>
      <c r="BHL31" s="2511"/>
      <c r="BHM31" s="2511"/>
      <c r="BHN31" s="2511"/>
      <c r="BHO31" s="2511"/>
      <c r="BHP31" s="2511"/>
      <c r="BHQ31" s="2511"/>
      <c r="BHR31" s="2511"/>
      <c r="BHS31" s="2511"/>
      <c r="BHT31" s="2511"/>
      <c r="BHU31" s="2511"/>
      <c r="BHV31" s="2511"/>
      <c r="BHW31" s="2511"/>
      <c r="BHX31" s="2511"/>
      <c r="BHY31" s="2511"/>
      <c r="BHZ31" s="2511"/>
      <c r="BIA31" s="2511"/>
      <c r="BIB31" s="2511"/>
      <c r="BIC31" s="2511"/>
      <c r="BID31" s="2511"/>
      <c r="BIE31" s="2511"/>
      <c r="BIF31" s="2511"/>
      <c r="BIG31" s="2511"/>
      <c r="BIH31" s="2511"/>
      <c r="BII31" s="2511"/>
      <c r="BIJ31" s="2511"/>
      <c r="BIK31" s="2511"/>
      <c r="BIL31" s="2511"/>
      <c r="BIM31" s="2511"/>
      <c r="BIN31" s="2511"/>
      <c r="BIO31" s="2511"/>
      <c r="BIP31" s="2511"/>
      <c r="BIQ31" s="2511"/>
      <c r="BIR31" s="2511"/>
      <c r="BIS31" s="2511"/>
      <c r="BIT31" s="2511"/>
      <c r="BIU31" s="2511"/>
      <c r="BIV31" s="2511"/>
      <c r="BIW31" s="2511"/>
      <c r="BIX31" s="2511"/>
      <c r="BIY31" s="2511"/>
      <c r="BIZ31" s="2511"/>
      <c r="BJA31" s="2511"/>
      <c r="BJB31" s="2511"/>
      <c r="BJC31" s="2511"/>
      <c r="BJD31" s="2511"/>
      <c r="BJE31" s="2511"/>
      <c r="BJF31" s="2511"/>
      <c r="BJG31" s="2511"/>
      <c r="BJH31" s="2511"/>
      <c r="BJI31" s="2511"/>
      <c r="BJJ31" s="2511"/>
      <c r="BJK31" s="2511"/>
      <c r="BJL31" s="2511"/>
      <c r="BJM31" s="2511"/>
      <c r="BJN31" s="2511"/>
      <c r="BJO31" s="2511"/>
      <c r="BJP31" s="2511"/>
      <c r="BJQ31" s="2511"/>
      <c r="BJR31" s="2511"/>
      <c r="BJS31" s="2511"/>
      <c r="BJT31" s="2511"/>
      <c r="BJU31" s="2511"/>
      <c r="BJV31" s="2511"/>
      <c r="BJW31" s="2511"/>
      <c r="BJX31" s="2511"/>
      <c r="BJY31" s="2511"/>
      <c r="BJZ31" s="2511"/>
      <c r="BKA31" s="2511"/>
      <c r="BKB31" s="2511"/>
      <c r="BKC31" s="2511"/>
      <c r="BKD31" s="2511"/>
      <c r="BKE31" s="2511"/>
      <c r="BKF31" s="2511"/>
      <c r="BKG31" s="2511"/>
      <c r="BKH31" s="2511"/>
      <c r="BKI31" s="2511"/>
      <c r="BKJ31" s="2511"/>
      <c r="BKK31" s="2511"/>
      <c r="BKL31" s="2511"/>
      <c r="BKM31" s="2511"/>
      <c r="BKN31" s="2511"/>
      <c r="BKO31" s="2511"/>
      <c r="BKP31" s="2511"/>
      <c r="BKQ31" s="2511"/>
      <c r="BKR31" s="2511"/>
      <c r="BKS31" s="2511"/>
      <c r="BKT31" s="2511"/>
      <c r="BKU31" s="2511"/>
      <c r="BKV31" s="2511"/>
      <c r="BKW31" s="2511"/>
      <c r="BKX31" s="2511"/>
      <c r="BKY31" s="2511"/>
      <c r="BKZ31" s="2511"/>
      <c r="BLA31" s="2511"/>
      <c r="BLB31" s="2511"/>
      <c r="BLC31" s="2511"/>
      <c r="BLD31" s="2511"/>
      <c r="BLE31" s="2511"/>
      <c r="BLF31" s="2511"/>
      <c r="BLG31" s="2511"/>
      <c r="BLH31" s="2511"/>
      <c r="BLI31" s="2511"/>
      <c r="BLJ31" s="2511"/>
      <c r="BLK31" s="2511"/>
      <c r="BLL31" s="2511"/>
      <c r="BLM31" s="2511"/>
      <c r="BLN31" s="2511"/>
      <c r="BLO31" s="2511"/>
      <c r="BLP31" s="2511"/>
      <c r="BLQ31" s="2511"/>
      <c r="BLR31" s="2511"/>
      <c r="BLS31" s="2511"/>
      <c r="BLT31" s="2511"/>
      <c r="BLU31" s="2511"/>
      <c r="BLV31" s="2511"/>
      <c r="BLW31" s="2511"/>
      <c r="BLX31" s="2511"/>
      <c r="BLY31" s="2511"/>
      <c r="BLZ31" s="2511"/>
      <c r="BMA31" s="2511"/>
      <c r="BMB31" s="2511"/>
      <c r="BMC31" s="2511"/>
      <c r="BMD31" s="2511"/>
      <c r="BME31" s="2511"/>
      <c r="BMF31" s="2511"/>
      <c r="BMG31" s="2511"/>
      <c r="BMH31" s="2511"/>
      <c r="BMI31" s="2511"/>
      <c r="BMJ31" s="2511"/>
      <c r="BMK31" s="2511"/>
      <c r="BML31" s="2511"/>
      <c r="BMM31" s="2511"/>
      <c r="BMN31" s="2511"/>
      <c r="BMO31" s="2511"/>
      <c r="BMP31" s="2511"/>
      <c r="BMQ31" s="2511"/>
      <c r="BMR31" s="2511"/>
      <c r="BMS31" s="2511"/>
      <c r="BMT31" s="2511"/>
      <c r="BMU31" s="2511"/>
      <c r="BMV31" s="2511"/>
      <c r="BMW31" s="2511"/>
      <c r="BMX31" s="2511"/>
      <c r="BMY31" s="2511"/>
      <c r="BMZ31" s="2511"/>
      <c r="BNA31" s="2511"/>
      <c r="BNB31" s="2511"/>
      <c r="BNC31" s="2511"/>
      <c r="BND31" s="2511"/>
      <c r="BNE31" s="2511"/>
      <c r="BNF31" s="2511"/>
      <c r="BNG31" s="2511"/>
      <c r="BNH31" s="2511"/>
      <c r="BNI31" s="2511"/>
      <c r="BNJ31" s="2511"/>
      <c r="BNK31" s="2511"/>
      <c r="BNL31" s="2511"/>
      <c r="BNM31" s="2511"/>
      <c r="BNN31" s="2511"/>
      <c r="BNO31" s="2511"/>
      <c r="BNP31" s="2511"/>
      <c r="BNQ31" s="2511"/>
      <c r="BNR31" s="2511"/>
      <c r="BNS31" s="2511"/>
      <c r="BNT31" s="2511"/>
      <c r="BNU31" s="2511"/>
      <c r="BNV31" s="2511"/>
      <c r="BNW31" s="2511"/>
      <c r="BNX31" s="2511"/>
      <c r="BNY31" s="2511"/>
      <c r="BNZ31" s="2511"/>
      <c r="BOA31" s="2511"/>
      <c r="BOB31" s="2511"/>
      <c r="BOC31" s="2511"/>
      <c r="BOD31" s="2511"/>
      <c r="BOE31" s="2511"/>
      <c r="BOF31" s="2511"/>
      <c r="BOG31" s="2511"/>
      <c r="BOH31" s="2511"/>
      <c r="BOI31" s="2511"/>
      <c r="BOJ31" s="2511"/>
      <c r="BOK31" s="2511"/>
      <c r="BOL31" s="2511"/>
      <c r="BOM31" s="2511"/>
      <c r="BON31" s="2511"/>
      <c r="BOO31" s="2511"/>
      <c r="BOP31" s="2511"/>
      <c r="BOQ31" s="2511"/>
      <c r="BOR31" s="2511"/>
      <c r="BOS31" s="2511"/>
      <c r="BOT31" s="2511"/>
      <c r="BOU31" s="2511"/>
      <c r="BOV31" s="2511"/>
      <c r="BOW31" s="2511"/>
      <c r="BOX31" s="2511"/>
      <c r="BOY31" s="2511"/>
      <c r="BOZ31" s="2511"/>
      <c r="BPA31" s="2511"/>
      <c r="BPB31" s="2511"/>
      <c r="BPC31" s="2511"/>
      <c r="BPD31" s="2511"/>
      <c r="BPE31" s="2511"/>
      <c r="BPF31" s="2511"/>
      <c r="BPG31" s="2511"/>
      <c r="BPH31" s="2511"/>
      <c r="BPI31" s="2511"/>
      <c r="BPJ31" s="2511"/>
      <c r="BPK31" s="2511"/>
      <c r="BPL31" s="2511"/>
      <c r="BPM31" s="2511"/>
      <c r="BPN31" s="2511"/>
      <c r="BPO31" s="2511"/>
      <c r="BPP31" s="2511"/>
      <c r="BPQ31" s="2511"/>
      <c r="BPR31" s="2511"/>
      <c r="BPS31" s="2511"/>
      <c r="BPT31" s="2511"/>
      <c r="BPU31" s="2511"/>
      <c r="BPV31" s="2511"/>
      <c r="BPW31" s="2511"/>
      <c r="BPX31" s="2511"/>
      <c r="BPY31" s="2511"/>
      <c r="BPZ31" s="2511"/>
      <c r="BQA31" s="2511"/>
      <c r="BQB31" s="2511"/>
      <c r="BQC31" s="2511"/>
      <c r="BQD31" s="2511"/>
      <c r="BQE31" s="2511"/>
      <c r="BQF31" s="2511"/>
      <c r="BQG31" s="2511"/>
      <c r="BQH31" s="2511"/>
      <c r="BQI31" s="2511"/>
      <c r="BQJ31" s="2511"/>
      <c r="BQK31" s="2511"/>
      <c r="BQL31" s="2511"/>
      <c r="BQM31" s="2511"/>
      <c r="BQN31" s="2511"/>
      <c r="BQO31" s="2511"/>
      <c r="BQP31" s="2511"/>
      <c r="BQQ31" s="2511"/>
      <c r="BQR31" s="2511"/>
      <c r="BQS31" s="2511"/>
      <c r="BQT31" s="2511"/>
      <c r="BQU31" s="2511"/>
      <c r="BQV31" s="2511"/>
      <c r="BQW31" s="2511"/>
      <c r="BQX31" s="2511"/>
      <c r="BQY31" s="2511"/>
      <c r="BQZ31" s="2511"/>
      <c r="BRA31" s="2511"/>
      <c r="BRB31" s="2511"/>
      <c r="BRC31" s="2511"/>
      <c r="BRD31" s="2511"/>
      <c r="BRE31" s="2511"/>
      <c r="BRF31" s="2511"/>
      <c r="BRG31" s="2511"/>
      <c r="BRH31" s="2511"/>
      <c r="BRI31" s="2511"/>
      <c r="BRJ31" s="2511"/>
      <c r="BRK31" s="2511"/>
      <c r="BRL31" s="2511"/>
      <c r="BRM31" s="2511"/>
      <c r="BRN31" s="2511"/>
      <c r="BRO31" s="2511"/>
      <c r="BRP31" s="2511"/>
      <c r="BRQ31" s="2511"/>
      <c r="BRR31" s="2511"/>
      <c r="BRS31" s="2511"/>
      <c r="BRT31" s="2511"/>
      <c r="BRU31" s="2511"/>
      <c r="BRV31" s="2511"/>
      <c r="BRW31" s="2511"/>
      <c r="BRX31" s="2511"/>
      <c r="BRY31" s="2511"/>
      <c r="BRZ31" s="2511"/>
      <c r="BSA31" s="2511"/>
      <c r="BSB31" s="2511"/>
      <c r="BSC31" s="2511"/>
      <c r="BSD31" s="2511"/>
      <c r="BSE31" s="2511"/>
      <c r="BSF31" s="2511"/>
      <c r="BSG31" s="2511"/>
      <c r="BSH31" s="2511"/>
      <c r="BSI31" s="2511"/>
      <c r="BSJ31" s="2511"/>
      <c r="BSK31" s="2511"/>
      <c r="BSL31" s="2511"/>
      <c r="BSM31" s="2511"/>
      <c r="BSN31" s="2511"/>
      <c r="BSO31" s="2511"/>
      <c r="BSP31" s="2511"/>
      <c r="BSQ31" s="2511"/>
      <c r="BSR31" s="2511"/>
      <c r="BSS31" s="2511"/>
      <c r="BST31" s="2511"/>
      <c r="BSU31" s="2511"/>
      <c r="BSV31" s="2511"/>
      <c r="BSW31" s="2511"/>
      <c r="BSX31" s="2511"/>
      <c r="BSY31" s="2511"/>
      <c r="BSZ31" s="2511"/>
      <c r="BTA31" s="2511"/>
      <c r="BTB31" s="2511"/>
      <c r="BTC31" s="2511"/>
      <c r="BTD31" s="2511"/>
      <c r="BTE31" s="2511"/>
      <c r="BTF31" s="2511"/>
      <c r="BTG31" s="2511"/>
      <c r="BTH31" s="2511"/>
      <c r="BTI31" s="2511"/>
      <c r="BTJ31" s="2511"/>
      <c r="BTK31" s="2511"/>
      <c r="BTL31" s="2511"/>
      <c r="BTM31" s="2511"/>
      <c r="BTN31" s="2511"/>
      <c r="BTO31" s="2511"/>
      <c r="BTP31" s="2511"/>
      <c r="BTQ31" s="2511"/>
      <c r="BTR31" s="2511"/>
      <c r="BTS31" s="2511"/>
      <c r="BTT31" s="2511"/>
      <c r="BTU31" s="2511"/>
      <c r="BTV31" s="2511"/>
      <c r="BTW31" s="2511"/>
      <c r="BTX31" s="2511"/>
      <c r="BTY31" s="2511"/>
      <c r="BTZ31" s="2511"/>
      <c r="BUA31" s="2511"/>
      <c r="BUB31" s="2511"/>
      <c r="BUC31" s="2511"/>
      <c r="BUD31" s="2511"/>
      <c r="BUE31" s="2511"/>
      <c r="BUF31" s="2511"/>
      <c r="BUG31" s="2511"/>
      <c r="BUH31" s="2511"/>
      <c r="BUI31" s="2511"/>
      <c r="BUJ31" s="2511"/>
      <c r="BUK31" s="2511"/>
      <c r="BUL31" s="2511"/>
      <c r="BUM31" s="2511"/>
      <c r="BUN31" s="2511"/>
      <c r="BUO31" s="2511"/>
      <c r="BUP31" s="2511"/>
      <c r="BUQ31" s="2511"/>
      <c r="BUR31" s="2511"/>
      <c r="BUS31" s="2511"/>
      <c r="BUT31" s="2511"/>
      <c r="BUU31" s="2511"/>
      <c r="BUV31" s="2511"/>
      <c r="BUW31" s="2511"/>
      <c r="BUX31" s="2511"/>
      <c r="BUY31" s="2511"/>
      <c r="BUZ31" s="2511"/>
      <c r="BVA31" s="2511"/>
      <c r="BVB31" s="2511"/>
      <c r="BVC31" s="2511"/>
      <c r="BVD31" s="2511"/>
      <c r="BVE31" s="2511"/>
      <c r="BVF31" s="2511"/>
      <c r="BVG31" s="2511"/>
      <c r="BVH31" s="2511"/>
      <c r="BVI31" s="2511"/>
      <c r="BVJ31" s="2511"/>
      <c r="BVK31" s="2511"/>
      <c r="BVL31" s="2511"/>
      <c r="BVM31" s="2511"/>
      <c r="BVN31" s="2511"/>
      <c r="BVO31" s="2511"/>
      <c r="BVP31" s="2511"/>
      <c r="BVQ31" s="2511"/>
      <c r="BVR31" s="2511"/>
      <c r="BVS31" s="2511"/>
      <c r="BVT31" s="2511"/>
      <c r="BVU31" s="2511"/>
      <c r="BVV31" s="2511"/>
      <c r="BVW31" s="2511"/>
      <c r="BVX31" s="2511"/>
      <c r="BVY31" s="2511"/>
      <c r="BVZ31" s="2511"/>
      <c r="BWA31" s="2511"/>
      <c r="BWB31" s="2511"/>
      <c r="BWC31" s="2511"/>
      <c r="BWD31" s="2511"/>
      <c r="BWE31" s="2511"/>
      <c r="BWF31" s="2511"/>
      <c r="BWG31" s="2511"/>
      <c r="BWH31" s="2511"/>
      <c r="BWI31" s="2511"/>
      <c r="BWJ31" s="2511"/>
      <c r="BWK31" s="2511"/>
      <c r="BWL31" s="2511"/>
      <c r="BWM31" s="2511"/>
      <c r="BWN31" s="2511"/>
      <c r="BWO31" s="2511"/>
      <c r="BWP31" s="2511"/>
      <c r="BWQ31" s="2511"/>
      <c r="BWR31" s="2511"/>
      <c r="BWS31" s="2511"/>
      <c r="BWT31" s="2511"/>
      <c r="BWU31" s="2511"/>
      <c r="BWV31" s="2511"/>
      <c r="BWW31" s="2511"/>
      <c r="BWX31" s="2511"/>
      <c r="BWY31" s="2511"/>
      <c r="BWZ31" s="2511"/>
      <c r="BXA31" s="2511"/>
      <c r="BXB31" s="2511"/>
      <c r="BXC31" s="2511"/>
      <c r="BXD31" s="2511"/>
      <c r="BXE31" s="2511"/>
      <c r="BXF31" s="2511"/>
      <c r="BXG31" s="2511"/>
      <c r="BXH31" s="2511"/>
      <c r="BXI31" s="2511"/>
      <c r="BXJ31" s="2511"/>
      <c r="BXK31" s="2511"/>
      <c r="BXL31" s="2511"/>
      <c r="BXM31" s="2511"/>
      <c r="BXN31" s="2511"/>
      <c r="BXO31" s="2511"/>
      <c r="BXP31" s="2511"/>
      <c r="BXQ31" s="2511"/>
      <c r="BXR31" s="2511"/>
      <c r="BXS31" s="2511"/>
      <c r="BXT31" s="2511"/>
      <c r="BXU31" s="2511"/>
      <c r="BXV31" s="2511"/>
      <c r="BXW31" s="2511"/>
      <c r="BXX31" s="2511"/>
      <c r="BXY31" s="2511"/>
      <c r="BXZ31" s="2511"/>
      <c r="BYA31" s="2511"/>
      <c r="BYB31" s="2511"/>
      <c r="BYC31" s="2511"/>
      <c r="BYD31" s="2511"/>
      <c r="BYE31" s="2511"/>
      <c r="BYF31" s="2511"/>
      <c r="BYG31" s="2511"/>
      <c r="BYH31" s="2511"/>
      <c r="BYI31" s="2511"/>
      <c r="BYJ31" s="2511"/>
      <c r="BYK31" s="2511"/>
      <c r="BYL31" s="2511"/>
      <c r="BYM31" s="2511"/>
      <c r="BYN31" s="2511"/>
      <c r="BYO31" s="2511"/>
      <c r="BYP31" s="2511"/>
      <c r="BYQ31" s="2511"/>
      <c r="BYR31" s="2511"/>
      <c r="BYS31" s="2511"/>
      <c r="BYT31" s="2511"/>
      <c r="BYU31" s="2511"/>
      <c r="BYV31" s="2511"/>
      <c r="BYW31" s="2511"/>
      <c r="BYX31" s="2511"/>
      <c r="BYY31" s="2511"/>
      <c r="BYZ31" s="2511"/>
      <c r="BZA31" s="2511"/>
      <c r="BZB31" s="2511"/>
      <c r="BZC31" s="2511"/>
      <c r="BZD31" s="2511"/>
      <c r="BZE31" s="2511"/>
      <c r="BZF31" s="2511"/>
      <c r="BZG31" s="2511"/>
      <c r="BZH31" s="2511"/>
      <c r="BZI31" s="2511"/>
      <c r="BZJ31" s="2511"/>
      <c r="BZK31" s="2511"/>
      <c r="BZL31" s="2511"/>
      <c r="BZM31" s="2511"/>
      <c r="BZN31" s="2511"/>
      <c r="BZO31" s="2511"/>
      <c r="BZP31" s="2511"/>
      <c r="BZQ31" s="2511"/>
      <c r="BZR31" s="2511"/>
      <c r="BZS31" s="2511"/>
      <c r="BZT31" s="2511"/>
      <c r="BZU31" s="2511"/>
      <c r="BZV31" s="2511"/>
      <c r="BZW31" s="2511"/>
      <c r="BZX31" s="2511"/>
      <c r="BZY31" s="2511"/>
      <c r="BZZ31" s="2511"/>
      <c r="CAA31" s="2511"/>
      <c r="CAB31" s="2511"/>
      <c r="CAC31" s="2511"/>
      <c r="CAD31" s="2511"/>
      <c r="CAE31" s="2511"/>
      <c r="CAF31" s="2511"/>
      <c r="CAG31" s="2511"/>
      <c r="CAH31" s="2511"/>
      <c r="CAI31" s="2511"/>
      <c r="CAJ31" s="2511"/>
      <c r="CAK31" s="2511"/>
      <c r="CAL31" s="2511"/>
      <c r="CAM31" s="2511"/>
      <c r="CAN31" s="2511"/>
      <c r="CAO31" s="2511"/>
      <c r="CAP31" s="2511"/>
      <c r="CAQ31" s="2511"/>
      <c r="CAR31" s="2511"/>
      <c r="CAS31" s="2511"/>
      <c r="CAT31" s="2511"/>
      <c r="CAU31" s="2511"/>
      <c r="CAV31" s="2511"/>
      <c r="CAW31" s="2511"/>
      <c r="CAX31" s="2511"/>
      <c r="CAY31" s="2511"/>
      <c r="CAZ31" s="2511"/>
      <c r="CBA31" s="2511"/>
      <c r="CBB31" s="2511"/>
      <c r="CBC31" s="2511"/>
      <c r="CBD31" s="2511"/>
      <c r="CBE31" s="2511"/>
      <c r="CBF31" s="2511"/>
      <c r="CBG31" s="2511"/>
      <c r="CBH31" s="2511"/>
      <c r="CBI31" s="2511"/>
      <c r="CBJ31" s="2511"/>
      <c r="CBK31" s="2511"/>
      <c r="CBL31" s="2511"/>
      <c r="CBM31" s="2511"/>
      <c r="CBN31" s="2511"/>
      <c r="CBO31" s="2511"/>
      <c r="CBP31" s="2511"/>
      <c r="CBQ31" s="2511"/>
      <c r="CBR31" s="2511"/>
      <c r="CBS31" s="2511"/>
      <c r="CBT31" s="2511"/>
      <c r="CBU31" s="2511"/>
      <c r="CBV31" s="2511"/>
      <c r="CBW31" s="2511"/>
      <c r="CBX31" s="2511"/>
      <c r="CBY31" s="2511"/>
      <c r="CBZ31" s="2511"/>
      <c r="CCA31" s="2511"/>
      <c r="CCB31" s="2511"/>
      <c r="CCC31" s="2511"/>
      <c r="CCD31" s="2511"/>
      <c r="CCE31" s="2511"/>
      <c r="CCF31" s="2511"/>
      <c r="CCG31" s="2511"/>
      <c r="CCH31" s="2511"/>
      <c r="CCI31" s="2511"/>
      <c r="CCJ31" s="2511"/>
      <c r="CCK31" s="2511"/>
      <c r="CCL31" s="2511"/>
      <c r="CCM31" s="2511"/>
      <c r="CCN31" s="2511"/>
      <c r="CCO31" s="2511"/>
      <c r="CCP31" s="2511"/>
      <c r="CCQ31" s="2511"/>
      <c r="CCR31" s="2511"/>
      <c r="CCS31" s="2511"/>
      <c r="CCT31" s="2511"/>
      <c r="CCU31" s="2511"/>
      <c r="CCV31" s="2511"/>
      <c r="CCW31" s="2511"/>
      <c r="CCX31" s="2511"/>
      <c r="CCY31" s="2511"/>
      <c r="CCZ31" s="2511"/>
      <c r="CDA31" s="2511"/>
      <c r="CDB31" s="2511"/>
      <c r="CDC31" s="2511"/>
      <c r="CDD31" s="2511"/>
      <c r="CDE31" s="2511"/>
      <c r="CDF31" s="2511"/>
      <c r="CDG31" s="2511"/>
      <c r="CDH31" s="2511"/>
      <c r="CDI31" s="2511"/>
      <c r="CDJ31" s="2511"/>
      <c r="CDK31" s="2511"/>
      <c r="CDL31" s="2511"/>
      <c r="CDM31" s="2511"/>
      <c r="CDN31" s="2511"/>
      <c r="CDO31" s="2511"/>
      <c r="CDP31" s="2511"/>
      <c r="CDQ31" s="2511"/>
      <c r="CDR31" s="2511"/>
      <c r="CDS31" s="2511"/>
      <c r="CDT31" s="2511"/>
      <c r="CDU31" s="2511"/>
      <c r="CDV31" s="2511"/>
      <c r="CDW31" s="2511"/>
      <c r="CDX31" s="2511"/>
      <c r="CDY31" s="2511"/>
      <c r="CDZ31" s="2511"/>
      <c r="CEA31" s="2511"/>
      <c r="CEB31" s="2511"/>
      <c r="CEC31" s="2511"/>
      <c r="CED31" s="2511"/>
      <c r="CEE31" s="2511"/>
      <c r="CEF31" s="2511"/>
      <c r="CEG31" s="2511"/>
      <c r="CEH31" s="2511"/>
      <c r="CEI31" s="2511"/>
      <c r="CEJ31" s="2511"/>
      <c r="CEK31" s="2511"/>
      <c r="CEL31" s="2511"/>
      <c r="CEM31" s="2511"/>
      <c r="CEN31" s="2511"/>
      <c r="CEO31" s="2511"/>
      <c r="CEP31" s="2511"/>
      <c r="CEQ31" s="2511"/>
      <c r="CER31" s="2511"/>
      <c r="CES31" s="2511"/>
      <c r="CET31" s="2511"/>
      <c r="CEU31" s="2511"/>
      <c r="CEV31" s="2511"/>
      <c r="CEW31" s="2511"/>
      <c r="CEX31" s="2511"/>
      <c r="CEY31" s="2511"/>
      <c r="CEZ31" s="2511"/>
      <c r="CFA31" s="2511"/>
      <c r="CFB31" s="2511"/>
      <c r="CFC31" s="2511"/>
      <c r="CFD31" s="2511"/>
      <c r="CFE31" s="2511"/>
      <c r="CFF31" s="2511"/>
      <c r="CFG31" s="2511"/>
      <c r="CFH31" s="2511"/>
      <c r="CFI31" s="2511"/>
      <c r="CFJ31" s="2511"/>
      <c r="CFK31" s="2511"/>
      <c r="CFL31" s="2511"/>
      <c r="CFM31" s="2511"/>
      <c r="CFN31" s="2511"/>
      <c r="CFO31" s="2511"/>
      <c r="CFP31" s="2511"/>
      <c r="CFQ31" s="2511"/>
      <c r="CFR31" s="2511"/>
      <c r="CFS31" s="2511"/>
      <c r="CFT31" s="2511"/>
      <c r="CFU31" s="2511"/>
      <c r="CFV31" s="2511"/>
      <c r="CFW31" s="2511"/>
      <c r="CFX31" s="2511"/>
      <c r="CFY31" s="2511"/>
      <c r="CFZ31" s="2511"/>
      <c r="CGA31" s="2511"/>
      <c r="CGB31" s="2511"/>
      <c r="CGC31" s="2511"/>
      <c r="CGD31" s="2511"/>
      <c r="CGE31" s="2511"/>
      <c r="CGF31" s="2511"/>
      <c r="CGG31" s="2511"/>
      <c r="CGH31" s="2511"/>
      <c r="CGI31" s="2511"/>
      <c r="CGJ31" s="2511"/>
      <c r="CGK31" s="2511"/>
      <c r="CGL31" s="2511"/>
      <c r="CGM31" s="2511"/>
      <c r="CGN31" s="2511"/>
      <c r="CGO31" s="2511"/>
      <c r="CGP31" s="2511"/>
      <c r="CGQ31" s="2511"/>
      <c r="CGR31" s="2511"/>
      <c r="CGS31" s="2511"/>
      <c r="CGT31" s="2511"/>
      <c r="CGU31" s="2511"/>
      <c r="CGV31" s="2511"/>
      <c r="CGW31" s="2511"/>
      <c r="CGX31" s="2511"/>
      <c r="CGY31" s="2511"/>
      <c r="CGZ31" s="2511"/>
      <c r="CHA31" s="2511"/>
      <c r="CHB31" s="2511"/>
      <c r="CHC31" s="2511"/>
      <c r="CHD31" s="2511"/>
      <c r="CHE31" s="2511"/>
      <c r="CHF31" s="2511"/>
      <c r="CHG31" s="2511"/>
      <c r="CHH31" s="2511"/>
      <c r="CHI31" s="2511"/>
      <c r="CHJ31" s="2511"/>
      <c r="CHK31" s="2511"/>
      <c r="CHL31" s="2511"/>
      <c r="CHM31" s="2511"/>
      <c r="CHN31" s="2511"/>
      <c r="CHO31" s="2511"/>
      <c r="CHP31" s="2511"/>
      <c r="CHQ31" s="2511"/>
      <c r="CHR31" s="2511"/>
      <c r="CHS31" s="2511"/>
      <c r="CHT31" s="2511"/>
      <c r="CHU31" s="2511"/>
      <c r="CHV31" s="2511"/>
      <c r="CHW31" s="2511"/>
      <c r="CHX31" s="2511"/>
      <c r="CHY31" s="2511"/>
      <c r="CHZ31" s="2511"/>
      <c r="CIA31" s="2511"/>
      <c r="CIB31" s="2511"/>
      <c r="CIC31" s="2511"/>
      <c r="CID31" s="2511"/>
      <c r="CIE31" s="2511"/>
      <c r="CIF31" s="2511"/>
      <c r="CIG31" s="2511"/>
      <c r="CIH31" s="2511"/>
      <c r="CII31" s="2511"/>
      <c r="CIJ31" s="2511"/>
      <c r="CIK31" s="2511"/>
      <c r="CIL31" s="2511"/>
      <c r="CIM31" s="2511"/>
      <c r="CIN31" s="2511"/>
      <c r="CIO31" s="2511"/>
      <c r="CIP31" s="2511"/>
      <c r="CIQ31" s="2511"/>
      <c r="CIR31" s="2511"/>
      <c r="CIS31" s="2511"/>
      <c r="CIT31" s="2511"/>
      <c r="CIU31" s="2511"/>
      <c r="CIV31" s="2511"/>
      <c r="CIW31" s="2511"/>
      <c r="CIX31" s="2511"/>
      <c r="CIY31" s="2511"/>
      <c r="CIZ31" s="2511"/>
      <c r="CJA31" s="2511"/>
      <c r="CJB31" s="2511"/>
      <c r="CJC31" s="2511"/>
      <c r="CJD31" s="2511"/>
      <c r="CJE31" s="2511"/>
      <c r="CJF31" s="2511"/>
      <c r="CJG31" s="2511"/>
      <c r="CJH31" s="2511"/>
      <c r="CJI31" s="2511"/>
      <c r="CJJ31" s="2511"/>
      <c r="CJK31" s="2511"/>
      <c r="CJL31" s="2511"/>
      <c r="CJM31" s="2511"/>
      <c r="CJN31" s="2511"/>
      <c r="CJO31" s="2511"/>
      <c r="CJP31" s="2511"/>
      <c r="CJQ31" s="2511"/>
      <c r="CJR31" s="2511"/>
      <c r="CJS31" s="2511"/>
      <c r="CJT31" s="2511"/>
      <c r="CJU31" s="2511"/>
      <c r="CJV31" s="2511"/>
      <c r="CJW31" s="2511"/>
      <c r="CJX31" s="2511"/>
      <c r="CJY31" s="2511"/>
      <c r="CJZ31" s="2511"/>
      <c r="CKA31" s="2511"/>
      <c r="CKB31" s="2511"/>
      <c r="CKC31" s="2511"/>
      <c r="CKD31" s="2511"/>
      <c r="CKE31" s="2511"/>
      <c r="CKF31" s="2511"/>
      <c r="CKG31" s="2511"/>
      <c r="CKH31" s="2511"/>
      <c r="CKI31" s="2511"/>
      <c r="CKJ31" s="2511"/>
      <c r="CKK31" s="2511"/>
      <c r="CKL31" s="2511"/>
      <c r="CKM31" s="2511"/>
      <c r="CKN31" s="2511"/>
      <c r="CKO31" s="2511"/>
      <c r="CKP31" s="2511"/>
      <c r="CKQ31" s="2511"/>
      <c r="CKR31" s="2511"/>
      <c r="CKS31" s="2511"/>
      <c r="CKT31" s="2511"/>
      <c r="CKU31" s="2511"/>
      <c r="CKV31" s="2511"/>
      <c r="CKW31" s="2511"/>
      <c r="CKX31" s="2511"/>
      <c r="CKY31" s="2511"/>
      <c r="CKZ31" s="2511"/>
      <c r="CLA31" s="2511"/>
      <c r="CLB31" s="2511"/>
      <c r="CLC31" s="2511"/>
      <c r="CLD31" s="2511"/>
      <c r="CLE31" s="2511"/>
      <c r="CLF31" s="2511"/>
      <c r="CLG31" s="2511"/>
      <c r="CLH31" s="2511"/>
      <c r="CLI31" s="2511"/>
      <c r="CLJ31" s="2511"/>
      <c r="CLK31" s="2511"/>
      <c r="CLL31" s="2511"/>
      <c r="CLM31" s="2511"/>
      <c r="CLN31" s="2511"/>
      <c r="CLO31" s="2511"/>
      <c r="CLP31" s="2511"/>
      <c r="CLQ31" s="2511"/>
      <c r="CLR31" s="2511"/>
      <c r="CLS31" s="2511"/>
      <c r="CLT31" s="2511"/>
      <c r="CLU31" s="2511"/>
      <c r="CLV31" s="2511"/>
      <c r="CLW31" s="2511"/>
      <c r="CLX31" s="2511"/>
      <c r="CLY31" s="2511"/>
      <c r="CLZ31" s="2511"/>
      <c r="CMA31" s="2511"/>
      <c r="CMB31" s="2511"/>
      <c r="CMC31" s="2511"/>
      <c r="CMD31" s="2511"/>
      <c r="CME31" s="2511"/>
      <c r="CMF31" s="2511"/>
      <c r="CMG31" s="2511"/>
      <c r="CMH31" s="2511"/>
      <c r="CMI31" s="2511"/>
      <c r="CMJ31" s="2511"/>
      <c r="CMK31" s="2511"/>
      <c r="CML31" s="2511"/>
      <c r="CMM31" s="2511"/>
      <c r="CMN31" s="2511"/>
      <c r="CMO31" s="2511"/>
      <c r="CMP31" s="2511"/>
      <c r="CMQ31" s="2511"/>
      <c r="CMR31" s="2511"/>
      <c r="CMS31" s="2511"/>
      <c r="CMT31" s="2511"/>
      <c r="CMU31" s="2511"/>
      <c r="CMV31" s="2511"/>
      <c r="CMW31" s="2511"/>
      <c r="CMX31" s="2511"/>
      <c r="CMY31" s="2511"/>
      <c r="CMZ31" s="2511"/>
      <c r="CNA31" s="2511"/>
      <c r="CNB31" s="2511"/>
      <c r="CNC31" s="2511"/>
      <c r="CND31" s="2511"/>
      <c r="CNE31" s="2511"/>
      <c r="CNF31" s="2511"/>
      <c r="CNG31" s="2511"/>
      <c r="CNH31" s="2511"/>
      <c r="CNI31" s="2511"/>
      <c r="CNJ31" s="2511"/>
      <c r="CNK31" s="2511"/>
      <c r="CNL31" s="2511"/>
      <c r="CNM31" s="2511"/>
      <c r="CNN31" s="2511"/>
      <c r="CNO31" s="2511"/>
      <c r="CNP31" s="2511"/>
      <c r="CNQ31" s="2511"/>
      <c r="CNR31" s="2511"/>
      <c r="CNS31" s="2511"/>
      <c r="CNT31" s="2511"/>
      <c r="CNU31" s="2511"/>
      <c r="CNV31" s="2511"/>
      <c r="CNW31" s="2511"/>
      <c r="CNX31" s="2511"/>
      <c r="CNY31" s="2511"/>
      <c r="CNZ31" s="2511"/>
      <c r="COA31" s="2511"/>
      <c r="COB31" s="2511"/>
      <c r="COC31" s="2511"/>
      <c r="COD31" s="2511"/>
      <c r="COE31" s="2511"/>
      <c r="COF31" s="2511"/>
      <c r="COG31" s="2511"/>
      <c r="COH31" s="2511"/>
      <c r="COI31" s="2511"/>
      <c r="COJ31" s="2511"/>
      <c r="COK31" s="2511"/>
      <c r="COL31" s="2511"/>
      <c r="COM31" s="2511"/>
      <c r="CON31" s="2511"/>
      <c r="COO31" s="2511"/>
      <c r="COP31" s="2511"/>
      <c r="COQ31" s="2511"/>
      <c r="COR31" s="2511"/>
      <c r="COS31" s="2511"/>
      <c r="COT31" s="2511"/>
      <c r="COU31" s="2511"/>
      <c r="COV31" s="2511"/>
      <c r="COW31" s="2511"/>
      <c r="COX31" s="2511"/>
      <c r="COY31" s="2511"/>
      <c r="COZ31" s="2511"/>
      <c r="CPA31" s="2511"/>
      <c r="CPB31" s="2511"/>
      <c r="CPC31" s="2511"/>
      <c r="CPD31" s="2511"/>
      <c r="CPE31" s="2511"/>
      <c r="CPF31" s="2511"/>
      <c r="CPG31" s="2511"/>
      <c r="CPH31" s="2511"/>
      <c r="CPI31" s="2511"/>
      <c r="CPJ31" s="2511"/>
      <c r="CPK31" s="2511"/>
      <c r="CPL31" s="2511"/>
      <c r="CPM31" s="2511"/>
      <c r="CPN31" s="2511"/>
      <c r="CPO31" s="2511"/>
      <c r="CPP31" s="2511"/>
      <c r="CPQ31" s="2511"/>
      <c r="CPR31" s="2511"/>
      <c r="CPS31" s="2511"/>
      <c r="CPT31" s="2511"/>
      <c r="CPU31" s="2511"/>
      <c r="CPV31" s="2511"/>
      <c r="CPW31" s="2511"/>
      <c r="CPX31" s="2511"/>
      <c r="CPY31" s="2511"/>
      <c r="CPZ31" s="2511"/>
      <c r="CQA31" s="2511"/>
      <c r="CQB31" s="2511"/>
      <c r="CQC31" s="2511"/>
      <c r="CQD31" s="2511"/>
      <c r="CQE31" s="2511"/>
      <c r="CQF31" s="2511"/>
      <c r="CQG31" s="2511"/>
      <c r="CQH31" s="2511"/>
      <c r="CQI31" s="2511"/>
      <c r="CQJ31" s="2511"/>
      <c r="CQK31" s="2511"/>
      <c r="CQL31" s="2511"/>
      <c r="CQM31" s="2511"/>
      <c r="CQN31" s="2511"/>
      <c r="CQO31" s="2511"/>
      <c r="CQP31" s="2511"/>
      <c r="CQQ31" s="2511"/>
      <c r="CQR31" s="2511"/>
      <c r="CQS31" s="2511"/>
      <c r="CQT31" s="2511"/>
      <c r="CQU31" s="2511"/>
      <c r="CQV31" s="2511"/>
      <c r="CQW31" s="2511"/>
      <c r="CQX31" s="2511"/>
      <c r="CQY31" s="2511"/>
      <c r="CQZ31" s="2511"/>
      <c r="CRA31" s="2511"/>
      <c r="CRB31" s="2511"/>
      <c r="CRC31" s="2511"/>
      <c r="CRD31" s="2511"/>
      <c r="CRE31" s="2511"/>
      <c r="CRF31" s="2511"/>
      <c r="CRG31" s="2511"/>
      <c r="CRH31" s="2511"/>
      <c r="CRI31" s="2511"/>
      <c r="CRJ31" s="2511"/>
      <c r="CRK31" s="2511"/>
      <c r="CRL31" s="2511"/>
      <c r="CRM31" s="2511"/>
      <c r="CRN31" s="2511"/>
      <c r="CRO31" s="2511"/>
      <c r="CRP31" s="2511"/>
      <c r="CRQ31" s="2511"/>
      <c r="CRR31" s="2511"/>
      <c r="CRS31" s="2511"/>
      <c r="CRT31" s="2511"/>
      <c r="CRU31" s="2511"/>
      <c r="CRV31" s="2511"/>
      <c r="CRW31" s="2511"/>
      <c r="CRX31" s="2511"/>
      <c r="CRY31" s="2511"/>
      <c r="CRZ31" s="2511"/>
      <c r="CSA31" s="2511"/>
      <c r="CSB31" s="2511"/>
      <c r="CSC31" s="2511"/>
      <c r="CSD31" s="2511"/>
      <c r="CSE31" s="2511"/>
      <c r="CSF31" s="2511"/>
      <c r="CSG31" s="2511"/>
      <c r="CSH31" s="2511"/>
      <c r="CSI31" s="2511"/>
      <c r="CSJ31" s="2511"/>
      <c r="CSK31" s="2511"/>
      <c r="CSL31" s="2511"/>
      <c r="CSM31" s="2511"/>
      <c r="CSN31" s="2511"/>
      <c r="CSO31" s="2511"/>
      <c r="CSP31" s="2511"/>
      <c r="CSQ31" s="2511"/>
      <c r="CSR31" s="2511"/>
      <c r="CSS31" s="2511"/>
      <c r="CST31" s="2511"/>
      <c r="CSU31" s="2511"/>
      <c r="CSV31" s="2511"/>
      <c r="CSW31" s="2511"/>
      <c r="CSX31" s="2511"/>
      <c r="CSY31" s="2511"/>
      <c r="CSZ31" s="2511"/>
      <c r="CTA31" s="2511"/>
      <c r="CTB31" s="2511"/>
      <c r="CTC31" s="2511"/>
      <c r="CTD31" s="2511"/>
      <c r="CTE31" s="2511"/>
      <c r="CTF31" s="2511"/>
      <c r="CTG31" s="2511"/>
      <c r="CTH31" s="2511"/>
      <c r="CTI31" s="2511"/>
      <c r="CTJ31" s="2511"/>
      <c r="CTK31" s="2511"/>
      <c r="CTL31" s="2511"/>
      <c r="CTM31" s="2511"/>
      <c r="CTN31" s="2511"/>
      <c r="CTO31" s="2511"/>
      <c r="CTP31" s="2511"/>
      <c r="CTQ31" s="2511"/>
      <c r="CTR31" s="2511"/>
      <c r="CTS31" s="2511"/>
      <c r="CTT31" s="2511"/>
      <c r="CTU31" s="2511"/>
      <c r="CTV31" s="2511"/>
      <c r="CTW31" s="2511"/>
      <c r="CTX31" s="2511"/>
      <c r="CTY31" s="2511"/>
      <c r="CTZ31" s="2511"/>
      <c r="CUA31" s="2511"/>
      <c r="CUB31" s="2511"/>
      <c r="CUC31" s="2511"/>
      <c r="CUD31" s="2511"/>
      <c r="CUE31" s="2511"/>
      <c r="CUF31" s="2511"/>
      <c r="CUG31" s="2511"/>
      <c r="CUH31" s="2511"/>
      <c r="CUI31" s="2511"/>
      <c r="CUJ31" s="2511"/>
      <c r="CUK31" s="2511"/>
      <c r="CUL31" s="2511"/>
      <c r="CUM31" s="2511"/>
      <c r="CUN31" s="2511"/>
      <c r="CUO31" s="2511"/>
      <c r="CUP31" s="2511"/>
      <c r="CUQ31" s="2511"/>
      <c r="CUR31" s="2511"/>
      <c r="CUS31" s="2511"/>
      <c r="CUT31" s="2511"/>
      <c r="CUU31" s="2511"/>
      <c r="CUV31" s="2511"/>
      <c r="CUW31" s="2511"/>
      <c r="CUX31" s="2511"/>
      <c r="CUY31" s="2511"/>
      <c r="CUZ31" s="2511"/>
      <c r="CVA31" s="2511"/>
      <c r="CVB31" s="2511"/>
      <c r="CVC31" s="2511"/>
      <c r="CVD31" s="2511"/>
      <c r="CVE31" s="2511"/>
      <c r="CVF31" s="2511"/>
      <c r="CVG31" s="2511"/>
      <c r="CVH31" s="2511"/>
      <c r="CVI31" s="2511"/>
      <c r="CVJ31" s="2511"/>
      <c r="CVK31" s="2511"/>
      <c r="CVL31" s="2511"/>
      <c r="CVM31" s="2511"/>
      <c r="CVN31" s="2511"/>
      <c r="CVO31" s="2511"/>
      <c r="CVP31" s="2511"/>
      <c r="CVQ31" s="2511"/>
      <c r="CVR31" s="2511"/>
      <c r="CVS31" s="2511"/>
      <c r="CVT31" s="2511"/>
      <c r="CVU31" s="2511"/>
      <c r="CVV31" s="2511"/>
      <c r="CVW31" s="2511"/>
      <c r="CVX31" s="2511"/>
      <c r="CVY31" s="2511"/>
      <c r="CVZ31" s="2511"/>
      <c r="CWA31" s="2511"/>
      <c r="CWB31" s="2511"/>
      <c r="CWC31" s="2511"/>
      <c r="CWD31" s="2511"/>
      <c r="CWE31" s="2511"/>
      <c r="CWF31" s="2511"/>
      <c r="CWG31" s="2511"/>
      <c r="CWH31" s="2511"/>
      <c r="CWI31" s="2511"/>
      <c r="CWJ31" s="2511"/>
      <c r="CWK31" s="2511"/>
      <c r="CWL31" s="2511"/>
      <c r="CWM31" s="2511"/>
      <c r="CWN31" s="2511"/>
      <c r="CWO31" s="2511"/>
      <c r="CWP31" s="2511"/>
      <c r="CWQ31" s="2511"/>
      <c r="CWR31" s="2511"/>
      <c r="CWS31" s="2511"/>
      <c r="CWT31" s="2511"/>
      <c r="CWU31" s="2511"/>
      <c r="CWV31" s="2511"/>
      <c r="CWW31" s="2511"/>
      <c r="CWX31" s="2511"/>
      <c r="CWY31" s="2511"/>
      <c r="CWZ31" s="2511"/>
      <c r="CXA31" s="2511"/>
      <c r="CXB31" s="2511"/>
      <c r="CXC31" s="2511"/>
      <c r="CXD31" s="2511"/>
      <c r="CXE31" s="2511"/>
      <c r="CXF31" s="2511"/>
      <c r="CXG31" s="2511"/>
      <c r="CXH31" s="2511"/>
      <c r="CXI31" s="2511"/>
      <c r="CXJ31" s="2511"/>
      <c r="CXK31" s="2511"/>
      <c r="CXL31" s="2511"/>
      <c r="CXM31" s="2511"/>
      <c r="CXN31" s="2511"/>
      <c r="CXO31" s="2511"/>
      <c r="CXP31" s="2511"/>
      <c r="CXQ31" s="2511"/>
      <c r="CXR31" s="2511"/>
      <c r="CXS31" s="2511"/>
      <c r="CXT31" s="2511"/>
      <c r="CXU31" s="2511"/>
      <c r="CXV31" s="2511"/>
      <c r="CXW31" s="2511"/>
      <c r="CXX31" s="2511"/>
      <c r="CXY31" s="2511"/>
      <c r="CXZ31" s="2511"/>
      <c r="CYA31" s="2511"/>
      <c r="CYB31" s="2511"/>
      <c r="CYC31" s="2511"/>
      <c r="CYD31" s="2511"/>
      <c r="CYE31" s="2511"/>
      <c r="CYF31" s="2511"/>
      <c r="CYG31" s="2511"/>
      <c r="CYH31" s="2511"/>
      <c r="CYI31" s="2511"/>
      <c r="CYJ31" s="2511"/>
      <c r="CYK31" s="2511"/>
      <c r="CYL31" s="2511"/>
      <c r="CYM31" s="2511"/>
      <c r="CYN31" s="2511"/>
      <c r="CYO31" s="2511"/>
      <c r="CYP31" s="2511"/>
      <c r="CYQ31" s="2511"/>
      <c r="CYR31" s="2511"/>
      <c r="CYS31" s="2511"/>
      <c r="CYT31" s="2511"/>
      <c r="CYU31" s="2511"/>
      <c r="CYV31" s="2511"/>
      <c r="CYW31" s="2511"/>
      <c r="CYX31" s="2511"/>
      <c r="CYY31" s="2511"/>
      <c r="CYZ31" s="2511"/>
      <c r="CZA31" s="2511"/>
      <c r="CZB31" s="2511"/>
      <c r="CZC31" s="2511"/>
      <c r="CZD31" s="2511"/>
      <c r="CZE31" s="2511"/>
      <c r="CZF31" s="2511"/>
      <c r="CZG31" s="2511"/>
      <c r="CZH31" s="2511"/>
      <c r="CZI31" s="2511"/>
      <c r="CZJ31" s="2511"/>
      <c r="CZK31" s="2511"/>
      <c r="CZL31" s="2511"/>
      <c r="CZM31" s="2511"/>
      <c r="CZN31" s="2511"/>
      <c r="CZO31" s="2511"/>
      <c r="CZP31" s="2511"/>
      <c r="CZQ31" s="2511"/>
      <c r="CZR31" s="2511"/>
      <c r="CZS31" s="2511"/>
      <c r="CZT31" s="2511"/>
      <c r="CZU31" s="2511"/>
      <c r="CZV31" s="2511"/>
      <c r="CZW31" s="2511"/>
      <c r="CZX31" s="2511"/>
      <c r="CZY31" s="2511"/>
      <c r="CZZ31" s="2511"/>
      <c r="DAA31" s="2511"/>
      <c r="DAB31" s="2511"/>
      <c r="DAC31" s="2511"/>
      <c r="DAD31" s="2511"/>
      <c r="DAE31" s="2511"/>
      <c r="DAF31" s="2511"/>
      <c r="DAG31" s="2511"/>
      <c r="DAH31" s="2511"/>
      <c r="DAI31" s="2511"/>
      <c r="DAJ31" s="2511"/>
      <c r="DAK31" s="2511"/>
      <c r="DAL31" s="2511"/>
      <c r="DAM31" s="2511"/>
      <c r="DAN31" s="2511"/>
      <c r="DAO31" s="2511"/>
      <c r="DAP31" s="2511"/>
      <c r="DAQ31" s="2511"/>
      <c r="DAR31" s="2511"/>
      <c r="DAS31" s="2511"/>
      <c r="DAT31" s="2511"/>
      <c r="DAU31" s="2511"/>
      <c r="DAV31" s="2511"/>
      <c r="DAW31" s="2511"/>
      <c r="DAX31" s="2511"/>
      <c r="DAY31" s="2511"/>
      <c r="DAZ31" s="2511"/>
      <c r="DBA31" s="2511"/>
      <c r="DBB31" s="2511"/>
      <c r="DBC31" s="2511"/>
      <c r="DBD31" s="2511"/>
      <c r="DBE31" s="2511"/>
      <c r="DBF31" s="2511"/>
      <c r="DBG31" s="2511"/>
      <c r="DBH31" s="2511"/>
      <c r="DBI31" s="2511"/>
      <c r="DBJ31" s="2511"/>
      <c r="DBK31" s="2511"/>
      <c r="DBL31" s="2511"/>
      <c r="DBM31" s="2511"/>
      <c r="DBN31" s="2511"/>
      <c r="DBO31" s="2511"/>
      <c r="DBP31" s="2511"/>
      <c r="DBQ31" s="2511"/>
      <c r="DBR31" s="2511"/>
      <c r="DBS31" s="2511"/>
      <c r="DBT31" s="2511"/>
      <c r="DBU31" s="2511"/>
      <c r="DBV31" s="2511"/>
      <c r="DBW31" s="2511"/>
      <c r="DBX31" s="2511"/>
      <c r="DBY31" s="2511"/>
      <c r="DBZ31" s="2511"/>
      <c r="DCA31" s="2511"/>
      <c r="DCB31" s="2511"/>
      <c r="DCC31" s="2511"/>
      <c r="DCD31" s="2511"/>
      <c r="DCE31" s="2511"/>
      <c r="DCF31" s="2511"/>
      <c r="DCG31" s="2511"/>
      <c r="DCH31" s="2511"/>
      <c r="DCI31" s="2511"/>
      <c r="DCJ31" s="2511"/>
      <c r="DCK31" s="2511"/>
      <c r="DCL31" s="2511"/>
      <c r="DCM31" s="2511"/>
      <c r="DCN31" s="2511"/>
      <c r="DCO31" s="2511"/>
      <c r="DCP31" s="2511"/>
      <c r="DCQ31" s="2511"/>
      <c r="DCR31" s="2511"/>
      <c r="DCS31" s="2511"/>
      <c r="DCT31" s="2511"/>
      <c r="DCU31" s="2511"/>
      <c r="DCV31" s="2511"/>
      <c r="DCW31" s="2511"/>
      <c r="DCX31" s="2511"/>
      <c r="DCY31" s="2511"/>
      <c r="DCZ31" s="2511"/>
      <c r="DDA31" s="2511"/>
      <c r="DDB31" s="2511"/>
      <c r="DDC31" s="2511"/>
      <c r="DDD31" s="2511"/>
      <c r="DDE31" s="2511"/>
      <c r="DDF31" s="2511"/>
      <c r="DDG31" s="2511"/>
      <c r="DDH31" s="2511"/>
      <c r="DDI31" s="2511"/>
      <c r="DDJ31" s="2511"/>
      <c r="DDK31" s="2511"/>
      <c r="DDL31" s="2511"/>
      <c r="DDM31" s="2511"/>
      <c r="DDN31" s="2511"/>
      <c r="DDO31" s="2511"/>
      <c r="DDP31" s="2511"/>
      <c r="DDQ31" s="2511"/>
      <c r="DDR31" s="2511"/>
      <c r="DDS31" s="2511"/>
      <c r="DDT31" s="2511"/>
      <c r="DDU31" s="2511"/>
      <c r="DDV31" s="2511"/>
      <c r="DDW31" s="2511"/>
      <c r="DDX31" s="2511"/>
      <c r="DDY31" s="2511"/>
      <c r="DDZ31" s="2511"/>
      <c r="DEA31" s="2511"/>
      <c r="DEB31" s="2511"/>
      <c r="DEC31" s="2511"/>
      <c r="DED31" s="2511"/>
      <c r="DEE31" s="2511"/>
      <c r="DEF31" s="2511"/>
      <c r="DEG31" s="2511"/>
      <c r="DEH31" s="2511"/>
      <c r="DEI31" s="2511"/>
      <c r="DEJ31" s="2511"/>
      <c r="DEK31" s="2511"/>
      <c r="DEL31" s="2511"/>
      <c r="DEM31" s="2511"/>
      <c r="DEN31" s="2511"/>
      <c r="DEO31" s="2511"/>
      <c r="DEP31" s="2511"/>
      <c r="DEQ31" s="2511"/>
      <c r="DER31" s="2511"/>
      <c r="DES31" s="2511"/>
      <c r="DET31" s="2511"/>
      <c r="DEU31" s="2511"/>
      <c r="DEV31" s="2511"/>
      <c r="DEW31" s="2511"/>
      <c r="DEX31" s="2511"/>
      <c r="DEY31" s="2511"/>
      <c r="DEZ31" s="2511"/>
      <c r="DFA31" s="2511"/>
      <c r="DFB31" s="2511"/>
      <c r="DFC31" s="2511"/>
      <c r="DFD31" s="2511"/>
      <c r="DFE31" s="2511"/>
      <c r="DFF31" s="2511"/>
      <c r="DFG31" s="2511"/>
      <c r="DFH31" s="2511"/>
      <c r="DFI31" s="2511"/>
      <c r="DFJ31" s="2511"/>
      <c r="DFK31" s="2511"/>
      <c r="DFL31" s="2511"/>
      <c r="DFM31" s="2511"/>
      <c r="DFN31" s="2511"/>
      <c r="DFO31" s="2511"/>
      <c r="DFP31" s="2511"/>
      <c r="DFQ31" s="2511"/>
      <c r="DFR31" s="2511"/>
      <c r="DFS31" s="2511"/>
      <c r="DFT31" s="2511"/>
      <c r="DFU31" s="2511"/>
      <c r="DFV31" s="2511"/>
      <c r="DFW31" s="2511"/>
      <c r="DFX31" s="2511"/>
      <c r="DFY31" s="2511"/>
      <c r="DFZ31" s="2511"/>
      <c r="DGA31" s="2511"/>
      <c r="DGB31" s="2511"/>
      <c r="DGC31" s="2511"/>
      <c r="DGD31" s="2511"/>
      <c r="DGE31" s="2511"/>
      <c r="DGF31" s="2511"/>
      <c r="DGG31" s="2511"/>
      <c r="DGH31" s="2511"/>
      <c r="DGI31" s="2511"/>
      <c r="DGJ31" s="2511"/>
      <c r="DGK31" s="2511"/>
      <c r="DGL31" s="2511"/>
      <c r="DGM31" s="2511"/>
      <c r="DGN31" s="2511"/>
      <c r="DGO31" s="2511"/>
      <c r="DGP31" s="2511"/>
      <c r="DGQ31" s="2511"/>
      <c r="DGR31" s="2511"/>
      <c r="DGS31" s="2511"/>
      <c r="DGT31" s="2511"/>
      <c r="DGU31" s="2511"/>
      <c r="DGV31" s="2511"/>
      <c r="DGW31" s="2511"/>
      <c r="DGX31" s="2511"/>
      <c r="DGY31" s="2511"/>
      <c r="DGZ31" s="2511"/>
      <c r="DHA31" s="2511"/>
      <c r="DHB31" s="2511"/>
      <c r="DHC31" s="2511"/>
      <c r="DHD31" s="2511"/>
      <c r="DHE31" s="2511"/>
      <c r="DHF31" s="2511"/>
      <c r="DHG31" s="2511"/>
      <c r="DHH31" s="2511"/>
      <c r="DHI31" s="2511"/>
      <c r="DHJ31" s="2511"/>
      <c r="DHK31" s="2511"/>
      <c r="DHL31" s="2511"/>
      <c r="DHM31" s="2511"/>
      <c r="DHN31" s="2511"/>
      <c r="DHO31" s="2511"/>
      <c r="DHP31" s="2511"/>
      <c r="DHQ31" s="2511"/>
      <c r="DHR31" s="2511"/>
      <c r="DHS31" s="2511"/>
      <c r="DHT31" s="2511"/>
      <c r="DHU31" s="2511"/>
      <c r="DHV31" s="2511"/>
      <c r="DHW31" s="2511"/>
      <c r="DHX31" s="2511"/>
      <c r="DHY31" s="2511"/>
      <c r="DHZ31" s="2511"/>
      <c r="DIA31" s="2511"/>
      <c r="DIB31" s="2511"/>
      <c r="DIC31" s="2511"/>
      <c r="DID31" s="2511"/>
      <c r="DIE31" s="2511"/>
      <c r="DIF31" s="2511"/>
      <c r="DIG31" s="2511"/>
      <c r="DIH31" s="2511"/>
      <c r="DII31" s="2511"/>
      <c r="DIJ31" s="2511"/>
      <c r="DIK31" s="2511"/>
      <c r="DIL31" s="2511"/>
      <c r="DIM31" s="2511"/>
      <c r="DIN31" s="2511"/>
      <c r="DIO31" s="2511"/>
      <c r="DIP31" s="2511"/>
      <c r="DIQ31" s="2511"/>
      <c r="DIR31" s="2511"/>
      <c r="DIS31" s="2511"/>
      <c r="DIT31" s="2511"/>
      <c r="DIU31" s="2511"/>
      <c r="DIV31" s="2511"/>
      <c r="DIW31" s="2511"/>
      <c r="DIX31" s="2511"/>
      <c r="DIY31" s="2511"/>
      <c r="DIZ31" s="2511"/>
      <c r="DJA31" s="2511"/>
      <c r="DJB31" s="2511"/>
      <c r="DJC31" s="2511"/>
      <c r="DJD31" s="2511"/>
      <c r="DJE31" s="2511"/>
      <c r="DJF31" s="2511"/>
      <c r="DJG31" s="2511"/>
      <c r="DJH31" s="2511"/>
      <c r="DJI31" s="2511"/>
      <c r="DJJ31" s="2511"/>
      <c r="DJK31" s="2511"/>
      <c r="DJL31" s="2511"/>
      <c r="DJM31" s="2511"/>
      <c r="DJN31" s="2511"/>
      <c r="DJO31" s="2511"/>
      <c r="DJP31" s="2511"/>
      <c r="DJQ31" s="2511"/>
      <c r="DJR31" s="2511"/>
      <c r="DJS31" s="2511"/>
      <c r="DJT31" s="2511"/>
      <c r="DJU31" s="2511"/>
      <c r="DJV31" s="2511"/>
      <c r="DJW31" s="2511"/>
      <c r="DJX31" s="2511"/>
      <c r="DJY31" s="2511"/>
      <c r="DJZ31" s="2511"/>
      <c r="DKA31" s="2511"/>
      <c r="DKB31" s="2511"/>
      <c r="DKC31" s="2511"/>
      <c r="DKD31" s="2511"/>
      <c r="DKE31" s="2511"/>
      <c r="DKF31" s="2511"/>
      <c r="DKG31" s="2511"/>
      <c r="DKH31" s="2511"/>
      <c r="DKI31" s="2511"/>
      <c r="DKJ31" s="2511"/>
      <c r="DKK31" s="2511"/>
      <c r="DKL31" s="2511"/>
      <c r="DKM31" s="2511"/>
      <c r="DKN31" s="2511"/>
      <c r="DKO31" s="2511"/>
      <c r="DKP31" s="2511"/>
      <c r="DKQ31" s="2511"/>
      <c r="DKR31" s="2511"/>
      <c r="DKS31" s="2511"/>
      <c r="DKT31" s="2511"/>
      <c r="DKU31" s="2511"/>
      <c r="DKV31" s="2511"/>
      <c r="DKW31" s="2511"/>
      <c r="DKX31" s="2511"/>
      <c r="DKY31" s="2511"/>
      <c r="DKZ31" s="2511"/>
      <c r="DLA31" s="2511"/>
      <c r="DLB31" s="2511"/>
      <c r="DLC31" s="2511"/>
      <c r="DLD31" s="2511"/>
      <c r="DLE31" s="2511"/>
      <c r="DLF31" s="2511"/>
      <c r="DLG31" s="2511"/>
      <c r="DLH31" s="2511"/>
      <c r="DLI31" s="2511"/>
      <c r="DLJ31" s="2511"/>
      <c r="DLK31" s="2511"/>
      <c r="DLL31" s="2511"/>
      <c r="DLM31" s="2511"/>
      <c r="DLN31" s="2511"/>
      <c r="DLO31" s="2511"/>
      <c r="DLP31" s="2511"/>
      <c r="DLQ31" s="2511"/>
      <c r="DLR31" s="2511"/>
      <c r="DLS31" s="2511"/>
      <c r="DLT31" s="2511"/>
      <c r="DLU31" s="2511"/>
      <c r="DLV31" s="2511"/>
      <c r="DLW31" s="2511"/>
      <c r="DLX31" s="2511"/>
      <c r="DLY31" s="2511"/>
      <c r="DLZ31" s="2511"/>
      <c r="DMA31" s="2511"/>
      <c r="DMB31" s="2511"/>
      <c r="DMC31" s="2511"/>
      <c r="DMD31" s="2511"/>
      <c r="DME31" s="2511"/>
      <c r="DMF31" s="2511"/>
      <c r="DMG31" s="2511"/>
      <c r="DMH31" s="2511"/>
      <c r="DMI31" s="2511"/>
      <c r="DMJ31" s="2511"/>
      <c r="DMK31" s="2511"/>
      <c r="DML31" s="2511"/>
      <c r="DMM31" s="2511"/>
      <c r="DMN31" s="2511"/>
      <c r="DMO31" s="2511"/>
      <c r="DMP31" s="2511"/>
      <c r="DMQ31" s="2511"/>
      <c r="DMR31" s="2511"/>
      <c r="DMS31" s="2511"/>
      <c r="DMT31" s="2511"/>
      <c r="DMU31" s="2511"/>
      <c r="DMV31" s="2511"/>
      <c r="DMW31" s="2511"/>
      <c r="DMX31" s="2511"/>
      <c r="DMY31" s="2511"/>
      <c r="DMZ31" s="2511"/>
      <c r="DNA31" s="2511"/>
      <c r="DNB31" s="2511"/>
      <c r="DNC31" s="2511"/>
      <c r="DND31" s="2511"/>
      <c r="DNE31" s="2511"/>
      <c r="DNF31" s="2511"/>
      <c r="DNG31" s="2511"/>
      <c r="DNH31" s="2511"/>
      <c r="DNI31" s="2511"/>
      <c r="DNJ31" s="2511"/>
      <c r="DNK31" s="2511"/>
      <c r="DNL31" s="2511"/>
      <c r="DNM31" s="2511"/>
      <c r="DNN31" s="2511"/>
      <c r="DNO31" s="2511"/>
      <c r="DNP31" s="2511"/>
      <c r="DNQ31" s="2511"/>
      <c r="DNR31" s="2511"/>
      <c r="DNS31" s="2511"/>
      <c r="DNT31" s="2511"/>
      <c r="DNU31" s="2511"/>
      <c r="DNV31" s="2511"/>
      <c r="DNW31" s="2511"/>
      <c r="DNX31" s="2511"/>
      <c r="DNY31" s="2511"/>
      <c r="DNZ31" s="2511"/>
      <c r="DOA31" s="2511"/>
      <c r="DOB31" s="2511"/>
      <c r="DOC31" s="2511"/>
      <c r="DOD31" s="2511"/>
      <c r="DOE31" s="2511"/>
      <c r="DOF31" s="2511"/>
      <c r="DOG31" s="2511"/>
      <c r="DOH31" s="2511"/>
      <c r="DOI31" s="2511"/>
      <c r="DOJ31" s="2511"/>
      <c r="DOK31" s="2511"/>
      <c r="DOL31" s="2511"/>
      <c r="DOM31" s="2511"/>
      <c r="DON31" s="2511"/>
      <c r="DOO31" s="2511"/>
      <c r="DOP31" s="2511"/>
      <c r="DOQ31" s="2511"/>
      <c r="DOR31" s="2511"/>
      <c r="DOS31" s="2511"/>
      <c r="DOT31" s="2511"/>
      <c r="DOU31" s="2511"/>
      <c r="DOV31" s="2511"/>
      <c r="DOW31" s="2511"/>
      <c r="DOX31" s="2511"/>
      <c r="DOY31" s="2511"/>
      <c r="DOZ31" s="2511"/>
      <c r="DPA31" s="2511"/>
      <c r="DPB31" s="2511"/>
      <c r="DPC31" s="2511"/>
      <c r="DPD31" s="2511"/>
      <c r="DPE31" s="2511"/>
      <c r="DPF31" s="2511"/>
      <c r="DPG31" s="2511"/>
      <c r="DPH31" s="2511"/>
      <c r="DPI31" s="2511"/>
      <c r="DPJ31" s="2511"/>
      <c r="DPK31" s="2511"/>
      <c r="DPL31" s="2511"/>
      <c r="DPM31" s="2511"/>
      <c r="DPN31" s="2511"/>
      <c r="DPO31" s="2511"/>
      <c r="DPP31" s="2511"/>
      <c r="DPQ31" s="2511"/>
      <c r="DPR31" s="2511"/>
      <c r="DPS31" s="2511"/>
      <c r="DPT31" s="2511"/>
      <c r="DPU31" s="2511"/>
      <c r="DPV31" s="2511"/>
      <c r="DPW31" s="2511"/>
      <c r="DPX31" s="2511"/>
      <c r="DPY31" s="2511"/>
      <c r="DPZ31" s="2511"/>
      <c r="DQA31" s="2511"/>
      <c r="DQB31" s="2511"/>
      <c r="DQC31" s="2511"/>
      <c r="DQD31" s="2511"/>
      <c r="DQE31" s="2511"/>
      <c r="DQF31" s="2511"/>
      <c r="DQG31" s="2511"/>
      <c r="DQH31" s="2511"/>
      <c r="DQI31" s="2511"/>
      <c r="DQJ31" s="2511"/>
      <c r="DQK31" s="2511"/>
      <c r="DQL31" s="2511"/>
      <c r="DQM31" s="2511"/>
      <c r="DQN31" s="2511"/>
      <c r="DQO31" s="2511"/>
      <c r="DQP31" s="2511"/>
      <c r="DQQ31" s="2511"/>
      <c r="DQR31" s="2511"/>
      <c r="DQS31" s="2511"/>
      <c r="DQT31" s="2511"/>
      <c r="DQU31" s="2511"/>
      <c r="DQV31" s="2511"/>
      <c r="DQW31" s="2511"/>
      <c r="DQX31" s="2511"/>
      <c r="DQY31" s="2511"/>
      <c r="DQZ31" s="2511"/>
      <c r="DRA31" s="2511"/>
      <c r="DRB31" s="2511"/>
      <c r="DRC31" s="2511"/>
      <c r="DRD31" s="2511"/>
      <c r="DRE31" s="2511"/>
      <c r="DRF31" s="2511"/>
      <c r="DRG31" s="2511"/>
      <c r="DRH31" s="2511"/>
      <c r="DRI31" s="2511"/>
      <c r="DRJ31" s="2511"/>
      <c r="DRK31" s="2511"/>
      <c r="DRL31" s="2511"/>
      <c r="DRM31" s="2511"/>
      <c r="DRN31" s="2511"/>
      <c r="DRO31" s="2511"/>
      <c r="DRP31" s="2511"/>
      <c r="DRQ31" s="2511"/>
      <c r="DRR31" s="2511"/>
      <c r="DRS31" s="2511"/>
      <c r="DRT31" s="2511"/>
      <c r="DRU31" s="2511"/>
      <c r="DRV31" s="2511"/>
      <c r="DRW31" s="2511"/>
      <c r="DRX31" s="2511"/>
      <c r="DRY31" s="2511"/>
      <c r="DRZ31" s="2511"/>
      <c r="DSA31" s="2511"/>
      <c r="DSB31" s="2511"/>
      <c r="DSC31" s="2511"/>
      <c r="DSD31" s="2511"/>
      <c r="DSE31" s="2511"/>
      <c r="DSF31" s="2511"/>
      <c r="DSG31" s="2511"/>
      <c r="DSH31" s="2511"/>
      <c r="DSI31" s="2511"/>
      <c r="DSJ31" s="2511"/>
      <c r="DSK31" s="2511"/>
      <c r="DSL31" s="2511"/>
      <c r="DSM31" s="2511"/>
      <c r="DSN31" s="2511"/>
      <c r="DSO31" s="2511"/>
      <c r="DSP31" s="2511"/>
      <c r="DSQ31" s="2511"/>
      <c r="DSR31" s="2511"/>
      <c r="DSS31" s="2511"/>
      <c r="DST31" s="2511"/>
      <c r="DSU31" s="2511"/>
      <c r="DSV31" s="2511"/>
      <c r="DSW31" s="2511"/>
      <c r="DSX31" s="2511"/>
      <c r="DSY31" s="2511"/>
      <c r="DSZ31" s="2511"/>
      <c r="DTA31" s="2511"/>
      <c r="DTB31" s="2511"/>
      <c r="DTC31" s="2511"/>
      <c r="DTD31" s="2511"/>
      <c r="DTE31" s="2511"/>
      <c r="DTF31" s="2511"/>
      <c r="DTG31" s="2511"/>
      <c r="DTH31" s="2511"/>
      <c r="DTI31" s="2511"/>
      <c r="DTJ31" s="2511"/>
      <c r="DTK31" s="2511"/>
      <c r="DTL31" s="2511"/>
      <c r="DTM31" s="2511"/>
      <c r="DTN31" s="2511"/>
      <c r="DTO31" s="2511"/>
      <c r="DTP31" s="2511"/>
      <c r="DTQ31" s="2511"/>
      <c r="DTR31" s="2511"/>
      <c r="DTS31" s="2511"/>
      <c r="DTT31" s="2511"/>
      <c r="DTU31" s="2511"/>
      <c r="DTV31" s="2511"/>
      <c r="DTW31" s="2511"/>
      <c r="DTX31" s="2511"/>
      <c r="DTY31" s="2511"/>
      <c r="DTZ31" s="2511"/>
      <c r="DUA31" s="2511"/>
      <c r="DUB31" s="2511"/>
      <c r="DUC31" s="2511"/>
      <c r="DUD31" s="2511"/>
      <c r="DUE31" s="2511"/>
      <c r="DUF31" s="2511"/>
      <c r="DUG31" s="2511"/>
      <c r="DUH31" s="2511"/>
      <c r="DUI31" s="2511"/>
      <c r="DUJ31" s="2511"/>
      <c r="DUK31" s="2511"/>
      <c r="DUL31" s="2511"/>
      <c r="DUM31" s="2511"/>
      <c r="DUN31" s="2511"/>
      <c r="DUO31" s="2511"/>
      <c r="DUP31" s="2511"/>
      <c r="DUQ31" s="2511"/>
      <c r="DUR31" s="2511"/>
      <c r="DUS31" s="2511"/>
      <c r="DUT31" s="2511"/>
      <c r="DUU31" s="2511"/>
      <c r="DUV31" s="2511"/>
      <c r="DUW31" s="2511"/>
      <c r="DUX31" s="2511"/>
      <c r="DUY31" s="2511"/>
      <c r="DUZ31" s="2511"/>
      <c r="DVA31" s="2511"/>
      <c r="DVB31" s="2511"/>
      <c r="DVC31" s="2511"/>
      <c r="DVD31" s="2511"/>
      <c r="DVE31" s="2511"/>
      <c r="DVF31" s="2511"/>
      <c r="DVG31" s="2511"/>
      <c r="DVH31" s="2511"/>
      <c r="DVI31" s="2511"/>
      <c r="DVJ31" s="2511"/>
      <c r="DVK31" s="2511"/>
      <c r="DVL31" s="2511"/>
      <c r="DVM31" s="2511"/>
      <c r="DVN31" s="2511"/>
      <c r="DVO31" s="2511"/>
      <c r="DVP31" s="2511"/>
      <c r="DVQ31" s="2511"/>
      <c r="DVR31" s="2511"/>
      <c r="DVS31" s="2511"/>
      <c r="DVT31" s="2511"/>
      <c r="DVU31" s="2511"/>
      <c r="DVV31" s="2511"/>
      <c r="DVW31" s="2511"/>
      <c r="DVX31" s="2511"/>
      <c r="DVY31" s="2511"/>
      <c r="DVZ31" s="2511"/>
      <c r="DWA31" s="2511"/>
      <c r="DWB31" s="2511"/>
      <c r="DWC31" s="2511"/>
      <c r="DWD31" s="2511"/>
      <c r="DWE31" s="2511"/>
      <c r="DWF31" s="2511"/>
      <c r="DWG31" s="2511"/>
      <c r="DWH31" s="2511"/>
      <c r="DWI31" s="2511"/>
      <c r="DWJ31" s="2511"/>
      <c r="DWK31" s="2511"/>
      <c r="DWL31" s="2511"/>
      <c r="DWM31" s="2511"/>
      <c r="DWN31" s="2511"/>
      <c r="DWO31" s="2511"/>
      <c r="DWP31" s="2511"/>
      <c r="DWQ31" s="2511"/>
      <c r="DWR31" s="2511"/>
      <c r="DWS31" s="2511"/>
      <c r="DWT31" s="2511"/>
      <c r="DWU31" s="2511"/>
      <c r="DWV31" s="2511"/>
      <c r="DWW31" s="2511"/>
      <c r="DWX31" s="2511"/>
      <c r="DWY31" s="2511"/>
      <c r="DWZ31" s="2511"/>
      <c r="DXA31" s="2511"/>
      <c r="DXB31" s="2511"/>
      <c r="DXC31" s="2511"/>
      <c r="DXD31" s="2511"/>
      <c r="DXE31" s="2511"/>
      <c r="DXF31" s="2511"/>
      <c r="DXG31" s="2511"/>
      <c r="DXH31" s="2511"/>
      <c r="DXI31" s="2511"/>
      <c r="DXJ31" s="2511"/>
      <c r="DXK31" s="2511"/>
      <c r="DXL31" s="2511"/>
      <c r="DXM31" s="2511"/>
      <c r="DXN31" s="2511"/>
      <c r="DXO31" s="2511"/>
      <c r="DXP31" s="2511"/>
      <c r="DXQ31" s="2511"/>
      <c r="DXR31" s="2511"/>
      <c r="DXS31" s="2511"/>
      <c r="DXT31" s="2511"/>
      <c r="DXU31" s="2511"/>
      <c r="DXV31" s="2511"/>
      <c r="DXW31" s="2511"/>
      <c r="DXX31" s="2511"/>
      <c r="DXY31" s="2511"/>
      <c r="DXZ31" s="2511"/>
      <c r="DYA31" s="2511"/>
      <c r="DYB31" s="2511"/>
      <c r="DYC31" s="2511"/>
      <c r="DYD31" s="2511"/>
      <c r="DYE31" s="2511"/>
      <c r="DYF31" s="2511"/>
      <c r="DYG31" s="2511"/>
      <c r="DYH31" s="2511"/>
      <c r="DYI31" s="2511"/>
      <c r="DYJ31" s="2511"/>
      <c r="DYK31" s="2511"/>
      <c r="DYL31" s="2511"/>
      <c r="DYM31" s="2511"/>
      <c r="DYN31" s="2511"/>
      <c r="DYO31" s="2511"/>
      <c r="DYP31" s="2511"/>
      <c r="DYQ31" s="2511"/>
      <c r="DYR31" s="2511"/>
      <c r="DYS31" s="2511"/>
      <c r="DYT31" s="2511"/>
      <c r="DYU31" s="2511"/>
      <c r="DYV31" s="2511"/>
      <c r="DYW31" s="2511"/>
      <c r="DYX31" s="2511"/>
      <c r="DYY31" s="2511"/>
      <c r="DYZ31" s="2511"/>
      <c r="DZA31" s="2511"/>
      <c r="DZB31" s="2511"/>
      <c r="DZC31" s="2511"/>
      <c r="DZD31" s="2511"/>
      <c r="DZE31" s="2511"/>
      <c r="DZF31" s="2511"/>
      <c r="DZG31" s="2511"/>
      <c r="DZH31" s="2511"/>
      <c r="DZI31" s="2511"/>
      <c r="DZJ31" s="2511"/>
      <c r="DZK31" s="2511"/>
      <c r="DZL31" s="2511"/>
      <c r="DZM31" s="2511"/>
      <c r="DZN31" s="2511"/>
      <c r="DZO31" s="2511"/>
      <c r="DZP31" s="2511"/>
      <c r="DZQ31" s="2511"/>
      <c r="DZR31" s="2511"/>
      <c r="DZS31" s="2511"/>
      <c r="DZT31" s="2511"/>
      <c r="DZU31" s="2511"/>
      <c r="DZV31" s="2511"/>
      <c r="DZW31" s="2511"/>
      <c r="DZX31" s="2511"/>
      <c r="DZY31" s="2511"/>
      <c r="DZZ31" s="2511"/>
      <c r="EAA31" s="2511"/>
      <c r="EAB31" s="2511"/>
      <c r="EAC31" s="2511"/>
      <c r="EAD31" s="2511"/>
      <c r="EAE31" s="2511"/>
      <c r="EAF31" s="2511"/>
      <c r="EAG31" s="2511"/>
      <c r="EAH31" s="2511"/>
      <c r="EAI31" s="2511"/>
      <c r="EAJ31" s="2511"/>
      <c r="EAK31" s="2511"/>
      <c r="EAL31" s="2511"/>
      <c r="EAM31" s="2511"/>
      <c r="EAN31" s="2511"/>
      <c r="EAO31" s="2511"/>
      <c r="EAP31" s="2511"/>
      <c r="EAQ31" s="2511"/>
      <c r="EAR31" s="2511"/>
      <c r="EAS31" s="2511"/>
      <c r="EAT31" s="2511"/>
      <c r="EAU31" s="2511"/>
      <c r="EAV31" s="2511"/>
      <c r="EAW31" s="2511"/>
      <c r="EAX31" s="2511"/>
      <c r="EAY31" s="2511"/>
      <c r="EAZ31" s="2511"/>
      <c r="EBA31" s="2511"/>
      <c r="EBB31" s="2511"/>
      <c r="EBC31" s="2511"/>
      <c r="EBD31" s="2511"/>
      <c r="EBE31" s="2511"/>
      <c r="EBF31" s="2511"/>
      <c r="EBG31" s="2511"/>
      <c r="EBH31" s="2511"/>
      <c r="EBI31" s="2511"/>
      <c r="EBJ31" s="2511"/>
      <c r="EBK31" s="2511"/>
      <c r="EBL31" s="2511"/>
      <c r="EBM31" s="2511"/>
      <c r="EBN31" s="2511"/>
      <c r="EBO31" s="2511"/>
      <c r="EBP31" s="2511"/>
      <c r="EBQ31" s="2511"/>
      <c r="EBR31" s="2511"/>
      <c r="EBS31" s="2511"/>
      <c r="EBT31" s="2511"/>
      <c r="EBU31" s="2511"/>
      <c r="EBV31" s="2511"/>
      <c r="EBW31" s="2511"/>
      <c r="EBX31" s="2511"/>
      <c r="EBY31" s="2511"/>
      <c r="EBZ31" s="2511"/>
      <c r="ECA31" s="2511"/>
      <c r="ECB31" s="2511"/>
      <c r="ECC31" s="2511"/>
      <c r="ECD31" s="2511"/>
      <c r="ECE31" s="2511"/>
      <c r="ECF31" s="2511"/>
      <c r="ECG31" s="2511"/>
      <c r="ECH31" s="2511"/>
      <c r="ECI31" s="2511"/>
      <c r="ECJ31" s="2511"/>
      <c r="ECK31" s="2511"/>
      <c r="ECL31" s="2511"/>
      <c r="ECM31" s="2511"/>
      <c r="ECN31" s="2511"/>
      <c r="ECO31" s="2511"/>
      <c r="ECP31" s="2511"/>
      <c r="ECQ31" s="2511"/>
      <c r="ECR31" s="2511"/>
      <c r="ECS31" s="2511"/>
      <c r="ECT31" s="2511"/>
      <c r="ECU31" s="2511"/>
      <c r="ECV31" s="2511"/>
      <c r="ECW31" s="2511"/>
      <c r="ECX31" s="2511"/>
      <c r="ECY31" s="2511"/>
      <c r="ECZ31" s="2511"/>
      <c r="EDA31" s="2511"/>
      <c r="EDB31" s="2511"/>
      <c r="EDC31" s="2511"/>
      <c r="EDD31" s="2511"/>
      <c r="EDE31" s="2511"/>
      <c r="EDF31" s="2511"/>
      <c r="EDG31" s="2511"/>
      <c r="EDH31" s="2511"/>
      <c r="EDI31" s="2511"/>
      <c r="EDJ31" s="2511"/>
      <c r="EDK31" s="2511"/>
      <c r="EDL31" s="2511"/>
      <c r="EDM31" s="2511"/>
      <c r="EDN31" s="2511"/>
      <c r="EDO31" s="2511"/>
      <c r="EDP31" s="2511"/>
      <c r="EDQ31" s="2511"/>
      <c r="EDR31" s="2511"/>
      <c r="EDS31" s="2511"/>
      <c r="EDT31" s="2511"/>
      <c r="EDU31" s="2511"/>
      <c r="EDV31" s="2511"/>
      <c r="EDW31" s="2511"/>
      <c r="EDX31" s="2511"/>
      <c r="EDY31" s="2511"/>
      <c r="EDZ31" s="2511"/>
      <c r="EEA31" s="2511"/>
      <c r="EEB31" s="2511"/>
      <c r="EEC31" s="2511"/>
      <c r="EED31" s="2511"/>
      <c r="EEE31" s="2511"/>
      <c r="EEF31" s="2511"/>
      <c r="EEG31" s="2511"/>
      <c r="EEH31" s="2511"/>
      <c r="EEI31" s="2511"/>
      <c r="EEJ31" s="2511"/>
      <c r="EEK31" s="2511"/>
      <c r="EEL31" s="2511"/>
      <c r="EEM31" s="2511"/>
      <c r="EEN31" s="2511"/>
      <c r="EEO31" s="2511"/>
      <c r="EEP31" s="2511"/>
      <c r="EEQ31" s="2511"/>
      <c r="EER31" s="2511"/>
      <c r="EES31" s="2511"/>
      <c r="EET31" s="2511"/>
      <c r="EEU31" s="2511"/>
      <c r="EEV31" s="2511"/>
      <c r="EEW31" s="2511"/>
      <c r="EEX31" s="2511"/>
      <c r="EEY31" s="2511"/>
      <c r="EEZ31" s="2511"/>
      <c r="EFA31" s="2511"/>
      <c r="EFB31" s="2511"/>
      <c r="EFC31" s="2511"/>
      <c r="EFD31" s="2511"/>
      <c r="EFE31" s="2511"/>
      <c r="EFF31" s="2511"/>
      <c r="EFG31" s="2511"/>
      <c r="EFH31" s="2511"/>
      <c r="EFI31" s="2511"/>
      <c r="EFJ31" s="2511"/>
      <c r="EFK31" s="2511"/>
      <c r="EFL31" s="2511"/>
      <c r="EFM31" s="2511"/>
      <c r="EFN31" s="2511"/>
      <c r="EFO31" s="2511"/>
      <c r="EFP31" s="2511"/>
      <c r="EFQ31" s="2511"/>
      <c r="EFR31" s="2511"/>
      <c r="EFS31" s="2511"/>
      <c r="EFT31" s="2511"/>
      <c r="EFU31" s="2511"/>
      <c r="EFV31" s="2511"/>
      <c r="EFW31" s="2511"/>
      <c r="EFX31" s="2511"/>
      <c r="EFY31" s="2511"/>
      <c r="EFZ31" s="2511"/>
      <c r="EGA31" s="2511"/>
      <c r="EGB31" s="2511"/>
      <c r="EGC31" s="2511"/>
      <c r="EGD31" s="2511"/>
      <c r="EGE31" s="2511"/>
      <c r="EGF31" s="2511"/>
      <c r="EGG31" s="2511"/>
      <c r="EGH31" s="2511"/>
      <c r="EGI31" s="2511"/>
      <c r="EGJ31" s="2511"/>
      <c r="EGK31" s="2511"/>
      <c r="EGL31" s="2511"/>
      <c r="EGM31" s="2511"/>
      <c r="EGN31" s="2511"/>
      <c r="EGO31" s="2511"/>
      <c r="EGP31" s="2511"/>
      <c r="EGQ31" s="2511"/>
      <c r="EGR31" s="2511"/>
      <c r="EGS31" s="2511"/>
      <c r="EGT31" s="2511"/>
      <c r="EGU31" s="2511"/>
      <c r="EGV31" s="2511"/>
      <c r="EGW31" s="2511"/>
      <c r="EGX31" s="2511"/>
      <c r="EGY31" s="2511"/>
      <c r="EGZ31" s="2511"/>
      <c r="EHA31" s="2511"/>
      <c r="EHB31" s="2511"/>
      <c r="EHC31" s="2511"/>
      <c r="EHD31" s="2511"/>
      <c r="EHE31" s="2511"/>
      <c r="EHF31" s="2511"/>
      <c r="EHG31" s="2511"/>
      <c r="EHH31" s="2511"/>
      <c r="EHI31" s="2511"/>
      <c r="EHJ31" s="2511"/>
      <c r="EHK31" s="2511"/>
      <c r="EHL31" s="2511"/>
      <c r="EHM31" s="2511"/>
      <c r="EHN31" s="2511"/>
      <c r="EHO31" s="2511"/>
      <c r="EHP31" s="2511"/>
      <c r="EHQ31" s="2511"/>
      <c r="EHR31" s="2511"/>
      <c r="EHS31" s="2511"/>
      <c r="EHT31" s="2511"/>
      <c r="EHU31" s="2511"/>
      <c r="EHV31" s="2511"/>
      <c r="EHW31" s="2511"/>
      <c r="EHX31" s="2511"/>
      <c r="EHY31" s="2511"/>
      <c r="EHZ31" s="2511"/>
      <c r="EIA31" s="2511"/>
      <c r="EIB31" s="2511"/>
      <c r="EIC31" s="2511"/>
      <c r="EID31" s="2511"/>
      <c r="EIE31" s="2511"/>
      <c r="EIF31" s="2511"/>
      <c r="EIG31" s="2511"/>
      <c r="EIH31" s="2511"/>
      <c r="EII31" s="2511"/>
      <c r="EIJ31" s="2511"/>
      <c r="EIK31" s="2511"/>
      <c r="EIL31" s="2511"/>
      <c r="EIM31" s="2511"/>
      <c r="EIN31" s="2511"/>
      <c r="EIO31" s="2511"/>
      <c r="EIP31" s="2511"/>
      <c r="EIQ31" s="2511"/>
      <c r="EIR31" s="2511"/>
      <c r="EIS31" s="2511"/>
      <c r="EIT31" s="2511"/>
      <c r="EIU31" s="2511"/>
      <c r="EIV31" s="2511"/>
      <c r="EIW31" s="2511"/>
      <c r="EIX31" s="2511"/>
      <c r="EIY31" s="2511"/>
      <c r="EIZ31" s="2511"/>
      <c r="EJA31" s="2511"/>
      <c r="EJB31" s="2511"/>
      <c r="EJC31" s="2511"/>
      <c r="EJD31" s="2511"/>
      <c r="EJE31" s="2511"/>
      <c r="EJF31" s="2511"/>
      <c r="EJG31" s="2511"/>
      <c r="EJH31" s="2511"/>
      <c r="EJI31" s="2511"/>
      <c r="EJJ31" s="2511"/>
      <c r="EJK31" s="2511"/>
      <c r="EJL31" s="2511"/>
      <c r="EJM31" s="2511"/>
      <c r="EJN31" s="2511"/>
      <c r="EJO31" s="2511"/>
      <c r="EJP31" s="2511"/>
      <c r="EJQ31" s="2511"/>
      <c r="EJR31" s="2511"/>
      <c r="EJS31" s="2511"/>
      <c r="EJT31" s="2511"/>
      <c r="EJU31" s="2511"/>
      <c r="EJV31" s="2511"/>
      <c r="EJW31" s="2511"/>
      <c r="EJX31" s="2511"/>
      <c r="EJY31" s="2511"/>
      <c r="EJZ31" s="2511"/>
      <c r="EKA31" s="2511"/>
      <c r="EKB31" s="2511"/>
      <c r="EKC31" s="2511"/>
      <c r="EKD31" s="2511"/>
      <c r="EKE31" s="2511"/>
      <c r="EKF31" s="2511"/>
      <c r="EKG31" s="2511"/>
      <c r="EKH31" s="2511"/>
      <c r="EKI31" s="2511"/>
      <c r="EKJ31" s="2511"/>
      <c r="EKK31" s="2511"/>
      <c r="EKL31" s="2511"/>
      <c r="EKM31" s="2511"/>
      <c r="EKN31" s="2511"/>
      <c r="EKO31" s="2511"/>
      <c r="EKP31" s="2511"/>
      <c r="EKQ31" s="2511"/>
      <c r="EKR31" s="2511"/>
      <c r="EKS31" s="2511"/>
      <c r="EKT31" s="2511"/>
      <c r="EKU31" s="2511"/>
      <c r="EKV31" s="2511"/>
      <c r="EKW31" s="2511"/>
      <c r="EKX31" s="2511"/>
      <c r="EKY31" s="2511"/>
      <c r="EKZ31" s="2511"/>
      <c r="ELA31" s="2511"/>
      <c r="ELB31" s="2511"/>
      <c r="ELC31" s="2511"/>
      <c r="ELD31" s="2511"/>
      <c r="ELE31" s="2511"/>
      <c r="ELF31" s="2511"/>
      <c r="ELG31" s="2511"/>
      <c r="ELH31" s="2511"/>
      <c r="ELI31" s="2511"/>
      <c r="ELJ31" s="2511"/>
      <c r="ELK31" s="2511"/>
      <c r="ELL31" s="2511"/>
      <c r="ELM31" s="2511"/>
      <c r="ELN31" s="2511"/>
      <c r="ELO31" s="2511"/>
      <c r="ELP31" s="2511"/>
      <c r="ELQ31" s="2511"/>
      <c r="ELR31" s="2511"/>
      <c r="ELS31" s="2511"/>
      <c r="ELT31" s="2511"/>
      <c r="ELU31" s="2511"/>
      <c r="ELV31" s="2511"/>
      <c r="ELW31" s="2511"/>
      <c r="ELX31" s="2511"/>
      <c r="ELY31" s="2511"/>
      <c r="ELZ31" s="2511"/>
      <c r="EMA31" s="2511"/>
      <c r="EMB31" s="2511"/>
      <c r="EMC31" s="2511"/>
      <c r="EMD31" s="2511"/>
      <c r="EME31" s="2511"/>
      <c r="EMF31" s="2511"/>
      <c r="EMG31" s="2511"/>
      <c r="EMH31" s="2511"/>
      <c r="EMI31" s="2511"/>
      <c r="EMJ31" s="2511"/>
      <c r="EMK31" s="2511"/>
      <c r="EML31" s="2511"/>
      <c r="EMM31" s="2511"/>
      <c r="EMN31" s="2511"/>
      <c r="EMO31" s="2511"/>
      <c r="EMP31" s="2511"/>
      <c r="EMQ31" s="2511"/>
      <c r="EMR31" s="2511"/>
      <c r="EMS31" s="2511"/>
      <c r="EMT31" s="2511"/>
      <c r="EMU31" s="2511"/>
      <c r="EMV31" s="2511"/>
      <c r="EMW31" s="2511"/>
      <c r="EMX31" s="2511"/>
      <c r="EMY31" s="2511"/>
      <c r="EMZ31" s="2511"/>
      <c r="ENA31" s="2511"/>
      <c r="ENB31" s="2511"/>
      <c r="ENC31" s="2511"/>
      <c r="END31" s="2511"/>
      <c r="ENE31" s="2511"/>
      <c r="ENF31" s="2511"/>
      <c r="ENG31" s="2511"/>
      <c r="ENH31" s="2511"/>
      <c r="ENI31" s="2511"/>
      <c r="ENJ31" s="2511"/>
      <c r="ENK31" s="2511"/>
      <c r="ENL31" s="2511"/>
      <c r="ENM31" s="2511"/>
      <c r="ENN31" s="2511"/>
      <c r="ENO31" s="2511"/>
      <c r="ENP31" s="2511"/>
      <c r="ENQ31" s="2511"/>
      <c r="ENR31" s="2511"/>
      <c r="ENS31" s="2511"/>
      <c r="ENT31" s="2511"/>
      <c r="ENU31" s="2511"/>
      <c r="ENV31" s="2511"/>
      <c r="ENW31" s="2511"/>
      <c r="ENX31" s="2511"/>
      <c r="ENY31" s="2511"/>
      <c r="ENZ31" s="2511"/>
      <c r="EOA31" s="2511"/>
      <c r="EOB31" s="2511"/>
      <c r="EOC31" s="2511"/>
      <c r="EOD31" s="2511"/>
      <c r="EOE31" s="2511"/>
      <c r="EOF31" s="2511"/>
      <c r="EOG31" s="2511"/>
      <c r="EOH31" s="2511"/>
      <c r="EOI31" s="2511"/>
      <c r="EOJ31" s="2511"/>
      <c r="EOK31" s="2511"/>
      <c r="EOL31" s="2511"/>
      <c r="EOM31" s="2511"/>
      <c r="EON31" s="2511"/>
      <c r="EOO31" s="2511"/>
      <c r="EOP31" s="2511"/>
      <c r="EOQ31" s="2511"/>
      <c r="EOR31" s="2511"/>
      <c r="EOS31" s="2511"/>
      <c r="EOT31" s="2511"/>
      <c r="EOU31" s="2511"/>
      <c r="EOV31" s="2511"/>
      <c r="EOW31" s="2511"/>
      <c r="EOX31" s="2511"/>
      <c r="EOY31" s="2511"/>
      <c r="EOZ31" s="2511"/>
      <c r="EPA31" s="2511"/>
      <c r="EPB31" s="2511"/>
      <c r="EPC31" s="2511"/>
      <c r="EPD31" s="2511"/>
      <c r="EPE31" s="2511"/>
      <c r="EPF31" s="2511"/>
      <c r="EPG31" s="2511"/>
      <c r="EPH31" s="2511"/>
      <c r="EPI31" s="2511"/>
      <c r="EPJ31" s="2511"/>
      <c r="EPK31" s="2511"/>
      <c r="EPL31" s="2511"/>
      <c r="EPM31" s="2511"/>
      <c r="EPN31" s="2511"/>
      <c r="EPO31" s="2511"/>
      <c r="EPP31" s="2511"/>
      <c r="EPQ31" s="2511"/>
      <c r="EPR31" s="2511"/>
      <c r="EPS31" s="2511"/>
      <c r="EPT31" s="2511"/>
      <c r="EPU31" s="2511"/>
      <c r="EPV31" s="2511"/>
      <c r="EPW31" s="2511"/>
      <c r="EPX31" s="2511"/>
      <c r="EPY31" s="2511"/>
      <c r="EPZ31" s="2511"/>
      <c r="EQA31" s="2511"/>
      <c r="EQB31" s="2511"/>
      <c r="EQC31" s="2511"/>
      <c r="EQD31" s="2511"/>
      <c r="EQE31" s="2511"/>
      <c r="EQF31" s="2511"/>
      <c r="EQG31" s="2511"/>
      <c r="EQH31" s="2511"/>
      <c r="EQI31" s="2511"/>
      <c r="EQJ31" s="2511"/>
      <c r="EQK31" s="2511"/>
      <c r="EQL31" s="2511"/>
      <c r="EQM31" s="2511"/>
      <c r="EQN31" s="2511"/>
      <c r="EQO31" s="2511"/>
      <c r="EQP31" s="2511"/>
      <c r="EQQ31" s="2511"/>
      <c r="EQR31" s="2511"/>
      <c r="EQS31" s="2511"/>
      <c r="EQT31" s="2511"/>
      <c r="EQU31" s="2511"/>
      <c r="EQV31" s="2511"/>
      <c r="EQW31" s="2511"/>
      <c r="EQX31" s="2511"/>
      <c r="EQY31" s="2511"/>
      <c r="EQZ31" s="2511"/>
      <c r="ERA31" s="2511"/>
      <c r="ERB31" s="2511"/>
      <c r="ERC31" s="2511"/>
      <c r="ERD31" s="2511"/>
      <c r="ERE31" s="2511"/>
      <c r="ERF31" s="2511"/>
      <c r="ERG31" s="2511"/>
      <c r="ERH31" s="2511"/>
      <c r="ERI31" s="2511"/>
      <c r="ERJ31" s="2511"/>
      <c r="ERK31" s="2511"/>
      <c r="ERL31" s="2511"/>
      <c r="ERM31" s="2511"/>
      <c r="ERN31" s="2511"/>
      <c r="ERO31" s="2511"/>
      <c r="ERP31" s="2511"/>
      <c r="ERQ31" s="2511"/>
      <c r="ERR31" s="2511"/>
      <c r="ERS31" s="2511"/>
      <c r="ERT31" s="2511"/>
      <c r="ERU31" s="2511"/>
      <c r="ERV31" s="2511"/>
      <c r="ERW31" s="2511"/>
      <c r="ERX31" s="2511"/>
      <c r="ERY31" s="2511"/>
      <c r="ERZ31" s="2511"/>
      <c r="ESA31" s="2511"/>
      <c r="ESB31" s="2511"/>
      <c r="ESC31" s="2511"/>
      <c r="ESD31" s="2511"/>
      <c r="ESE31" s="2511"/>
      <c r="ESF31" s="2511"/>
      <c r="ESG31" s="2511"/>
      <c r="ESH31" s="2511"/>
      <c r="ESI31" s="2511"/>
      <c r="ESJ31" s="2511"/>
      <c r="ESK31" s="2511"/>
      <c r="ESL31" s="2511"/>
      <c r="ESM31" s="2511"/>
      <c r="ESN31" s="2511"/>
      <c r="ESO31" s="2511"/>
      <c r="ESP31" s="2511"/>
      <c r="ESQ31" s="2511"/>
      <c r="ESR31" s="2511"/>
      <c r="ESS31" s="2511"/>
      <c r="EST31" s="2511"/>
      <c r="ESU31" s="2511"/>
      <c r="ESV31" s="2511"/>
      <c r="ESW31" s="2511"/>
      <c r="ESX31" s="2511"/>
      <c r="ESY31" s="2511"/>
      <c r="ESZ31" s="2511"/>
      <c r="ETA31" s="2511"/>
      <c r="ETB31" s="2511"/>
      <c r="ETC31" s="2511"/>
      <c r="ETD31" s="2511"/>
      <c r="ETE31" s="2511"/>
      <c r="ETF31" s="2511"/>
      <c r="ETG31" s="2511"/>
      <c r="ETH31" s="2511"/>
      <c r="ETI31" s="2511"/>
      <c r="ETJ31" s="2511"/>
      <c r="ETK31" s="2511"/>
      <c r="ETL31" s="2511"/>
      <c r="ETM31" s="2511"/>
      <c r="ETN31" s="2511"/>
      <c r="ETO31" s="2511"/>
      <c r="ETP31" s="2511"/>
      <c r="ETQ31" s="2511"/>
      <c r="ETR31" s="2511"/>
      <c r="ETS31" s="2511"/>
      <c r="ETT31" s="2511"/>
      <c r="ETU31" s="2511"/>
      <c r="ETV31" s="2511"/>
      <c r="ETW31" s="2511"/>
      <c r="ETX31" s="2511"/>
      <c r="ETY31" s="2511"/>
      <c r="ETZ31" s="2511"/>
      <c r="EUA31" s="2511"/>
      <c r="EUB31" s="2511"/>
      <c r="EUC31" s="2511"/>
      <c r="EUD31" s="2511"/>
      <c r="EUE31" s="2511"/>
      <c r="EUF31" s="2511"/>
      <c r="EUG31" s="2511"/>
      <c r="EUH31" s="2511"/>
      <c r="EUI31" s="2511"/>
      <c r="EUJ31" s="2511"/>
      <c r="EUK31" s="2511"/>
      <c r="EUL31" s="2511"/>
      <c r="EUM31" s="2511"/>
      <c r="EUN31" s="2511"/>
      <c r="EUO31" s="2511"/>
      <c r="EUP31" s="2511"/>
      <c r="EUQ31" s="2511"/>
      <c r="EUR31" s="2511"/>
      <c r="EUS31" s="2511"/>
      <c r="EUT31" s="2511"/>
      <c r="EUU31" s="2511"/>
      <c r="EUV31" s="2511"/>
      <c r="EUW31" s="2511"/>
      <c r="EUX31" s="2511"/>
      <c r="EUY31" s="2511"/>
      <c r="EUZ31" s="2511"/>
      <c r="EVA31" s="2511"/>
      <c r="EVB31" s="2511"/>
      <c r="EVC31" s="2511"/>
      <c r="EVD31" s="2511"/>
      <c r="EVE31" s="2511"/>
      <c r="EVF31" s="2511"/>
      <c r="EVG31" s="2511"/>
      <c r="EVH31" s="2511"/>
      <c r="EVI31" s="2511"/>
      <c r="EVJ31" s="2511"/>
      <c r="EVK31" s="2511"/>
      <c r="EVL31" s="2511"/>
      <c r="EVM31" s="2511"/>
      <c r="EVN31" s="2511"/>
      <c r="EVO31" s="2511"/>
      <c r="EVP31" s="2511"/>
      <c r="EVQ31" s="2511"/>
      <c r="EVR31" s="2511"/>
      <c r="EVS31" s="2511"/>
      <c r="EVT31" s="2511"/>
      <c r="EVU31" s="2511"/>
      <c r="EVV31" s="2511"/>
      <c r="EVW31" s="2511"/>
      <c r="EVX31" s="2511"/>
      <c r="EVY31" s="2511"/>
      <c r="EVZ31" s="2511"/>
      <c r="EWA31" s="2511"/>
      <c r="EWB31" s="2511"/>
      <c r="EWC31" s="2511"/>
      <c r="EWD31" s="2511"/>
      <c r="EWE31" s="2511"/>
      <c r="EWF31" s="2511"/>
      <c r="EWG31" s="2511"/>
      <c r="EWH31" s="2511"/>
      <c r="EWI31" s="2511"/>
      <c r="EWJ31" s="2511"/>
      <c r="EWK31" s="2511"/>
      <c r="EWL31" s="2511"/>
      <c r="EWM31" s="2511"/>
      <c r="EWN31" s="2511"/>
      <c r="EWO31" s="2511"/>
      <c r="EWP31" s="2511"/>
      <c r="EWQ31" s="2511"/>
      <c r="EWR31" s="2511"/>
      <c r="EWS31" s="2511"/>
      <c r="EWT31" s="2511"/>
      <c r="EWU31" s="2511"/>
      <c r="EWV31" s="2511"/>
      <c r="EWW31" s="2511"/>
      <c r="EWX31" s="2511"/>
      <c r="EWY31" s="2511"/>
      <c r="EWZ31" s="2511"/>
      <c r="EXA31" s="2511"/>
      <c r="EXB31" s="2511"/>
      <c r="EXC31" s="2511"/>
      <c r="EXD31" s="2511"/>
      <c r="EXE31" s="2511"/>
      <c r="EXF31" s="2511"/>
      <c r="EXG31" s="2511"/>
      <c r="EXH31" s="2511"/>
      <c r="EXI31" s="2511"/>
      <c r="EXJ31" s="2511"/>
      <c r="EXK31" s="2511"/>
      <c r="EXL31" s="2511"/>
      <c r="EXM31" s="2511"/>
      <c r="EXN31" s="2511"/>
      <c r="EXO31" s="2511"/>
      <c r="EXP31" s="2511"/>
      <c r="EXQ31" s="2511"/>
      <c r="EXR31" s="2511"/>
      <c r="EXS31" s="2511"/>
      <c r="EXT31" s="2511"/>
      <c r="EXU31" s="2511"/>
      <c r="EXV31" s="2511"/>
      <c r="EXW31" s="2511"/>
      <c r="EXX31" s="2511"/>
      <c r="EXY31" s="2511"/>
      <c r="EXZ31" s="2511"/>
      <c r="EYA31" s="2511"/>
      <c r="EYB31" s="2511"/>
      <c r="EYC31" s="2511"/>
      <c r="EYD31" s="2511"/>
      <c r="EYE31" s="2511"/>
      <c r="EYF31" s="2511"/>
      <c r="EYG31" s="2511"/>
      <c r="EYH31" s="2511"/>
      <c r="EYI31" s="2511"/>
      <c r="EYJ31" s="2511"/>
      <c r="EYK31" s="2511"/>
      <c r="EYL31" s="2511"/>
      <c r="EYM31" s="2511"/>
      <c r="EYN31" s="2511"/>
      <c r="EYO31" s="2511"/>
      <c r="EYP31" s="2511"/>
      <c r="EYQ31" s="2511"/>
      <c r="EYR31" s="2511"/>
      <c r="EYS31" s="2511"/>
      <c r="EYT31" s="2511"/>
      <c r="EYU31" s="2511"/>
      <c r="EYV31" s="2511"/>
      <c r="EYW31" s="2511"/>
      <c r="EYX31" s="2511"/>
      <c r="EYY31" s="2511"/>
      <c r="EYZ31" s="2511"/>
      <c r="EZA31" s="2511"/>
      <c r="EZB31" s="2511"/>
      <c r="EZC31" s="2511"/>
      <c r="EZD31" s="2511"/>
      <c r="EZE31" s="2511"/>
      <c r="EZF31" s="2511"/>
      <c r="EZG31" s="2511"/>
      <c r="EZH31" s="2511"/>
      <c r="EZI31" s="2511"/>
      <c r="EZJ31" s="2511"/>
      <c r="EZK31" s="2511"/>
      <c r="EZL31" s="2511"/>
      <c r="EZM31" s="2511"/>
      <c r="EZN31" s="2511"/>
      <c r="EZO31" s="2511"/>
      <c r="EZP31" s="2511"/>
      <c r="EZQ31" s="2511"/>
      <c r="EZR31" s="2511"/>
      <c r="EZS31" s="2511"/>
      <c r="EZT31" s="2511"/>
      <c r="EZU31" s="2511"/>
      <c r="EZV31" s="2511"/>
      <c r="EZW31" s="2511"/>
      <c r="EZX31" s="2511"/>
      <c r="EZY31" s="2511"/>
      <c r="EZZ31" s="2511"/>
      <c r="FAA31" s="2511"/>
      <c r="FAB31" s="2511"/>
      <c r="FAC31" s="2511"/>
      <c r="FAD31" s="2511"/>
      <c r="FAE31" s="2511"/>
      <c r="FAF31" s="2511"/>
      <c r="FAG31" s="2511"/>
      <c r="FAH31" s="2511"/>
      <c r="FAI31" s="2511"/>
      <c r="FAJ31" s="2511"/>
      <c r="FAK31" s="2511"/>
      <c r="FAL31" s="2511"/>
      <c r="FAM31" s="2511"/>
      <c r="FAN31" s="2511"/>
      <c r="FAO31" s="2511"/>
      <c r="FAP31" s="2511"/>
      <c r="FAQ31" s="2511"/>
      <c r="FAR31" s="2511"/>
      <c r="FAS31" s="2511"/>
      <c r="FAT31" s="2511"/>
      <c r="FAU31" s="2511"/>
      <c r="FAV31" s="2511"/>
      <c r="FAW31" s="2511"/>
      <c r="FAX31" s="2511"/>
      <c r="FAY31" s="2511"/>
      <c r="FAZ31" s="2511"/>
      <c r="FBA31" s="2511"/>
      <c r="FBB31" s="2511"/>
      <c r="FBC31" s="2511"/>
      <c r="FBD31" s="2511"/>
      <c r="FBE31" s="2511"/>
      <c r="FBF31" s="2511"/>
      <c r="FBG31" s="2511"/>
      <c r="FBH31" s="2511"/>
      <c r="FBI31" s="2511"/>
      <c r="FBJ31" s="2511"/>
      <c r="FBK31" s="2511"/>
      <c r="FBL31" s="2511"/>
      <c r="FBM31" s="2511"/>
      <c r="FBN31" s="2511"/>
      <c r="FBO31" s="2511"/>
      <c r="FBP31" s="2511"/>
      <c r="FBQ31" s="2511"/>
      <c r="FBR31" s="2511"/>
      <c r="FBS31" s="2511"/>
      <c r="FBT31" s="2511"/>
      <c r="FBU31" s="2511"/>
      <c r="FBV31" s="2511"/>
      <c r="FBW31" s="2511"/>
      <c r="FBX31" s="2511"/>
      <c r="FBY31" s="2511"/>
      <c r="FBZ31" s="2511"/>
      <c r="FCA31" s="2511"/>
      <c r="FCB31" s="2511"/>
      <c r="FCC31" s="2511"/>
      <c r="FCD31" s="2511"/>
      <c r="FCE31" s="2511"/>
      <c r="FCF31" s="2511"/>
      <c r="FCG31" s="2511"/>
      <c r="FCH31" s="2511"/>
      <c r="FCI31" s="2511"/>
      <c r="FCJ31" s="2511"/>
      <c r="FCK31" s="2511"/>
      <c r="FCL31" s="2511"/>
      <c r="FCM31" s="2511"/>
      <c r="FCN31" s="2511"/>
      <c r="FCO31" s="2511"/>
      <c r="FCP31" s="2511"/>
      <c r="FCQ31" s="2511"/>
      <c r="FCR31" s="2511"/>
      <c r="FCS31" s="2511"/>
      <c r="FCT31" s="2511"/>
      <c r="FCU31" s="2511"/>
      <c r="FCV31" s="2511"/>
      <c r="FCW31" s="2511"/>
      <c r="FCX31" s="2511"/>
      <c r="FCY31" s="2511"/>
      <c r="FCZ31" s="2511"/>
      <c r="FDA31" s="2511"/>
      <c r="FDB31" s="2511"/>
      <c r="FDC31" s="2511"/>
      <c r="FDD31" s="2511"/>
      <c r="FDE31" s="2511"/>
      <c r="FDF31" s="2511"/>
      <c r="FDG31" s="2511"/>
      <c r="FDH31" s="2511"/>
      <c r="FDI31" s="2511"/>
      <c r="FDJ31" s="2511"/>
      <c r="FDK31" s="2511"/>
      <c r="FDL31" s="2511"/>
      <c r="FDM31" s="2511"/>
      <c r="FDN31" s="2511"/>
      <c r="FDO31" s="2511"/>
      <c r="FDP31" s="2511"/>
      <c r="FDQ31" s="2511"/>
      <c r="FDR31" s="2511"/>
      <c r="FDS31" s="2511"/>
      <c r="FDT31" s="2511"/>
      <c r="FDU31" s="2511"/>
      <c r="FDV31" s="2511"/>
      <c r="FDW31" s="2511"/>
      <c r="FDX31" s="2511"/>
      <c r="FDY31" s="2511"/>
      <c r="FDZ31" s="2511"/>
      <c r="FEA31" s="2511"/>
      <c r="FEB31" s="2511"/>
      <c r="FEC31" s="2511"/>
      <c r="FED31" s="2511"/>
      <c r="FEE31" s="2511"/>
      <c r="FEF31" s="2511"/>
      <c r="FEG31" s="2511"/>
      <c r="FEH31" s="2511"/>
      <c r="FEI31" s="2511"/>
      <c r="FEJ31" s="2511"/>
      <c r="FEK31" s="2511"/>
      <c r="FEL31" s="2511"/>
      <c r="FEM31" s="2511"/>
      <c r="FEN31" s="2511"/>
      <c r="FEO31" s="2511"/>
      <c r="FEP31" s="2511"/>
      <c r="FEQ31" s="2511"/>
      <c r="FER31" s="2511"/>
      <c r="FES31" s="2511"/>
      <c r="FET31" s="2511"/>
      <c r="FEU31" s="2511"/>
      <c r="FEV31" s="2511"/>
      <c r="FEW31" s="2511"/>
      <c r="FEX31" s="2511"/>
      <c r="FEY31" s="2511"/>
      <c r="FEZ31" s="2511"/>
      <c r="FFA31" s="2511"/>
      <c r="FFB31" s="2511"/>
      <c r="FFC31" s="2511"/>
      <c r="FFD31" s="2511"/>
      <c r="FFE31" s="2511"/>
      <c r="FFF31" s="2511"/>
      <c r="FFG31" s="2511"/>
      <c r="FFH31" s="2511"/>
      <c r="FFI31" s="2511"/>
      <c r="FFJ31" s="2511"/>
      <c r="FFK31" s="2511"/>
      <c r="FFL31" s="2511"/>
      <c r="FFM31" s="2511"/>
      <c r="FFN31" s="2511"/>
      <c r="FFO31" s="2511"/>
      <c r="FFP31" s="2511"/>
      <c r="FFQ31" s="2511"/>
      <c r="FFR31" s="2511"/>
      <c r="FFS31" s="2511"/>
      <c r="FFT31" s="2511"/>
      <c r="FFU31" s="2511"/>
      <c r="FFV31" s="2511"/>
      <c r="FFW31" s="2511"/>
      <c r="FFX31" s="2511"/>
      <c r="FFY31" s="2511"/>
      <c r="FFZ31" s="2511"/>
      <c r="FGA31" s="2511"/>
      <c r="FGB31" s="2511"/>
      <c r="FGC31" s="2511"/>
      <c r="FGD31" s="2511"/>
      <c r="FGE31" s="2511"/>
      <c r="FGF31" s="2511"/>
      <c r="FGG31" s="2511"/>
      <c r="FGH31" s="2511"/>
      <c r="FGI31" s="2511"/>
      <c r="FGJ31" s="2511"/>
      <c r="FGK31" s="2511"/>
      <c r="FGL31" s="2511"/>
      <c r="FGM31" s="2511"/>
      <c r="FGN31" s="2511"/>
      <c r="FGO31" s="2511"/>
      <c r="FGP31" s="2511"/>
      <c r="FGQ31" s="2511"/>
      <c r="FGR31" s="2511"/>
      <c r="FGS31" s="2511"/>
      <c r="FGT31" s="2511"/>
      <c r="FGU31" s="2511"/>
      <c r="FGV31" s="2511"/>
      <c r="FGW31" s="2511"/>
      <c r="FGX31" s="2511"/>
      <c r="FGY31" s="2511"/>
      <c r="FGZ31" s="2511"/>
      <c r="FHA31" s="2511"/>
      <c r="FHB31" s="2511"/>
      <c r="FHC31" s="2511"/>
      <c r="FHD31" s="2511"/>
      <c r="FHE31" s="2511"/>
      <c r="FHF31" s="2511"/>
      <c r="FHG31" s="2511"/>
      <c r="FHH31" s="2511"/>
      <c r="FHI31" s="2511"/>
      <c r="FHJ31" s="2511"/>
      <c r="FHK31" s="2511"/>
      <c r="FHL31" s="2511"/>
      <c r="FHM31" s="2511"/>
      <c r="FHN31" s="2511"/>
      <c r="FHO31" s="2511"/>
      <c r="FHP31" s="2511"/>
      <c r="FHQ31" s="2511"/>
      <c r="FHR31" s="2511"/>
      <c r="FHS31" s="2511"/>
      <c r="FHT31" s="2511"/>
      <c r="FHU31" s="2511"/>
      <c r="FHV31" s="2511"/>
      <c r="FHW31" s="2511"/>
      <c r="FHX31" s="2511"/>
      <c r="FHY31" s="2511"/>
      <c r="FHZ31" s="2511"/>
      <c r="FIA31" s="2511"/>
      <c r="FIB31" s="2511"/>
      <c r="FIC31" s="2511"/>
      <c r="FID31" s="2511"/>
      <c r="FIE31" s="2511"/>
      <c r="FIF31" s="2511"/>
      <c r="FIG31" s="2511"/>
      <c r="FIH31" s="2511"/>
      <c r="FII31" s="2511"/>
      <c r="FIJ31" s="2511"/>
      <c r="FIK31" s="2511"/>
      <c r="FIL31" s="2511"/>
      <c r="FIM31" s="2511"/>
      <c r="FIN31" s="2511"/>
      <c r="FIO31" s="2511"/>
      <c r="FIP31" s="2511"/>
      <c r="FIQ31" s="2511"/>
      <c r="FIR31" s="2511"/>
      <c r="FIS31" s="2511"/>
      <c r="FIT31" s="2511"/>
      <c r="FIU31" s="2511"/>
      <c r="FIV31" s="2511"/>
      <c r="FIW31" s="2511"/>
      <c r="FIX31" s="2511"/>
      <c r="FIY31" s="2511"/>
      <c r="FIZ31" s="2511"/>
      <c r="FJA31" s="2511"/>
      <c r="FJB31" s="2511"/>
      <c r="FJC31" s="2511"/>
      <c r="FJD31" s="2511"/>
      <c r="FJE31" s="2511"/>
      <c r="FJF31" s="2511"/>
      <c r="FJG31" s="2511"/>
      <c r="FJH31" s="2511"/>
      <c r="FJI31" s="2511"/>
      <c r="FJJ31" s="2511"/>
      <c r="FJK31" s="2511"/>
      <c r="FJL31" s="2511"/>
      <c r="FJM31" s="2511"/>
      <c r="FJN31" s="2511"/>
      <c r="FJO31" s="2511"/>
      <c r="FJP31" s="2511"/>
      <c r="FJQ31" s="2511"/>
      <c r="FJR31" s="2511"/>
      <c r="FJS31" s="2511"/>
      <c r="FJT31" s="2511"/>
      <c r="FJU31" s="2511"/>
      <c r="FJV31" s="2511"/>
      <c r="FJW31" s="2511"/>
      <c r="FJX31" s="2511"/>
      <c r="FJY31" s="2511"/>
      <c r="FJZ31" s="2511"/>
      <c r="FKA31" s="2511"/>
      <c r="FKB31" s="2511"/>
      <c r="FKC31" s="2511"/>
      <c r="FKD31" s="2511"/>
      <c r="FKE31" s="2511"/>
      <c r="FKF31" s="2511"/>
      <c r="FKG31" s="2511"/>
      <c r="FKH31" s="2511"/>
      <c r="FKI31" s="2511"/>
      <c r="FKJ31" s="2511"/>
      <c r="FKK31" s="2511"/>
      <c r="FKL31" s="2511"/>
      <c r="FKM31" s="2511"/>
      <c r="FKN31" s="2511"/>
      <c r="FKO31" s="2511"/>
      <c r="FKP31" s="2511"/>
      <c r="FKQ31" s="2511"/>
      <c r="FKR31" s="2511"/>
      <c r="FKS31" s="2511"/>
      <c r="FKT31" s="2511"/>
      <c r="FKU31" s="2511"/>
      <c r="FKV31" s="2511"/>
      <c r="FKW31" s="2511"/>
      <c r="FKX31" s="2511"/>
      <c r="FKY31" s="2511"/>
      <c r="FKZ31" s="2511"/>
      <c r="FLA31" s="2511"/>
      <c r="FLB31" s="2511"/>
      <c r="FLC31" s="2511"/>
      <c r="FLD31" s="2511"/>
      <c r="FLE31" s="2511"/>
      <c r="FLF31" s="2511"/>
      <c r="FLG31" s="2511"/>
      <c r="FLH31" s="2511"/>
      <c r="FLI31" s="2511"/>
      <c r="FLJ31" s="2511"/>
      <c r="FLK31" s="2511"/>
      <c r="FLL31" s="2511"/>
      <c r="FLM31" s="2511"/>
      <c r="FLN31" s="2511"/>
      <c r="FLO31" s="2511"/>
      <c r="FLP31" s="2511"/>
      <c r="FLQ31" s="2511"/>
      <c r="FLR31" s="2511"/>
      <c r="FLS31" s="2511"/>
      <c r="FLT31" s="2511"/>
      <c r="FLU31" s="2511"/>
      <c r="FLV31" s="2511"/>
      <c r="FLW31" s="2511"/>
      <c r="FLX31" s="2511"/>
      <c r="FLY31" s="2511"/>
      <c r="FLZ31" s="2511"/>
      <c r="FMA31" s="2511"/>
      <c r="FMB31" s="2511"/>
      <c r="FMC31" s="2511"/>
      <c r="FMD31" s="2511"/>
      <c r="FME31" s="2511"/>
      <c r="FMF31" s="2511"/>
      <c r="FMG31" s="2511"/>
      <c r="FMH31" s="2511"/>
      <c r="FMI31" s="2511"/>
      <c r="FMJ31" s="2511"/>
      <c r="FMK31" s="2511"/>
      <c r="FML31" s="2511"/>
      <c r="FMM31" s="2511"/>
      <c r="FMN31" s="2511"/>
      <c r="FMO31" s="2511"/>
      <c r="FMP31" s="2511"/>
      <c r="FMQ31" s="2511"/>
      <c r="FMR31" s="2511"/>
      <c r="FMS31" s="2511"/>
      <c r="FMT31" s="2511"/>
      <c r="FMU31" s="2511"/>
      <c r="FMV31" s="2511"/>
      <c r="FMW31" s="2511"/>
      <c r="FMX31" s="2511"/>
      <c r="FMY31" s="2511"/>
      <c r="FMZ31" s="2511"/>
      <c r="FNA31" s="2511"/>
      <c r="FNB31" s="2511"/>
      <c r="FNC31" s="2511"/>
      <c r="FND31" s="2511"/>
      <c r="FNE31" s="2511"/>
      <c r="FNF31" s="2511"/>
      <c r="FNG31" s="2511"/>
      <c r="FNH31" s="2511"/>
      <c r="FNI31" s="2511"/>
      <c r="FNJ31" s="2511"/>
      <c r="FNK31" s="2511"/>
      <c r="FNL31" s="2511"/>
      <c r="FNM31" s="2511"/>
      <c r="FNN31" s="2511"/>
      <c r="FNO31" s="2511"/>
      <c r="FNP31" s="2511"/>
      <c r="FNQ31" s="2511"/>
      <c r="FNR31" s="2511"/>
      <c r="FNS31" s="2511"/>
      <c r="FNT31" s="2511"/>
      <c r="FNU31" s="2511"/>
      <c r="FNV31" s="2511"/>
      <c r="FNW31" s="2511"/>
      <c r="FNX31" s="2511"/>
      <c r="FNY31" s="2511"/>
      <c r="FNZ31" s="2511"/>
      <c r="FOA31" s="2511"/>
      <c r="FOB31" s="2511"/>
      <c r="FOC31" s="2511"/>
      <c r="FOD31" s="2511"/>
      <c r="FOE31" s="2511"/>
      <c r="FOF31" s="2511"/>
      <c r="FOG31" s="2511"/>
      <c r="FOH31" s="2511"/>
      <c r="FOI31" s="2511"/>
      <c r="FOJ31" s="2511"/>
      <c r="FOK31" s="2511"/>
      <c r="FOL31" s="2511"/>
      <c r="FOM31" s="2511"/>
      <c r="FON31" s="2511"/>
      <c r="FOO31" s="2511"/>
      <c r="FOP31" s="2511"/>
      <c r="FOQ31" s="2511"/>
      <c r="FOR31" s="2511"/>
      <c r="FOS31" s="2511"/>
      <c r="FOT31" s="2511"/>
      <c r="FOU31" s="2511"/>
      <c r="FOV31" s="2511"/>
      <c r="FOW31" s="2511"/>
      <c r="FOX31" s="2511"/>
      <c r="FOY31" s="2511"/>
      <c r="FOZ31" s="2511"/>
      <c r="FPA31" s="2511"/>
      <c r="FPB31" s="2511"/>
      <c r="FPC31" s="2511"/>
      <c r="FPD31" s="2511"/>
      <c r="FPE31" s="2511"/>
      <c r="FPF31" s="2511"/>
      <c r="FPG31" s="2511"/>
      <c r="FPH31" s="2511"/>
      <c r="FPI31" s="2511"/>
      <c r="FPJ31" s="2511"/>
      <c r="FPK31" s="2511"/>
      <c r="FPL31" s="2511"/>
      <c r="FPM31" s="2511"/>
      <c r="FPN31" s="2511"/>
      <c r="FPO31" s="2511"/>
      <c r="FPP31" s="2511"/>
      <c r="FPQ31" s="2511"/>
      <c r="FPR31" s="2511"/>
      <c r="FPS31" s="2511"/>
      <c r="FPT31" s="2511"/>
      <c r="FPU31" s="2511"/>
      <c r="FPV31" s="2511"/>
      <c r="FPW31" s="2511"/>
      <c r="FPX31" s="2511"/>
      <c r="FPY31" s="2511"/>
      <c r="FPZ31" s="2511"/>
      <c r="FQA31" s="2511"/>
      <c r="FQB31" s="2511"/>
      <c r="FQC31" s="2511"/>
      <c r="FQD31" s="2511"/>
      <c r="FQE31" s="2511"/>
      <c r="FQF31" s="2511"/>
      <c r="FQG31" s="2511"/>
      <c r="FQH31" s="2511"/>
      <c r="FQI31" s="2511"/>
      <c r="FQJ31" s="2511"/>
      <c r="FQK31" s="2511"/>
      <c r="FQL31" s="2511"/>
      <c r="FQM31" s="2511"/>
      <c r="FQN31" s="2511"/>
      <c r="FQO31" s="2511"/>
      <c r="FQP31" s="2511"/>
      <c r="FQQ31" s="2511"/>
      <c r="FQR31" s="2511"/>
      <c r="FQS31" s="2511"/>
      <c r="FQT31" s="2511"/>
      <c r="FQU31" s="2511"/>
      <c r="FQV31" s="2511"/>
      <c r="FQW31" s="2511"/>
      <c r="FQX31" s="2511"/>
      <c r="FQY31" s="2511"/>
      <c r="FQZ31" s="2511"/>
      <c r="FRA31" s="2511"/>
      <c r="FRB31" s="2511"/>
      <c r="FRC31" s="2511"/>
      <c r="FRD31" s="2511"/>
      <c r="FRE31" s="2511"/>
      <c r="FRF31" s="2511"/>
      <c r="FRG31" s="2511"/>
      <c r="FRH31" s="2511"/>
      <c r="FRI31" s="2511"/>
      <c r="FRJ31" s="2511"/>
      <c r="FRK31" s="2511"/>
      <c r="FRL31" s="2511"/>
      <c r="FRM31" s="2511"/>
      <c r="FRN31" s="2511"/>
      <c r="FRO31" s="2511"/>
      <c r="FRP31" s="2511"/>
      <c r="FRQ31" s="2511"/>
      <c r="FRR31" s="2511"/>
      <c r="FRS31" s="2511"/>
      <c r="FRT31" s="2511"/>
      <c r="FRU31" s="2511"/>
      <c r="FRV31" s="2511"/>
      <c r="FRW31" s="2511"/>
      <c r="FRX31" s="2511"/>
      <c r="FRY31" s="2511"/>
      <c r="FRZ31" s="2511"/>
      <c r="FSA31" s="2511"/>
      <c r="FSB31" s="2511"/>
      <c r="FSC31" s="2511"/>
      <c r="FSD31" s="2511"/>
      <c r="FSE31" s="2511"/>
      <c r="FSF31" s="2511"/>
      <c r="FSG31" s="2511"/>
      <c r="FSH31" s="2511"/>
      <c r="FSI31" s="2511"/>
      <c r="FSJ31" s="2511"/>
      <c r="FSK31" s="2511"/>
      <c r="FSL31" s="2511"/>
      <c r="FSM31" s="2511"/>
      <c r="FSN31" s="2511"/>
      <c r="FSO31" s="2511"/>
      <c r="FSP31" s="2511"/>
      <c r="FSQ31" s="2511"/>
      <c r="FSR31" s="2511"/>
      <c r="FSS31" s="2511"/>
      <c r="FST31" s="2511"/>
      <c r="FSU31" s="2511"/>
      <c r="FSV31" s="2511"/>
      <c r="FSW31" s="2511"/>
      <c r="FSX31" s="2511"/>
      <c r="FSY31" s="2511"/>
      <c r="FSZ31" s="2511"/>
      <c r="FTA31" s="2511"/>
      <c r="FTB31" s="2511"/>
      <c r="FTC31" s="2511"/>
      <c r="FTD31" s="2511"/>
      <c r="FTE31" s="2511"/>
      <c r="FTF31" s="2511"/>
      <c r="FTG31" s="2511"/>
      <c r="FTH31" s="2511"/>
      <c r="FTI31" s="2511"/>
      <c r="FTJ31" s="2511"/>
      <c r="FTK31" s="2511"/>
      <c r="FTL31" s="2511"/>
      <c r="FTM31" s="2511"/>
      <c r="FTN31" s="2511"/>
      <c r="FTO31" s="2511"/>
      <c r="FTP31" s="2511"/>
      <c r="FTQ31" s="2511"/>
      <c r="FTR31" s="2511"/>
      <c r="FTS31" s="2511"/>
      <c r="FTT31" s="2511"/>
      <c r="FTU31" s="2511"/>
      <c r="FTV31" s="2511"/>
      <c r="FTW31" s="2511"/>
      <c r="FTX31" s="2511"/>
      <c r="FTY31" s="2511"/>
      <c r="FTZ31" s="2511"/>
      <c r="FUA31" s="2511"/>
      <c r="FUB31" s="2511"/>
      <c r="FUC31" s="2511"/>
      <c r="FUD31" s="2511"/>
      <c r="FUE31" s="2511"/>
      <c r="FUF31" s="2511"/>
      <c r="FUG31" s="2511"/>
      <c r="FUH31" s="2511"/>
      <c r="FUI31" s="2511"/>
      <c r="FUJ31" s="2511"/>
      <c r="FUK31" s="2511"/>
      <c r="FUL31" s="2511"/>
      <c r="FUM31" s="2511"/>
      <c r="FUN31" s="2511"/>
      <c r="FUO31" s="2511"/>
      <c r="FUP31" s="2511"/>
      <c r="FUQ31" s="2511"/>
      <c r="FUR31" s="2511"/>
      <c r="FUS31" s="2511"/>
      <c r="FUT31" s="2511"/>
      <c r="FUU31" s="2511"/>
      <c r="FUV31" s="2511"/>
      <c r="FUW31" s="2511"/>
      <c r="FUX31" s="2511"/>
      <c r="FUY31" s="2511"/>
      <c r="FUZ31" s="2511"/>
      <c r="FVA31" s="2511"/>
      <c r="FVB31" s="2511"/>
      <c r="FVC31" s="2511"/>
      <c r="FVD31" s="2511"/>
      <c r="FVE31" s="2511"/>
      <c r="FVF31" s="2511"/>
      <c r="FVG31" s="2511"/>
      <c r="FVH31" s="2511"/>
      <c r="FVI31" s="2511"/>
      <c r="FVJ31" s="2511"/>
      <c r="FVK31" s="2511"/>
      <c r="FVL31" s="2511"/>
      <c r="FVM31" s="2511"/>
      <c r="FVN31" s="2511"/>
      <c r="FVO31" s="2511"/>
      <c r="FVP31" s="2511"/>
      <c r="FVQ31" s="2511"/>
      <c r="FVR31" s="2511"/>
      <c r="FVS31" s="2511"/>
      <c r="FVT31" s="2511"/>
      <c r="FVU31" s="2511"/>
      <c r="FVV31" s="2511"/>
      <c r="FVW31" s="2511"/>
      <c r="FVX31" s="2511"/>
      <c r="FVY31" s="2511"/>
      <c r="FVZ31" s="2511"/>
      <c r="FWA31" s="2511"/>
      <c r="FWB31" s="2511"/>
      <c r="FWC31" s="2511"/>
      <c r="FWD31" s="2511"/>
      <c r="FWE31" s="2511"/>
      <c r="FWF31" s="2511"/>
      <c r="FWG31" s="2511"/>
      <c r="FWH31" s="2511"/>
      <c r="FWI31" s="2511"/>
      <c r="FWJ31" s="2511"/>
      <c r="FWK31" s="2511"/>
      <c r="FWL31" s="2511"/>
      <c r="FWM31" s="2511"/>
      <c r="FWN31" s="2511"/>
      <c r="FWO31" s="2511"/>
      <c r="FWP31" s="2511"/>
      <c r="FWQ31" s="2511"/>
      <c r="FWR31" s="2511"/>
      <c r="FWS31" s="2511"/>
      <c r="FWT31" s="2511"/>
      <c r="FWU31" s="2511"/>
      <c r="FWV31" s="2511"/>
      <c r="FWW31" s="2511"/>
      <c r="FWX31" s="2511"/>
      <c r="FWY31" s="2511"/>
      <c r="FWZ31" s="2511"/>
      <c r="FXA31" s="2511"/>
      <c r="FXB31" s="2511"/>
      <c r="FXC31" s="2511"/>
      <c r="FXD31" s="2511"/>
      <c r="FXE31" s="2511"/>
      <c r="FXF31" s="2511"/>
      <c r="FXG31" s="2511"/>
      <c r="FXH31" s="2511"/>
      <c r="FXI31" s="2511"/>
      <c r="FXJ31" s="2511"/>
      <c r="FXK31" s="2511"/>
      <c r="FXL31" s="2511"/>
      <c r="FXM31" s="2511"/>
      <c r="FXN31" s="2511"/>
      <c r="FXO31" s="2511"/>
      <c r="FXP31" s="2511"/>
      <c r="FXQ31" s="2511"/>
      <c r="FXR31" s="2511"/>
      <c r="FXS31" s="2511"/>
      <c r="FXT31" s="2511"/>
      <c r="FXU31" s="2511"/>
      <c r="FXV31" s="2511"/>
      <c r="FXW31" s="2511"/>
      <c r="FXX31" s="2511"/>
      <c r="FXY31" s="2511"/>
      <c r="FXZ31" s="2511"/>
      <c r="FYA31" s="2511"/>
      <c r="FYB31" s="2511"/>
      <c r="FYC31" s="2511"/>
      <c r="FYD31" s="2511"/>
      <c r="FYE31" s="2511"/>
      <c r="FYF31" s="2511"/>
      <c r="FYG31" s="2511"/>
      <c r="FYH31" s="2511"/>
      <c r="FYI31" s="2511"/>
      <c r="FYJ31" s="2511"/>
      <c r="FYK31" s="2511"/>
      <c r="FYL31" s="2511"/>
      <c r="FYM31" s="2511"/>
      <c r="FYN31" s="2511"/>
      <c r="FYO31" s="2511"/>
      <c r="FYP31" s="2511"/>
      <c r="FYQ31" s="2511"/>
      <c r="FYR31" s="2511"/>
      <c r="FYS31" s="2511"/>
      <c r="FYT31" s="2511"/>
      <c r="FYU31" s="2511"/>
      <c r="FYV31" s="2511"/>
      <c r="FYW31" s="2511"/>
      <c r="FYX31" s="2511"/>
      <c r="FYY31" s="2511"/>
      <c r="FYZ31" s="2511"/>
      <c r="FZA31" s="2511"/>
      <c r="FZB31" s="2511"/>
      <c r="FZC31" s="2511"/>
      <c r="FZD31" s="2511"/>
      <c r="FZE31" s="2511"/>
      <c r="FZF31" s="2511"/>
      <c r="FZG31" s="2511"/>
      <c r="FZH31" s="2511"/>
      <c r="FZI31" s="2511"/>
      <c r="FZJ31" s="2511"/>
      <c r="FZK31" s="2511"/>
      <c r="FZL31" s="2511"/>
      <c r="FZM31" s="2511"/>
      <c r="FZN31" s="2511"/>
      <c r="FZO31" s="2511"/>
      <c r="FZP31" s="2511"/>
      <c r="FZQ31" s="2511"/>
      <c r="FZR31" s="2511"/>
      <c r="FZS31" s="2511"/>
      <c r="FZT31" s="2511"/>
      <c r="FZU31" s="2511"/>
      <c r="FZV31" s="2511"/>
      <c r="FZW31" s="2511"/>
      <c r="FZX31" s="2511"/>
      <c r="FZY31" s="2511"/>
      <c r="FZZ31" s="2511"/>
      <c r="GAA31" s="2511"/>
      <c r="GAB31" s="2511"/>
      <c r="GAC31" s="2511"/>
      <c r="GAD31" s="2511"/>
      <c r="GAE31" s="2511"/>
      <c r="GAF31" s="2511"/>
      <c r="GAG31" s="2511"/>
      <c r="GAH31" s="2511"/>
      <c r="GAI31" s="2511"/>
      <c r="GAJ31" s="2511"/>
      <c r="GAK31" s="2511"/>
      <c r="GAL31" s="2511"/>
      <c r="GAM31" s="2511"/>
      <c r="GAN31" s="2511"/>
      <c r="GAO31" s="2511"/>
      <c r="GAP31" s="2511"/>
      <c r="GAQ31" s="2511"/>
      <c r="GAR31" s="2511"/>
      <c r="GAS31" s="2511"/>
      <c r="GAT31" s="2511"/>
      <c r="GAU31" s="2511"/>
      <c r="GAV31" s="2511"/>
      <c r="GAW31" s="2511"/>
      <c r="GAX31" s="2511"/>
      <c r="GAY31" s="2511"/>
      <c r="GAZ31" s="2511"/>
      <c r="GBA31" s="2511"/>
      <c r="GBB31" s="2511"/>
      <c r="GBC31" s="2511"/>
      <c r="GBD31" s="2511"/>
      <c r="GBE31" s="2511"/>
      <c r="GBF31" s="2511"/>
      <c r="GBG31" s="2511"/>
      <c r="GBH31" s="2511"/>
      <c r="GBI31" s="2511"/>
      <c r="GBJ31" s="2511"/>
      <c r="GBK31" s="2511"/>
      <c r="GBL31" s="2511"/>
      <c r="GBM31" s="2511"/>
      <c r="GBN31" s="2511"/>
      <c r="GBO31" s="2511"/>
      <c r="GBP31" s="2511"/>
      <c r="GBQ31" s="2511"/>
      <c r="GBR31" s="2511"/>
      <c r="GBS31" s="2511"/>
      <c r="GBT31" s="2511"/>
      <c r="GBU31" s="2511"/>
      <c r="GBV31" s="2511"/>
      <c r="GBW31" s="2511"/>
      <c r="GBX31" s="2511"/>
      <c r="GBY31" s="2511"/>
      <c r="GBZ31" s="2511"/>
      <c r="GCA31" s="2511"/>
      <c r="GCB31" s="2511"/>
      <c r="GCC31" s="2511"/>
      <c r="GCD31" s="2511"/>
      <c r="GCE31" s="2511"/>
      <c r="GCF31" s="2511"/>
      <c r="GCG31" s="2511"/>
      <c r="GCH31" s="2511"/>
      <c r="GCI31" s="2511"/>
      <c r="GCJ31" s="2511"/>
      <c r="GCK31" s="2511"/>
      <c r="GCL31" s="2511"/>
      <c r="GCM31" s="2511"/>
      <c r="GCN31" s="2511"/>
      <c r="GCO31" s="2511"/>
      <c r="GCP31" s="2511"/>
      <c r="GCQ31" s="2511"/>
      <c r="GCR31" s="2511"/>
      <c r="GCS31" s="2511"/>
      <c r="GCT31" s="2511"/>
      <c r="GCU31" s="2511"/>
      <c r="GCV31" s="2511"/>
      <c r="GCW31" s="2511"/>
      <c r="GCX31" s="2511"/>
      <c r="GCY31" s="2511"/>
      <c r="GCZ31" s="2511"/>
      <c r="GDA31" s="2511"/>
      <c r="GDB31" s="2511"/>
      <c r="GDC31" s="2511"/>
      <c r="GDD31" s="2511"/>
      <c r="GDE31" s="2511"/>
      <c r="GDF31" s="2511"/>
      <c r="GDG31" s="2511"/>
      <c r="GDH31" s="2511"/>
      <c r="GDI31" s="2511"/>
      <c r="GDJ31" s="2511"/>
      <c r="GDK31" s="2511"/>
      <c r="GDL31" s="2511"/>
      <c r="GDM31" s="2511"/>
      <c r="GDN31" s="2511"/>
      <c r="GDO31" s="2511"/>
      <c r="GDP31" s="2511"/>
      <c r="GDQ31" s="2511"/>
      <c r="GDR31" s="2511"/>
      <c r="GDS31" s="2511"/>
      <c r="GDT31" s="2511"/>
      <c r="GDU31" s="2511"/>
      <c r="GDV31" s="2511"/>
      <c r="GDW31" s="2511"/>
      <c r="GDX31" s="2511"/>
      <c r="GDY31" s="2511"/>
      <c r="GDZ31" s="2511"/>
      <c r="GEA31" s="2511"/>
      <c r="GEB31" s="2511"/>
      <c r="GEC31" s="2511"/>
      <c r="GED31" s="2511"/>
      <c r="GEE31" s="2511"/>
      <c r="GEF31" s="2511"/>
      <c r="GEG31" s="2511"/>
      <c r="GEH31" s="2511"/>
      <c r="GEI31" s="2511"/>
      <c r="GEJ31" s="2511"/>
      <c r="GEK31" s="2511"/>
      <c r="GEL31" s="2511"/>
      <c r="GEM31" s="2511"/>
      <c r="GEN31" s="2511"/>
      <c r="GEO31" s="2511"/>
      <c r="GEP31" s="2511"/>
      <c r="GEQ31" s="2511"/>
      <c r="GER31" s="2511"/>
      <c r="GES31" s="2511"/>
      <c r="GET31" s="2511"/>
      <c r="GEU31" s="2511"/>
      <c r="GEV31" s="2511"/>
      <c r="GEW31" s="2511"/>
      <c r="GEX31" s="2511"/>
      <c r="GEY31" s="2511"/>
      <c r="GEZ31" s="2511"/>
      <c r="GFA31" s="2511"/>
      <c r="GFB31" s="2511"/>
      <c r="GFC31" s="2511"/>
      <c r="GFD31" s="2511"/>
      <c r="GFE31" s="2511"/>
      <c r="GFF31" s="2511"/>
      <c r="GFG31" s="2511"/>
      <c r="GFH31" s="2511"/>
      <c r="GFI31" s="2511"/>
      <c r="GFJ31" s="2511"/>
      <c r="GFK31" s="2511"/>
      <c r="GFL31" s="2511"/>
      <c r="GFM31" s="2511"/>
      <c r="GFN31" s="2511"/>
      <c r="GFO31" s="2511"/>
      <c r="GFP31" s="2511"/>
      <c r="GFQ31" s="2511"/>
      <c r="GFR31" s="2511"/>
      <c r="GFS31" s="2511"/>
      <c r="GFT31" s="2511"/>
      <c r="GFU31" s="2511"/>
      <c r="GFV31" s="2511"/>
      <c r="GFW31" s="2511"/>
      <c r="GFX31" s="2511"/>
      <c r="GFY31" s="2511"/>
      <c r="GFZ31" s="2511"/>
      <c r="GGA31" s="2511"/>
      <c r="GGB31" s="2511"/>
      <c r="GGC31" s="2511"/>
      <c r="GGD31" s="2511"/>
      <c r="GGE31" s="2511"/>
      <c r="GGF31" s="2511"/>
      <c r="GGG31" s="2511"/>
      <c r="GGH31" s="2511"/>
      <c r="GGI31" s="2511"/>
      <c r="GGJ31" s="2511"/>
      <c r="GGK31" s="2511"/>
      <c r="GGL31" s="2511"/>
      <c r="GGM31" s="2511"/>
      <c r="GGN31" s="2511"/>
      <c r="GGO31" s="2511"/>
      <c r="GGP31" s="2511"/>
      <c r="GGQ31" s="2511"/>
      <c r="GGR31" s="2511"/>
      <c r="GGS31" s="2511"/>
      <c r="GGT31" s="2511"/>
      <c r="GGU31" s="2511"/>
      <c r="GGV31" s="2511"/>
      <c r="GGW31" s="2511"/>
      <c r="GGX31" s="2511"/>
      <c r="GGY31" s="2511"/>
      <c r="GGZ31" s="2511"/>
      <c r="GHA31" s="2511"/>
      <c r="GHB31" s="2511"/>
      <c r="GHC31" s="2511"/>
      <c r="GHD31" s="2511"/>
      <c r="GHE31" s="2511"/>
      <c r="GHF31" s="2511"/>
      <c r="GHG31" s="2511"/>
      <c r="GHH31" s="2511"/>
      <c r="GHI31" s="2511"/>
      <c r="GHJ31" s="2511"/>
      <c r="GHK31" s="2511"/>
      <c r="GHL31" s="2511"/>
      <c r="GHM31" s="2511"/>
      <c r="GHN31" s="2511"/>
      <c r="GHO31" s="2511"/>
      <c r="GHP31" s="2511"/>
      <c r="GHQ31" s="2511"/>
      <c r="GHR31" s="2511"/>
      <c r="GHS31" s="2511"/>
      <c r="GHT31" s="2511"/>
      <c r="GHU31" s="2511"/>
      <c r="GHV31" s="2511"/>
      <c r="GHW31" s="2511"/>
      <c r="GHX31" s="2511"/>
      <c r="GHY31" s="2511"/>
      <c r="GHZ31" s="2511"/>
      <c r="GIA31" s="2511"/>
      <c r="GIB31" s="2511"/>
      <c r="GIC31" s="2511"/>
      <c r="GID31" s="2511"/>
      <c r="GIE31" s="2511"/>
      <c r="GIF31" s="2511"/>
      <c r="GIG31" s="2511"/>
      <c r="GIH31" s="2511"/>
      <c r="GII31" s="2511"/>
      <c r="GIJ31" s="2511"/>
      <c r="GIK31" s="2511"/>
      <c r="GIL31" s="2511"/>
      <c r="GIM31" s="2511"/>
      <c r="GIN31" s="2511"/>
      <c r="GIO31" s="2511"/>
      <c r="GIP31" s="2511"/>
      <c r="GIQ31" s="2511"/>
      <c r="GIR31" s="2511"/>
      <c r="GIS31" s="2511"/>
      <c r="GIT31" s="2511"/>
      <c r="GIU31" s="2511"/>
      <c r="GIV31" s="2511"/>
      <c r="GIW31" s="2511"/>
      <c r="GIX31" s="2511"/>
      <c r="GIY31" s="2511"/>
      <c r="GIZ31" s="2511"/>
      <c r="GJA31" s="2511"/>
      <c r="GJB31" s="2511"/>
      <c r="GJC31" s="2511"/>
      <c r="GJD31" s="2511"/>
      <c r="GJE31" s="2511"/>
      <c r="GJF31" s="2511"/>
      <c r="GJG31" s="2511"/>
      <c r="GJH31" s="2511"/>
      <c r="GJI31" s="2511"/>
      <c r="GJJ31" s="2511"/>
      <c r="GJK31" s="2511"/>
      <c r="GJL31" s="2511"/>
      <c r="GJM31" s="2511"/>
      <c r="GJN31" s="2511"/>
      <c r="GJO31" s="2511"/>
      <c r="GJP31" s="2511"/>
      <c r="GJQ31" s="2511"/>
      <c r="GJR31" s="2511"/>
      <c r="GJS31" s="2511"/>
      <c r="GJT31" s="2511"/>
      <c r="GJU31" s="2511"/>
      <c r="GJV31" s="2511"/>
      <c r="GJW31" s="2511"/>
      <c r="GJX31" s="2511"/>
      <c r="GJY31" s="2511"/>
      <c r="GJZ31" s="2511"/>
      <c r="GKA31" s="2511"/>
      <c r="GKB31" s="2511"/>
      <c r="GKC31" s="2511"/>
      <c r="GKD31" s="2511"/>
      <c r="GKE31" s="2511"/>
      <c r="GKF31" s="2511"/>
      <c r="GKG31" s="2511"/>
      <c r="GKH31" s="2511"/>
      <c r="GKI31" s="2511"/>
      <c r="GKJ31" s="2511"/>
      <c r="GKK31" s="2511"/>
      <c r="GKL31" s="2511"/>
      <c r="GKM31" s="2511"/>
      <c r="GKN31" s="2511"/>
      <c r="GKO31" s="2511"/>
      <c r="GKP31" s="2511"/>
      <c r="GKQ31" s="2511"/>
      <c r="GKR31" s="2511"/>
      <c r="GKS31" s="2511"/>
      <c r="GKT31" s="2511"/>
      <c r="GKU31" s="2511"/>
      <c r="GKV31" s="2511"/>
      <c r="GKW31" s="2511"/>
      <c r="GKX31" s="2511"/>
      <c r="GKY31" s="2511"/>
      <c r="GKZ31" s="2511"/>
      <c r="GLA31" s="2511"/>
      <c r="GLB31" s="2511"/>
      <c r="GLC31" s="2511"/>
      <c r="GLD31" s="2511"/>
      <c r="GLE31" s="2511"/>
      <c r="GLF31" s="2511"/>
      <c r="GLG31" s="2511"/>
      <c r="GLH31" s="2511"/>
      <c r="GLI31" s="2511"/>
      <c r="GLJ31" s="2511"/>
      <c r="GLK31" s="2511"/>
      <c r="GLL31" s="2511"/>
      <c r="GLM31" s="2511"/>
      <c r="GLN31" s="2511"/>
      <c r="GLO31" s="2511"/>
      <c r="GLP31" s="2511"/>
      <c r="GLQ31" s="2511"/>
      <c r="GLR31" s="2511"/>
      <c r="GLS31" s="2511"/>
      <c r="GLT31" s="2511"/>
      <c r="GLU31" s="2511"/>
      <c r="GLV31" s="2511"/>
      <c r="GLW31" s="2511"/>
      <c r="GLX31" s="2511"/>
      <c r="GLY31" s="2511"/>
      <c r="GLZ31" s="2511"/>
      <c r="GMA31" s="2511"/>
      <c r="GMB31" s="2511"/>
      <c r="GMC31" s="2511"/>
      <c r="GMD31" s="2511"/>
      <c r="GME31" s="2511"/>
      <c r="GMF31" s="2511"/>
      <c r="GMG31" s="2511"/>
      <c r="GMH31" s="2511"/>
      <c r="GMI31" s="2511"/>
      <c r="GMJ31" s="2511"/>
      <c r="GMK31" s="2511"/>
      <c r="GML31" s="2511"/>
      <c r="GMM31" s="2511"/>
      <c r="GMN31" s="2511"/>
      <c r="GMO31" s="2511"/>
      <c r="GMP31" s="2511"/>
      <c r="GMQ31" s="2511"/>
      <c r="GMR31" s="2511"/>
      <c r="GMS31" s="2511"/>
      <c r="GMT31" s="2511"/>
      <c r="GMU31" s="2511"/>
      <c r="GMV31" s="2511"/>
      <c r="GMW31" s="2511"/>
      <c r="GMX31" s="2511"/>
      <c r="GMY31" s="2511"/>
      <c r="GMZ31" s="2511"/>
      <c r="GNA31" s="2511"/>
      <c r="GNB31" s="2511"/>
      <c r="GNC31" s="2511"/>
      <c r="GND31" s="2511"/>
      <c r="GNE31" s="2511"/>
      <c r="GNF31" s="2511"/>
      <c r="GNG31" s="2511"/>
      <c r="GNH31" s="2511"/>
      <c r="GNI31" s="2511"/>
      <c r="GNJ31" s="2511"/>
      <c r="GNK31" s="2511"/>
      <c r="GNL31" s="2511"/>
      <c r="GNM31" s="2511"/>
      <c r="GNN31" s="2511"/>
      <c r="GNO31" s="2511"/>
      <c r="GNP31" s="2511"/>
      <c r="GNQ31" s="2511"/>
      <c r="GNR31" s="2511"/>
      <c r="GNS31" s="2511"/>
      <c r="GNT31" s="2511"/>
      <c r="GNU31" s="2511"/>
      <c r="GNV31" s="2511"/>
      <c r="GNW31" s="2511"/>
      <c r="GNX31" s="2511"/>
      <c r="GNY31" s="2511"/>
      <c r="GNZ31" s="2511"/>
      <c r="GOA31" s="2511"/>
      <c r="GOB31" s="2511"/>
      <c r="GOC31" s="2511"/>
      <c r="GOD31" s="2511"/>
      <c r="GOE31" s="2511"/>
      <c r="GOF31" s="2511"/>
      <c r="GOG31" s="2511"/>
      <c r="GOH31" s="2511"/>
      <c r="GOI31" s="2511"/>
      <c r="GOJ31" s="2511"/>
      <c r="GOK31" s="2511"/>
      <c r="GOL31" s="2511"/>
      <c r="GOM31" s="2511"/>
      <c r="GON31" s="2511"/>
      <c r="GOO31" s="2511"/>
      <c r="GOP31" s="2511"/>
      <c r="GOQ31" s="2511"/>
      <c r="GOR31" s="2511"/>
      <c r="GOS31" s="2511"/>
      <c r="GOT31" s="2511"/>
      <c r="GOU31" s="2511"/>
      <c r="GOV31" s="2511"/>
      <c r="GOW31" s="2511"/>
      <c r="GOX31" s="2511"/>
      <c r="GOY31" s="2511"/>
      <c r="GOZ31" s="2511"/>
      <c r="GPA31" s="2511"/>
      <c r="GPB31" s="2511"/>
      <c r="GPC31" s="2511"/>
      <c r="GPD31" s="2511"/>
      <c r="GPE31" s="2511"/>
      <c r="GPF31" s="2511"/>
      <c r="GPG31" s="2511"/>
      <c r="GPH31" s="2511"/>
      <c r="GPI31" s="2511"/>
      <c r="GPJ31" s="2511"/>
      <c r="GPK31" s="2511"/>
      <c r="GPL31" s="2511"/>
      <c r="GPM31" s="2511"/>
      <c r="GPN31" s="2511"/>
      <c r="GPO31" s="2511"/>
      <c r="GPP31" s="2511"/>
      <c r="GPQ31" s="2511"/>
      <c r="GPR31" s="2511"/>
      <c r="GPS31" s="2511"/>
      <c r="GPT31" s="2511"/>
      <c r="GPU31" s="2511"/>
      <c r="GPV31" s="2511"/>
      <c r="GPW31" s="2511"/>
      <c r="GPX31" s="2511"/>
      <c r="GPY31" s="2511"/>
      <c r="GPZ31" s="2511"/>
      <c r="GQA31" s="2511"/>
      <c r="GQB31" s="2511"/>
      <c r="GQC31" s="2511"/>
      <c r="GQD31" s="2511"/>
      <c r="GQE31" s="2511"/>
      <c r="GQF31" s="2511"/>
      <c r="GQG31" s="2511"/>
      <c r="GQH31" s="2511"/>
      <c r="GQI31" s="2511"/>
      <c r="GQJ31" s="2511"/>
      <c r="GQK31" s="2511"/>
      <c r="GQL31" s="2511"/>
      <c r="GQM31" s="2511"/>
      <c r="GQN31" s="2511"/>
      <c r="GQO31" s="2511"/>
      <c r="GQP31" s="2511"/>
      <c r="GQQ31" s="2511"/>
      <c r="GQR31" s="2511"/>
      <c r="GQS31" s="2511"/>
      <c r="GQT31" s="2511"/>
      <c r="GQU31" s="2511"/>
      <c r="GQV31" s="2511"/>
      <c r="GQW31" s="2511"/>
      <c r="GQX31" s="2511"/>
      <c r="GQY31" s="2511"/>
      <c r="GQZ31" s="2511"/>
      <c r="GRA31" s="2511"/>
      <c r="GRB31" s="2511"/>
      <c r="GRC31" s="2511"/>
      <c r="GRD31" s="2511"/>
      <c r="GRE31" s="2511"/>
      <c r="GRF31" s="2511"/>
      <c r="GRG31" s="2511"/>
      <c r="GRH31" s="2511"/>
      <c r="GRI31" s="2511"/>
      <c r="GRJ31" s="2511"/>
      <c r="GRK31" s="2511"/>
      <c r="GRL31" s="2511"/>
      <c r="GRM31" s="2511"/>
      <c r="GRN31" s="2511"/>
      <c r="GRO31" s="2511"/>
      <c r="GRP31" s="2511"/>
      <c r="GRQ31" s="2511"/>
      <c r="GRR31" s="2511"/>
      <c r="GRS31" s="2511"/>
      <c r="GRT31" s="2511"/>
      <c r="GRU31" s="2511"/>
      <c r="GRV31" s="2511"/>
      <c r="GRW31" s="2511"/>
      <c r="GRX31" s="2511"/>
      <c r="GRY31" s="2511"/>
      <c r="GRZ31" s="2511"/>
      <c r="GSA31" s="2511"/>
      <c r="GSB31" s="2511"/>
      <c r="GSC31" s="2511"/>
      <c r="GSD31" s="2511"/>
      <c r="GSE31" s="2511"/>
      <c r="GSF31" s="2511"/>
      <c r="GSG31" s="2511"/>
      <c r="GSH31" s="2511"/>
      <c r="GSI31" s="2511"/>
      <c r="GSJ31" s="2511"/>
      <c r="GSK31" s="2511"/>
      <c r="GSL31" s="2511"/>
      <c r="GSM31" s="2511"/>
      <c r="GSN31" s="2511"/>
      <c r="GSO31" s="2511"/>
      <c r="GSP31" s="2511"/>
      <c r="GSQ31" s="2511"/>
      <c r="GSR31" s="2511"/>
      <c r="GSS31" s="2511"/>
      <c r="GST31" s="2511"/>
      <c r="GSU31" s="2511"/>
      <c r="GSV31" s="2511"/>
      <c r="GSW31" s="2511"/>
      <c r="GSX31" s="2511"/>
      <c r="GSY31" s="2511"/>
      <c r="GSZ31" s="2511"/>
      <c r="GTA31" s="2511"/>
      <c r="GTB31" s="2511"/>
      <c r="GTC31" s="2511"/>
      <c r="GTD31" s="2511"/>
      <c r="GTE31" s="2511"/>
      <c r="GTF31" s="2511"/>
      <c r="GTG31" s="2511"/>
      <c r="GTH31" s="2511"/>
      <c r="GTI31" s="2511"/>
      <c r="GTJ31" s="2511"/>
      <c r="GTK31" s="2511"/>
      <c r="GTL31" s="2511"/>
      <c r="GTM31" s="2511"/>
      <c r="GTN31" s="2511"/>
      <c r="GTO31" s="2511"/>
      <c r="GTP31" s="2511"/>
      <c r="GTQ31" s="2511"/>
      <c r="GTR31" s="2511"/>
      <c r="GTS31" s="2511"/>
      <c r="GTT31" s="2511"/>
      <c r="GTU31" s="2511"/>
      <c r="GTV31" s="2511"/>
      <c r="GTW31" s="2511"/>
      <c r="GTX31" s="2511"/>
      <c r="GTY31" s="2511"/>
      <c r="GTZ31" s="2511"/>
      <c r="GUA31" s="2511"/>
      <c r="GUB31" s="2511"/>
      <c r="GUC31" s="2511"/>
      <c r="GUD31" s="2511"/>
      <c r="GUE31" s="2511"/>
      <c r="GUF31" s="2511"/>
      <c r="GUG31" s="2511"/>
      <c r="GUH31" s="2511"/>
      <c r="GUI31" s="2511"/>
      <c r="GUJ31" s="2511"/>
      <c r="GUK31" s="2511"/>
      <c r="GUL31" s="2511"/>
      <c r="GUM31" s="2511"/>
      <c r="GUN31" s="2511"/>
      <c r="GUO31" s="2511"/>
      <c r="GUP31" s="2511"/>
      <c r="GUQ31" s="2511"/>
      <c r="GUR31" s="2511"/>
      <c r="GUS31" s="2511"/>
      <c r="GUT31" s="2511"/>
      <c r="GUU31" s="2511"/>
      <c r="GUV31" s="2511"/>
      <c r="GUW31" s="2511"/>
      <c r="GUX31" s="2511"/>
      <c r="GUY31" s="2511"/>
      <c r="GUZ31" s="2511"/>
      <c r="GVA31" s="2511"/>
      <c r="GVB31" s="2511"/>
      <c r="GVC31" s="2511"/>
      <c r="GVD31" s="2511"/>
      <c r="GVE31" s="2511"/>
      <c r="GVF31" s="2511"/>
      <c r="GVG31" s="2511"/>
      <c r="GVH31" s="2511"/>
      <c r="GVI31" s="2511"/>
      <c r="GVJ31" s="2511"/>
      <c r="GVK31" s="2511"/>
      <c r="GVL31" s="2511"/>
      <c r="GVM31" s="2511"/>
      <c r="GVN31" s="2511"/>
      <c r="GVO31" s="2511"/>
      <c r="GVP31" s="2511"/>
      <c r="GVQ31" s="2511"/>
      <c r="GVR31" s="2511"/>
      <c r="GVS31" s="2511"/>
      <c r="GVT31" s="2511"/>
      <c r="GVU31" s="2511"/>
      <c r="GVV31" s="2511"/>
      <c r="GVW31" s="2511"/>
      <c r="GVX31" s="2511"/>
      <c r="GVY31" s="2511"/>
      <c r="GVZ31" s="2511"/>
      <c r="GWA31" s="2511"/>
      <c r="GWB31" s="2511"/>
      <c r="GWC31" s="2511"/>
      <c r="GWD31" s="2511"/>
      <c r="GWE31" s="2511"/>
      <c r="GWF31" s="2511"/>
      <c r="GWG31" s="2511"/>
      <c r="GWH31" s="2511"/>
      <c r="GWI31" s="2511"/>
      <c r="GWJ31" s="2511"/>
      <c r="GWK31" s="2511"/>
      <c r="GWL31" s="2511"/>
      <c r="GWM31" s="2511"/>
      <c r="GWN31" s="2511"/>
      <c r="GWO31" s="2511"/>
      <c r="GWP31" s="2511"/>
      <c r="GWQ31" s="2511"/>
      <c r="GWR31" s="2511"/>
      <c r="GWS31" s="2511"/>
      <c r="GWT31" s="2511"/>
      <c r="GWU31" s="2511"/>
      <c r="GWV31" s="2511"/>
      <c r="GWW31" s="2511"/>
      <c r="GWX31" s="2511"/>
      <c r="GWY31" s="2511"/>
      <c r="GWZ31" s="2511"/>
      <c r="GXA31" s="2511"/>
      <c r="GXB31" s="2511"/>
      <c r="GXC31" s="2511"/>
      <c r="GXD31" s="2511"/>
      <c r="GXE31" s="2511"/>
      <c r="GXF31" s="2511"/>
      <c r="GXG31" s="2511"/>
      <c r="GXH31" s="2511"/>
      <c r="GXI31" s="2511"/>
      <c r="GXJ31" s="2511"/>
      <c r="GXK31" s="2511"/>
      <c r="GXL31" s="2511"/>
      <c r="GXM31" s="2511"/>
      <c r="GXN31" s="2511"/>
      <c r="GXO31" s="2511"/>
      <c r="GXP31" s="2511"/>
      <c r="GXQ31" s="2511"/>
      <c r="GXR31" s="2511"/>
      <c r="GXS31" s="2511"/>
      <c r="GXT31" s="2511"/>
      <c r="GXU31" s="2511"/>
      <c r="GXV31" s="2511"/>
      <c r="GXW31" s="2511"/>
      <c r="GXX31" s="2511"/>
      <c r="GXY31" s="2511"/>
      <c r="GXZ31" s="2511"/>
      <c r="GYA31" s="2511"/>
      <c r="GYB31" s="2511"/>
      <c r="GYC31" s="2511"/>
      <c r="GYD31" s="2511"/>
      <c r="GYE31" s="2511"/>
      <c r="GYF31" s="2511"/>
      <c r="GYG31" s="2511"/>
      <c r="GYH31" s="2511"/>
      <c r="GYI31" s="2511"/>
      <c r="GYJ31" s="2511"/>
      <c r="GYK31" s="2511"/>
      <c r="GYL31" s="2511"/>
      <c r="GYM31" s="2511"/>
      <c r="GYN31" s="2511"/>
      <c r="GYO31" s="2511"/>
      <c r="GYP31" s="2511"/>
      <c r="GYQ31" s="2511"/>
      <c r="GYR31" s="2511"/>
      <c r="GYS31" s="2511"/>
      <c r="GYT31" s="2511"/>
      <c r="GYU31" s="2511"/>
      <c r="GYV31" s="2511"/>
      <c r="GYW31" s="2511"/>
      <c r="GYX31" s="2511"/>
      <c r="GYY31" s="2511"/>
      <c r="GYZ31" s="2511"/>
      <c r="GZA31" s="2511"/>
      <c r="GZB31" s="2511"/>
      <c r="GZC31" s="2511"/>
      <c r="GZD31" s="2511"/>
      <c r="GZE31" s="2511"/>
      <c r="GZF31" s="2511"/>
      <c r="GZG31" s="2511"/>
      <c r="GZH31" s="2511"/>
      <c r="GZI31" s="2511"/>
      <c r="GZJ31" s="2511"/>
      <c r="GZK31" s="2511"/>
      <c r="GZL31" s="2511"/>
      <c r="GZM31" s="2511"/>
      <c r="GZN31" s="2511"/>
      <c r="GZO31" s="2511"/>
      <c r="GZP31" s="2511"/>
      <c r="GZQ31" s="2511"/>
      <c r="GZR31" s="2511"/>
      <c r="GZS31" s="2511"/>
      <c r="GZT31" s="2511"/>
      <c r="GZU31" s="2511"/>
      <c r="GZV31" s="2511"/>
      <c r="GZW31" s="2511"/>
      <c r="GZX31" s="2511"/>
      <c r="GZY31" s="2511"/>
      <c r="GZZ31" s="2511"/>
      <c r="HAA31" s="2511"/>
      <c r="HAB31" s="2511"/>
      <c r="HAC31" s="2511"/>
      <c r="HAD31" s="2511"/>
      <c r="HAE31" s="2511"/>
      <c r="HAF31" s="2511"/>
      <c r="HAG31" s="2511"/>
      <c r="HAH31" s="2511"/>
      <c r="HAI31" s="2511"/>
      <c r="HAJ31" s="2511"/>
      <c r="HAK31" s="2511"/>
      <c r="HAL31" s="2511"/>
      <c r="HAM31" s="2511"/>
      <c r="HAN31" s="2511"/>
      <c r="HAO31" s="2511"/>
      <c r="HAP31" s="2511"/>
      <c r="HAQ31" s="2511"/>
      <c r="HAR31" s="2511"/>
      <c r="HAS31" s="2511"/>
      <c r="HAT31" s="2511"/>
      <c r="HAU31" s="2511"/>
      <c r="HAV31" s="2511"/>
      <c r="HAW31" s="2511"/>
      <c r="HAX31" s="2511"/>
      <c r="HAY31" s="2511"/>
      <c r="HAZ31" s="2511"/>
      <c r="HBA31" s="2511"/>
      <c r="HBB31" s="2511"/>
      <c r="HBC31" s="2511"/>
      <c r="HBD31" s="2511"/>
      <c r="HBE31" s="2511"/>
      <c r="HBF31" s="2511"/>
      <c r="HBG31" s="2511"/>
      <c r="HBH31" s="2511"/>
      <c r="HBI31" s="2511"/>
      <c r="HBJ31" s="2511"/>
      <c r="HBK31" s="2511"/>
      <c r="HBL31" s="2511"/>
      <c r="HBM31" s="2511"/>
      <c r="HBN31" s="2511"/>
      <c r="HBO31" s="2511"/>
      <c r="HBP31" s="2511"/>
      <c r="HBQ31" s="2511"/>
      <c r="HBR31" s="2511"/>
      <c r="HBS31" s="2511"/>
      <c r="HBT31" s="2511"/>
      <c r="HBU31" s="2511"/>
      <c r="HBV31" s="2511"/>
      <c r="HBW31" s="2511"/>
      <c r="HBX31" s="2511"/>
      <c r="HBY31" s="2511"/>
      <c r="HBZ31" s="2511"/>
      <c r="HCA31" s="2511"/>
      <c r="HCB31" s="2511"/>
      <c r="HCC31" s="2511"/>
      <c r="HCD31" s="2511"/>
      <c r="HCE31" s="2511"/>
      <c r="HCF31" s="2511"/>
      <c r="HCG31" s="2511"/>
      <c r="HCH31" s="2511"/>
      <c r="HCI31" s="2511"/>
      <c r="HCJ31" s="2511"/>
      <c r="HCK31" s="2511"/>
      <c r="HCL31" s="2511"/>
      <c r="HCM31" s="2511"/>
      <c r="HCN31" s="2511"/>
      <c r="HCO31" s="2511"/>
      <c r="HCP31" s="2511"/>
      <c r="HCQ31" s="2511"/>
      <c r="HCR31" s="2511"/>
      <c r="HCS31" s="2511"/>
      <c r="HCT31" s="2511"/>
      <c r="HCU31" s="2511"/>
      <c r="HCV31" s="2511"/>
      <c r="HCW31" s="2511"/>
      <c r="HCX31" s="2511"/>
      <c r="HCY31" s="2511"/>
      <c r="HCZ31" s="2511"/>
      <c r="HDA31" s="2511"/>
      <c r="HDB31" s="2511"/>
      <c r="HDC31" s="2511"/>
      <c r="HDD31" s="2511"/>
      <c r="HDE31" s="2511"/>
      <c r="HDF31" s="2511"/>
      <c r="HDG31" s="2511"/>
      <c r="HDH31" s="2511"/>
      <c r="HDI31" s="2511"/>
      <c r="HDJ31" s="2511"/>
      <c r="HDK31" s="2511"/>
      <c r="HDL31" s="2511"/>
      <c r="HDM31" s="2511"/>
      <c r="HDN31" s="2511"/>
      <c r="HDO31" s="2511"/>
      <c r="HDP31" s="2511"/>
      <c r="HDQ31" s="2511"/>
      <c r="HDR31" s="2511"/>
      <c r="HDS31" s="2511"/>
      <c r="HDT31" s="2511"/>
      <c r="HDU31" s="2511"/>
      <c r="HDV31" s="2511"/>
      <c r="HDW31" s="2511"/>
      <c r="HDX31" s="2511"/>
      <c r="HDY31" s="2511"/>
      <c r="HDZ31" s="2511"/>
      <c r="HEA31" s="2511"/>
      <c r="HEB31" s="2511"/>
      <c r="HEC31" s="2511"/>
      <c r="HED31" s="2511"/>
      <c r="HEE31" s="2511"/>
      <c r="HEF31" s="2511"/>
      <c r="HEG31" s="2511"/>
      <c r="HEH31" s="2511"/>
      <c r="HEI31" s="2511"/>
      <c r="HEJ31" s="2511"/>
      <c r="HEK31" s="2511"/>
      <c r="HEL31" s="2511"/>
      <c r="HEM31" s="2511"/>
      <c r="HEN31" s="2511"/>
      <c r="HEO31" s="2511"/>
      <c r="HEP31" s="2511"/>
      <c r="HEQ31" s="2511"/>
      <c r="HER31" s="2511"/>
      <c r="HES31" s="2511"/>
      <c r="HET31" s="2511"/>
      <c r="HEU31" s="2511"/>
      <c r="HEV31" s="2511"/>
      <c r="HEW31" s="2511"/>
      <c r="HEX31" s="2511"/>
      <c r="HEY31" s="2511"/>
      <c r="HEZ31" s="2511"/>
      <c r="HFA31" s="2511"/>
      <c r="HFB31" s="2511"/>
      <c r="HFC31" s="2511"/>
      <c r="HFD31" s="2511"/>
      <c r="HFE31" s="2511"/>
      <c r="HFF31" s="2511"/>
      <c r="HFG31" s="2511"/>
      <c r="HFH31" s="2511"/>
      <c r="HFI31" s="2511"/>
      <c r="HFJ31" s="2511"/>
      <c r="HFK31" s="2511"/>
      <c r="HFL31" s="2511"/>
      <c r="HFM31" s="2511"/>
      <c r="HFN31" s="2511"/>
      <c r="HFO31" s="2511"/>
      <c r="HFP31" s="2511"/>
      <c r="HFQ31" s="2511"/>
      <c r="HFR31" s="2511"/>
      <c r="HFS31" s="2511"/>
      <c r="HFT31" s="2511"/>
      <c r="HFU31" s="2511"/>
      <c r="HFV31" s="2511"/>
      <c r="HFW31" s="2511"/>
      <c r="HFX31" s="2511"/>
      <c r="HFY31" s="2511"/>
      <c r="HFZ31" s="2511"/>
      <c r="HGA31" s="2511"/>
      <c r="HGB31" s="2511"/>
      <c r="HGC31" s="2511"/>
      <c r="HGD31" s="2511"/>
      <c r="HGE31" s="2511"/>
      <c r="HGF31" s="2511"/>
      <c r="HGG31" s="2511"/>
      <c r="HGH31" s="2511"/>
      <c r="HGI31" s="2511"/>
      <c r="HGJ31" s="2511"/>
      <c r="HGK31" s="2511"/>
      <c r="HGL31" s="2511"/>
      <c r="HGM31" s="2511"/>
      <c r="HGN31" s="2511"/>
      <c r="HGO31" s="2511"/>
      <c r="HGP31" s="2511"/>
      <c r="HGQ31" s="2511"/>
      <c r="HGR31" s="2511"/>
      <c r="HGS31" s="2511"/>
      <c r="HGT31" s="2511"/>
      <c r="HGU31" s="2511"/>
      <c r="HGV31" s="2511"/>
      <c r="HGW31" s="2511"/>
      <c r="HGX31" s="2511"/>
      <c r="HGY31" s="2511"/>
      <c r="HGZ31" s="2511"/>
      <c r="HHA31" s="2511"/>
      <c r="HHB31" s="2511"/>
      <c r="HHC31" s="2511"/>
      <c r="HHD31" s="2511"/>
      <c r="HHE31" s="2511"/>
      <c r="HHF31" s="2511"/>
      <c r="HHG31" s="2511"/>
      <c r="HHH31" s="2511"/>
      <c r="HHI31" s="2511"/>
      <c r="HHJ31" s="2511"/>
      <c r="HHK31" s="2511"/>
      <c r="HHL31" s="2511"/>
      <c r="HHM31" s="2511"/>
      <c r="HHN31" s="2511"/>
      <c r="HHO31" s="2511"/>
      <c r="HHP31" s="2511"/>
      <c r="HHQ31" s="2511"/>
      <c r="HHR31" s="2511"/>
      <c r="HHS31" s="2511"/>
      <c r="HHT31" s="2511"/>
      <c r="HHU31" s="2511"/>
      <c r="HHV31" s="2511"/>
      <c r="HHW31" s="2511"/>
      <c r="HHX31" s="2511"/>
      <c r="HHY31" s="2511"/>
      <c r="HHZ31" s="2511"/>
      <c r="HIA31" s="2511"/>
      <c r="HIB31" s="2511"/>
      <c r="HIC31" s="2511"/>
      <c r="HID31" s="2511"/>
      <c r="HIE31" s="2511"/>
      <c r="HIF31" s="2511"/>
      <c r="HIG31" s="2511"/>
      <c r="HIH31" s="2511"/>
      <c r="HII31" s="2511"/>
      <c r="HIJ31" s="2511"/>
      <c r="HIK31" s="2511"/>
      <c r="HIL31" s="2511"/>
      <c r="HIM31" s="2511"/>
      <c r="HIN31" s="2511"/>
      <c r="HIO31" s="2511"/>
      <c r="HIP31" s="2511"/>
      <c r="HIQ31" s="2511"/>
      <c r="HIR31" s="2511"/>
      <c r="HIS31" s="2511"/>
      <c r="HIT31" s="2511"/>
      <c r="HIU31" s="2511"/>
      <c r="HIV31" s="2511"/>
      <c r="HIW31" s="2511"/>
      <c r="HIX31" s="2511"/>
      <c r="HIY31" s="2511"/>
      <c r="HIZ31" s="2511"/>
      <c r="HJA31" s="2511"/>
      <c r="HJB31" s="2511"/>
      <c r="HJC31" s="2511"/>
      <c r="HJD31" s="2511"/>
      <c r="HJE31" s="2511"/>
      <c r="HJF31" s="2511"/>
      <c r="HJG31" s="2511"/>
      <c r="HJH31" s="2511"/>
      <c r="HJI31" s="2511"/>
      <c r="HJJ31" s="2511"/>
      <c r="HJK31" s="2511"/>
      <c r="HJL31" s="2511"/>
      <c r="HJM31" s="2511"/>
      <c r="HJN31" s="2511"/>
      <c r="HJO31" s="2511"/>
      <c r="HJP31" s="2511"/>
      <c r="HJQ31" s="2511"/>
      <c r="HJR31" s="2511"/>
      <c r="HJS31" s="2511"/>
      <c r="HJT31" s="2511"/>
      <c r="HJU31" s="2511"/>
      <c r="HJV31" s="2511"/>
      <c r="HJW31" s="2511"/>
      <c r="HJX31" s="2511"/>
      <c r="HJY31" s="2511"/>
      <c r="HJZ31" s="2511"/>
      <c r="HKA31" s="2511"/>
      <c r="HKB31" s="2511"/>
      <c r="HKC31" s="2511"/>
      <c r="HKD31" s="2511"/>
      <c r="HKE31" s="2511"/>
      <c r="HKF31" s="2511"/>
      <c r="HKG31" s="2511"/>
      <c r="HKH31" s="2511"/>
      <c r="HKI31" s="2511"/>
      <c r="HKJ31" s="2511"/>
      <c r="HKK31" s="2511"/>
      <c r="HKL31" s="2511"/>
      <c r="HKM31" s="2511"/>
      <c r="HKN31" s="2511"/>
      <c r="HKO31" s="2511"/>
      <c r="HKP31" s="2511"/>
      <c r="HKQ31" s="2511"/>
      <c r="HKR31" s="2511"/>
      <c r="HKS31" s="2511"/>
      <c r="HKT31" s="2511"/>
      <c r="HKU31" s="2511"/>
      <c r="HKV31" s="2511"/>
      <c r="HKW31" s="2511"/>
      <c r="HKX31" s="2511"/>
      <c r="HKY31" s="2511"/>
      <c r="HKZ31" s="2511"/>
      <c r="HLA31" s="2511"/>
      <c r="HLB31" s="2511"/>
      <c r="HLC31" s="2511"/>
      <c r="HLD31" s="2511"/>
      <c r="HLE31" s="2511"/>
      <c r="HLF31" s="2511"/>
      <c r="HLG31" s="2511"/>
      <c r="HLH31" s="2511"/>
      <c r="HLI31" s="2511"/>
      <c r="HLJ31" s="2511"/>
      <c r="HLK31" s="2511"/>
      <c r="HLL31" s="2511"/>
      <c r="HLM31" s="2511"/>
      <c r="HLN31" s="2511"/>
      <c r="HLO31" s="2511"/>
      <c r="HLP31" s="2511"/>
      <c r="HLQ31" s="2511"/>
      <c r="HLR31" s="2511"/>
      <c r="HLS31" s="2511"/>
      <c r="HLT31" s="2511"/>
      <c r="HLU31" s="2511"/>
      <c r="HLV31" s="2511"/>
      <c r="HLW31" s="2511"/>
      <c r="HLX31" s="2511"/>
      <c r="HLY31" s="2511"/>
      <c r="HLZ31" s="2511"/>
      <c r="HMA31" s="2511"/>
      <c r="HMB31" s="2511"/>
      <c r="HMC31" s="2511"/>
      <c r="HMD31" s="2511"/>
      <c r="HME31" s="2511"/>
      <c r="HMF31" s="2511"/>
      <c r="HMG31" s="2511"/>
      <c r="HMH31" s="2511"/>
      <c r="HMI31" s="2511"/>
      <c r="HMJ31" s="2511"/>
      <c r="HMK31" s="2511"/>
      <c r="HML31" s="2511"/>
      <c r="HMM31" s="2511"/>
      <c r="HMN31" s="2511"/>
      <c r="HMO31" s="2511"/>
      <c r="HMP31" s="2511"/>
      <c r="HMQ31" s="2511"/>
      <c r="HMR31" s="2511"/>
      <c r="HMS31" s="2511"/>
      <c r="HMT31" s="2511"/>
      <c r="HMU31" s="2511"/>
      <c r="HMV31" s="2511"/>
      <c r="HMW31" s="2511"/>
      <c r="HMX31" s="2511"/>
      <c r="HMY31" s="2511"/>
      <c r="HMZ31" s="2511"/>
      <c r="HNA31" s="2511"/>
      <c r="HNB31" s="2511"/>
      <c r="HNC31" s="2511"/>
      <c r="HND31" s="2511"/>
      <c r="HNE31" s="2511"/>
      <c r="HNF31" s="2511"/>
      <c r="HNG31" s="2511"/>
      <c r="HNH31" s="2511"/>
      <c r="HNI31" s="2511"/>
      <c r="HNJ31" s="2511"/>
      <c r="HNK31" s="2511"/>
      <c r="HNL31" s="2511"/>
      <c r="HNM31" s="2511"/>
      <c r="HNN31" s="2511"/>
      <c r="HNO31" s="2511"/>
      <c r="HNP31" s="2511"/>
      <c r="HNQ31" s="2511"/>
      <c r="HNR31" s="2511"/>
      <c r="HNS31" s="2511"/>
      <c r="HNT31" s="2511"/>
      <c r="HNU31" s="2511"/>
      <c r="HNV31" s="2511"/>
      <c r="HNW31" s="2511"/>
      <c r="HNX31" s="2511"/>
      <c r="HNY31" s="2511"/>
      <c r="HNZ31" s="2511"/>
      <c r="HOA31" s="2511"/>
      <c r="HOB31" s="2511"/>
      <c r="HOC31" s="2511"/>
      <c r="HOD31" s="2511"/>
      <c r="HOE31" s="2511"/>
      <c r="HOF31" s="2511"/>
      <c r="HOG31" s="2511"/>
      <c r="HOH31" s="2511"/>
      <c r="HOI31" s="2511"/>
      <c r="HOJ31" s="2511"/>
      <c r="HOK31" s="2511"/>
      <c r="HOL31" s="2511"/>
      <c r="HOM31" s="2511"/>
      <c r="HON31" s="2511"/>
      <c r="HOO31" s="2511"/>
      <c r="HOP31" s="2511"/>
      <c r="HOQ31" s="2511"/>
      <c r="HOR31" s="2511"/>
      <c r="HOS31" s="2511"/>
      <c r="HOT31" s="2511"/>
      <c r="HOU31" s="2511"/>
      <c r="HOV31" s="2511"/>
      <c r="HOW31" s="2511"/>
      <c r="HOX31" s="2511"/>
      <c r="HOY31" s="2511"/>
      <c r="HOZ31" s="2511"/>
      <c r="HPA31" s="2511"/>
      <c r="HPB31" s="2511"/>
      <c r="HPC31" s="2511"/>
      <c r="HPD31" s="2511"/>
      <c r="HPE31" s="2511"/>
      <c r="HPF31" s="2511"/>
      <c r="HPG31" s="2511"/>
      <c r="HPH31" s="2511"/>
      <c r="HPI31" s="2511"/>
      <c r="HPJ31" s="2511"/>
      <c r="HPK31" s="2511"/>
      <c r="HPL31" s="2511"/>
      <c r="HPM31" s="2511"/>
      <c r="HPN31" s="2511"/>
      <c r="HPO31" s="2511"/>
      <c r="HPP31" s="2511"/>
      <c r="HPQ31" s="2511"/>
      <c r="HPR31" s="2511"/>
      <c r="HPS31" s="2511"/>
      <c r="HPT31" s="2511"/>
      <c r="HPU31" s="2511"/>
      <c r="HPV31" s="2511"/>
      <c r="HPW31" s="2511"/>
      <c r="HPX31" s="2511"/>
      <c r="HPY31" s="2511"/>
      <c r="HPZ31" s="2511"/>
      <c r="HQA31" s="2511"/>
      <c r="HQB31" s="2511"/>
      <c r="HQC31" s="2511"/>
      <c r="HQD31" s="2511"/>
      <c r="HQE31" s="2511"/>
      <c r="HQF31" s="2511"/>
      <c r="HQG31" s="2511"/>
      <c r="HQH31" s="2511"/>
      <c r="HQI31" s="2511"/>
      <c r="HQJ31" s="2511"/>
      <c r="HQK31" s="2511"/>
      <c r="HQL31" s="2511"/>
      <c r="HQM31" s="2511"/>
      <c r="HQN31" s="2511"/>
      <c r="HQO31" s="2511"/>
      <c r="HQP31" s="2511"/>
      <c r="HQQ31" s="2511"/>
      <c r="HQR31" s="2511"/>
      <c r="HQS31" s="2511"/>
      <c r="HQT31" s="2511"/>
      <c r="HQU31" s="2511"/>
      <c r="HQV31" s="2511"/>
      <c r="HQW31" s="2511"/>
      <c r="HQX31" s="2511"/>
      <c r="HQY31" s="2511"/>
      <c r="HQZ31" s="2511"/>
      <c r="HRA31" s="2511"/>
      <c r="HRB31" s="2511"/>
      <c r="HRC31" s="2511"/>
      <c r="HRD31" s="2511"/>
      <c r="HRE31" s="2511"/>
      <c r="HRF31" s="2511"/>
      <c r="HRG31" s="2511"/>
      <c r="HRH31" s="2511"/>
      <c r="HRI31" s="2511"/>
      <c r="HRJ31" s="2511"/>
      <c r="HRK31" s="2511"/>
      <c r="HRL31" s="2511"/>
      <c r="HRM31" s="2511"/>
      <c r="HRN31" s="2511"/>
      <c r="HRO31" s="2511"/>
      <c r="HRP31" s="2511"/>
      <c r="HRQ31" s="2511"/>
      <c r="HRR31" s="2511"/>
      <c r="HRS31" s="2511"/>
      <c r="HRT31" s="2511"/>
      <c r="HRU31" s="2511"/>
      <c r="HRV31" s="2511"/>
      <c r="HRW31" s="2511"/>
      <c r="HRX31" s="2511"/>
      <c r="HRY31" s="2511"/>
      <c r="HRZ31" s="2511"/>
      <c r="HSA31" s="2511"/>
      <c r="HSB31" s="2511"/>
      <c r="HSC31" s="2511"/>
      <c r="HSD31" s="2511"/>
      <c r="HSE31" s="2511"/>
      <c r="HSF31" s="2511"/>
      <c r="HSG31" s="2511"/>
      <c r="HSH31" s="2511"/>
      <c r="HSI31" s="2511"/>
      <c r="HSJ31" s="2511"/>
      <c r="HSK31" s="2511"/>
      <c r="HSL31" s="2511"/>
      <c r="HSM31" s="2511"/>
      <c r="HSN31" s="2511"/>
      <c r="HSO31" s="2511"/>
      <c r="HSP31" s="2511"/>
      <c r="HSQ31" s="2511"/>
      <c r="HSR31" s="2511"/>
      <c r="HSS31" s="2511"/>
      <c r="HST31" s="2511"/>
      <c r="HSU31" s="2511"/>
      <c r="HSV31" s="2511"/>
      <c r="HSW31" s="2511"/>
      <c r="HSX31" s="2511"/>
      <c r="HSY31" s="2511"/>
      <c r="HSZ31" s="2511"/>
      <c r="HTA31" s="2511"/>
      <c r="HTB31" s="2511"/>
      <c r="HTC31" s="2511"/>
      <c r="HTD31" s="2511"/>
      <c r="HTE31" s="2511"/>
      <c r="HTF31" s="2511"/>
      <c r="HTG31" s="2511"/>
      <c r="HTH31" s="2511"/>
      <c r="HTI31" s="2511"/>
      <c r="HTJ31" s="2511"/>
      <c r="HTK31" s="2511"/>
      <c r="HTL31" s="2511"/>
      <c r="HTM31" s="2511"/>
      <c r="HTN31" s="2511"/>
      <c r="HTO31" s="2511"/>
      <c r="HTP31" s="2511"/>
      <c r="HTQ31" s="2511"/>
      <c r="HTR31" s="2511"/>
      <c r="HTS31" s="2511"/>
      <c r="HTT31" s="2511"/>
      <c r="HTU31" s="2511"/>
      <c r="HTV31" s="2511"/>
      <c r="HTW31" s="2511"/>
      <c r="HTX31" s="2511"/>
      <c r="HTY31" s="2511"/>
      <c r="HTZ31" s="2511"/>
      <c r="HUA31" s="2511"/>
      <c r="HUB31" s="2511"/>
      <c r="HUC31" s="2511"/>
      <c r="HUD31" s="2511"/>
      <c r="HUE31" s="2511"/>
      <c r="HUF31" s="2511"/>
      <c r="HUG31" s="2511"/>
      <c r="HUH31" s="2511"/>
      <c r="HUI31" s="2511"/>
      <c r="HUJ31" s="2511"/>
      <c r="HUK31" s="2511"/>
      <c r="HUL31" s="2511"/>
      <c r="HUM31" s="2511"/>
      <c r="HUN31" s="2511"/>
      <c r="HUO31" s="2511"/>
      <c r="HUP31" s="2511"/>
      <c r="HUQ31" s="2511"/>
      <c r="HUR31" s="2511"/>
      <c r="HUS31" s="2511"/>
      <c r="HUT31" s="2511"/>
      <c r="HUU31" s="2511"/>
      <c r="HUV31" s="2511"/>
      <c r="HUW31" s="2511"/>
      <c r="HUX31" s="2511"/>
      <c r="HUY31" s="2511"/>
      <c r="HUZ31" s="2511"/>
      <c r="HVA31" s="2511"/>
      <c r="HVB31" s="2511"/>
      <c r="HVC31" s="2511"/>
      <c r="HVD31" s="2511"/>
      <c r="HVE31" s="2511"/>
      <c r="HVF31" s="2511"/>
      <c r="HVG31" s="2511"/>
      <c r="HVH31" s="2511"/>
      <c r="HVI31" s="2511"/>
      <c r="HVJ31" s="2511"/>
      <c r="HVK31" s="2511"/>
      <c r="HVL31" s="2511"/>
      <c r="HVM31" s="2511"/>
      <c r="HVN31" s="2511"/>
      <c r="HVO31" s="2511"/>
      <c r="HVP31" s="2511"/>
      <c r="HVQ31" s="2511"/>
      <c r="HVR31" s="2511"/>
      <c r="HVS31" s="2511"/>
      <c r="HVT31" s="2511"/>
      <c r="HVU31" s="2511"/>
      <c r="HVV31" s="2511"/>
      <c r="HVW31" s="2511"/>
      <c r="HVX31" s="2511"/>
      <c r="HVY31" s="2511"/>
      <c r="HVZ31" s="2511"/>
      <c r="HWA31" s="2511"/>
      <c r="HWB31" s="2511"/>
      <c r="HWC31" s="2511"/>
      <c r="HWD31" s="2511"/>
      <c r="HWE31" s="2511"/>
      <c r="HWF31" s="2511"/>
      <c r="HWG31" s="2511"/>
      <c r="HWH31" s="2511"/>
      <c r="HWI31" s="2511"/>
      <c r="HWJ31" s="2511"/>
      <c r="HWK31" s="2511"/>
      <c r="HWL31" s="2511"/>
      <c r="HWM31" s="2511"/>
      <c r="HWN31" s="2511"/>
      <c r="HWO31" s="2511"/>
      <c r="HWP31" s="2511"/>
      <c r="HWQ31" s="2511"/>
      <c r="HWR31" s="2511"/>
      <c r="HWS31" s="2511"/>
      <c r="HWT31" s="2511"/>
      <c r="HWU31" s="2511"/>
      <c r="HWV31" s="2511"/>
      <c r="HWW31" s="2511"/>
      <c r="HWX31" s="2511"/>
      <c r="HWY31" s="2511"/>
      <c r="HWZ31" s="2511"/>
      <c r="HXA31" s="2511"/>
      <c r="HXB31" s="2511"/>
      <c r="HXC31" s="2511"/>
      <c r="HXD31" s="2511"/>
      <c r="HXE31" s="2511"/>
      <c r="HXF31" s="2511"/>
      <c r="HXG31" s="2511"/>
      <c r="HXH31" s="2511"/>
      <c r="HXI31" s="2511"/>
      <c r="HXJ31" s="2511"/>
      <c r="HXK31" s="2511"/>
      <c r="HXL31" s="2511"/>
      <c r="HXM31" s="2511"/>
      <c r="HXN31" s="2511"/>
      <c r="HXO31" s="2511"/>
      <c r="HXP31" s="2511"/>
      <c r="HXQ31" s="2511"/>
      <c r="HXR31" s="2511"/>
      <c r="HXS31" s="2511"/>
      <c r="HXT31" s="2511"/>
      <c r="HXU31" s="2511"/>
      <c r="HXV31" s="2511"/>
      <c r="HXW31" s="2511"/>
      <c r="HXX31" s="2511"/>
      <c r="HXY31" s="2511"/>
      <c r="HXZ31" s="2511"/>
      <c r="HYA31" s="2511"/>
      <c r="HYB31" s="2511"/>
      <c r="HYC31" s="2511"/>
      <c r="HYD31" s="2511"/>
      <c r="HYE31" s="2511"/>
      <c r="HYF31" s="2511"/>
      <c r="HYG31" s="2511"/>
      <c r="HYH31" s="2511"/>
      <c r="HYI31" s="2511"/>
      <c r="HYJ31" s="2511"/>
      <c r="HYK31" s="2511"/>
      <c r="HYL31" s="2511"/>
      <c r="HYM31" s="2511"/>
      <c r="HYN31" s="2511"/>
      <c r="HYO31" s="2511"/>
      <c r="HYP31" s="2511"/>
      <c r="HYQ31" s="2511"/>
      <c r="HYR31" s="2511"/>
      <c r="HYS31" s="2511"/>
      <c r="HYT31" s="2511"/>
      <c r="HYU31" s="2511"/>
      <c r="HYV31" s="2511"/>
      <c r="HYW31" s="2511"/>
      <c r="HYX31" s="2511"/>
      <c r="HYY31" s="2511"/>
      <c r="HYZ31" s="2511"/>
      <c r="HZA31" s="2511"/>
      <c r="HZB31" s="2511"/>
      <c r="HZC31" s="2511"/>
      <c r="HZD31" s="2511"/>
      <c r="HZE31" s="2511"/>
      <c r="HZF31" s="2511"/>
      <c r="HZG31" s="2511"/>
      <c r="HZH31" s="2511"/>
      <c r="HZI31" s="2511"/>
      <c r="HZJ31" s="2511"/>
      <c r="HZK31" s="2511"/>
      <c r="HZL31" s="2511"/>
      <c r="HZM31" s="2511"/>
      <c r="HZN31" s="2511"/>
      <c r="HZO31" s="2511"/>
      <c r="HZP31" s="2511"/>
      <c r="HZQ31" s="2511"/>
      <c r="HZR31" s="2511"/>
      <c r="HZS31" s="2511"/>
      <c r="HZT31" s="2511"/>
      <c r="HZU31" s="2511"/>
      <c r="HZV31" s="2511"/>
      <c r="HZW31" s="2511"/>
      <c r="HZX31" s="2511"/>
      <c r="HZY31" s="2511"/>
      <c r="HZZ31" s="2511"/>
      <c r="IAA31" s="2511"/>
      <c r="IAB31" s="2511"/>
      <c r="IAC31" s="2511"/>
      <c r="IAD31" s="2511"/>
      <c r="IAE31" s="2511"/>
      <c r="IAF31" s="2511"/>
      <c r="IAG31" s="2511"/>
      <c r="IAH31" s="2511"/>
      <c r="IAI31" s="2511"/>
      <c r="IAJ31" s="2511"/>
      <c r="IAK31" s="2511"/>
      <c r="IAL31" s="2511"/>
      <c r="IAM31" s="2511"/>
      <c r="IAN31" s="2511"/>
      <c r="IAO31" s="2511"/>
      <c r="IAP31" s="2511"/>
      <c r="IAQ31" s="2511"/>
      <c r="IAR31" s="2511"/>
      <c r="IAS31" s="2511"/>
      <c r="IAT31" s="2511"/>
      <c r="IAU31" s="2511"/>
      <c r="IAV31" s="2511"/>
      <c r="IAW31" s="2511"/>
      <c r="IAX31" s="2511"/>
      <c r="IAY31" s="2511"/>
      <c r="IAZ31" s="2511"/>
      <c r="IBA31" s="2511"/>
      <c r="IBB31" s="2511"/>
      <c r="IBC31" s="2511"/>
      <c r="IBD31" s="2511"/>
      <c r="IBE31" s="2511"/>
      <c r="IBF31" s="2511"/>
      <c r="IBG31" s="2511"/>
      <c r="IBH31" s="2511"/>
      <c r="IBI31" s="2511"/>
      <c r="IBJ31" s="2511"/>
      <c r="IBK31" s="2511"/>
      <c r="IBL31" s="2511"/>
      <c r="IBM31" s="2511"/>
      <c r="IBN31" s="2511"/>
      <c r="IBO31" s="2511"/>
      <c r="IBP31" s="2511"/>
      <c r="IBQ31" s="2511"/>
      <c r="IBR31" s="2511"/>
      <c r="IBS31" s="2511"/>
      <c r="IBT31" s="2511"/>
      <c r="IBU31" s="2511"/>
      <c r="IBV31" s="2511"/>
      <c r="IBW31" s="2511"/>
      <c r="IBX31" s="2511"/>
      <c r="IBY31" s="2511"/>
      <c r="IBZ31" s="2511"/>
      <c r="ICA31" s="2511"/>
      <c r="ICB31" s="2511"/>
      <c r="ICC31" s="2511"/>
      <c r="ICD31" s="2511"/>
      <c r="ICE31" s="2511"/>
      <c r="ICF31" s="2511"/>
      <c r="ICG31" s="2511"/>
      <c r="ICH31" s="2511"/>
      <c r="ICI31" s="2511"/>
      <c r="ICJ31" s="2511"/>
      <c r="ICK31" s="2511"/>
      <c r="ICL31" s="2511"/>
      <c r="ICM31" s="2511"/>
      <c r="ICN31" s="2511"/>
      <c r="ICO31" s="2511"/>
      <c r="ICP31" s="2511"/>
      <c r="ICQ31" s="2511"/>
      <c r="ICR31" s="2511"/>
      <c r="ICS31" s="2511"/>
      <c r="ICT31" s="2511"/>
      <c r="ICU31" s="2511"/>
      <c r="ICV31" s="2511"/>
      <c r="ICW31" s="2511"/>
      <c r="ICX31" s="2511"/>
      <c r="ICY31" s="2511"/>
      <c r="ICZ31" s="2511"/>
      <c r="IDA31" s="2511"/>
      <c r="IDB31" s="2511"/>
      <c r="IDC31" s="2511"/>
      <c r="IDD31" s="2511"/>
      <c r="IDE31" s="2511"/>
      <c r="IDF31" s="2511"/>
      <c r="IDG31" s="2511"/>
      <c r="IDH31" s="2511"/>
      <c r="IDI31" s="2511"/>
      <c r="IDJ31" s="2511"/>
      <c r="IDK31" s="2511"/>
      <c r="IDL31" s="2511"/>
      <c r="IDM31" s="2511"/>
      <c r="IDN31" s="2511"/>
      <c r="IDO31" s="2511"/>
      <c r="IDP31" s="2511"/>
      <c r="IDQ31" s="2511"/>
      <c r="IDR31" s="2511"/>
      <c r="IDS31" s="2511"/>
      <c r="IDT31" s="2511"/>
      <c r="IDU31" s="2511"/>
      <c r="IDV31" s="2511"/>
      <c r="IDW31" s="2511"/>
      <c r="IDX31" s="2511"/>
      <c r="IDY31" s="2511"/>
      <c r="IDZ31" s="2511"/>
      <c r="IEA31" s="2511"/>
      <c r="IEB31" s="2511"/>
      <c r="IEC31" s="2511"/>
      <c r="IED31" s="2511"/>
      <c r="IEE31" s="2511"/>
      <c r="IEF31" s="2511"/>
      <c r="IEG31" s="2511"/>
      <c r="IEH31" s="2511"/>
      <c r="IEI31" s="2511"/>
      <c r="IEJ31" s="2511"/>
      <c r="IEK31" s="2511"/>
      <c r="IEL31" s="2511"/>
      <c r="IEM31" s="2511"/>
      <c r="IEN31" s="2511"/>
      <c r="IEO31" s="2511"/>
      <c r="IEP31" s="2511"/>
      <c r="IEQ31" s="2511"/>
      <c r="IER31" s="2511"/>
      <c r="IES31" s="2511"/>
      <c r="IET31" s="2511"/>
      <c r="IEU31" s="2511"/>
      <c r="IEV31" s="2511"/>
      <c r="IEW31" s="2511"/>
      <c r="IEX31" s="2511"/>
      <c r="IEY31" s="2511"/>
      <c r="IEZ31" s="2511"/>
      <c r="IFA31" s="2511"/>
      <c r="IFB31" s="2511"/>
      <c r="IFC31" s="2511"/>
      <c r="IFD31" s="2511"/>
      <c r="IFE31" s="2511"/>
      <c r="IFF31" s="2511"/>
      <c r="IFG31" s="2511"/>
      <c r="IFH31" s="2511"/>
      <c r="IFI31" s="2511"/>
      <c r="IFJ31" s="2511"/>
      <c r="IFK31" s="2511"/>
      <c r="IFL31" s="2511"/>
      <c r="IFM31" s="2511"/>
      <c r="IFN31" s="2511"/>
      <c r="IFO31" s="2511"/>
      <c r="IFP31" s="2511"/>
      <c r="IFQ31" s="2511"/>
      <c r="IFR31" s="2511"/>
      <c r="IFS31" s="2511"/>
      <c r="IFT31" s="2511"/>
      <c r="IFU31" s="2511"/>
      <c r="IFV31" s="2511"/>
      <c r="IFW31" s="2511"/>
      <c r="IFX31" s="2511"/>
      <c r="IFY31" s="2511"/>
      <c r="IFZ31" s="2511"/>
      <c r="IGA31" s="2511"/>
      <c r="IGB31" s="2511"/>
      <c r="IGC31" s="2511"/>
      <c r="IGD31" s="2511"/>
      <c r="IGE31" s="2511"/>
      <c r="IGF31" s="2511"/>
      <c r="IGG31" s="2511"/>
      <c r="IGH31" s="2511"/>
      <c r="IGI31" s="2511"/>
      <c r="IGJ31" s="2511"/>
      <c r="IGK31" s="2511"/>
      <c r="IGL31" s="2511"/>
      <c r="IGM31" s="2511"/>
      <c r="IGN31" s="2511"/>
      <c r="IGO31" s="2511"/>
      <c r="IGP31" s="2511"/>
      <c r="IGQ31" s="2511"/>
      <c r="IGR31" s="2511"/>
      <c r="IGS31" s="2511"/>
      <c r="IGT31" s="2511"/>
      <c r="IGU31" s="2511"/>
      <c r="IGV31" s="2511"/>
      <c r="IGW31" s="2511"/>
      <c r="IGX31" s="2511"/>
      <c r="IGY31" s="2511"/>
      <c r="IGZ31" s="2511"/>
      <c r="IHA31" s="2511"/>
      <c r="IHB31" s="2511"/>
      <c r="IHC31" s="2511"/>
      <c r="IHD31" s="2511"/>
      <c r="IHE31" s="2511"/>
      <c r="IHF31" s="2511"/>
      <c r="IHG31" s="2511"/>
      <c r="IHH31" s="2511"/>
      <c r="IHI31" s="2511"/>
      <c r="IHJ31" s="2511"/>
      <c r="IHK31" s="2511"/>
      <c r="IHL31" s="2511"/>
      <c r="IHM31" s="2511"/>
      <c r="IHN31" s="2511"/>
      <c r="IHO31" s="2511"/>
      <c r="IHP31" s="2511"/>
      <c r="IHQ31" s="2511"/>
      <c r="IHR31" s="2511"/>
      <c r="IHS31" s="2511"/>
      <c r="IHT31" s="2511"/>
      <c r="IHU31" s="2511"/>
      <c r="IHV31" s="2511"/>
      <c r="IHW31" s="2511"/>
      <c r="IHX31" s="2511"/>
      <c r="IHY31" s="2511"/>
      <c r="IHZ31" s="2511"/>
      <c r="IIA31" s="2511"/>
      <c r="IIB31" s="2511"/>
      <c r="IIC31" s="2511"/>
      <c r="IID31" s="2511"/>
      <c r="IIE31" s="2511"/>
      <c r="IIF31" s="2511"/>
      <c r="IIG31" s="2511"/>
      <c r="IIH31" s="2511"/>
      <c r="III31" s="2511"/>
      <c r="IIJ31" s="2511"/>
      <c r="IIK31" s="2511"/>
      <c r="IIL31" s="2511"/>
      <c r="IIM31" s="2511"/>
      <c r="IIN31" s="2511"/>
      <c r="IIO31" s="2511"/>
      <c r="IIP31" s="2511"/>
      <c r="IIQ31" s="2511"/>
      <c r="IIR31" s="2511"/>
      <c r="IIS31" s="2511"/>
      <c r="IIT31" s="2511"/>
      <c r="IIU31" s="2511"/>
      <c r="IIV31" s="2511"/>
      <c r="IIW31" s="2511"/>
      <c r="IIX31" s="2511"/>
      <c r="IIY31" s="2511"/>
      <c r="IIZ31" s="2511"/>
      <c r="IJA31" s="2511"/>
      <c r="IJB31" s="2511"/>
      <c r="IJC31" s="2511"/>
      <c r="IJD31" s="2511"/>
      <c r="IJE31" s="2511"/>
      <c r="IJF31" s="2511"/>
      <c r="IJG31" s="2511"/>
      <c r="IJH31" s="2511"/>
      <c r="IJI31" s="2511"/>
      <c r="IJJ31" s="2511"/>
      <c r="IJK31" s="2511"/>
      <c r="IJL31" s="2511"/>
      <c r="IJM31" s="2511"/>
      <c r="IJN31" s="2511"/>
      <c r="IJO31" s="2511"/>
      <c r="IJP31" s="2511"/>
      <c r="IJQ31" s="2511"/>
      <c r="IJR31" s="2511"/>
      <c r="IJS31" s="2511"/>
      <c r="IJT31" s="2511"/>
      <c r="IJU31" s="2511"/>
      <c r="IJV31" s="2511"/>
      <c r="IJW31" s="2511"/>
      <c r="IJX31" s="2511"/>
      <c r="IJY31" s="2511"/>
      <c r="IJZ31" s="2511"/>
      <c r="IKA31" s="2511"/>
      <c r="IKB31" s="2511"/>
      <c r="IKC31" s="2511"/>
      <c r="IKD31" s="2511"/>
      <c r="IKE31" s="2511"/>
      <c r="IKF31" s="2511"/>
      <c r="IKG31" s="2511"/>
      <c r="IKH31" s="2511"/>
      <c r="IKI31" s="2511"/>
      <c r="IKJ31" s="2511"/>
      <c r="IKK31" s="2511"/>
      <c r="IKL31" s="2511"/>
      <c r="IKM31" s="2511"/>
      <c r="IKN31" s="2511"/>
      <c r="IKO31" s="2511"/>
      <c r="IKP31" s="2511"/>
      <c r="IKQ31" s="2511"/>
      <c r="IKR31" s="2511"/>
      <c r="IKS31" s="2511"/>
      <c r="IKT31" s="2511"/>
      <c r="IKU31" s="2511"/>
      <c r="IKV31" s="2511"/>
      <c r="IKW31" s="2511"/>
      <c r="IKX31" s="2511"/>
      <c r="IKY31" s="2511"/>
      <c r="IKZ31" s="2511"/>
      <c r="ILA31" s="2511"/>
      <c r="ILB31" s="2511"/>
      <c r="ILC31" s="2511"/>
      <c r="ILD31" s="2511"/>
      <c r="ILE31" s="2511"/>
      <c r="ILF31" s="2511"/>
      <c r="ILG31" s="2511"/>
      <c r="ILH31" s="2511"/>
      <c r="ILI31" s="2511"/>
      <c r="ILJ31" s="2511"/>
      <c r="ILK31" s="2511"/>
      <c r="ILL31" s="2511"/>
      <c r="ILM31" s="2511"/>
      <c r="ILN31" s="2511"/>
      <c r="ILO31" s="2511"/>
      <c r="ILP31" s="2511"/>
      <c r="ILQ31" s="2511"/>
      <c r="ILR31" s="2511"/>
      <c r="ILS31" s="2511"/>
      <c r="ILT31" s="2511"/>
      <c r="ILU31" s="2511"/>
      <c r="ILV31" s="2511"/>
      <c r="ILW31" s="2511"/>
      <c r="ILX31" s="2511"/>
      <c r="ILY31" s="2511"/>
      <c r="ILZ31" s="2511"/>
      <c r="IMA31" s="2511"/>
      <c r="IMB31" s="2511"/>
      <c r="IMC31" s="2511"/>
      <c r="IMD31" s="2511"/>
      <c r="IME31" s="2511"/>
      <c r="IMF31" s="2511"/>
      <c r="IMG31" s="2511"/>
      <c r="IMH31" s="2511"/>
      <c r="IMI31" s="2511"/>
      <c r="IMJ31" s="2511"/>
      <c r="IMK31" s="2511"/>
      <c r="IML31" s="2511"/>
      <c r="IMM31" s="2511"/>
      <c r="IMN31" s="2511"/>
      <c r="IMO31" s="2511"/>
      <c r="IMP31" s="2511"/>
      <c r="IMQ31" s="2511"/>
      <c r="IMR31" s="2511"/>
      <c r="IMS31" s="2511"/>
      <c r="IMT31" s="2511"/>
      <c r="IMU31" s="2511"/>
      <c r="IMV31" s="2511"/>
      <c r="IMW31" s="2511"/>
      <c r="IMX31" s="2511"/>
      <c r="IMY31" s="2511"/>
      <c r="IMZ31" s="2511"/>
      <c r="INA31" s="2511"/>
      <c r="INB31" s="2511"/>
      <c r="INC31" s="2511"/>
      <c r="IND31" s="2511"/>
      <c r="INE31" s="2511"/>
      <c r="INF31" s="2511"/>
      <c r="ING31" s="2511"/>
      <c r="INH31" s="2511"/>
      <c r="INI31" s="2511"/>
      <c r="INJ31" s="2511"/>
      <c r="INK31" s="2511"/>
      <c r="INL31" s="2511"/>
      <c r="INM31" s="2511"/>
      <c r="INN31" s="2511"/>
      <c r="INO31" s="2511"/>
      <c r="INP31" s="2511"/>
      <c r="INQ31" s="2511"/>
      <c r="INR31" s="2511"/>
      <c r="INS31" s="2511"/>
      <c r="INT31" s="2511"/>
      <c r="INU31" s="2511"/>
      <c r="INV31" s="2511"/>
      <c r="INW31" s="2511"/>
      <c r="INX31" s="2511"/>
      <c r="INY31" s="2511"/>
      <c r="INZ31" s="2511"/>
      <c r="IOA31" s="2511"/>
      <c r="IOB31" s="2511"/>
      <c r="IOC31" s="2511"/>
      <c r="IOD31" s="2511"/>
      <c r="IOE31" s="2511"/>
      <c r="IOF31" s="2511"/>
      <c r="IOG31" s="2511"/>
      <c r="IOH31" s="2511"/>
      <c r="IOI31" s="2511"/>
      <c r="IOJ31" s="2511"/>
      <c r="IOK31" s="2511"/>
      <c r="IOL31" s="2511"/>
      <c r="IOM31" s="2511"/>
      <c r="ION31" s="2511"/>
      <c r="IOO31" s="2511"/>
      <c r="IOP31" s="2511"/>
      <c r="IOQ31" s="2511"/>
      <c r="IOR31" s="2511"/>
      <c r="IOS31" s="2511"/>
      <c r="IOT31" s="2511"/>
      <c r="IOU31" s="2511"/>
      <c r="IOV31" s="2511"/>
      <c r="IOW31" s="2511"/>
      <c r="IOX31" s="2511"/>
      <c r="IOY31" s="2511"/>
      <c r="IOZ31" s="2511"/>
      <c r="IPA31" s="2511"/>
      <c r="IPB31" s="2511"/>
      <c r="IPC31" s="2511"/>
      <c r="IPD31" s="2511"/>
      <c r="IPE31" s="2511"/>
      <c r="IPF31" s="2511"/>
      <c r="IPG31" s="2511"/>
      <c r="IPH31" s="2511"/>
      <c r="IPI31" s="2511"/>
      <c r="IPJ31" s="2511"/>
      <c r="IPK31" s="2511"/>
      <c r="IPL31" s="2511"/>
      <c r="IPM31" s="2511"/>
      <c r="IPN31" s="2511"/>
      <c r="IPO31" s="2511"/>
      <c r="IPP31" s="2511"/>
      <c r="IPQ31" s="2511"/>
      <c r="IPR31" s="2511"/>
      <c r="IPS31" s="2511"/>
      <c r="IPT31" s="2511"/>
      <c r="IPU31" s="2511"/>
      <c r="IPV31" s="2511"/>
      <c r="IPW31" s="2511"/>
      <c r="IPX31" s="2511"/>
      <c r="IPY31" s="2511"/>
      <c r="IPZ31" s="2511"/>
      <c r="IQA31" s="2511"/>
      <c r="IQB31" s="2511"/>
      <c r="IQC31" s="2511"/>
      <c r="IQD31" s="2511"/>
      <c r="IQE31" s="2511"/>
      <c r="IQF31" s="2511"/>
      <c r="IQG31" s="2511"/>
      <c r="IQH31" s="2511"/>
      <c r="IQI31" s="2511"/>
      <c r="IQJ31" s="2511"/>
      <c r="IQK31" s="2511"/>
      <c r="IQL31" s="2511"/>
      <c r="IQM31" s="2511"/>
      <c r="IQN31" s="2511"/>
      <c r="IQO31" s="2511"/>
      <c r="IQP31" s="2511"/>
      <c r="IQQ31" s="2511"/>
      <c r="IQR31" s="2511"/>
      <c r="IQS31" s="2511"/>
      <c r="IQT31" s="2511"/>
      <c r="IQU31" s="2511"/>
      <c r="IQV31" s="2511"/>
      <c r="IQW31" s="2511"/>
      <c r="IQX31" s="2511"/>
      <c r="IQY31" s="2511"/>
      <c r="IQZ31" s="2511"/>
      <c r="IRA31" s="2511"/>
      <c r="IRB31" s="2511"/>
      <c r="IRC31" s="2511"/>
      <c r="IRD31" s="2511"/>
      <c r="IRE31" s="2511"/>
      <c r="IRF31" s="2511"/>
      <c r="IRG31" s="2511"/>
      <c r="IRH31" s="2511"/>
      <c r="IRI31" s="2511"/>
      <c r="IRJ31" s="2511"/>
      <c r="IRK31" s="2511"/>
      <c r="IRL31" s="2511"/>
      <c r="IRM31" s="2511"/>
      <c r="IRN31" s="2511"/>
      <c r="IRO31" s="2511"/>
      <c r="IRP31" s="2511"/>
      <c r="IRQ31" s="2511"/>
      <c r="IRR31" s="2511"/>
      <c r="IRS31" s="2511"/>
      <c r="IRT31" s="2511"/>
      <c r="IRU31" s="2511"/>
      <c r="IRV31" s="2511"/>
      <c r="IRW31" s="2511"/>
      <c r="IRX31" s="2511"/>
      <c r="IRY31" s="2511"/>
      <c r="IRZ31" s="2511"/>
      <c r="ISA31" s="2511"/>
      <c r="ISB31" s="2511"/>
      <c r="ISC31" s="2511"/>
      <c r="ISD31" s="2511"/>
      <c r="ISE31" s="2511"/>
      <c r="ISF31" s="2511"/>
      <c r="ISG31" s="2511"/>
      <c r="ISH31" s="2511"/>
      <c r="ISI31" s="2511"/>
      <c r="ISJ31" s="2511"/>
      <c r="ISK31" s="2511"/>
      <c r="ISL31" s="2511"/>
      <c r="ISM31" s="2511"/>
      <c r="ISN31" s="2511"/>
      <c r="ISO31" s="2511"/>
      <c r="ISP31" s="2511"/>
      <c r="ISQ31" s="2511"/>
      <c r="ISR31" s="2511"/>
      <c r="ISS31" s="2511"/>
      <c r="IST31" s="2511"/>
      <c r="ISU31" s="2511"/>
      <c r="ISV31" s="2511"/>
      <c r="ISW31" s="2511"/>
      <c r="ISX31" s="2511"/>
      <c r="ISY31" s="2511"/>
      <c r="ISZ31" s="2511"/>
      <c r="ITA31" s="2511"/>
      <c r="ITB31" s="2511"/>
      <c r="ITC31" s="2511"/>
      <c r="ITD31" s="2511"/>
      <c r="ITE31" s="2511"/>
      <c r="ITF31" s="2511"/>
      <c r="ITG31" s="2511"/>
      <c r="ITH31" s="2511"/>
      <c r="ITI31" s="2511"/>
      <c r="ITJ31" s="2511"/>
      <c r="ITK31" s="2511"/>
      <c r="ITL31" s="2511"/>
      <c r="ITM31" s="2511"/>
      <c r="ITN31" s="2511"/>
      <c r="ITO31" s="2511"/>
      <c r="ITP31" s="2511"/>
      <c r="ITQ31" s="2511"/>
      <c r="ITR31" s="2511"/>
      <c r="ITS31" s="2511"/>
      <c r="ITT31" s="2511"/>
      <c r="ITU31" s="2511"/>
      <c r="ITV31" s="2511"/>
      <c r="ITW31" s="2511"/>
      <c r="ITX31" s="2511"/>
      <c r="ITY31" s="2511"/>
      <c r="ITZ31" s="2511"/>
      <c r="IUA31" s="2511"/>
      <c r="IUB31" s="2511"/>
      <c r="IUC31" s="2511"/>
      <c r="IUD31" s="2511"/>
      <c r="IUE31" s="2511"/>
      <c r="IUF31" s="2511"/>
      <c r="IUG31" s="2511"/>
      <c r="IUH31" s="2511"/>
      <c r="IUI31" s="2511"/>
      <c r="IUJ31" s="2511"/>
      <c r="IUK31" s="2511"/>
      <c r="IUL31" s="2511"/>
      <c r="IUM31" s="2511"/>
      <c r="IUN31" s="2511"/>
      <c r="IUO31" s="2511"/>
      <c r="IUP31" s="2511"/>
      <c r="IUQ31" s="2511"/>
      <c r="IUR31" s="2511"/>
      <c r="IUS31" s="2511"/>
      <c r="IUT31" s="2511"/>
      <c r="IUU31" s="2511"/>
      <c r="IUV31" s="2511"/>
      <c r="IUW31" s="2511"/>
      <c r="IUX31" s="2511"/>
      <c r="IUY31" s="2511"/>
      <c r="IUZ31" s="2511"/>
      <c r="IVA31" s="2511"/>
      <c r="IVB31" s="2511"/>
      <c r="IVC31" s="2511"/>
      <c r="IVD31" s="2511"/>
      <c r="IVE31" s="2511"/>
      <c r="IVF31" s="2511"/>
      <c r="IVG31" s="2511"/>
      <c r="IVH31" s="2511"/>
      <c r="IVI31" s="2511"/>
      <c r="IVJ31" s="2511"/>
      <c r="IVK31" s="2511"/>
      <c r="IVL31" s="2511"/>
      <c r="IVM31" s="2511"/>
      <c r="IVN31" s="2511"/>
      <c r="IVO31" s="2511"/>
      <c r="IVP31" s="2511"/>
      <c r="IVQ31" s="2511"/>
      <c r="IVR31" s="2511"/>
      <c r="IVS31" s="2511"/>
      <c r="IVT31" s="2511"/>
      <c r="IVU31" s="2511"/>
      <c r="IVV31" s="2511"/>
      <c r="IVW31" s="2511"/>
      <c r="IVX31" s="2511"/>
      <c r="IVY31" s="2511"/>
      <c r="IVZ31" s="2511"/>
      <c r="IWA31" s="2511"/>
      <c r="IWB31" s="2511"/>
      <c r="IWC31" s="2511"/>
      <c r="IWD31" s="2511"/>
      <c r="IWE31" s="2511"/>
      <c r="IWF31" s="2511"/>
      <c r="IWG31" s="2511"/>
      <c r="IWH31" s="2511"/>
      <c r="IWI31" s="2511"/>
      <c r="IWJ31" s="2511"/>
      <c r="IWK31" s="2511"/>
      <c r="IWL31" s="2511"/>
      <c r="IWM31" s="2511"/>
      <c r="IWN31" s="2511"/>
      <c r="IWO31" s="2511"/>
      <c r="IWP31" s="2511"/>
      <c r="IWQ31" s="2511"/>
      <c r="IWR31" s="2511"/>
      <c r="IWS31" s="2511"/>
      <c r="IWT31" s="2511"/>
      <c r="IWU31" s="2511"/>
      <c r="IWV31" s="2511"/>
      <c r="IWW31" s="2511"/>
      <c r="IWX31" s="2511"/>
      <c r="IWY31" s="2511"/>
      <c r="IWZ31" s="2511"/>
      <c r="IXA31" s="2511"/>
      <c r="IXB31" s="2511"/>
      <c r="IXC31" s="2511"/>
      <c r="IXD31" s="2511"/>
      <c r="IXE31" s="2511"/>
      <c r="IXF31" s="2511"/>
      <c r="IXG31" s="2511"/>
      <c r="IXH31" s="2511"/>
      <c r="IXI31" s="2511"/>
      <c r="IXJ31" s="2511"/>
      <c r="IXK31" s="2511"/>
      <c r="IXL31" s="2511"/>
      <c r="IXM31" s="2511"/>
      <c r="IXN31" s="2511"/>
      <c r="IXO31" s="2511"/>
      <c r="IXP31" s="2511"/>
      <c r="IXQ31" s="2511"/>
      <c r="IXR31" s="2511"/>
      <c r="IXS31" s="2511"/>
      <c r="IXT31" s="2511"/>
      <c r="IXU31" s="2511"/>
      <c r="IXV31" s="2511"/>
      <c r="IXW31" s="2511"/>
      <c r="IXX31" s="2511"/>
      <c r="IXY31" s="2511"/>
      <c r="IXZ31" s="2511"/>
      <c r="IYA31" s="2511"/>
      <c r="IYB31" s="2511"/>
      <c r="IYC31" s="2511"/>
      <c r="IYD31" s="2511"/>
      <c r="IYE31" s="2511"/>
      <c r="IYF31" s="2511"/>
      <c r="IYG31" s="2511"/>
      <c r="IYH31" s="2511"/>
      <c r="IYI31" s="2511"/>
      <c r="IYJ31" s="2511"/>
      <c r="IYK31" s="2511"/>
      <c r="IYL31" s="2511"/>
      <c r="IYM31" s="2511"/>
      <c r="IYN31" s="2511"/>
      <c r="IYO31" s="2511"/>
      <c r="IYP31" s="2511"/>
      <c r="IYQ31" s="2511"/>
      <c r="IYR31" s="2511"/>
      <c r="IYS31" s="2511"/>
      <c r="IYT31" s="2511"/>
      <c r="IYU31" s="2511"/>
      <c r="IYV31" s="2511"/>
      <c r="IYW31" s="2511"/>
      <c r="IYX31" s="2511"/>
      <c r="IYY31" s="2511"/>
      <c r="IYZ31" s="2511"/>
      <c r="IZA31" s="2511"/>
      <c r="IZB31" s="2511"/>
      <c r="IZC31" s="2511"/>
      <c r="IZD31" s="2511"/>
      <c r="IZE31" s="2511"/>
      <c r="IZF31" s="2511"/>
      <c r="IZG31" s="2511"/>
      <c r="IZH31" s="2511"/>
      <c r="IZI31" s="2511"/>
      <c r="IZJ31" s="2511"/>
      <c r="IZK31" s="2511"/>
      <c r="IZL31" s="2511"/>
      <c r="IZM31" s="2511"/>
      <c r="IZN31" s="2511"/>
      <c r="IZO31" s="2511"/>
      <c r="IZP31" s="2511"/>
      <c r="IZQ31" s="2511"/>
      <c r="IZR31" s="2511"/>
      <c r="IZS31" s="2511"/>
      <c r="IZT31" s="2511"/>
      <c r="IZU31" s="2511"/>
      <c r="IZV31" s="2511"/>
      <c r="IZW31" s="2511"/>
      <c r="IZX31" s="2511"/>
      <c r="IZY31" s="2511"/>
      <c r="IZZ31" s="2511"/>
      <c r="JAA31" s="2511"/>
      <c r="JAB31" s="2511"/>
      <c r="JAC31" s="2511"/>
      <c r="JAD31" s="2511"/>
      <c r="JAE31" s="2511"/>
      <c r="JAF31" s="2511"/>
      <c r="JAG31" s="2511"/>
      <c r="JAH31" s="2511"/>
      <c r="JAI31" s="2511"/>
      <c r="JAJ31" s="2511"/>
      <c r="JAK31" s="2511"/>
      <c r="JAL31" s="2511"/>
      <c r="JAM31" s="2511"/>
      <c r="JAN31" s="2511"/>
      <c r="JAO31" s="2511"/>
      <c r="JAP31" s="2511"/>
      <c r="JAQ31" s="2511"/>
      <c r="JAR31" s="2511"/>
      <c r="JAS31" s="2511"/>
      <c r="JAT31" s="2511"/>
      <c r="JAU31" s="2511"/>
      <c r="JAV31" s="2511"/>
      <c r="JAW31" s="2511"/>
      <c r="JAX31" s="2511"/>
      <c r="JAY31" s="2511"/>
      <c r="JAZ31" s="2511"/>
      <c r="JBA31" s="2511"/>
      <c r="JBB31" s="2511"/>
      <c r="JBC31" s="2511"/>
      <c r="JBD31" s="2511"/>
      <c r="JBE31" s="2511"/>
      <c r="JBF31" s="2511"/>
      <c r="JBG31" s="2511"/>
      <c r="JBH31" s="2511"/>
      <c r="JBI31" s="2511"/>
      <c r="JBJ31" s="2511"/>
      <c r="JBK31" s="2511"/>
      <c r="JBL31" s="2511"/>
      <c r="JBM31" s="2511"/>
      <c r="JBN31" s="2511"/>
      <c r="JBO31" s="2511"/>
      <c r="JBP31" s="2511"/>
      <c r="JBQ31" s="2511"/>
      <c r="JBR31" s="2511"/>
      <c r="JBS31" s="2511"/>
      <c r="JBT31" s="2511"/>
      <c r="JBU31" s="2511"/>
      <c r="JBV31" s="2511"/>
      <c r="JBW31" s="2511"/>
      <c r="JBX31" s="2511"/>
      <c r="JBY31" s="2511"/>
      <c r="JBZ31" s="2511"/>
      <c r="JCA31" s="2511"/>
      <c r="JCB31" s="2511"/>
      <c r="JCC31" s="2511"/>
      <c r="JCD31" s="2511"/>
      <c r="JCE31" s="2511"/>
      <c r="JCF31" s="2511"/>
      <c r="JCG31" s="2511"/>
      <c r="JCH31" s="2511"/>
      <c r="JCI31" s="2511"/>
      <c r="JCJ31" s="2511"/>
      <c r="JCK31" s="2511"/>
      <c r="JCL31" s="2511"/>
      <c r="JCM31" s="2511"/>
      <c r="JCN31" s="2511"/>
      <c r="JCO31" s="2511"/>
      <c r="JCP31" s="2511"/>
      <c r="JCQ31" s="2511"/>
      <c r="JCR31" s="2511"/>
      <c r="JCS31" s="2511"/>
      <c r="JCT31" s="2511"/>
      <c r="JCU31" s="2511"/>
      <c r="JCV31" s="2511"/>
      <c r="JCW31" s="2511"/>
      <c r="JCX31" s="2511"/>
      <c r="JCY31" s="2511"/>
      <c r="JCZ31" s="2511"/>
      <c r="JDA31" s="2511"/>
      <c r="JDB31" s="2511"/>
      <c r="JDC31" s="2511"/>
      <c r="JDD31" s="2511"/>
      <c r="JDE31" s="2511"/>
      <c r="JDF31" s="2511"/>
      <c r="JDG31" s="2511"/>
      <c r="JDH31" s="2511"/>
      <c r="JDI31" s="2511"/>
      <c r="JDJ31" s="2511"/>
      <c r="JDK31" s="2511"/>
      <c r="JDL31" s="2511"/>
      <c r="JDM31" s="2511"/>
      <c r="JDN31" s="2511"/>
      <c r="JDO31" s="2511"/>
      <c r="JDP31" s="2511"/>
      <c r="JDQ31" s="2511"/>
      <c r="JDR31" s="2511"/>
      <c r="JDS31" s="2511"/>
      <c r="JDT31" s="2511"/>
      <c r="JDU31" s="2511"/>
      <c r="JDV31" s="2511"/>
      <c r="JDW31" s="2511"/>
      <c r="JDX31" s="2511"/>
      <c r="JDY31" s="2511"/>
      <c r="JDZ31" s="2511"/>
      <c r="JEA31" s="2511"/>
      <c r="JEB31" s="2511"/>
      <c r="JEC31" s="2511"/>
      <c r="JED31" s="2511"/>
      <c r="JEE31" s="2511"/>
      <c r="JEF31" s="2511"/>
      <c r="JEG31" s="2511"/>
      <c r="JEH31" s="2511"/>
      <c r="JEI31" s="2511"/>
      <c r="JEJ31" s="2511"/>
      <c r="JEK31" s="2511"/>
      <c r="JEL31" s="2511"/>
      <c r="JEM31" s="2511"/>
      <c r="JEN31" s="2511"/>
      <c r="JEO31" s="2511"/>
      <c r="JEP31" s="2511"/>
      <c r="JEQ31" s="2511"/>
      <c r="JER31" s="2511"/>
      <c r="JES31" s="2511"/>
      <c r="JET31" s="2511"/>
      <c r="JEU31" s="2511"/>
      <c r="JEV31" s="2511"/>
      <c r="JEW31" s="2511"/>
      <c r="JEX31" s="2511"/>
      <c r="JEY31" s="2511"/>
      <c r="JEZ31" s="2511"/>
      <c r="JFA31" s="2511"/>
      <c r="JFB31" s="2511"/>
      <c r="JFC31" s="2511"/>
      <c r="JFD31" s="2511"/>
      <c r="JFE31" s="2511"/>
      <c r="JFF31" s="2511"/>
      <c r="JFG31" s="2511"/>
      <c r="JFH31" s="2511"/>
      <c r="JFI31" s="2511"/>
      <c r="JFJ31" s="2511"/>
      <c r="JFK31" s="2511"/>
      <c r="JFL31" s="2511"/>
      <c r="JFM31" s="2511"/>
      <c r="JFN31" s="2511"/>
      <c r="JFO31" s="2511"/>
      <c r="JFP31" s="2511"/>
      <c r="JFQ31" s="2511"/>
      <c r="JFR31" s="2511"/>
      <c r="JFS31" s="2511"/>
      <c r="JFT31" s="2511"/>
      <c r="JFU31" s="2511"/>
      <c r="JFV31" s="2511"/>
      <c r="JFW31" s="2511"/>
      <c r="JFX31" s="2511"/>
      <c r="JFY31" s="2511"/>
      <c r="JFZ31" s="2511"/>
      <c r="JGA31" s="2511"/>
      <c r="JGB31" s="2511"/>
      <c r="JGC31" s="2511"/>
      <c r="JGD31" s="2511"/>
      <c r="JGE31" s="2511"/>
      <c r="JGF31" s="2511"/>
      <c r="JGG31" s="2511"/>
      <c r="JGH31" s="2511"/>
      <c r="JGI31" s="2511"/>
      <c r="JGJ31" s="2511"/>
      <c r="JGK31" s="2511"/>
      <c r="JGL31" s="2511"/>
      <c r="JGM31" s="2511"/>
      <c r="JGN31" s="2511"/>
      <c r="JGO31" s="2511"/>
      <c r="JGP31" s="2511"/>
      <c r="JGQ31" s="2511"/>
      <c r="JGR31" s="2511"/>
      <c r="JGS31" s="2511"/>
      <c r="JGT31" s="2511"/>
      <c r="JGU31" s="2511"/>
      <c r="JGV31" s="2511"/>
      <c r="JGW31" s="2511"/>
      <c r="JGX31" s="2511"/>
      <c r="JGY31" s="2511"/>
      <c r="JGZ31" s="2511"/>
      <c r="JHA31" s="2511"/>
      <c r="JHB31" s="2511"/>
      <c r="JHC31" s="2511"/>
      <c r="JHD31" s="2511"/>
      <c r="JHE31" s="2511"/>
      <c r="JHF31" s="2511"/>
      <c r="JHG31" s="2511"/>
      <c r="JHH31" s="2511"/>
      <c r="JHI31" s="2511"/>
      <c r="JHJ31" s="2511"/>
      <c r="JHK31" s="2511"/>
      <c r="JHL31" s="2511"/>
      <c r="JHM31" s="2511"/>
      <c r="JHN31" s="2511"/>
      <c r="JHO31" s="2511"/>
      <c r="JHP31" s="2511"/>
      <c r="JHQ31" s="2511"/>
      <c r="JHR31" s="2511"/>
      <c r="JHS31" s="2511"/>
      <c r="JHT31" s="2511"/>
      <c r="JHU31" s="2511"/>
      <c r="JHV31" s="2511"/>
      <c r="JHW31" s="2511"/>
      <c r="JHX31" s="2511"/>
      <c r="JHY31" s="2511"/>
      <c r="JHZ31" s="2511"/>
      <c r="JIA31" s="2511"/>
      <c r="JIB31" s="2511"/>
      <c r="JIC31" s="2511"/>
      <c r="JID31" s="2511"/>
      <c r="JIE31" s="2511"/>
      <c r="JIF31" s="2511"/>
      <c r="JIG31" s="2511"/>
      <c r="JIH31" s="2511"/>
      <c r="JII31" s="2511"/>
      <c r="JIJ31" s="2511"/>
      <c r="JIK31" s="2511"/>
      <c r="JIL31" s="2511"/>
      <c r="JIM31" s="2511"/>
      <c r="JIN31" s="2511"/>
      <c r="JIO31" s="2511"/>
      <c r="JIP31" s="2511"/>
      <c r="JIQ31" s="2511"/>
      <c r="JIR31" s="2511"/>
      <c r="JIS31" s="2511"/>
      <c r="JIT31" s="2511"/>
      <c r="JIU31" s="2511"/>
      <c r="JIV31" s="2511"/>
      <c r="JIW31" s="2511"/>
      <c r="JIX31" s="2511"/>
      <c r="JIY31" s="2511"/>
      <c r="JIZ31" s="2511"/>
      <c r="JJA31" s="2511"/>
      <c r="JJB31" s="2511"/>
      <c r="JJC31" s="2511"/>
      <c r="JJD31" s="2511"/>
      <c r="JJE31" s="2511"/>
      <c r="JJF31" s="2511"/>
      <c r="JJG31" s="2511"/>
      <c r="JJH31" s="2511"/>
      <c r="JJI31" s="2511"/>
      <c r="JJJ31" s="2511"/>
      <c r="JJK31" s="2511"/>
      <c r="JJL31" s="2511"/>
      <c r="JJM31" s="2511"/>
      <c r="JJN31" s="2511"/>
      <c r="JJO31" s="2511"/>
      <c r="JJP31" s="2511"/>
      <c r="JJQ31" s="2511"/>
      <c r="JJR31" s="2511"/>
      <c r="JJS31" s="2511"/>
      <c r="JJT31" s="2511"/>
      <c r="JJU31" s="2511"/>
      <c r="JJV31" s="2511"/>
      <c r="JJW31" s="2511"/>
      <c r="JJX31" s="2511"/>
      <c r="JJY31" s="2511"/>
      <c r="JJZ31" s="2511"/>
      <c r="JKA31" s="2511"/>
      <c r="JKB31" s="2511"/>
      <c r="JKC31" s="2511"/>
      <c r="JKD31" s="2511"/>
      <c r="JKE31" s="2511"/>
      <c r="JKF31" s="2511"/>
      <c r="JKG31" s="2511"/>
      <c r="JKH31" s="2511"/>
      <c r="JKI31" s="2511"/>
      <c r="JKJ31" s="2511"/>
      <c r="JKK31" s="2511"/>
      <c r="JKL31" s="2511"/>
      <c r="JKM31" s="2511"/>
      <c r="JKN31" s="2511"/>
      <c r="JKO31" s="2511"/>
      <c r="JKP31" s="2511"/>
      <c r="JKQ31" s="2511"/>
      <c r="JKR31" s="2511"/>
      <c r="JKS31" s="2511"/>
      <c r="JKT31" s="2511"/>
      <c r="JKU31" s="2511"/>
      <c r="JKV31" s="2511"/>
      <c r="JKW31" s="2511"/>
      <c r="JKX31" s="2511"/>
      <c r="JKY31" s="2511"/>
      <c r="JKZ31" s="2511"/>
      <c r="JLA31" s="2511"/>
      <c r="JLB31" s="2511"/>
      <c r="JLC31" s="2511"/>
      <c r="JLD31" s="2511"/>
      <c r="JLE31" s="2511"/>
      <c r="JLF31" s="2511"/>
      <c r="JLG31" s="2511"/>
      <c r="JLH31" s="2511"/>
      <c r="JLI31" s="2511"/>
      <c r="JLJ31" s="2511"/>
      <c r="JLK31" s="2511"/>
      <c r="JLL31" s="2511"/>
      <c r="JLM31" s="2511"/>
      <c r="JLN31" s="2511"/>
      <c r="JLO31" s="2511"/>
      <c r="JLP31" s="2511"/>
      <c r="JLQ31" s="2511"/>
      <c r="JLR31" s="2511"/>
      <c r="JLS31" s="2511"/>
      <c r="JLT31" s="2511"/>
      <c r="JLU31" s="2511"/>
      <c r="JLV31" s="2511"/>
      <c r="JLW31" s="2511"/>
      <c r="JLX31" s="2511"/>
      <c r="JLY31" s="2511"/>
      <c r="JLZ31" s="2511"/>
      <c r="JMA31" s="2511"/>
      <c r="JMB31" s="2511"/>
      <c r="JMC31" s="2511"/>
      <c r="JMD31" s="2511"/>
      <c r="JME31" s="2511"/>
      <c r="JMF31" s="2511"/>
      <c r="JMG31" s="2511"/>
      <c r="JMH31" s="2511"/>
      <c r="JMI31" s="2511"/>
      <c r="JMJ31" s="2511"/>
      <c r="JMK31" s="2511"/>
      <c r="JML31" s="2511"/>
      <c r="JMM31" s="2511"/>
      <c r="JMN31" s="2511"/>
      <c r="JMO31" s="2511"/>
      <c r="JMP31" s="2511"/>
      <c r="JMQ31" s="2511"/>
      <c r="JMR31" s="2511"/>
      <c r="JMS31" s="2511"/>
      <c r="JMT31" s="2511"/>
      <c r="JMU31" s="2511"/>
      <c r="JMV31" s="2511"/>
      <c r="JMW31" s="2511"/>
      <c r="JMX31" s="2511"/>
      <c r="JMY31" s="2511"/>
      <c r="JMZ31" s="2511"/>
      <c r="JNA31" s="2511"/>
      <c r="JNB31" s="2511"/>
      <c r="JNC31" s="2511"/>
      <c r="JND31" s="2511"/>
      <c r="JNE31" s="2511"/>
      <c r="JNF31" s="2511"/>
      <c r="JNG31" s="2511"/>
      <c r="JNH31" s="2511"/>
      <c r="JNI31" s="2511"/>
      <c r="JNJ31" s="2511"/>
      <c r="JNK31" s="2511"/>
      <c r="JNL31" s="2511"/>
      <c r="JNM31" s="2511"/>
      <c r="JNN31" s="2511"/>
      <c r="JNO31" s="2511"/>
      <c r="JNP31" s="2511"/>
      <c r="JNQ31" s="2511"/>
      <c r="JNR31" s="2511"/>
      <c r="JNS31" s="2511"/>
      <c r="JNT31" s="2511"/>
      <c r="JNU31" s="2511"/>
      <c r="JNV31" s="2511"/>
      <c r="JNW31" s="2511"/>
      <c r="JNX31" s="2511"/>
      <c r="JNY31" s="2511"/>
      <c r="JNZ31" s="2511"/>
      <c r="JOA31" s="2511"/>
      <c r="JOB31" s="2511"/>
      <c r="JOC31" s="2511"/>
      <c r="JOD31" s="2511"/>
      <c r="JOE31" s="2511"/>
      <c r="JOF31" s="2511"/>
      <c r="JOG31" s="2511"/>
      <c r="JOH31" s="2511"/>
      <c r="JOI31" s="2511"/>
      <c r="JOJ31" s="2511"/>
      <c r="JOK31" s="2511"/>
      <c r="JOL31" s="2511"/>
      <c r="JOM31" s="2511"/>
      <c r="JON31" s="2511"/>
      <c r="JOO31" s="2511"/>
      <c r="JOP31" s="2511"/>
      <c r="JOQ31" s="2511"/>
      <c r="JOR31" s="2511"/>
      <c r="JOS31" s="2511"/>
      <c r="JOT31" s="2511"/>
      <c r="JOU31" s="2511"/>
      <c r="JOV31" s="2511"/>
      <c r="JOW31" s="2511"/>
      <c r="JOX31" s="2511"/>
      <c r="JOY31" s="2511"/>
      <c r="JOZ31" s="2511"/>
      <c r="JPA31" s="2511"/>
      <c r="JPB31" s="2511"/>
      <c r="JPC31" s="2511"/>
      <c r="JPD31" s="2511"/>
      <c r="JPE31" s="2511"/>
      <c r="JPF31" s="2511"/>
      <c r="JPG31" s="2511"/>
      <c r="JPH31" s="2511"/>
      <c r="JPI31" s="2511"/>
      <c r="JPJ31" s="2511"/>
      <c r="JPK31" s="2511"/>
      <c r="JPL31" s="2511"/>
      <c r="JPM31" s="2511"/>
      <c r="JPN31" s="2511"/>
      <c r="JPO31" s="2511"/>
      <c r="JPP31" s="2511"/>
      <c r="JPQ31" s="2511"/>
      <c r="JPR31" s="2511"/>
      <c r="JPS31" s="2511"/>
      <c r="JPT31" s="2511"/>
      <c r="JPU31" s="2511"/>
      <c r="JPV31" s="2511"/>
      <c r="JPW31" s="2511"/>
      <c r="JPX31" s="2511"/>
      <c r="JPY31" s="2511"/>
      <c r="JPZ31" s="2511"/>
      <c r="JQA31" s="2511"/>
      <c r="JQB31" s="2511"/>
      <c r="JQC31" s="2511"/>
      <c r="JQD31" s="2511"/>
      <c r="JQE31" s="2511"/>
      <c r="JQF31" s="2511"/>
      <c r="JQG31" s="2511"/>
      <c r="JQH31" s="2511"/>
      <c r="JQI31" s="2511"/>
      <c r="JQJ31" s="2511"/>
      <c r="JQK31" s="2511"/>
      <c r="JQL31" s="2511"/>
      <c r="JQM31" s="2511"/>
      <c r="JQN31" s="2511"/>
      <c r="JQO31" s="2511"/>
      <c r="JQP31" s="2511"/>
      <c r="JQQ31" s="2511"/>
      <c r="JQR31" s="2511"/>
      <c r="JQS31" s="2511"/>
      <c r="JQT31" s="2511"/>
      <c r="JQU31" s="2511"/>
      <c r="JQV31" s="2511"/>
      <c r="JQW31" s="2511"/>
      <c r="JQX31" s="2511"/>
      <c r="JQY31" s="2511"/>
      <c r="JQZ31" s="2511"/>
      <c r="JRA31" s="2511"/>
      <c r="JRB31" s="2511"/>
      <c r="JRC31" s="2511"/>
      <c r="JRD31" s="2511"/>
      <c r="JRE31" s="2511"/>
      <c r="JRF31" s="2511"/>
      <c r="JRG31" s="2511"/>
      <c r="JRH31" s="2511"/>
      <c r="JRI31" s="2511"/>
      <c r="JRJ31" s="2511"/>
      <c r="JRK31" s="2511"/>
      <c r="JRL31" s="2511"/>
      <c r="JRM31" s="2511"/>
      <c r="JRN31" s="2511"/>
      <c r="JRO31" s="2511"/>
      <c r="JRP31" s="2511"/>
      <c r="JRQ31" s="2511"/>
      <c r="JRR31" s="2511"/>
      <c r="JRS31" s="2511"/>
      <c r="JRT31" s="2511"/>
      <c r="JRU31" s="2511"/>
      <c r="JRV31" s="2511"/>
      <c r="JRW31" s="2511"/>
      <c r="JRX31" s="2511"/>
      <c r="JRY31" s="2511"/>
      <c r="JRZ31" s="2511"/>
      <c r="JSA31" s="2511"/>
      <c r="JSB31" s="2511"/>
      <c r="JSC31" s="2511"/>
      <c r="JSD31" s="2511"/>
      <c r="JSE31" s="2511"/>
      <c r="JSF31" s="2511"/>
      <c r="JSG31" s="2511"/>
      <c r="JSH31" s="2511"/>
      <c r="JSI31" s="2511"/>
      <c r="JSJ31" s="2511"/>
      <c r="JSK31" s="2511"/>
      <c r="JSL31" s="2511"/>
      <c r="JSM31" s="2511"/>
      <c r="JSN31" s="2511"/>
      <c r="JSO31" s="2511"/>
      <c r="JSP31" s="2511"/>
      <c r="JSQ31" s="2511"/>
      <c r="JSR31" s="2511"/>
      <c r="JSS31" s="2511"/>
      <c r="JST31" s="2511"/>
      <c r="JSU31" s="2511"/>
      <c r="JSV31" s="2511"/>
      <c r="JSW31" s="2511"/>
      <c r="JSX31" s="2511"/>
      <c r="JSY31" s="2511"/>
      <c r="JSZ31" s="2511"/>
      <c r="JTA31" s="2511"/>
      <c r="JTB31" s="2511"/>
      <c r="JTC31" s="2511"/>
      <c r="JTD31" s="2511"/>
      <c r="JTE31" s="2511"/>
      <c r="JTF31" s="2511"/>
      <c r="JTG31" s="2511"/>
      <c r="JTH31" s="2511"/>
      <c r="JTI31" s="2511"/>
      <c r="JTJ31" s="2511"/>
      <c r="JTK31" s="2511"/>
      <c r="JTL31" s="2511"/>
      <c r="JTM31" s="2511"/>
      <c r="JTN31" s="2511"/>
      <c r="JTO31" s="2511"/>
      <c r="JTP31" s="2511"/>
      <c r="JTQ31" s="2511"/>
      <c r="JTR31" s="2511"/>
      <c r="JTS31" s="2511"/>
      <c r="JTT31" s="2511"/>
      <c r="JTU31" s="2511"/>
      <c r="JTV31" s="2511"/>
      <c r="JTW31" s="2511"/>
      <c r="JTX31" s="2511"/>
      <c r="JTY31" s="2511"/>
      <c r="JTZ31" s="2511"/>
      <c r="JUA31" s="2511"/>
      <c r="JUB31" s="2511"/>
      <c r="JUC31" s="2511"/>
      <c r="JUD31" s="2511"/>
      <c r="JUE31" s="2511"/>
      <c r="JUF31" s="2511"/>
      <c r="JUG31" s="2511"/>
      <c r="JUH31" s="2511"/>
      <c r="JUI31" s="2511"/>
      <c r="JUJ31" s="2511"/>
      <c r="JUK31" s="2511"/>
      <c r="JUL31" s="2511"/>
      <c r="JUM31" s="2511"/>
      <c r="JUN31" s="2511"/>
      <c r="JUO31" s="2511"/>
      <c r="JUP31" s="2511"/>
      <c r="JUQ31" s="2511"/>
      <c r="JUR31" s="2511"/>
      <c r="JUS31" s="2511"/>
      <c r="JUT31" s="2511"/>
      <c r="JUU31" s="2511"/>
      <c r="JUV31" s="2511"/>
      <c r="JUW31" s="2511"/>
      <c r="JUX31" s="2511"/>
      <c r="JUY31" s="2511"/>
      <c r="JUZ31" s="2511"/>
      <c r="JVA31" s="2511"/>
      <c r="JVB31" s="2511"/>
      <c r="JVC31" s="2511"/>
      <c r="JVD31" s="2511"/>
      <c r="JVE31" s="2511"/>
      <c r="JVF31" s="2511"/>
      <c r="JVG31" s="2511"/>
      <c r="JVH31" s="2511"/>
      <c r="JVI31" s="2511"/>
      <c r="JVJ31" s="2511"/>
      <c r="JVK31" s="2511"/>
      <c r="JVL31" s="2511"/>
      <c r="JVM31" s="2511"/>
      <c r="JVN31" s="2511"/>
      <c r="JVO31" s="2511"/>
      <c r="JVP31" s="2511"/>
      <c r="JVQ31" s="2511"/>
      <c r="JVR31" s="2511"/>
      <c r="JVS31" s="2511"/>
      <c r="JVT31" s="2511"/>
      <c r="JVU31" s="2511"/>
      <c r="JVV31" s="2511"/>
      <c r="JVW31" s="2511"/>
      <c r="JVX31" s="2511"/>
      <c r="JVY31" s="2511"/>
      <c r="JVZ31" s="2511"/>
      <c r="JWA31" s="2511"/>
      <c r="JWB31" s="2511"/>
      <c r="JWC31" s="2511"/>
      <c r="JWD31" s="2511"/>
      <c r="JWE31" s="2511"/>
      <c r="JWF31" s="2511"/>
      <c r="JWG31" s="2511"/>
      <c r="JWH31" s="2511"/>
      <c r="JWI31" s="2511"/>
      <c r="JWJ31" s="2511"/>
      <c r="JWK31" s="2511"/>
      <c r="JWL31" s="2511"/>
      <c r="JWM31" s="2511"/>
      <c r="JWN31" s="2511"/>
      <c r="JWO31" s="2511"/>
      <c r="JWP31" s="2511"/>
      <c r="JWQ31" s="2511"/>
      <c r="JWR31" s="2511"/>
      <c r="JWS31" s="2511"/>
      <c r="JWT31" s="2511"/>
      <c r="JWU31" s="2511"/>
      <c r="JWV31" s="2511"/>
      <c r="JWW31" s="2511"/>
      <c r="JWX31" s="2511"/>
      <c r="JWY31" s="2511"/>
      <c r="JWZ31" s="2511"/>
      <c r="JXA31" s="2511"/>
      <c r="JXB31" s="2511"/>
      <c r="JXC31" s="2511"/>
      <c r="JXD31" s="2511"/>
      <c r="JXE31" s="2511"/>
      <c r="JXF31" s="2511"/>
      <c r="JXG31" s="2511"/>
      <c r="JXH31" s="2511"/>
      <c r="JXI31" s="2511"/>
      <c r="JXJ31" s="2511"/>
      <c r="JXK31" s="2511"/>
      <c r="JXL31" s="2511"/>
      <c r="JXM31" s="2511"/>
      <c r="JXN31" s="2511"/>
      <c r="JXO31" s="2511"/>
      <c r="JXP31" s="2511"/>
      <c r="JXQ31" s="2511"/>
      <c r="JXR31" s="2511"/>
      <c r="JXS31" s="2511"/>
      <c r="JXT31" s="2511"/>
      <c r="JXU31" s="2511"/>
      <c r="JXV31" s="2511"/>
      <c r="JXW31" s="2511"/>
      <c r="JXX31" s="2511"/>
      <c r="JXY31" s="2511"/>
      <c r="JXZ31" s="2511"/>
      <c r="JYA31" s="2511"/>
      <c r="JYB31" s="2511"/>
      <c r="JYC31" s="2511"/>
      <c r="JYD31" s="2511"/>
      <c r="JYE31" s="2511"/>
      <c r="JYF31" s="2511"/>
      <c r="JYG31" s="2511"/>
      <c r="JYH31" s="2511"/>
      <c r="JYI31" s="2511"/>
      <c r="JYJ31" s="2511"/>
      <c r="JYK31" s="2511"/>
      <c r="JYL31" s="2511"/>
      <c r="JYM31" s="2511"/>
      <c r="JYN31" s="2511"/>
      <c r="JYO31" s="2511"/>
      <c r="JYP31" s="2511"/>
      <c r="JYQ31" s="2511"/>
      <c r="JYR31" s="2511"/>
      <c r="JYS31" s="2511"/>
      <c r="JYT31" s="2511"/>
      <c r="JYU31" s="2511"/>
      <c r="JYV31" s="2511"/>
      <c r="JYW31" s="2511"/>
      <c r="JYX31" s="2511"/>
      <c r="JYY31" s="2511"/>
      <c r="JYZ31" s="2511"/>
      <c r="JZA31" s="2511"/>
      <c r="JZB31" s="2511"/>
      <c r="JZC31" s="2511"/>
      <c r="JZD31" s="2511"/>
      <c r="JZE31" s="2511"/>
      <c r="JZF31" s="2511"/>
      <c r="JZG31" s="2511"/>
      <c r="JZH31" s="2511"/>
      <c r="JZI31" s="2511"/>
      <c r="JZJ31" s="2511"/>
      <c r="JZK31" s="2511"/>
      <c r="JZL31" s="2511"/>
      <c r="JZM31" s="2511"/>
      <c r="JZN31" s="2511"/>
      <c r="JZO31" s="2511"/>
      <c r="JZP31" s="2511"/>
      <c r="JZQ31" s="2511"/>
      <c r="JZR31" s="2511"/>
      <c r="JZS31" s="2511"/>
      <c r="JZT31" s="2511"/>
      <c r="JZU31" s="2511"/>
      <c r="JZV31" s="2511"/>
      <c r="JZW31" s="2511"/>
      <c r="JZX31" s="2511"/>
      <c r="JZY31" s="2511"/>
      <c r="JZZ31" s="2511"/>
      <c r="KAA31" s="2511"/>
      <c r="KAB31" s="2511"/>
      <c r="KAC31" s="2511"/>
      <c r="KAD31" s="2511"/>
      <c r="KAE31" s="2511"/>
      <c r="KAF31" s="2511"/>
      <c r="KAG31" s="2511"/>
      <c r="KAH31" s="2511"/>
      <c r="KAI31" s="2511"/>
      <c r="KAJ31" s="2511"/>
      <c r="KAK31" s="2511"/>
      <c r="KAL31" s="2511"/>
      <c r="KAM31" s="2511"/>
      <c r="KAN31" s="2511"/>
      <c r="KAO31" s="2511"/>
      <c r="KAP31" s="2511"/>
      <c r="KAQ31" s="2511"/>
      <c r="KAR31" s="2511"/>
      <c r="KAS31" s="2511"/>
      <c r="KAT31" s="2511"/>
      <c r="KAU31" s="2511"/>
      <c r="KAV31" s="2511"/>
      <c r="KAW31" s="2511"/>
      <c r="KAX31" s="2511"/>
      <c r="KAY31" s="2511"/>
      <c r="KAZ31" s="2511"/>
      <c r="KBA31" s="2511"/>
      <c r="KBB31" s="2511"/>
      <c r="KBC31" s="2511"/>
      <c r="KBD31" s="2511"/>
      <c r="KBE31" s="2511"/>
      <c r="KBF31" s="2511"/>
      <c r="KBG31" s="2511"/>
      <c r="KBH31" s="2511"/>
      <c r="KBI31" s="2511"/>
      <c r="KBJ31" s="2511"/>
      <c r="KBK31" s="2511"/>
      <c r="KBL31" s="2511"/>
      <c r="KBM31" s="2511"/>
      <c r="KBN31" s="2511"/>
      <c r="KBO31" s="2511"/>
      <c r="KBP31" s="2511"/>
      <c r="KBQ31" s="2511"/>
      <c r="KBR31" s="2511"/>
      <c r="KBS31" s="2511"/>
      <c r="KBT31" s="2511"/>
      <c r="KBU31" s="2511"/>
      <c r="KBV31" s="2511"/>
      <c r="KBW31" s="2511"/>
      <c r="KBX31" s="2511"/>
      <c r="KBY31" s="2511"/>
      <c r="KBZ31" s="2511"/>
      <c r="KCA31" s="2511"/>
      <c r="KCB31" s="2511"/>
      <c r="KCC31" s="2511"/>
      <c r="KCD31" s="2511"/>
      <c r="KCE31" s="2511"/>
      <c r="KCF31" s="2511"/>
      <c r="KCG31" s="2511"/>
      <c r="KCH31" s="2511"/>
      <c r="KCI31" s="2511"/>
      <c r="KCJ31" s="2511"/>
      <c r="KCK31" s="2511"/>
      <c r="KCL31" s="2511"/>
      <c r="KCM31" s="2511"/>
      <c r="KCN31" s="2511"/>
      <c r="KCO31" s="2511"/>
      <c r="KCP31" s="2511"/>
      <c r="KCQ31" s="2511"/>
      <c r="KCR31" s="2511"/>
      <c r="KCS31" s="2511"/>
      <c r="KCT31" s="2511"/>
      <c r="KCU31" s="2511"/>
      <c r="KCV31" s="2511"/>
      <c r="KCW31" s="2511"/>
      <c r="KCX31" s="2511"/>
      <c r="KCY31" s="2511"/>
      <c r="KCZ31" s="2511"/>
      <c r="KDA31" s="2511"/>
      <c r="KDB31" s="2511"/>
      <c r="KDC31" s="2511"/>
      <c r="KDD31" s="2511"/>
      <c r="KDE31" s="2511"/>
      <c r="KDF31" s="2511"/>
      <c r="KDG31" s="2511"/>
      <c r="KDH31" s="2511"/>
      <c r="KDI31" s="2511"/>
      <c r="KDJ31" s="2511"/>
      <c r="KDK31" s="2511"/>
      <c r="KDL31" s="2511"/>
      <c r="KDM31" s="2511"/>
      <c r="KDN31" s="2511"/>
      <c r="KDO31" s="2511"/>
      <c r="KDP31" s="2511"/>
      <c r="KDQ31" s="2511"/>
      <c r="KDR31" s="2511"/>
      <c r="KDS31" s="2511"/>
      <c r="KDT31" s="2511"/>
      <c r="KDU31" s="2511"/>
      <c r="KDV31" s="2511"/>
      <c r="KDW31" s="2511"/>
      <c r="KDX31" s="2511"/>
      <c r="KDY31" s="2511"/>
      <c r="KDZ31" s="2511"/>
      <c r="KEA31" s="2511"/>
      <c r="KEB31" s="2511"/>
      <c r="KEC31" s="2511"/>
      <c r="KED31" s="2511"/>
      <c r="KEE31" s="2511"/>
      <c r="KEF31" s="2511"/>
      <c r="KEG31" s="2511"/>
      <c r="KEH31" s="2511"/>
      <c r="KEI31" s="2511"/>
      <c r="KEJ31" s="2511"/>
      <c r="KEK31" s="2511"/>
      <c r="KEL31" s="2511"/>
      <c r="KEM31" s="2511"/>
      <c r="KEN31" s="2511"/>
      <c r="KEO31" s="2511"/>
      <c r="KEP31" s="2511"/>
      <c r="KEQ31" s="2511"/>
      <c r="KER31" s="2511"/>
      <c r="KES31" s="2511"/>
      <c r="KET31" s="2511"/>
      <c r="KEU31" s="2511"/>
      <c r="KEV31" s="2511"/>
      <c r="KEW31" s="2511"/>
      <c r="KEX31" s="2511"/>
      <c r="KEY31" s="2511"/>
      <c r="KEZ31" s="2511"/>
      <c r="KFA31" s="2511"/>
      <c r="KFB31" s="2511"/>
      <c r="KFC31" s="2511"/>
      <c r="KFD31" s="2511"/>
      <c r="KFE31" s="2511"/>
      <c r="KFF31" s="2511"/>
      <c r="KFG31" s="2511"/>
      <c r="KFH31" s="2511"/>
      <c r="KFI31" s="2511"/>
      <c r="KFJ31" s="2511"/>
      <c r="KFK31" s="2511"/>
      <c r="KFL31" s="2511"/>
      <c r="KFM31" s="2511"/>
      <c r="KFN31" s="2511"/>
      <c r="KFO31" s="2511"/>
      <c r="KFP31" s="2511"/>
      <c r="KFQ31" s="2511"/>
      <c r="KFR31" s="2511"/>
      <c r="KFS31" s="2511"/>
      <c r="KFT31" s="2511"/>
      <c r="KFU31" s="2511"/>
      <c r="KFV31" s="2511"/>
      <c r="KFW31" s="2511"/>
      <c r="KFX31" s="2511"/>
      <c r="KFY31" s="2511"/>
      <c r="KFZ31" s="2511"/>
      <c r="KGA31" s="2511"/>
      <c r="KGB31" s="2511"/>
      <c r="KGC31" s="2511"/>
      <c r="KGD31" s="2511"/>
      <c r="KGE31" s="2511"/>
      <c r="KGF31" s="2511"/>
      <c r="KGG31" s="2511"/>
      <c r="KGH31" s="2511"/>
      <c r="KGI31" s="2511"/>
      <c r="KGJ31" s="2511"/>
      <c r="KGK31" s="2511"/>
      <c r="KGL31" s="2511"/>
      <c r="KGM31" s="2511"/>
      <c r="KGN31" s="2511"/>
      <c r="KGO31" s="2511"/>
      <c r="KGP31" s="2511"/>
      <c r="KGQ31" s="2511"/>
      <c r="KGR31" s="2511"/>
      <c r="KGS31" s="2511"/>
      <c r="KGT31" s="2511"/>
      <c r="KGU31" s="2511"/>
      <c r="KGV31" s="2511"/>
      <c r="KGW31" s="2511"/>
      <c r="KGX31" s="2511"/>
      <c r="KGY31" s="2511"/>
      <c r="KGZ31" s="2511"/>
      <c r="KHA31" s="2511"/>
      <c r="KHB31" s="2511"/>
      <c r="KHC31" s="2511"/>
      <c r="KHD31" s="2511"/>
      <c r="KHE31" s="2511"/>
      <c r="KHF31" s="2511"/>
      <c r="KHG31" s="2511"/>
      <c r="KHH31" s="2511"/>
      <c r="KHI31" s="2511"/>
      <c r="KHJ31" s="2511"/>
      <c r="KHK31" s="2511"/>
      <c r="KHL31" s="2511"/>
      <c r="KHM31" s="2511"/>
      <c r="KHN31" s="2511"/>
      <c r="KHO31" s="2511"/>
      <c r="KHP31" s="2511"/>
      <c r="KHQ31" s="2511"/>
      <c r="KHR31" s="2511"/>
      <c r="KHS31" s="2511"/>
      <c r="KHT31" s="2511"/>
      <c r="KHU31" s="2511"/>
      <c r="KHV31" s="2511"/>
      <c r="KHW31" s="2511"/>
      <c r="KHX31" s="2511"/>
      <c r="KHY31" s="2511"/>
      <c r="KHZ31" s="2511"/>
      <c r="KIA31" s="2511"/>
      <c r="KIB31" s="2511"/>
      <c r="KIC31" s="2511"/>
      <c r="KID31" s="2511"/>
      <c r="KIE31" s="2511"/>
      <c r="KIF31" s="2511"/>
      <c r="KIG31" s="2511"/>
      <c r="KIH31" s="2511"/>
      <c r="KII31" s="2511"/>
      <c r="KIJ31" s="2511"/>
      <c r="KIK31" s="2511"/>
      <c r="KIL31" s="2511"/>
      <c r="KIM31" s="2511"/>
      <c r="KIN31" s="2511"/>
      <c r="KIO31" s="2511"/>
      <c r="KIP31" s="2511"/>
      <c r="KIQ31" s="2511"/>
      <c r="KIR31" s="2511"/>
      <c r="KIS31" s="2511"/>
      <c r="KIT31" s="2511"/>
      <c r="KIU31" s="2511"/>
      <c r="KIV31" s="2511"/>
      <c r="KIW31" s="2511"/>
      <c r="KIX31" s="2511"/>
      <c r="KIY31" s="2511"/>
      <c r="KIZ31" s="2511"/>
      <c r="KJA31" s="2511"/>
      <c r="KJB31" s="2511"/>
      <c r="KJC31" s="2511"/>
      <c r="KJD31" s="2511"/>
      <c r="KJE31" s="2511"/>
      <c r="KJF31" s="2511"/>
      <c r="KJG31" s="2511"/>
      <c r="KJH31" s="2511"/>
      <c r="KJI31" s="2511"/>
      <c r="KJJ31" s="2511"/>
      <c r="KJK31" s="2511"/>
      <c r="KJL31" s="2511"/>
      <c r="KJM31" s="2511"/>
      <c r="KJN31" s="2511"/>
      <c r="KJO31" s="2511"/>
      <c r="KJP31" s="2511"/>
      <c r="KJQ31" s="2511"/>
      <c r="KJR31" s="2511"/>
      <c r="KJS31" s="2511"/>
      <c r="KJT31" s="2511"/>
      <c r="KJU31" s="2511"/>
      <c r="KJV31" s="2511"/>
      <c r="KJW31" s="2511"/>
      <c r="KJX31" s="2511"/>
      <c r="KJY31" s="2511"/>
      <c r="KJZ31" s="2511"/>
      <c r="KKA31" s="2511"/>
      <c r="KKB31" s="2511"/>
      <c r="KKC31" s="2511"/>
      <c r="KKD31" s="2511"/>
      <c r="KKE31" s="2511"/>
      <c r="KKF31" s="2511"/>
      <c r="KKG31" s="2511"/>
      <c r="KKH31" s="2511"/>
      <c r="KKI31" s="2511"/>
      <c r="KKJ31" s="2511"/>
      <c r="KKK31" s="2511"/>
      <c r="KKL31" s="2511"/>
      <c r="KKM31" s="2511"/>
      <c r="KKN31" s="2511"/>
      <c r="KKO31" s="2511"/>
      <c r="KKP31" s="2511"/>
      <c r="KKQ31" s="2511"/>
      <c r="KKR31" s="2511"/>
      <c r="KKS31" s="2511"/>
      <c r="KKT31" s="2511"/>
      <c r="KKU31" s="2511"/>
      <c r="KKV31" s="2511"/>
      <c r="KKW31" s="2511"/>
      <c r="KKX31" s="2511"/>
      <c r="KKY31" s="2511"/>
      <c r="KKZ31" s="2511"/>
      <c r="KLA31" s="2511"/>
      <c r="KLB31" s="2511"/>
      <c r="KLC31" s="2511"/>
      <c r="KLD31" s="2511"/>
      <c r="KLE31" s="2511"/>
      <c r="KLF31" s="2511"/>
      <c r="KLG31" s="2511"/>
      <c r="KLH31" s="2511"/>
      <c r="KLI31" s="2511"/>
      <c r="KLJ31" s="2511"/>
      <c r="KLK31" s="2511"/>
      <c r="KLL31" s="2511"/>
      <c r="KLM31" s="2511"/>
      <c r="KLN31" s="2511"/>
      <c r="KLO31" s="2511"/>
      <c r="KLP31" s="2511"/>
      <c r="KLQ31" s="2511"/>
      <c r="KLR31" s="2511"/>
      <c r="KLS31" s="2511"/>
      <c r="KLT31" s="2511"/>
      <c r="KLU31" s="2511"/>
      <c r="KLV31" s="2511"/>
      <c r="KLW31" s="2511"/>
      <c r="KLX31" s="2511"/>
      <c r="KLY31" s="2511"/>
      <c r="KLZ31" s="2511"/>
      <c r="KMA31" s="2511"/>
      <c r="KMB31" s="2511"/>
      <c r="KMC31" s="2511"/>
      <c r="KMD31" s="2511"/>
      <c r="KME31" s="2511"/>
      <c r="KMF31" s="2511"/>
      <c r="KMG31" s="2511"/>
      <c r="KMH31" s="2511"/>
      <c r="KMI31" s="2511"/>
      <c r="KMJ31" s="2511"/>
      <c r="KMK31" s="2511"/>
      <c r="KML31" s="2511"/>
      <c r="KMM31" s="2511"/>
      <c r="KMN31" s="2511"/>
      <c r="KMO31" s="2511"/>
      <c r="KMP31" s="2511"/>
      <c r="KMQ31" s="2511"/>
      <c r="KMR31" s="2511"/>
      <c r="KMS31" s="2511"/>
      <c r="KMT31" s="2511"/>
      <c r="KMU31" s="2511"/>
      <c r="KMV31" s="2511"/>
      <c r="KMW31" s="2511"/>
      <c r="KMX31" s="2511"/>
      <c r="KMY31" s="2511"/>
      <c r="KMZ31" s="2511"/>
      <c r="KNA31" s="2511"/>
      <c r="KNB31" s="2511"/>
      <c r="KNC31" s="2511"/>
      <c r="KND31" s="2511"/>
      <c r="KNE31" s="2511"/>
      <c r="KNF31" s="2511"/>
      <c r="KNG31" s="2511"/>
      <c r="KNH31" s="2511"/>
      <c r="KNI31" s="2511"/>
      <c r="KNJ31" s="2511"/>
      <c r="KNK31" s="2511"/>
      <c r="KNL31" s="2511"/>
      <c r="KNM31" s="2511"/>
      <c r="KNN31" s="2511"/>
      <c r="KNO31" s="2511"/>
      <c r="KNP31" s="2511"/>
      <c r="KNQ31" s="2511"/>
      <c r="KNR31" s="2511"/>
      <c r="KNS31" s="2511"/>
      <c r="KNT31" s="2511"/>
      <c r="KNU31" s="2511"/>
      <c r="KNV31" s="2511"/>
      <c r="KNW31" s="2511"/>
      <c r="KNX31" s="2511"/>
      <c r="KNY31" s="2511"/>
      <c r="KNZ31" s="2511"/>
      <c r="KOA31" s="2511"/>
      <c r="KOB31" s="2511"/>
      <c r="KOC31" s="2511"/>
      <c r="KOD31" s="2511"/>
      <c r="KOE31" s="2511"/>
      <c r="KOF31" s="2511"/>
      <c r="KOG31" s="2511"/>
      <c r="KOH31" s="2511"/>
      <c r="KOI31" s="2511"/>
      <c r="KOJ31" s="2511"/>
      <c r="KOK31" s="2511"/>
      <c r="KOL31" s="2511"/>
      <c r="KOM31" s="2511"/>
      <c r="KON31" s="2511"/>
      <c r="KOO31" s="2511"/>
      <c r="KOP31" s="2511"/>
      <c r="KOQ31" s="2511"/>
      <c r="KOR31" s="2511"/>
      <c r="KOS31" s="2511"/>
      <c r="KOT31" s="2511"/>
      <c r="KOU31" s="2511"/>
      <c r="KOV31" s="2511"/>
      <c r="KOW31" s="2511"/>
      <c r="KOX31" s="2511"/>
      <c r="KOY31" s="2511"/>
      <c r="KOZ31" s="2511"/>
      <c r="KPA31" s="2511"/>
      <c r="KPB31" s="2511"/>
      <c r="KPC31" s="2511"/>
      <c r="KPD31" s="2511"/>
      <c r="KPE31" s="2511"/>
      <c r="KPF31" s="2511"/>
      <c r="KPG31" s="2511"/>
      <c r="KPH31" s="2511"/>
      <c r="KPI31" s="2511"/>
      <c r="KPJ31" s="2511"/>
      <c r="KPK31" s="2511"/>
      <c r="KPL31" s="2511"/>
      <c r="KPM31" s="2511"/>
      <c r="KPN31" s="2511"/>
      <c r="KPO31" s="2511"/>
      <c r="KPP31" s="2511"/>
      <c r="KPQ31" s="2511"/>
      <c r="KPR31" s="2511"/>
      <c r="KPS31" s="2511"/>
      <c r="KPT31" s="2511"/>
      <c r="KPU31" s="2511"/>
      <c r="KPV31" s="2511"/>
      <c r="KPW31" s="2511"/>
      <c r="KPX31" s="2511"/>
      <c r="KPY31" s="2511"/>
      <c r="KPZ31" s="2511"/>
      <c r="KQA31" s="2511"/>
      <c r="KQB31" s="2511"/>
      <c r="KQC31" s="2511"/>
      <c r="KQD31" s="2511"/>
      <c r="KQE31" s="2511"/>
      <c r="KQF31" s="2511"/>
      <c r="KQG31" s="2511"/>
      <c r="KQH31" s="2511"/>
      <c r="KQI31" s="2511"/>
      <c r="KQJ31" s="2511"/>
      <c r="KQK31" s="2511"/>
      <c r="KQL31" s="2511"/>
      <c r="KQM31" s="2511"/>
      <c r="KQN31" s="2511"/>
      <c r="KQO31" s="2511"/>
      <c r="KQP31" s="2511"/>
      <c r="KQQ31" s="2511"/>
      <c r="KQR31" s="2511"/>
      <c r="KQS31" s="2511"/>
      <c r="KQT31" s="2511"/>
      <c r="KQU31" s="2511"/>
      <c r="KQV31" s="2511"/>
      <c r="KQW31" s="2511"/>
      <c r="KQX31" s="2511"/>
      <c r="KQY31" s="2511"/>
      <c r="KQZ31" s="2511"/>
      <c r="KRA31" s="2511"/>
      <c r="KRB31" s="2511"/>
      <c r="KRC31" s="2511"/>
      <c r="KRD31" s="2511"/>
      <c r="KRE31" s="2511"/>
      <c r="KRF31" s="2511"/>
      <c r="KRG31" s="2511"/>
      <c r="KRH31" s="2511"/>
      <c r="KRI31" s="2511"/>
      <c r="KRJ31" s="2511"/>
      <c r="KRK31" s="2511"/>
      <c r="KRL31" s="2511"/>
      <c r="KRM31" s="2511"/>
      <c r="KRN31" s="2511"/>
      <c r="KRO31" s="2511"/>
      <c r="KRP31" s="2511"/>
      <c r="KRQ31" s="2511"/>
      <c r="KRR31" s="2511"/>
      <c r="KRS31" s="2511"/>
      <c r="KRT31" s="2511"/>
      <c r="KRU31" s="2511"/>
      <c r="KRV31" s="2511"/>
      <c r="KRW31" s="2511"/>
      <c r="KRX31" s="2511"/>
      <c r="KRY31" s="2511"/>
      <c r="KRZ31" s="2511"/>
      <c r="KSA31" s="2511"/>
      <c r="KSB31" s="2511"/>
      <c r="KSC31" s="2511"/>
      <c r="KSD31" s="2511"/>
      <c r="KSE31" s="2511"/>
      <c r="KSF31" s="2511"/>
      <c r="KSG31" s="2511"/>
      <c r="KSH31" s="2511"/>
      <c r="KSI31" s="2511"/>
      <c r="KSJ31" s="2511"/>
      <c r="KSK31" s="2511"/>
      <c r="KSL31" s="2511"/>
      <c r="KSM31" s="2511"/>
      <c r="KSN31" s="2511"/>
      <c r="KSO31" s="2511"/>
      <c r="KSP31" s="2511"/>
      <c r="KSQ31" s="2511"/>
      <c r="KSR31" s="2511"/>
      <c r="KSS31" s="2511"/>
      <c r="KST31" s="2511"/>
      <c r="KSU31" s="2511"/>
      <c r="KSV31" s="2511"/>
      <c r="KSW31" s="2511"/>
      <c r="KSX31" s="2511"/>
      <c r="KSY31" s="2511"/>
      <c r="KSZ31" s="2511"/>
      <c r="KTA31" s="2511"/>
      <c r="KTB31" s="2511"/>
      <c r="KTC31" s="2511"/>
      <c r="KTD31" s="2511"/>
      <c r="KTE31" s="2511"/>
      <c r="KTF31" s="2511"/>
      <c r="KTG31" s="2511"/>
      <c r="KTH31" s="2511"/>
      <c r="KTI31" s="2511"/>
      <c r="KTJ31" s="2511"/>
      <c r="KTK31" s="2511"/>
      <c r="KTL31" s="2511"/>
      <c r="KTM31" s="2511"/>
      <c r="KTN31" s="2511"/>
      <c r="KTO31" s="2511"/>
      <c r="KTP31" s="2511"/>
      <c r="KTQ31" s="2511"/>
      <c r="KTR31" s="2511"/>
      <c r="KTS31" s="2511"/>
      <c r="KTT31" s="2511"/>
      <c r="KTU31" s="2511"/>
      <c r="KTV31" s="2511"/>
      <c r="KTW31" s="2511"/>
      <c r="KTX31" s="2511"/>
      <c r="KTY31" s="2511"/>
      <c r="KTZ31" s="2511"/>
      <c r="KUA31" s="2511"/>
      <c r="KUB31" s="2511"/>
      <c r="KUC31" s="2511"/>
      <c r="KUD31" s="2511"/>
      <c r="KUE31" s="2511"/>
      <c r="KUF31" s="2511"/>
      <c r="KUG31" s="2511"/>
      <c r="KUH31" s="2511"/>
      <c r="KUI31" s="2511"/>
      <c r="KUJ31" s="2511"/>
      <c r="KUK31" s="2511"/>
      <c r="KUL31" s="2511"/>
      <c r="KUM31" s="2511"/>
      <c r="KUN31" s="2511"/>
      <c r="KUO31" s="2511"/>
      <c r="KUP31" s="2511"/>
      <c r="KUQ31" s="2511"/>
      <c r="KUR31" s="2511"/>
      <c r="KUS31" s="2511"/>
      <c r="KUT31" s="2511"/>
      <c r="KUU31" s="2511"/>
      <c r="KUV31" s="2511"/>
      <c r="KUW31" s="2511"/>
      <c r="KUX31" s="2511"/>
      <c r="KUY31" s="2511"/>
      <c r="KUZ31" s="2511"/>
      <c r="KVA31" s="2511"/>
      <c r="KVB31" s="2511"/>
      <c r="KVC31" s="2511"/>
      <c r="KVD31" s="2511"/>
      <c r="KVE31" s="2511"/>
      <c r="KVF31" s="2511"/>
      <c r="KVG31" s="2511"/>
      <c r="KVH31" s="2511"/>
      <c r="KVI31" s="2511"/>
      <c r="KVJ31" s="2511"/>
      <c r="KVK31" s="2511"/>
      <c r="KVL31" s="2511"/>
      <c r="KVM31" s="2511"/>
      <c r="KVN31" s="2511"/>
      <c r="KVO31" s="2511"/>
      <c r="KVP31" s="2511"/>
      <c r="KVQ31" s="2511"/>
      <c r="KVR31" s="2511"/>
      <c r="KVS31" s="2511"/>
      <c r="KVT31" s="2511"/>
      <c r="KVU31" s="2511"/>
      <c r="KVV31" s="2511"/>
      <c r="KVW31" s="2511"/>
      <c r="KVX31" s="2511"/>
      <c r="KVY31" s="2511"/>
      <c r="KVZ31" s="2511"/>
      <c r="KWA31" s="2511"/>
      <c r="KWB31" s="2511"/>
      <c r="KWC31" s="2511"/>
      <c r="KWD31" s="2511"/>
      <c r="KWE31" s="2511"/>
      <c r="KWF31" s="2511"/>
      <c r="KWG31" s="2511"/>
      <c r="KWH31" s="2511"/>
      <c r="KWI31" s="2511"/>
      <c r="KWJ31" s="2511"/>
      <c r="KWK31" s="2511"/>
      <c r="KWL31" s="2511"/>
      <c r="KWM31" s="2511"/>
      <c r="KWN31" s="2511"/>
      <c r="KWO31" s="2511"/>
      <c r="KWP31" s="2511"/>
      <c r="KWQ31" s="2511"/>
      <c r="KWR31" s="2511"/>
      <c r="KWS31" s="2511"/>
      <c r="KWT31" s="2511"/>
      <c r="KWU31" s="2511"/>
      <c r="KWV31" s="2511"/>
      <c r="KWW31" s="2511"/>
      <c r="KWX31" s="2511"/>
      <c r="KWY31" s="2511"/>
      <c r="KWZ31" s="2511"/>
      <c r="KXA31" s="2511"/>
      <c r="KXB31" s="2511"/>
      <c r="KXC31" s="2511"/>
      <c r="KXD31" s="2511"/>
      <c r="KXE31" s="2511"/>
      <c r="KXF31" s="2511"/>
      <c r="KXG31" s="2511"/>
      <c r="KXH31" s="2511"/>
      <c r="KXI31" s="2511"/>
      <c r="KXJ31" s="2511"/>
      <c r="KXK31" s="2511"/>
      <c r="KXL31" s="2511"/>
      <c r="KXM31" s="2511"/>
      <c r="KXN31" s="2511"/>
      <c r="KXO31" s="2511"/>
      <c r="KXP31" s="2511"/>
      <c r="KXQ31" s="2511"/>
      <c r="KXR31" s="2511"/>
      <c r="KXS31" s="2511"/>
      <c r="KXT31" s="2511"/>
      <c r="KXU31" s="2511"/>
      <c r="KXV31" s="2511"/>
      <c r="KXW31" s="2511"/>
      <c r="KXX31" s="2511"/>
      <c r="KXY31" s="2511"/>
      <c r="KXZ31" s="2511"/>
      <c r="KYA31" s="2511"/>
      <c r="KYB31" s="2511"/>
      <c r="KYC31" s="2511"/>
      <c r="KYD31" s="2511"/>
      <c r="KYE31" s="2511"/>
      <c r="KYF31" s="2511"/>
      <c r="KYG31" s="2511"/>
      <c r="KYH31" s="2511"/>
      <c r="KYI31" s="2511"/>
      <c r="KYJ31" s="2511"/>
      <c r="KYK31" s="2511"/>
      <c r="KYL31" s="2511"/>
      <c r="KYM31" s="2511"/>
      <c r="KYN31" s="2511"/>
      <c r="KYO31" s="2511"/>
      <c r="KYP31" s="2511"/>
      <c r="KYQ31" s="2511"/>
      <c r="KYR31" s="2511"/>
      <c r="KYS31" s="2511"/>
      <c r="KYT31" s="2511"/>
      <c r="KYU31" s="2511"/>
      <c r="KYV31" s="2511"/>
      <c r="KYW31" s="2511"/>
      <c r="KYX31" s="2511"/>
      <c r="KYY31" s="2511"/>
      <c r="KYZ31" s="2511"/>
      <c r="KZA31" s="2511"/>
      <c r="KZB31" s="2511"/>
      <c r="KZC31" s="2511"/>
      <c r="KZD31" s="2511"/>
      <c r="KZE31" s="2511"/>
      <c r="KZF31" s="2511"/>
      <c r="KZG31" s="2511"/>
      <c r="KZH31" s="2511"/>
      <c r="KZI31" s="2511"/>
      <c r="KZJ31" s="2511"/>
      <c r="KZK31" s="2511"/>
      <c r="KZL31" s="2511"/>
      <c r="KZM31" s="2511"/>
      <c r="KZN31" s="2511"/>
      <c r="KZO31" s="2511"/>
      <c r="KZP31" s="2511"/>
      <c r="KZQ31" s="2511"/>
      <c r="KZR31" s="2511"/>
      <c r="KZS31" s="2511"/>
      <c r="KZT31" s="2511"/>
      <c r="KZU31" s="2511"/>
      <c r="KZV31" s="2511"/>
      <c r="KZW31" s="2511"/>
      <c r="KZX31" s="2511"/>
      <c r="KZY31" s="2511"/>
      <c r="KZZ31" s="2511"/>
      <c r="LAA31" s="2511"/>
      <c r="LAB31" s="2511"/>
      <c r="LAC31" s="2511"/>
      <c r="LAD31" s="2511"/>
      <c r="LAE31" s="2511"/>
      <c r="LAF31" s="2511"/>
      <c r="LAG31" s="2511"/>
      <c r="LAH31" s="2511"/>
      <c r="LAI31" s="2511"/>
      <c r="LAJ31" s="2511"/>
      <c r="LAK31" s="2511"/>
      <c r="LAL31" s="2511"/>
      <c r="LAM31" s="2511"/>
      <c r="LAN31" s="2511"/>
      <c r="LAO31" s="2511"/>
      <c r="LAP31" s="2511"/>
      <c r="LAQ31" s="2511"/>
      <c r="LAR31" s="2511"/>
      <c r="LAS31" s="2511"/>
      <c r="LAT31" s="2511"/>
      <c r="LAU31" s="2511"/>
      <c r="LAV31" s="2511"/>
      <c r="LAW31" s="2511"/>
      <c r="LAX31" s="2511"/>
      <c r="LAY31" s="2511"/>
      <c r="LAZ31" s="2511"/>
      <c r="LBA31" s="2511"/>
      <c r="LBB31" s="2511"/>
      <c r="LBC31" s="2511"/>
      <c r="LBD31" s="2511"/>
      <c r="LBE31" s="2511"/>
      <c r="LBF31" s="2511"/>
      <c r="LBG31" s="2511"/>
      <c r="LBH31" s="2511"/>
      <c r="LBI31" s="2511"/>
      <c r="LBJ31" s="2511"/>
      <c r="LBK31" s="2511"/>
      <c r="LBL31" s="2511"/>
      <c r="LBM31" s="2511"/>
      <c r="LBN31" s="2511"/>
      <c r="LBO31" s="2511"/>
      <c r="LBP31" s="2511"/>
      <c r="LBQ31" s="2511"/>
      <c r="LBR31" s="2511"/>
      <c r="LBS31" s="2511"/>
      <c r="LBT31" s="2511"/>
      <c r="LBU31" s="2511"/>
      <c r="LBV31" s="2511"/>
      <c r="LBW31" s="2511"/>
      <c r="LBX31" s="2511"/>
      <c r="LBY31" s="2511"/>
      <c r="LBZ31" s="2511"/>
      <c r="LCA31" s="2511"/>
      <c r="LCB31" s="2511"/>
      <c r="LCC31" s="2511"/>
      <c r="LCD31" s="2511"/>
      <c r="LCE31" s="2511"/>
      <c r="LCF31" s="2511"/>
      <c r="LCG31" s="2511"/>
      <c r="LCH31" s="2511"/>
      <c r="LCI31" s="2511"/>
      <c r="LCJ31" s="2511"/>
      <c r="LCK31" s="2511"/>
      <c r="LCL31" s="2511"/>
      <c r="LCM31" s="2511"/>
      <c r="LCN31" s="2511"/>
      <c r="LCO31" s="2511"/>
      <c r="LCP31" s="2511"/>
      <c r="LCQ31" s="2511"/>
      <c r="LCR31" s="2511"/>
      <c r="LCS31" s="2511"/>
      <c r="LCT31" s="2511"/>
      <c r="LCU31" s="2511"/>
      <c r="LCV31" s="2511"/>
      <c r="LCW31" s="2511"/>
      <c r="LCX31" s="2511"/>
      <c r="LCY31" s="2511"/>
      <c r="LCZ31" s="2511"/>
      <c r="LDA31" s="2511"/>
      <c r="LDB31" s="2511"/>
      <c r="LDC31" s="2511"/>
      <c r="LDD31" s="2511"/>
      <c r="LDE31" s="2511"/>
      <c r="LDF31" s="2511"/>
      <c r="LDG31" s="2511"/>
      <c r="LDH31" s="2511"/>
      <c r="LDI31" s="2511"/>
      <c r="LDJ31" s="2511"/>
      <c r="LDK31" s="2511"/>
      <c r="LDL31" s="2511"/>
      <c r="LDM31" s="2511"/>
      <c r="LDN31" s="2511"/>
      <c r="LDO31" s="2511"/>
      <c r="LDP31" s="2511"/>
      <c r="LDQ31" s="2511"/>
      <c r="LDR31" s="2511"/>
      <c r="LDS31" s="2511"/>
      <c r="LDT31" s="2511"/>
      <c r="LDU31" s="2511"/>
      <c r="LDV31" s="2511"/>
      <c r="LDW31" s="2511"/>
      <c r="LDX31" s="2511"/>
      <c r="LDY31" s="2511"/>
      <c r="LDZ31" s="2511"/>
      <c r="LEA31" s="2511"/>
      <c r="LEB31" s="2511"/>
      <c r="LEC31" s="2511"/>
      <c r="LED31" s="2511"/>
      <c r="LEE31" s="2511"/>
      <c r="LEF31" s="2511"/>
      <c r="LEG31" s="2511"/>
      <c r="LEH31" s="2511"/>
      <c r="LEI31" s="2511"/>
      <c r="LEJ31" s="2511"/>
      <c r="LEK31" s="2511"/>
      <c r="LEL31" s="2511"/>
      <c r="LEM31" s="2511"/>
      <c r="LEN31" s="2511"/>
      <c r="LEO31" s="2511"/>
      <c r="LEP31" s="2511"/>
      <c r="LEQ31" s="2511"/>
      <c r="LER31" s="2511"/>
      <c r="LES31" s="2511"/>
      <c r="LET31" s="2511"/>
      <c r="LEU31" s="2511"/>
      <c r="LEV31" s="2511"/>
      <c r="LEW31" s="2511"/>
      <c r="LEX31" s="2511"/>
      <c r="LEY31" s="2511"/>
      <c r="LEZ31" s="2511"/>
      <c r="LFA31" s="2511"/>
      <c r="LFB31" s="2511"/>
      <c r="LFC31" s="2511"/>
      <c r="LFD31" s="2511"/>
      <c r="LFE31" s="2511"/>
      <c r="LFF31" s="2511"/>
      <c r="LFG31" s="2511"/>
      <c r="LFH31" s="2511"/>
      <c r="LFI31" s="2511"/>
      <c r="LFJ31" s="2511"/>
      <c r="LFK31" s="2511"/>
      <c r="LFL31" s="2511"/>
      <c r="LFM31" s="2511"/>
      <c r="LFN31" s="2511"/>
      <c r="LFO31" s="2511"/>
      <c r="LFP31" s="2511"/>
      <c r="LFQ31" s="2511"/>
      <c r="LFR31" s="2511"/>
      <c r="LFS31" s="2511"/>
      <c r="LFT31" s="2511"/>
      <c r="LFU31" s="2511"/>
      <c r="LFV31" s="2511"/>
      <c r="LFW31" s="2511"/>
      <c r="LFX31" s="2511"/>
      <c r="LFY31" s="2511"/>
      <c r="LFZ31" s="2511"/>
      <c r="LGA31" s="2511"/>
      <c r="LGB31" s="2511"/>
      <c r="LGC31" s="2511"/>
      <c r="LGD31" s="2511"/>
      <c r="LGE31" s="2511"/>
      <c r="LGF31" s="2511"/>
      <c r="LGG31" s="2511"/>
      <c r="LGH31" s="2511"/>
      <c r="LGI31" s="2511"/>
      <c r="LGJ31" s="2511"/>
      <c r="LGK31" s="2511"/>
      <c r="LGL31" s="2511"/>
      <c r="LGM31" s="2511"/>
      <c r="LGN31" s="2511"/>
      <c r="LGO31" s="2511"/>
      <c r="LGP31" s="2511"/>
      <c r="LGQ31" s="2511"/>
      <c r="LGR31" s="2511"/>
      <c r="LGS31" s="2511"/>
      <c r="LGT31" s="2511"/>
      <c r="LGU31" s="2511"/>
      <c r="LGV31" s="2511"/>
      <c r="LGW31" s="2511"/>
      <c r="LGX31" s="2511"/>
      <c r="LGY31" s="2511"/>
      <c r="LGZ31" s="2511"/>
      <c r="LHA31" s="2511"/>
      <c r="LHB31" s="2511"/>
      <c r="LHC31" s="2511"/>
      <c r="LHD31" s="2511"/>
      <c r="LHE31" s="2511"/>
      <c r="LHF31" s="2511"/>
      <c r="LHG31" s="2511"/>
      <c r="LHH31" s="2511"/>
      <c r="LHI31" s="2511"/>
      <c r="LHJ31" s="2511"/>
      <c r="LHK31" s="2511"/>
      <c r="LHL31" s="2511"/>
      <c r="LHM31" s="2511"/>
      <c r="LHN31" s="2511"/>
      <c r="LHO31" s="2511"/>
      <c r="LHP31" s="2511"/>
      <c r="LHQ31" s="2511"/>
      <c r="LHR31" s="2511"/>
      <c r="LHS31" s="2511"/>
      <c r="LHT31" s="2511"/>
      <c r="LHU31" s="2511"/>
      <c r="LHV31" s="2511"/>
      <c r="LHW31" s="2511"/>
      <c r="LHX31" s="2511"/>
      <c r="LHY31" s="2511"/>
      <c r="LHZ31" s="2511"/>
      <c r="LIA31" s="2511"/>
      <c r="LIB31" s="2511"/>
      <c r="LIC31" s="2511"/>
      <c r="LID31" s="2511"/>
      <c r="LIE31" s="2511"/>
      <c r="LIF31" s="2511"/>
      <c r="LIG31" s="2511"/>
      <c r="LIH31" s="2511"/>
      <c r="LII31" s="2511"/>
      <c r="LIJ31" s="2511"/>
      <c r="LIK31" s="2511"/>
      <c r="LIL31" s="2511"/>
      <c r="LIM31" s="2511"/>
      <c r="LIN31" s="2511"/>
      <c r="LIO31" s="2511"/>
      <c r="LIP31" s="2511"/>
      <c r="LIQ31" s="2511"/>
      <c r="LIR31" s="2511"/>
      <c r="LIS31" s="2511"/>
      <c r="LIT31" s="2511"/>
      <c r="LIU31" s="2511"/>
      <c r="LIV31" s="2511"/>
      <c r="LIW31" s="2511"/>
      <c r="LIX31" s="2511"/>
      <c r="LIY31" s="2511"/>
      <c r="LIZ31" s="2511"/>
      <c r="LJA31" s="2511"/>
      <c r="LJB31" s="2511"/>
      <c r="LJC31" s="2511"/>
      <c r="LJD31" s="2511"/>
      <c r="LJE31" s="2511"/>
      <c r="LJF31" s="2511"/>
      <c r="LJG31" s="2511"/>
      <c r="LJH31" s="2511"/>
      <c r="LJI31" s="2511"/>
      <c r="LJJ31" s="2511"/>
      <c r="LJK31" s="2511"/>
      <c r="LJL31" s="2511"/>
      <c r="LJM31" s="2511"/>
      <c r="LJN31" s="2511"/>
      <c r="LJO31" s="2511"/>
      <c r="LJP31" s="2511"/>
      <c r="LJQ31" s="2511"/>
      <c r="LJR31" s="2511"/>
      <c r="LJS31" s="2511"/>
      <c r="LJT31" s="2511"/>
      <c r="LJU31" s="2511"/>
      <c r="LJV31" s="2511"/>
      <c r="LJW31" s="2511"/>
      <c r="LJX31" s="2511"/>
      <c r="LJY31" s="2511"/>
      <c r="LJZ31" s="2511"/>
      <c r="LKA31" s="2511"/>
      <c r="LKB31" s="2511"/>
      <c r="LKC31" s="2511"/>
      <c r="LKD31" s="2511"/>
      <c r="LKE31" s="2511"/>
      <c r="LKF31" s="2511"/>
      <c r="LKG31" s="2511"/>
      <c r="LKH31" s="2511"/>
      <c r="LKI31" s="2511"/>
      <c r="LKJ31" s="2511"/>
      <c r="LKK31" s="2511"/>
      <c r="LKL31" s="2511"/>
      <c r="LKM31" s="2511"/>
      <c r="LKN31" s="2511"/>
      <c r="LKO31" s="2511"/>
      <c r="LKP31" s="2511"/>
      <c r="LKQ31" s="2511"/>
      <c r="LKR31" s="2511"/>
      <c r="LKS31" s="2511"/>
      <c r="LKT31" s="2511"/>
      <c r="LKU31" s="2511"/>
      <c r="LKV31" s="2511"/>
      <c r="LKW31" s="2511"/>
      <c r="LKX31" s="2511"/>
      <c r="LKY31" s="2511"/>
      <c r="LKZ31" s="2511"/>
      <c r="LLA31" s="2511"/>
      <c r="LLB31" s="2511"/>
      <c r="LLC31" s="2511"/>
      <c r="LLD31" s="2511"/>
      <c r="LLE31" s="2511"/>
      <c r="LLF31" s="2511"/>
      <c r="LLG31" s="2511"/>
      <c r="LLH31" s="2511"/>
      <c r="LLI31" s="2511"/>
      <c r="LLJ31" s="2511"/>
      <c r="LLK31" s="2511"/>
      <c r="LLL31" s="2511"/>
      <c r="LLM31" s="2511"/>
      <c r="LLN31" s="2511"/>
      <c r="LLO31" s="2511"/>
      <c r="LLP31" s="2511"/>
      <c r="LLQ31" s="2511"/>
      <c r="LLR31" s="2511"/>
      <c r="LLS31" s="2511"/>
      <c r="LLT31" s="2511"/>
      <c r="LLU31" s="2511"/>
      <c r="LLV31" s="2511"/>
      <c r="LLW31" s="2511"/>
      <c r="LLX31" s="2511"/>
      <c r="LLY31" s="2511"/>
      <c r="LLZ31" s="2511"/>
      <c r="LMA31" s="2511"/>
      <c r="LMB31" s="2511"/>
      <c r="LMC31" s="2511"/>
      <c r="LMD31" s="2511"/>
      <c r="LME31" s="2511"/>
      <c r="LMF31" s="2511"/>
      <c r="LMG31" s="2511"/>
      <c r="LMH31" s="2511"/>
      <c r="LMI31" s="2511"/>
      <c r="LMJ31" s="2511"/>
      <c r="LMK31" s="2511"/>
      <c r="LML31" s="2511"/>
      <c r="LMM31" s="2511"/>
      <c r="LMN31" s="2511"/>
      <c r="LMO31" s="2511"/>
      <c r="LMP31" s="2511"/>
      <c r="LMQ31" s="2511"/>
      <c r="LMR31" s="2511"/>
      <c r="LMS31" s="2511"/>
      <c r="LMT31" s="2511"/>
      <c r="LMU31" s="2511"/>
      <c r="LMV31" s="2511"/>
      <c r="LMW31" s="2511"/>
      <c r="LMX31" s="2511"/>
      <c r="LMY31" s="2511"/>
      <c r="LMZ31" s="2511"/>
      <c r="LNA31" s="2511"/>
      <c r="LNB31" s="2511"/>
      <c r="LNC31" s="2511"/>
      <c r="LND31" s="2511"/>
      <c r="LNE31" s="2511"/>
      <c r="LNF31" s="2511"/>
      <c r="LNG31" s="2511"/>
      <c r="LNH31" s="2511"/>
      <c r="LNI31" s="2511"/>
      <c r="LNJ31" s="2511"/>
      <c r="LNK31" s="2511"/>
      <c r="LNL31" s="2511"/>
      <c r="LNM31" s="2511"/>
      <c r="LNN31" s="2511"/>
      <c r="LNO31" s="2511"/>
      <c r="LNP31" s="2511"/>
      <c r="LNQ31" s="2511"/>
      <c r="LNR31" s="2511"/>
      <c r="LNS31" s="2511"/>
      <c r="LNT31" s="2511"/>
      <c r="LNU31" s="2511"/>
      <c r="LNV31" s="2511"/>
      <c r="LNW31" s="2511"/>
      <c r="LNX31" s="2511"/>
      <c r="LNY31" s="2511"/>
      <c r="LNZ31" s="2511"/>
      <c r="LOA31" s="2511"/>
      <c r="LOB31" s="2511"/>
      <c r="LOC31" s="2511"/>
      <c r="LOD31" s="2511"/>
      <c r="LOE31" s="2511"/>
      <c r="LOF31" s="2511"/>
      <c r="LOG31" s="2511"/>
      <c r="LOH31" s="2511"/>
      <c r="LOI31" s="2511"/>
      <c r="LOJ31" s="2511"/>
      <c r="LOK31" s="2511"/>
      <c r="LOL31" s="2511"/>
      <c r="LOM31" s="2511"/>
      <c r="LON31" s="2511"/>
      <c r="LOO31" s="2511"/>
      <c r="LOP31" s="2511"/>
      <c r="LOQ31" s="2511"/>
      <c r="LOR31" s="2511"/>
      <c r="LOS31" s="2511"/>
      <c r="LOT31" s="2511"/>
      <c r="LOU31" s="2511"/>
      <c r="LOV31" s="2511"/>
      <c r="LOW31" s="2511"/>
      <c r="LOX31" s="2511"/>
      <c r="LOY31" s="2511"/>
      <c r="LOZ31" s="2511"/>
      <c r="LPA31" s="2511"/>
      <c r="LPB31" s="2511"/>
      <c r="LPC31" s="2511"/>
      <c r="LPD31" s="2511"/>
      <c r="LPE31" s="2511"/>
      <c r="LPF31" s="2511"/>
      <c r="LPG31" s="2511"/>
      <c r="LPH31" s="2511"/>
      <c r="LPI31" s="2511"/>
      <c r="LPJ31" s="2511"/>
      <c r="LPK31" s="2511"/>
      <c r="LPL31" s="2511"/>
      <c r="LPM31" s="2511"/>
      <c r="LPN31" s="2511"/>
      <c r="LPO31" s="2511"/>
      <c r="LPP31" s="2511"/>
      <c r="LPQ31" s="2511"/>
      <c r="LPR31" s="2511"/>
      <c r="LPS31" s="2511"/>
      <c r="LPT31" s="2511"/>
      <c r="LPU31" s="2511"/>
      <c r="LPV31" s="2511"/>
      <c r="LPW31" s="2511"/>
      <c r="LPX31" s="2511"/>
      <c r="LPY31" s="2511"/>
      <c r="LPZ31" s="2511"/>
      <c r="LQA31" s="2511"/>
      <c r="LQB31" s="2511"/>
      <c r="LQC31" s="2511"/>
      <c r="LQD31" s="2511"/>
      <c r="LQE31" s="2511"/>
      <c r="LQF31" s="2511"/>
      <c r="LQG31" s="2511"/>
      <c r="LQH31" s="2511"/>
      <c r="LQI31" s="2511"/>
      <c r="LQJ31" s="2511"/>
      <c r="LQK31" s="2511"/>
      <c r="LQL31" s="2511"/>
      <c r="LQM31" s="2511"/>
      <c r="LQN31" s="2511"/>
      <c r="LQO31" s="2511"/>
      <c r="LQP31" s="2511"/>
      <c r="LQQ31" s="2511"/>
      <c r="LQR31" s="2511"/>
      <c r="LQS31" s="2511"/>
      <c r="LQT31" s="2511"/>
      <c r="LQU31" s="2511"/>
      <c r="LQV31" s="2511"/>
      <c r="LQW31" s="2511"/>
      <c r="LQX31" s="2511"/>
      <c r="LQY31" s="2511"/>
      <c r="LQZ31" s="2511"/>
      <c r="LRA31" s="2511"/>
      <c r="LRB31" s="2511"/>
      <c r="LRC31" s="2511"/>
      <c r="LRD31" s="2511"/>
      <c r="LRE31" s="2511"/>
      <c r="LRF31" s="2511"/>
      <c r="LRG31" s="2511"/>
      <c r="LRH31" s="2511"/>
      <c r="LRI31" s="2511"/>
      <c r="LRJ31" s="2511"/>
      <c r="LRK31" s="2511"/>
      <c r="LRL31" s="2511"/>
      <c r="LRM31" s="2511"/>
      <c r="LRN31" s="2511"/>
      <c r="LRO31" s="2511"/>
      <c r="LRP31" s="2511"/>
      <c r="LRQ31" s="2511"/>
      <c r="LRR31" s="2511"/>
      <c r="LRS31" s="2511"/>
      <c r="LRT31" s="2511"/>
      <c r="LRU31" s="2511"/>
      <c r="LRV31" s="2511"/>
      <c r="LRW31" s="2511"/>
      <c r="LRX31" s="2511"/>
      <c r="LRY31" s="2511"/>
      <c r="LRZ31" s="2511"/>
      <c r="LSA31" s="2511"/>
      <c r="LSB31" s="2511"/>
      <c r="LSC31" s="2511"/>
      <c r="LSD31" s="2511"/>
      <c r="LSE31" s="2511"/>
      <c r="LSF31" s="2511"/>
      <c r="LSG31" s="2511"/>
      <c r="LSH31" s="2511"/>
      <c r="LSI31" s="2511"/>
      <c r="LSJ31" s="2511"/>
      <c r="LSK31" s="2511"/>
      <c r="LSL31" s="2511"/>
      <c r="LSM31" s="2511"/>
      <c r="LSN31" s="2511"/>
      <c r="LSO31" s="2511"/>
      <c r="LSP31" s="2511"/>
      <c r="LSQ31" s="2511"/>
      <c r="LSR31" s="2511"/>
      <c r="LSS31" s="2511"/>
      <c r="LST31" s="2511"/>
      <c r="LSU31" s="2511"/>
      <c r="LSV31" s="2511"/>
      <c r="LSW31" s="2511"/>
      <c r="LSX31" s="2511"/>
      <c r="LSY31" s="2511"/>
      <c r="LSZ31" s="2511"/>
      <c r="LTA31" s="2511"/>
      <c r="LTB31" s="2511"/>
      <c r="LTC31" s="2511"/>
      <c r="LTD31" s="2511"/>
      <c r="LTE31" s="2511"/>
      <c r="LTF31" s="2511"/>
      <c r="LTG31" s="2511"/>
      <c r="LTH31" s="2511"/>
      <c r="LTI31" s="2511"/>
      <c r="LTJ31" s="2511"/>
      <c r="LTK31" s="2511"/>
      <c r="LTL31" s="2511"/>
      <c r="LTM31" s="2511"/>
      <c r="LTN31" s="2511"/>
      <c r="LTO31" s="2511"/>
      <c r="LTP31" s="2511"/>
      <c r="LTQ31" s="2511"/>
      <c r="LTR31" s="2511"/>
      <c r="LTS31" s="2511"/>
      <c r="LTT31" s="2511"/>
      <c r="LTU31" s="2511"/>
      <c r="LTV31" s="2511"/>
      <c r="LTW31" s="2511"/>
      <c r="LTX31" s="2511"/>
      <c r="LTY31" s="2511"/>
      <c r="LTZ31" s="2511"/>
      <c r="LUA31" s="2511"/>
      <c r="LUB31" s="2511"/>
      <c r="LUC31" s="2511"/>
      <c r="LUD31" s="2511"/>
      <c r="LUE31" s="2511"/>
      <c r="LUF31" s="2511"/>
      <c r="LUG31" s="2511"/>
      <c r="LUH31" s="2511"/>
      <c r="LUI31" s="2511"/>
      <c r="LUJ31" s="2511"/>
      <c r="LUK31" s="2511"/>
      <c r="LUL31" s="2511"/>
      <c r="LUM31" s="2511"/>
      <c r="LUN31" s="2511"/>
      <c r="LUO31" s="2511"/>
      <c r="LUP31" s="2511"/>
      <c r="LUQ31" s="2511"/>
      <c r="LUR31" s="2511"/>
      <c r="LUS31" s="2511"/>
      <c r="LUT31" s="2511"/>
      <c r="LUU31" s="2511"/>
      <c r="LUV31" s="2511"/>
      <c r="LUW31" s="2511"/>
      <c r="LUX31" s="2511"/>
      <c r="LUY31" s="2511"/>
      <c r="LUZ31" s="2511"/>
      <c r="LVA31" s="2511"/>
      <c r="LVB31" s="2511"/>
      <c r="LVC31" s="2511"/>
      <c r="LVD31" s="2511"/>
      <c r="LVE31" s="2511"/>
      <c r="LVF31" s="2511"/>
      <c r="LVG31" s="2511"/>
      <c r="LVH31" s="2511"/>
      <c r="LVI31" s="2511"/>
      <c r="LVJ31" s="2511"/>
      <c r="LVK31" s="2511"/>
      <c r="LVL31" s="2511"/>
      <c r="LVM31" s="2511"/>
      <c r="LVN31" s="2511"/>
      <c r="LVO31" s="2511"/>
      <c r="LVP31" s="2511"/>
      <c r="LVQ31" s="2511"/>
      <c r="LVR31" s="2511"/>
      <c r="LVS31" s="2511"/>
      <c r="LVT31" s="2511"/>
      <c r="LVU31" s="2511"/>
      <c r="LVV31" s="2511"/>
      <c r="LVW31" s="2511"/>
      <c r="LVX31" s="2511"/>
      <c r="LVY31" s="2511"/>
      <c r="LVZ31" s="2511"/>
      <c r="LWA31" s="2511"/>
      <c r="LWB31" s="2511"/>
      <c r="LWC31" s="2511"/>
      <c r="LWD31" s="2511"/>
      <c r="LWE31" s="2511"/>
      <c r="LWF31" s="2511"/>
      <c r="LWG31" s="2511"/>
      <c r="LWH31" s="2511"/>
      <c r="LWI31" s="2511"/>
      <c r="LWJ31" s="2511"/>
      <c r="LWK31" s="2511"/>
      <c r="LWL31" s="2511"/>
      <c r="LWM31" s="2511"/>
      <c r="LWN31" s="2511"/>
      <c r="LWO31" s="2511"/>
      <c r="LWP31" s="2511"/>
      <c r="LWQ31" s="2511"/>
      <c r="LWR31" s="2511"/>
      <c r="LWS31" s="2511"/>
      <c r="LWT31" s="2511"/>
      <c r="LWU31" s="2511"/>
      <c r="LWV31" s="2511"/>
      <c r="LWW31" s="2511"/>
      <c r="LWX31" s="2511"/>
      <c r="LWY31" s="2511"/>
      <c r="LWZ31" s="2511"/>
      <c r="LXA31" s="2511"/>
      <c r="LXB31" s="2511"/>
      <c r="LXC31" s="2511"/>
      <c r="LXD31" s="2511"/>
      <c r="LXE31" s="2511"/>
      <c r="LXF31" s="2511"/>
      <c r="LXG31" s="2511"/>
      <c r="LXH31" s="2511"/>
      <c r="LXI31" s="2511"/>
      <c r="LXJ31" s="2511"/>
      <c r="LXK31" s="2511"/>
      <c r="LXL31" s="2511"/>
      <c r="LXM31" s="2511"/>
      <c r="LXN31" s="2511"/>
      <c r="LXO31" s="2511"/>
      <c r="LXP31" s="2511"/>
      <c r="LXQ31" s="2511"/>
      <c r="LXR31" s="2511"/>
      <c r="LXS31" s="2511"/>
      <c r="LXT31" s="2511"/>
      <c r="LXU31" s="2511"/>
      <c r="LXV31" s="2511"/>
      <c r="LXW31" s="2511"/>
      <c r="LXX31" s="2511"/>
      <c r="LXY31" s="2511"/>
      <c r="LXZ31" s="2511"/>
      <c r="LYA31" s="2511"/>
      <c r="LYB31" s="2511"/>
      <c r="LYC31" s="2511"/>
      <c r="LYD31" s="2511"/>
      <c r="LYE31" s="2511"/>
      <c r="LYF31" s="2511"/>
      <c r="LYG31" s="2511"/>
      <c r="LYH31" s="2511"/>
      <c r="LYI31" s="2511"/>
      <c r="LYJ31" s="2511"/>
      <c r="LYK31" s="2511"/>
      <c r="LYL31" s="2511"/>
      <c r="LYM31" s="2511"/>
      <c r="LYN31" s="2511"/>
      <c r="LYO31" s="2511"/>
      <c r="LYP31" s="2511"/>
      <c r="LYQ31" s="2511"/>
      <c r="LYR31" s="2511"/>
      <c r="LYS31" s="2511"/>
      <c r="LYT31" s="2511"/>
      <c r="LYU31" s="2511"/>
      <c r="LYV31" s="2511"/>
      <c r="LYW31" s="2511"/>
      <c r="LYX31" s="2511"/>
      <c r="LYY31" s="2511"/>
      <c r="LYZ31" s="2511"/>
      <c r="LZA31" s="2511"/>
      <c r="LZB31" s="2511"/>
      <c r="LZC31" s="2511"/>
      <c r="LZD31" s="2511"/>
      <c r="LZE31" s="2511"/>
      <c r="LZF31" s="2511"/>
      <c r="LZG31" s="2511"/>
      <c r="LZH31" s="2511"/>
      <c r="LZI31" s="2511"/>
      <c r="LZJ31" s="2511"/>
      <c r="LZK31" s="2511"/>
      <c r="LZL31" s="2511"/>
      <c r="LZM31" s="2511"/>
      <c r="LZN31" s="2511"/>
      <c r="LZO31" s="2511"/>
      <c r="LZP31" s="2511"/>
      <c r="LZQ31" s="2511"/>
      <c r="LZR31" s="2511"/>
      <c r="LZS31" s="2511"/>
      <c r="LZT31" s="2511"/>
      <c r="LZU31" s="2511"/>
      <c r="LZV31" s="2511"/>
      <c r="LZW31" s="2511"/>
      <c r="LZX31" s="2511"/>
      <c r="LZY31" s="2511"/>
      <c r="LZZ31" s="2511"/>
      <c r="MAA31" s="2511"/>
      <c r="MAB31" s="2511"/>
      <c r="MAC31" s="2511"/>
      <c r="MAD31" s="2511"/>
      <c r="MAE31" s="2511"/>
      <c r="MAF31" s="2511"/>
      <c r="MAG31" s="2511"/>
      <c r="MAH31" s="2511"/>
      <c r="MAI31" s="2511"/>
      <c r="MAJ31" s="2511"/>
      <c r="MAK31" s="2511"/>
      <c r="MAL31" s="2511"/>
      <c r="MAM31" s="2511"/>
      <c r="MAN31" s="2511"/>
      <c r="MAO31" s="2511"/>
      <c r="MAP31" s="2511"/>
      <c r="MAQ31" s="2511"/>
      <c r="MAR31" s="2511"/>
      <c r="MAS31" s="2511"/>
      <c r="MAT31" s="2511"/>
      <c r="MAU31" s="2511"/>
      <c r="MAV31" s="2511"/>
      <c r="MAW31" s="2511"/>
      <c r="MAX31" s="2511"/>
      <c r="MAY31" s="2511"/>
      <c r="MAZ31" s="2511"/>
      <c r="MBA31" s="2511"/>
      <c r="MBB31" s="2511"/>
      <c r="MBC31" s="2511"/>
      <c r="MBD31" s="2511"/>
      <c r="MBE31" s="2511"/>
      <c r="MBF31" s="2511"/>
      <c r="MBG31" s="2511"/>
      <c r="MBH31" s="2511"/>
      <c r="MBI31" s="2511"/>
      <c r="MBJ31" s="2511"/>
      <c r="MBK31" s="2511"/>
      <c r="MBL31" s="2511"/>
      <c r="MBM31" s="2511"/>
      <c r="MBN31" s="2511"/>
      <c r="MBO31" s="2511"/>
      <c r="MBP31" s="2511"/>
      <c r="MBQ31" s="2511"/>
      <c r="MBR31" s="2511"/>
      <c r="MBS31" s="2511"/>
      <c r="MBT31" s="2511"/>
      <c r="MBU31" s="2511"/>
      <c r="MBV31" s="2511"/>
      <c r="MBW31" s="2511"/>
      <c r="MBX31" s="2511"/>
      <c r="MBY31" s="2511"/>
      <c r="MBZ31" s="2511"/>
      <c r="MCA31" s="2511"/>
      <c r="MCB31" s="2511"/>
      <c r="MCC31" s="2511"/>
      <c r="MCD31" s="2511"/>
      <c r="MCE31" s="2511"/>
      <c r="MCF31" s="2511"/>
      <c r="MCG31" s="2511"/>
      <c r="MCH31" s="2511"/>
      <c r="MCI31" s="2511"/>
      <c r="MCJ31" s="2511"/>
      <c r="MCK31" s="2511"/>
      <c r="MCL31" s="2511"/>
      <c r="MCM31" s="2511"/>
      <c r="MCN31" s="2511"/>
      <c r="MCO31" s="2511"/>
      <c r="MCP31" s="2511"/>
      <c r="MCQ31" s="2511"/>
      <c r="MCR31" s="2511"/>
      <c r="MCS31" s="2511"/>
      <c r="MCT31" s="2511"/>
      <c r="MCU31" s="2511"/>
      <c r="MCV31" s="2511"/>
      <c r="MCW31" s="2511"/>
      <c r="MCX31" s="2511"/>
      <c r="MCY31" s="2511"/>
      <c r="MCZ31" s="2511"/>
      <c r="MDA31" s="2511"/>
      <c r="MDB31" s="2511"/>
      <c r="MDC31" s="2511"/>
      <c r="MDD31" s="2511"/>
      <c r="MDE31" s="2511"/>
      <c r="MDF31" s="2511"/>
      <c r="MDG31" s="2511"/>
      <c r="MDH31" s="2511"/>
      <c r="MDI31" s="2511"/>
      <c r="MDJ31" s="2511"/>
      <c r="MDK31" s="2511"/>
      <c r="MDL31" s="2511"/>
      <c r="MDM31" s="2511"/>
      <c r="MDN31" s="2511"/>
      <c r="MDO31" s="2511"/>
      <c r="MDP31" s="2511"/>
      <c r="MDQ31" s="2511"/>
      <c r="MDR31" s="2511"/>
      <c r="MDS31" s="2511"/>
      <c r="MDT31" s="2511"/>
      <c r="MDU31" s="2511"/>
      <c r="MDV31" s="2511"/>
      <c r="MDW31" s="2511"/>
      <c r="MDX31" s="2511"/>
      <c r="MDY31" s="2511"/>
      <c r="MDZ31" s="2511"/>
      <c r="MEA31" s="2511"/>
      <c r="MEB31" s="2511"/>
      <c r="MEC31" s="2511"/>
      <c r="MED31" s="2511"/>
      <c r="MEE31" s="2511"/>
      <c r="MEF31" s="2511"/>
      <c r="MEG31" s="2511"/>
      <c r="MEH31" s="2511"/>
      <c r="MEI31" s="2511"/>
      <c r="MEJ31" s="2511"/>
      <c r="MEK31" s="2511"/>
      <c r="MEL31" s="2511"/>
      <c r="MEM31" s="2511"/>
      <c r="MEN31" s="2511"/>
      <c r="MEO31" s="2511"/>
      <c r="MEP31" s="2511"/>
      <c r="MEQ31" s="2511"/>
      <c r="MER31" s="2511"/>
      <c r="MES31" s="2511"/>
      <c r="MET31" s="2511"/>
      <c r="MEU31" s="2511"/>
      <c r="MEV31" s="2511"/>
      <c r="MEW31" s="2511"/>
      <c r="MEX31" s="2511"/>
      <c r="MEY31" s="2511"/>
      <c r="MEZ31" s="2511"/>
      <c r="MFA31" s="2511"/>
      <c r="MFB31" s="2511"/>
      <c r="MFC31" s="2511"/>
      <c r="MFD31" s="2511"/>
      <c r="MFE31" s="2511"/>
      <c r="MFF31" s="2511"/>
      <c r="MFG31" s="2511"/>
      <c r="MFH31" s="2511"/>
      <c r="MFI31" s="2511"/>
      <c r="MFJ31" s="2511"/>
      <c r="MFK31" s="2511"/>
      <c r="MFL31" s="2511"/>
      <c r="MFM31" s="2511"/>
      <c r="MFN31" s="2511"/>
      <c r="MFO31" s="2511"/>
      <c r="MFP31" s="2511"/>
      <c r="MFQ31" s="2511"/>
      <c r="MFR31" s="2511"/>
      <c r="MFS31" s="2511"/>
      <c r="MFT31" s="2511"/>
      <c r="MFU31" s="2511"/>
      <c r="MFV31" s="2511"/>
      <c r="MFW31" s="2511"/>
      <c r="MFX31" s="2511"/>
      <c r="MFY31" s="2511"/>
      <c r="MFZ31" s="2511"/>
      <c r="MGA31" s="2511"/>
      <c r="MGB31" s="2511"/>
      <c r="MGC31" s="2511"/>
      <c r="MGD31" s="2511"/>
      <c r="MGE31" s="2511"/>
      <c r="MGF31" s="2511"/>
      <c r="MGG31" s="2511"/>
      <c r="MGH31" s="2511"/>
      <c r="MGI31" s="2511"/>
      <c r="MGJ31" s="2511"/>
      <c r="MGK31" s="2511"/>
      <c r="MGL31" s="2511"/>
      <c r="MGM31" s="2511"/>
      <c r="MGN31" s="2511"/>
      <c r="MGO31" s="2511"/>
      <c r="MGP31" s="2511"/>
      <c r="MGQ31" s="2511"/>
      <c r="MGR31" s="2511"/>
      <c r="MGS31" s="2511"/>
      <c r="MGT31" s="2511"/>
      <c r="MGU31" s="2511"/>
      <c r="MGV31" s="2511"/>
      <c r="MGW31" s="2511"/>
      <c r="MGX31" s="2511"/>
      <c r="MGY31" s="2511"/>
      <c r="MGZ31" s="2511"/>
      <c r="MHA31" s="2511"/>
      <c r="MHB31" s="2511"/>
      <c r="MHC31" s="2511"/>
      <c r="MHD31" s="2511"/>
      <c r="MHE31" s="2511"/>
      <c r="MHF31" s="2511"/>
      <c r="MHG31" s="2511"/>
      <c r="MHH31" s="2511"/>
      <c r="MHI31" s="2511"/>
      <c r="MHJ31" s="2511"/>
      <c r="MHK31" s="2511"/>
      <c r="MHL31" s="2511"/>
      <c r="MHM31" s="2511"/>
      <c r="MHN31" s="2511"/>
      <c r="MHO31" s="2511"/>
      <c r="MHP31" s="2511"/>
      <c r="MHQ31" s="2511"/>
      <c r="MHR31" s="2511"/>
      <c r="MHS31" s="2511"/>
      <c r="MHT31" s="2511"/>
      <c r="MHU31" s="2511"/>
      <c r="MHV31" s="2511"/>
      <c r="MHW31" s="2511"/>
      <c r="MHX31" s="2511"/>
      <c r="MHY31" s="2511"/>
      <c r="MHZ31" s="2511"/>
      <c r="MIA31" s="2511"/>
      <c r="MIB31" s="2511"/>
      <c r="MIC31" s="2511"/>
      <c r="MID31" s="2511"/>
      <c r="MIE31" s="2511"/>
      <c r="MIF31" s="2511"/>
      <c r="MIG31" s="2511"/>
      <c r="MIH31" s="2511"/>
      <c r="MII31" s="2511"/>
      <c r="MIJ31" s="2511"/>
      <c r="MIK31" s="2511"/>
      <c r="MIL31" s="2511"/>
      <c r="MIM31" s="2511"/>
      <c r="MIN31" s="2511"/>
      <c r="MIO31" s="2511"/>
      <c r="MIP31" s="2511"/>
      <c r="MIQ31" s="2511"/>
      <c r="MIR31" s="2511"/>
      <c r="MIS31" s="2511"/>
      <c r="MIT31" s="2511"/>
      <c r="MIU31" s="2511"/>
      <c r="MIV31" s="2511"/>
      <c r="MIW31" s="2511"/>
      <c r="MIX31" s="2511"/>
      <c r="MIY31" s="2511"/>
      <c r="MIZ31" s="2511"/>
      <c r="MJA31" s="2511"/>
      <c r="MJB31" s="2511"/>
      <c r="MJC31" s="2511"/>
      <c r="MJD31" s="2511"/>
      <c r="MJE31" s="2511"/>
      <c r="MJF31" s="2511"/>
      <c r="MJG31" s="2511"/>
      <c r="MJH31" s="2511"/>
      <c r="MJI31" s="2511"/>
      <c r="MJJ31" s="2511"/>
      <c r="MJK31" s="2511"/>
      <c r="MJL31" s="2511"/>
      <c r="MJM31" s="2511"/>
      <c r="MJN31" s="2511"/>
      <c r="MJO31" s="2511"/>
      <c r="MJP31" s="2511"/>
      <c r="MJQ31" s="2511"/>
      <c r="MJR31" s="2511"/>
      <c r="MJS31" s="2511"/>
      <c r="MJT31" s="2511"/>
      <c r="MJU31" s="2511"/>
      <c r="MJV31" s="2511"/>
      <c r="MJW31" s="2511"/>
      <c r="MJX31" s="2511"/>
      <c r="MJY31" s="2511"/>
      <c r="MJZ31" s="2511"/>
      <c r="MKA31" s="2511"/>
      <c r="MKB31" s="2511"/>
      <c r="MKC31" s="2511"/>
      <c r="MKD31" s="2511"/>
      <c r="MKE31" s="2511"/>
      <c r="MKF31" s="2511"/>
      <c r="MKG31" s="2511"/>
      <c r="MKH31" s="2511"/>
      <c r="MKI31" s="2511"/>
      <c r="MKJ31" s="2511"/>
      <c r="MKK31" s="2511"/>
      <c r="MKL31" s="2511"/>
      <c r="MKM31" s="2511"/>
      <c r="MKN31" s="2511"/>
      <c r="MKO31" s="2511"/>
      <c r="MKP31" s="2511"/>
      <c r="MKQ31" s="2511"/>
      <c r="MKR31" s="2511"/>
      <c r="MKS31" s="2511"/>
      <c r="MKT31" s="2511"/>
      <c r="MKU31" s="2511"/>
      <c r="MKV31" s="2511"/>
      <c r="MKW31" s="2511"/>
      <c r="MKX31" s="2511"/>
      <c r="MKY31" s="2511"/>
      <c r="MKZ31" s="2511"/>
      <c r="MLA31" s="2511"/>
      <c r="MLB31" s="2511"/>
      <c r="MLC31" s="2511"/>
      <c r="MLD31" s="2511"/>
      <c r="MLE31" s="2511"/>
      <c r="MLF31" s="2511"/>
      <c r="MLG31" s="2511"/>
      <c r="MLH31" s="2511"/>
      <c r="MLI31" s="2511"/>
      <c r="MLJ31" s="2511"/>
      <c r="MLK31" s="2511"/>
      <c r="MLL31" s="2511"/>
      <c r="MLM31" s="2511"/>
      <c r="MLN31" s="2511"/>
      <c r="MLO31" s="2511"/>
      <c r="MLP31" s="2511"/>
      <c r="MLQ31" s="2511"/>
      <c r="MLR31" s="2511"/>
      <c r="MLS31" s="2511"/>
      <c r="MLT31" s="2511"/>
      <c r="MLU31" s="2511"/>
      <c r="MLV31" s="2511"/>
      <c r="MLW31" s="2511"/>
      <c r="MLX31" s="2511"/>
      <c r="MLY31" s="2511"/>
      <c r="MLZ31" s="2511"/>
      <c r="MMA31" s="2511"/>
      <c r="MMB31" s="2511"/>
      <c r="MMC31" s="2511"/>
      <c r="MMD31" s="2511"/>
      <c r="MME31" s="2511"/>
      <c r="MMF31" s="2511"/>
      <c r="MMG31" s="2511"/>
      <c r="MMH31" s="2511"/>
      <c r="MMI31" s="2511"/>
      <c r="MMJ31" s="2511"/>
      <c r="MMK31" s="2511"/>
      <c r="MML31" s="2511"/>
      <c r="MMM31" s="2511"/>
      <c r="MMN31" s="2511"/>
      <c r="MMO31" s="2511"/>
      <c r="MMP31" s="2511"/>
      <c r="MMQ31" s="2511"/>
      <c r="MMR31" s="2511"/>
      <c r="MMS31" s="2511"/>
      <c r="MMT31" s="2511"/>
      <c r="MMU31" s="2511"/>
      <c r="MMV31" s="2511"/>
      <c r="MMW31" s="2511"/>
      <c r="MMX31" s="2511"/>
      <c r="MMY31" s="2511"/>
      <c r="MMZ31" s="2511"/>
      <c r="MNA31" s="2511"/>
      <c r="MNB31" s="2511"/>
      <c r="MNC31" s="2511"/>
      <c r="MND31" s="2511"/>
      <c r="MNE31" s="2511"/>
      <c r="MNF31" s="2511"/>
      <c r="MNG31" s="2511"/>
      <c r="MNH31" s="2511"/>
      <c r="MNI31" s="2511"/>
      <c r="MNJ31" s="2511"/>
      <c r="MNK31" s="2511"/>
      <c r="MNL31" s="2511"/>
      <c r="MNM31" s="2511"/>
      <c r="MNN31" s="2511"/>
      <c r="MNO31" s="2511"/>
      <c r="MNP31" s="2511"/>
      <c r="MNQ31" s="2511"/>
      <c r="MNR31" s="2511"/>
      <c r="MNS31" s="2511"/>
      <c r="MNT31" s="2511"/>
      <c r="MNU31" s="2511"/>
      <c r="MNV31" s="2511"/>
      <c r="MNW31" s="2511"/>
      <c r="MNX31" s="2511"/>
      <c r="MNY31" s="2511"/>
      <c r="MNZ31" s="2511"/>
      <c r="MOA31" s="2511"/>
      <c r="MOB31" s="2511"/>
      <c r="MOC31" s="2511"/>
      <c r="MOD31" s="2511"/>
      <c r="MOE31" s="2511"/>
      <c r="MOF31" s="2511"/>
      <c r="MOG31" s="2511"/>
      <c r="MOH31" s="2511"/>
      <c r="MOI31" s="2511"/>
      <c r="MOJ31" s="2511"/>
      <c r="MOK31" s="2511"/>
      <c r="MOL31" s="2511"/>
      <c r="MOM31" s="2511"/>
      <c r="MON31" s="2511"/>
      <c r="MOO31" s="2511"/>
      <c r="MOP31" s="2511"/>
      <c r="MOQ31" s="2511"/>
      <c r="MOR31" s="2511"/>
      <c r="MOS31" s="2511"/>
      <c r="MOT31" s="2511"/>
      <c r="MOU31" s="2511"/>
      <c r="MOV31" s="2511"/>
      <c r="MOW31" s="2511"/>
      <c r="MOX31" s="2511"/>
      <c r="MOY31" s="2511"/>
      <c r="MOZ31" s="2511"/>
      <c r="MPA31" s="2511"/>
      <c r="MPB31" s="2511"/>
      <c r="MPC31" s="2511"/>
      <c r="MPD31" s="2511"/>
      <c r="MPE31" s="2511"/>
      <c r="MPF31" s="2511"/>
      <c r="MPG31" s="2511"/>
      <c r="MPH31" s="2511"/>
      <c r="MPI31" s="2511"/>
      <c r="MPJ31" s="2511"/>
      <c r="MPK31" s="2511"/>
      <c r="MPL31" s="2511"/>
      <c r="MPM31" s="2511"/>
      <c r="MPN31" s="2511"/>
      <c r="MPO31" s="2511"/>
      <c r="MPP31" s="2511"/>
      <c r="MPQ31" s="2511"/>
      <c r="MPR31" s="2511"/>
      <c r="MPS31" s="2511"/>
      <c r="MPT31" s="2511"/>
      <c r="MPU31" s="2511"/>
      <c r="MPV31" s="2511"/>
      <c r="MPW31" s="2511"/>
      <c r="MPX31" s="2511"/>
      <c r="MPY31" s="2511"/>
      <c r="MPZ31" s="2511"/>
      <c r="MQA31" s="2511"/>
      <c r="MQB31" s="2511"/>
      <c r="MQC31" s="2511"/>
      <c r="MQD31" s="2511"/>
      <c r="MQE31" s="2511"/>
      <c r="MQF31" s="2511"/>
      <c r="MQG31" s="2511"/>
      <c r="MQH31" s="2511"/>
      <c r="MQI31" s="2511"/>
      <c r="MQJ31" s="2511"/>
      <c r="MQK31" s="2511"/>
      <c r="MQL31" s="2511"/>
      <c r="MQM31" s="2511"/>
      <c r="MQN31" s="2511"/>
      <c r="MQO31" s="2511"/>
      <c r="MQP31" s="2511"/>
      <c r="MQQ31" s="2511"/>
      <c r="MQR31" s="2511"/>
      <c r="MQS31" s="2511"/>
      <c r="MQT31" s="2511"/>
      <c r="MQU31" s="2511"/>
      <c r="MQV31" s="2511"/>
      <c r="MQW31" s="2511"/>
      <c r="MQX31" s="2511"/>
      <c r="MQY31" s="2511"/>
      <c r="MQZ31" s="2511"/>
      <c r="MRA31" s="2511"/>
      <c r="MRB31" s="2511"/>
      <c r="MRC31" s="2511"/>
      <c r="MRD31" s="2511"/>
      <c r="MRE31" s="2511"/>
      <c r="MRF31" s="2511"/>
      <c r="MRG31" s="2511"/>
      <c r="MRH31" s="2511"/>
      <c r="MRI31" s="2511"/>
      <c r="MRJ31" s="2511"/>
      <c r="MRK31" s="2511"/>
      <c r="MRL31" s="2511"/>
      <c r="MRM31" s="2511"/>
      <c r="MRN31" s="2511"/>
      <c r="MRO31" s="2511"/>
      <c r="MRP31" s="2511"/>
      <c r="MRQ31" s="2511"/>
      <c r="MRR31" s="2511"/>
      <c r="MRS31" s="2511"/>
      <c r="MRT31" s="2511"/>
      <c r="MRU31" s="2511"/>
      <c r="MRV31" s="2511"/>
      <c r="MRW31" s="2511"/>
      <c r="MRX31" s="2511"/>
      <c r="MRY31" s="2511"/>
      <c r="MRZ31" s="2511"/>
      <c r="MSA31" s="2511"/>
      <c r="MSB31" s="2511"/>
      <c r="MSC31" s="2511"/>
      <c r="MSD31" s="2511"/>
      <c r="MSE31" s="2511"/>
      <c r="MSF31" s="2511"/>
      <c r="MSG31" s="2511"/>
      <c r="MSH31" s="2511"/>
      <c r="MSI31" s="2511"/>
      <c r="MSJ31" s="2511"/>
      <c r="MSK31" s="2511"/>
      <c r="MSL31" s="2511"/>
      <c r="MSM31" s="2511"/>
      <c r="MSN31" s="2511"/>
      <c r="MSO31" s="2511"/>
      <c r="MSP31" s="2511"/>
      <c r="MSQ31" s="2511"/>
      <c r="MSR31" s="2511"/>
      <c r="MSS31" s="2511"/>
      <c r="MST31" s="2511"/>
      <c r="MSU31" s="2511"/>
      <c r="MSV31" s="2511"/>
      <c r="MSW31" s="2511"/>
      <c r="MSX31" s="2511"/>
      <c r="MSY31" s="2511"/>
      <c r="MSZ31" s="2511"/>
      <c r="MTA31" s="2511"/>
      <c r="MTB31" s="2511"/>
      <c r="MTC31" s="2511"/>
      <c r="MTD31" s="2511"/>
      <c r="MTE31" s="2511"/>
      <c r="MTF31" s="2511"/>
      <c r="MTG31" s="2511"/>
      <c r="MTH31" s="2511"/>
      <c r="MTI31" s="2511"/>
      <c r="MTJ31" s="2511"/>
      <c r="MTK31" s="2511"/>
      <c r="MTL31" s="2511"/>
      <c r="MTM31" s="2511"/>
      <c r="MTN31" s="2511"/>
      <c r="MTO31" s="2511"/>
      <c r="MTP31" s="2511"/>
      <c r="MTQ31" s="2511"/>
      <c r="MTR31" s="2511"/>
      <c r="MTS31" s="2511"/>
      <c r="MTT31" s="2511"/>
      <c r="MTU31" s="2511"/>
      <c r="MTV31" s="2511"/>
      <c r="MTW31" s="2511"/>
      <c r="MTX31" s="2511"/>
      <c r="MTY31" s="2511"/>
      <c r="MTZ31" s="2511"/>
      <c r="MUA31" s="2511"/>
      <c r="MUB31" s="2511"/>
      <c r="MUC31" s="2511"/>
      <c r="MUD31" s="2511"/>
      <c r="MUE31" s="2511"/>
      <c r="MUF31" s="2511"/>
      <c r="MUG31" s="2511"/>
      <c r="MUH31" s="2511"/>
      <c r="MUI31" s="2511"/>
      <c r="MUJ31" s="2511"/>
      <c r="MUK31" s="2511"/>
      <c r="MUL31" s="2511"/>
      <c r="MUM31" s="2511"/>
      <c r="MUN31" s="2511"/>
      <c r="MUO31" s="2511"/>
      <c r="MUP31" s="2511"/>
      <c r="MUQ31" s="2511"/>
      <c r="MUR31" s="2511"/>
      <c r="MUS31" s="2511"/>
      <c r="MUT31" s="2511"/>
      <c r="MUU31" s="2511"/>
      <c r="MUV31" s="2511"/>
      <c r="MUW31" s="2511"/>
      <c r="MUX31" s="2511"/>
      <c r="MUY31" s="2511"/>
      <c r="MUZ31" s="2511"/>
      <c r="MVA31" s="2511"/>
      <c r="MVB31" s="2511"/>
      <c r="MVC31" s="2511"/>
      <c r="MVD31" s="2511"/>
      <c r="MVE31" s="2511"/>
      <c r="MVF31" s="2511"/>
      <c r="MVG31" s="2511"/>
      <c r="MVH31" s="2511"/>
      <c r="MVI31" s="2511"/>
      <c r="MVJ31" s="2511"/>
      <c r="MVK31" s="2511"/>
      <c r="MVL31" s="2511"/>
      <c r="MVM31" s="2511"/>
      <c r="MVN31" s="2511"/>
      <c r="MVO31" s="2511"/>
      <c r="MVP31" s="2511"/>
      <c r="MVQ31" s="2511"/>
      <c r="MVR31" s="2511"/>
      <c r="MVS31" s="2511"/>
      <c r="MVT31" s="2511"/>
      <c r="MVU31" s="2511"/>
      <c r="MVV31" s="2511"/>
      <c r="MVW31" s="2511"/>
      <c r="MVX31" s="2511"/>
      <c r="MVY31" s="2511"/>
      <c r="MVZ31" s="2511"/>
      <c r="MWA31" s="2511"/>
      <c r="MWB31" s="2511"/>
      <c r="MWC31" s="2511"/>
      <c r="MWD31" s="2511"/>
      <c r="MWE31" s="2511"/>
      <c r="MWF31" s="2511"/>
      <c r="MWG31" s="2511"/>
      <c r="MWH31" s="2511"/>
      <c r="MWI31" s="2511"/>
      <c r="MWJ31" s="2511"/>
      <c r="MWK31" s="2511"/>
      <c r="MWL31" s="2511"/>
      <c r="MWM31" s="2511"/>
      <c r="MWN31" s="2511"/>
      <c r="MWO31" s="2511"/>
      <c r="MWP31" s="2511"/>
      <c r="MWQ31" s="2511"/>
      <c r="MWR31" s="2511"/>
      <c r="MWS31" s="2511"/>
      <c r="MWT31" s="2511"/>
      <c r="MWU31" s="2511"/>
      <c r="MWV31" s="2511"/>
      <c r="MWW31" s="2511"/>
      <c r="MWX31" s="2511"/>
      <c r="MWY31" s="2511"/>
      <c r="MWZ31" s="2511"/>
      <c r="MXA31" s="2511"/>
      <c r="MXB31" s="2511"/>
      <c r="MXC31" s="2511"/>
      <c r="MXD31" s="2511"/>
      <c r="MXE31" s="2511"/>
      <c r="MXF31" s="2511"/>
      <c r="MXG31" s="2511"/>
      <c r="MXH31" s="2511"/>
      <c r="MXI31" s="2511"/>
      <c r="MXJ31" s="2511"/>
      <c r="MXK31" s="2511"/>
      <c r="MXL31" s="2511"/>
      <c r="MXM31" s="2511"/>
      <c r="MXN31" s="2511"/>
      <c r="MXO31" s="2511"/>
      <c r="MXP31" s="2511"/>
      <c r="MXQ31" s="2511"/>
      <c r="MXR31" s="2511"/>
      <c r="MXS31" s="2511"/>
      <c r="MXT31" s="2511"/>
      <c r="MXU31" s="2511"/>
      <c r="MXV31" s="2511"/>
      <c r="MXW31" s="2511"/>
      <c r="MXX31" s="2511"/>
      <c r="MXY31" s="2511"/>
      <c r="MXZ31" s="2511"/>
      <c r="MYA31" s="2511"/>
      <c r="MYB31" s="2511"/>
      <c r="MYC31" s="2511"/>
      <c r="MYD31" s="2511"/>
      <c r="MYE31" s="2511"/>
      <c r="MYF31" s="2511"/>
      <c r="MYG31" s="2511"/>
      <c r="MYH31" s="2511"/>
      <c r="MYI31" s="2511"/>
      <c r="MYJ31" s="2511"/>
      <c r="MYK31" s="2511"/>
      <c r="MYL31" s="2511"/>
      <c r="MYM31" s="2511"/>
      <c r="MYN31" s="2511"/>
      <c r="MYO31" s="2511"/>
      <c r="MYP31" s="2511"/>
      <c r="MYQ31" s="2511"/>
      <c r="MYR31" s="2511"/>
      <c r="MYS31" s="2511"/>
      <c r="MYT31" s="2511"/>
      <c r="MYU31" s="2511"/>
      <c r="MYV31" s="2511"/>
      <c r="MYW31" s="2511"/>
      <c r="MYX31" s="2511"/>
      <c r="MYY31" s="2511"/>
      <c r="MYZ31" s="2511"/>
      <c r="MZA31" s="2511"/>
      <c r="MZB31" s="2511"/>
      <c r="MZC31" s="2511"/>
      <c r="MZD31" s="2511"/>
      <c r="MZE31" s="2511"/>
      <c r="MZF31" s="2511"/>
      <c r="MZG31" s="2511"/>
      <c r="MZH31" s="2511"/>
      <c r="MZI31" s="2511"/>
      <c r="MZJ31" s="2511"/>
      <c r="MZK31" s="2511"/>
      <c r="MZL31" s="2511"/>
      <c r="MZM31" s="2511"/>
      <c r="MZN31" s="2511"/>
      <c r="MZO31" s="2511"/>
      <c r="MZP31" s="2511"/>
      <c r="MZQ31" s="2511"/>
      <c r="MZR31" s="2511"/>
      <c r="MZS31" s="2511"/>
      <c r="MZT31" s="2511"/>
      <c r="MZU31" s="2511"/>
      <c r="MZV31" s="2511"/>
      <c r="MZW31" s="2511"/>
      <c r="MZX31" s="2511"/>
      <c r="MZY31" s="2511"/>
      <c r="MZZ31" s="2511"/>
      <c r="NAA31" s="2511"/>
      <c r="NAB31" s="2511"/>
      <c r="NAC31" s="2511"/>
      <c r="NAD31" s="2511"/>
      <c r="NAE31" s="2511"/>
      <c r="NAF31" s="2511"/>
      <c r="NAG31" s="2511"/>
      <c r="NAH31" s="2511"/>
      <c r="NAI31" s="2511"/>
      <c r="NAJ31" s="2511"/>
      <c r="NAK31" s="2511"/>
      <c r="NAL31" s="2511"/>
      <c r="NAM31" s="2511"/>
      <c r="NAN31" s="2511"/>
      <c r="NAO31" s="2511"/>
      <c r="NAP31" s="2511"/>
      <c r="NAQ31" s="2511"/>
      <c r="NAR31" s="2511"/>
      <c r="NAS31" s="2511"/>
      <c r="NAT31" s="2511"/>
      <c r="NAU31" s="2511"/>
      <c r="NAV31" s="2511"/>
      <c r="NAW31" s="2511"/>
      <c r="NAX31" s="2511"/>
      <c r="NAY31" s="2511"/>
      <c r="NAZ31" s="2511"/>
      <c r="NBA31" s="2511"/>
      <c r="NBB31" s="2511"/>
      <c r="NBC31" s="2511"/>
      <c r="NBD31" s="2511"/>
      <c r="NBE31" s="2511"/>
      <c r="NBF31" s="2511"/>
      <c r="NBG31" s="2511"/>
      <c r="NBH31" s="2511"/>
      <c r="NBI31" s="2511"/>
      <c r="NBJ31" s="2511"/>
      <c r="NBK31" s="2511"/>
      <c r="NBL31" s="2511"/>
      <c r="NBM31" s="2511"/>
      <c r="NBN31" s="2511"/>
      <c r="NBO31" s="2511"/>
      <c r="NBP31" s="2511"/>
      <c r="NBQ31" s="2511"/>
      <c r="NBR31" s="2511"/>
      <c r="NBS31" s="2511"/>
      <c r="NBT31" s="2511"/>
      <c r="NBU31" s="2511"/>
      <c r="NBV31" s="2511"/>
      <c r="NBW31" s="2511"/>
      <c r="NBX31" s="2511"/>
      <c r="NBY31" s="2511"/>
      <c r="NBZ31" s="2511"/>
      <c r="NCA31" s="2511"/>
      <c r="NCB31" s="2511"/>
      <c r="NCC31" s="2511"/>
      <c r="NCD31" s="2511"/>
      <c r="NCE31" s="2511"/>
      <c r="NCF31" s="2511"/>
      <c r="NCG31" s="2511"/>
      <c r="NCH31" s="2511"/>
      <c r="NCI31" s="2511"/>
      <c r="NCJ31" s="2511"/>
      <c r="NCK31" s="2511"/>
      <c r="NCL31" s="2511"/>
      <c r="NCM31" s="2511"/>
      <c r="NCN31" s="2511"/>
      <c r="NCO31" s="2511"/>
      <c r="NCP31" s="2511"/>
      <c r="NCQ31" s="2511"/>
      <c r="NCR31" s="2511"/>
      <c r="NCS31" s="2511"/>
      <c r="NCT31" s="2511"/>
      <c r="NCU31" s="2511"/>
      <c r="NCV31" s="2511"/>
      <c r="NCW31" s="2511"/>
      <c r="NCX31" s="2511"/>
      <c r="NCY31" s="2511"/>
      <c r="NCZ31" s="2511"/>
      <c r="NDA31" s="2511"/>
      <c r="NDB31" s="2511"/>
      <c r="NDC31" s="2511"/>
      <c r="NDD31" s="2511"/>
      <c r="NDE31" s="2511"/>
      <c r="NDF31" s="2511"/>
      <c r="NDG31" s="2511"/>
      <c r="NDH31" s="2511"/>
      <c r="NDI31" s="2511"/>
      <c r="NDJ31" s="2511"/>
      <c r="NDK31" s="2511"/>
      <c r="NDL31" s="2511"/>
      <c r="NDM31" s="2511"/>
      <c r="NDN31" s="2511"/>
      <c r="NDO31" s="2511"/>
      <c r="NDP31" s="2511"/>
      <c r="NDQ31" s="2511"/>
      <c r="NDR31" s="2511"/>
      <c r="NDS31" s="2511"/>
      <c r="NDT31" s="2511"/>
      <c r="NDU31" s="2511"/>
      <c r="NDV31" s="2511"/>
      <c r="NDW31" s="2511"/>
      <c r="NDX31" s="2511"/>
      <c r="NDY31" s="2511"/>
      <c r="NDZ31" s="2511"/>
      <c r="NEA31" s="2511"/>
      <c r="NEB31" s="2511"/>
      <c r="NEC31" s="2511"/>
      <c r="NED31" s="2511"/>
      <c r="NEE31" s="2511"/>
      <c r="NEF31" s="2511"/>
      <c r="NEG31" s="2511"/>
      <c r="NEH31" s="2511"/>
      <c r="NEI31" s="2511"/>
      <c r="NEJ31" s="2511"/>
      <c r="NEK31" s="2511"/>
      <c r="NEL31" s="2511"/>
      <c r="NEM31" s="2511"/>
      <c r="NEN31" s="2511"/>
      <c r="NEO31" s="2511"/>
      <c r="NEP31" s="2511"/>
      <c r="NEQ31" s="2511"/>
      <c r="NER31" s="2511"/>
      <c r="NES31" s="2511"/>
      <c r="NET31" s="2511"/>
      <c r="NEU31" s="2511"/>
      <c r="NEV31" s="2511"/>
      <c r="NEW31" s="2511"/>
      <c r="NEX31" s="2511"/>
      <c r="NEY31" s="2511"/>
      <c r="NEZ31" s="2511"/>
      <c r="NFA31" s="2511"/>
      <c r="NFB31" s="2511"/>
      <c r="NFC31" s="2511"/>
      <c r="NFD31" s="2511"/>
      <c r="NFE31" s="2511"/>
      <c r="NFF31" s="2511"/>
      <c r="NFG31" s="2511"/>
      <c r="NFH31" s="2511"/>
      <c r="NFI31" s="2511"/>
      <c r="NFJ31" s="2511"/>
      <c r="NFK31" s="2511"/>
      <c r="NFL31" s="2511"/>
      <c r="NFM31" s="2511"/>
      <c r="NFN31" s="2511"/>
      <c r="NFO31" s="2511"/>
      <c r="NFP31" s="2511"/>
      <c r="NFQ31" s="2511"/>
      <c r="NFR31" s="2511"/>
      <c r="NFS31" s="2511"/>
      <c r="NFT31" s="2511"/>
      <c r="NFU31" s="2511"/>
      <c r="NFV31" s="2511"/>
      <c r="NFW31" s="2511"/>
      <c r="NFX31" s="2511"/>
      <c r="NFY31" s="2511"/>
      <c r="NFZ31" s="2511"/>
      <c r="NGA31" s="2511"/>
      <c r="NGB31" s="2511"/>
      <c r="NGC31" s="2511"/>
      <c r="NGD31" s="2511"/>
      <c r="NGE31" s="2511"/>
      <c r="NGF31" s="2511"/>
      <c r="NGG31" s="2511"/>
      <c r="NGH31" s="2511"/>
      <c r="NGI31" s="2511"/>
      <c r="NGJ31" s="2511"/>
      <c r="NGK31" s="2511"/>
      <c r="NGL31" s="2511"/>
      <c r="NGM31" s="2511"/>
      <c r="NGN31" s="2511"/>
      <c r="NGO31" s="2511"/>
      <c r="NGP31" s="2511"/>
      <c r="NGQ31" s="2511"/>
      <c r="NGR31" s="2511"/>
      <c r="NGS31" s="2511"/>
      <c r="NGT31" s="2511"/>
      <c r="NGU31" s="2511"/>
      <c r="NGV31" s="2511"/>
      <c r="NGW31" s="2511"/>
      <c r="NGX31" s="2511"/>
      <c r="NGY31" s="2511"/>
      <c r="NGZ31" s="2511"/>
      <c r="NHA31" s="2511"/>
      <c r="NHB31" s="2511"/>
      <c r="NHC31" s="2511"/>
      <c r="NHD31" s="2511"/>
      <c r="NHE31" s="2511"/>
      <c r="NHF31" s="2511"/>
      <c r="NHG31" s="2511"/>
      <c r="NHH31" s="2511"/>
      <c r="NHI31" s="2511"/>
      <c r="NHJ31" s="2511"/>
      <c r="NHK31" s="2511"/>
      <c r="NHL31" s="2511"/>
      <c r="NHM31" s="2511"/>
      <c r="NHN31" s="2511"/>
      <c r="NHO31" s="2511"/>
      <c r="NHP31" s="2511"/>
      <c r="NHQ31" s="2511"/>
      <c r="NHR31" s="2511"/>
      <c r="NHS31" s="2511"/>
      <c r="NHT31" s="2511"/>
      <c r="NHU31" s="2511"/>
      <c r="NHV31" s="2511"/>
      <c r="NHW31" s="2511"/>
      <c r="NHX31" s="2511"/>
      <c r="NHY31" s="2511"/>
      <c r="NHZ31" s="2511"/>
      <c r="NIA31" s="2511"/>
      <c r="NIB31" s="2511"/>
      <c r="NIC31" s="2511"/>
      <c r="NID31" s="2511"/>
      <c r="NIE31" s="2511"/>
      <c r="NIF31" s="2511"/>
      <c r="NIG31" s="2511"/>
      <c r="NIH31" s="2511"/>
      <c r="NII31" s="2511"/>
      <c r="NIJ31" s="2511"/>
      <c r="NIK31" s="2511"/>
      <c r="NIL31" s="2511"/>
      <c r="NIM31" s="2511"/>
      <c r="NIN31" s="2511"/>
      <c r="NIO31" s="2511"/>
      <c r="NIP31" s="2511"/>
      <c r="NIQ31" s="2511"/>
      <c r="NIR31" s="2511"/>
      <c r="NIS31" s="2511"/>
      <c r="NIT31" s="2511"/>
      <c r="NIU31" s="2511"/>
      <c r="NIV31" s="2511"/>
      <c r="NIW31" s="2511"/>
      <c r="NIX31" s="2511"/>
      <c r="NIY31" s="2511"/>
      <c r="NIZ31" s="2511"/>
      <c r="NJA31" s="2511"/>
      <c r="NJB31" s="2511"/>
      <c r="NJC31" s="2511"/>
      <c r="NJD31" s="2511"/>
      <c r="NJE31" s="2511"/>
      <c r="NJF31" s="2511"/>
      <c r="NJG31" s="2511"/>
      <c r="NJH31" s="2511"/>
      <c r="NJI31" s="2511"/>
      <c r="NJJ31" s="2511"/>
      <c r="NJK31" s="2511"/>
      <c r="NJL31" s="2511"/>
      <c r="NJM31" s="2511"/>
      <c r="NJN31" s="2511"/>
      <c r="NJO31" s="2511"/>
      <c r="NJP31" s="2511"/>
      <c r="NJQ31" s="2511"/>
      <c r="NJR31" s="2511"/>
      <c r="NJS31" s="2511"/>
      <c r="NJT31" s="2511"/>
      <c r="NJU31" s="2511"/>
      <c r="NJV31" s="2511"/>
      <c r="NJW31" s="2511"/>
      <c r="NJX31" s="2511"/>
      <c r="NJY31" s="2511"/>
      <c r="NJZ31" s="2511"/>
      <c r="NKA31" s="2511"/>
      <c r="NKB31" s="2511"/>
      <c r="NKC31" s="2511"/>
      <c r="NKD31" s="2511"/>
      <c r="NKE31" s="2511"/>
      <c r="NKF31" s="2511"/>
      <c r="NKG31" s="2511"/>
      <c r="NKH31" s="2511"/>
      <c r="NKI31" s="2511"/>
      <c r="NKJ31" s="2511"/>
      <c r="NKK31" s="2511"/>
      <c r="NKL31" s="2511"/>
      <c r="NKM31" s="2511"/>
      <c r="NKN31" s="2511"/>
      <c r="NKO31" s="2511"/>
      <c r="NKP31" s="2511"/>
      <c r="NKQ31" s="2511"/>
      <c r="NKR31" s="2511"/>
      <c r="NKS31" s="2511"/>
      <c r="NKT31" s="2511"/>
      <c r="NKU31" s="2511"/>
      <c r="NKV31" s="2511"/>
      <c r="NKW31" s="2511"/>
      <c r="NKX31" s="2511"/>
      <c r="NKY31" s="2511"/>
      <c r="NKZ31" s="2511"/>
      <c r="NLA31" s="2511"/>
      <c r="NLB31" s="2511"/>
      <c r="NLC31" s="2511"/>
      <c r="NLD31" s="2511"/>
      <c r="NLE31" s="2511"/>
      <c r="NLF31" s="2511"/>
      <c r="NLG31" s="2511"/>
      <c r="NLH31" s="2511"/>
      <c r="NLI31" s="2511"/>
      <c r="NLJ31" s="2511"/>
      <c r="NLK31" s="2511"/>
      <c r="NLL31" s="2511"/>
      <c r="NLM31" s="2511"/>
      <c r="NLN31" s="2511"/>
      <c r="NLO31" s="2511"/>
      <c r="NLP31" s="2511"/>
      <c r="NLQ31" s="2511"/>
      <c r="NLR31" s="2511"/>
      <c r="NLS31" s="2511"/>
      <c r="NLT31" s="2511"/>
      <c r="NLU31" s="2511"/>
      <c r="NLV31" s="2511"/>
      <c r="NLW31" s="2511"/>
      <c r="NLX31" s="2511"/>
      <c r="NLY31" s="2511"/>
      <c r="NLZ31" s="2511"/>
      <c r="NMA31" s="2511"/>
      <c r="NMB31" s="2511"/>
      <c r="NMC31" s="2511"/>
      <c r="NMD31" s="2511"/>
      <c r="NME31" s="2511"/>
      <c r="NMF31" s="2511"/>
      <c r="NMG31" s="2511"/>
      <c r="NMH31" s="2511"/>
      <c r="NMI31" s="2511"/>
      <c r="NMJ31" s="2511"/>
      <c r="NMK31" s="2511"/>
      <c r="NML31" s="2511"/>
      <c r="NMM31" s="2511"/>
      <c r="NMN31" s="2511"/>
      <c r="NMO31" s="2511"/>
      <c r="NMP31" s="2511"/>
      <c r="NMQ31" s="2511"/>
      <c r="NMR31" s="2511"/>
      <c r="NMS31" s="2511"/>
      <c r="NMT31" s="2511"/>
      <c r="NMU31" s="2511"/>
      <c r="NMV31" s="2511"/>
      <c r="NMW31" s="2511"/>
      <c r="NMX31" s="2511"/>
      <c r="NMY31" s="2511"/>
      <c r="NMZ31" s="2511"/>
      <c r="NNA31" s="2511"/>
      <c r="NNB31" s="2511"/>
      <c r="NNC31" s="2511"/>
      <c r="NND31" s="2511"/>
      <c r="NNE31" s="2511"/>
      <c r="NNF31" s="2511"/>
      <c r="NNG31" s="2511"/>
      <c r="NNH31" s="2511"/>
      <c r="NNI31" s="2511"/>
      <c r="NNJ31" s="2511"/>
      <c r="NNK31" s="2511"/>
      <c r="NNL31" s="2511"/>
      <c r="NNM31" s="2511"/>
      <c r="NNN31" s="2511"/>
      <c r="NNO31" s="2511"/>
      <c r="NNP31" s="2511"/>
      <c r="NNQ31" s="2511"/>
      <c r="NNR31" s="2511"/>
      <c r="NNS31" s="2511"/>
      <c r="NNT31" s="2511"/>
      <c r="NNU31" s="2511"/>
      <c r="NNV31" s="2511"/>
      <c r="NNW31" s="2511"/>
      <c r="NNX31" s="2511"/>
      <c r="NNY31" s="2511"/>
      <c r="NNZ31" s="2511"/>
      <c r="NOA31" s="2511"/>
      <c r="NOB31" s="2511"/>
      <c r="NOC31" s="2511"/>
      <c r="NOD31" s="2511"/>
      <c r="NOE31" s="2511"/>
      <c r="NOF31" s="2511"/>
      <c r="NOG31" s="2511"/>
      <c r="NOH31" s="2511"/>
      <c r="NOI31" s="2511"/>
      <c r="NOJ31" s="2511"/>
      <c r="NOK31" s="2511"/>
      <c r="NOL31" s="2511"/>
      <c r="NOM31" s="2511"/>
      <c r="NON31" s="2511"/>
      <c r="NOO31" s="2511"/>
      <c r="NOP31" s="2511"/>
      <c r="NOQ31" s="2511"/>
      <c r="NOR31" s="2511"/>
      <c r="NOS31" s="2511"/>
      <c r="NOT31" s="2511"/>
      <c r="NOU31" s="2511"/>
      <c r="NOV31" s="2511"/>
      <c r="NOW31" s="2511"/>
      <c r="NOX31" s="2511"/>
      <c r="NOY31" s="2511"/>
      <c r="NOZ31" s="2511"/>
      <c r="NPA31" s="2511"/>
      <c r="NPB31" s="2511"/>
      <c r="NPC31" s="2511"/>
      <c r="NPD31" s="2511"/>
      <c r="NPE31" s="2511"/>
      <c r="NPF31" s="2511"/>
      <c r="NPG31" s="2511"/>
      <c r="NPH31" s="2511"/>
      <c r="NPI31" s="2511"/>
      <c r="NPJ31" s="2511"/>
      <c r="NPK31" s="2511"/>
      <c r="NPL31" s="2511"/>
      <c r="NPM31" s="2511"/>
      <c r="NPN31" s="2511"/>
      <c r="NPO31" s="2511"/>
      <c r="NPP31" s="2511"/>
      <c r="NPQ31" s="2511"/>
      <c r="NPR31" s="2511"/>
      <c r="NPS31" s="2511"/>
      <c r="NPT31" s="2511"/>
      <c r="NPU31" s="2511"/>
      <c r="NPV31" s="2511"/>
      <c r="NPW31" s="2511"/>
      <c r="NPX31" s="2511"/>
      <c r="NPY31" s="2511"/>
      <c r="NPZ31" s="2511"/>
      <c r="NQA31" s="2511"/>
      <c r="NQB31" s="2511"/>
      <c r="NQC31" s="2511"/>
      <c r="NQD31" s="2511"/>
      <c r="NQE31" s="2511"/>
      <c r="NQF31" s="2511"/>
      <c r="NQG31" s="2511"/>
      <c r="NQH31" s="2511"/>
      <c r="NQI31" s="2511"/>
      <c r="NQJ31" s="2511"/>
      <c r="NQK31" s="2511"/>
      <c r="NQL31" s="2511"/>
      <c r="NQM31" s="2511"/>
      <c r="NQN31" s="2511"/>
      <c r="NQO31" s="2511"/>
      <c r="NQP31" s="2511"/>
      <c r="NQQ31" s="2511"/>
      <c r="NQR31" s="2511"/>
      <c r="NQS31" s="2511"/>
      <c r="NQT31" s="2511"/>
      <c r="NQU31" s="2511"/>
      <c r="NQV31" s="2511"/>
      <c r="NQW31" s="2511"/>
      <c r="NQX31" s="2511"/>
      <c r="NQY31" s="2511"/>
      <c r="NQZ31" s="2511"/>
      <c r="NRA31" s="2511"/>
      <c r="NRB31" s="2511"/>
      <c r="NRC31" s="2511"/>
      <c r="NRD31" s="2511"/>
      <c r="NRE31" s="2511"/>
      <c r="NRF31" s="2511"/>
      <c r="NRG31" s="2511"/>
      <c r="NRH31" s="2511"/>
      <c r="NRI31" s="2511"/>
      <c r="NRJ31" s="2511"/>
      <c r="NRK31" s="2511"/>
      <c r="NRL31" s="2511"/>
      <c r="NRM31" s="2511"/>
      <c r="NRN31" s="2511"/>
      <c r="NRO31" s="2511"/>
      <c r="NRP31" s="2511"/>
      <c r="NRQ31" s="2511"/>
      <c r="NRR31" s="2511"/>
      <c r="NRS31" s="2511"/>
      <c r="NRT31" s="2511"/>
      <c r="NRU31" s="2511"/>
      <c r="NRV31" s="2511"/>
      <c r="NRW31" s="2511"/>
      <c r="NRX31" s="2511"/>
      <c r="NRY31" s="2511"/>
      <c r="NRZ31" s="2511"/>
      <c r="NSA31" s="2511"/>
      <c r="NSB31" s="2511"/>
      <c r="NSC31" s="2511"/>
      <c r="NSD31" s="2511"/>
      <c r="NSE31" s="2511"/>
      <c r="NSF31" s="2511"/>
      <c r="NSG31" s="2511"/>
      <c r="NSH31" s="2511"/>
      <c r="NSI31" s="2511"/>
      <c r="NSJ31" s="2511"/>
      <c r="NSK31" s="2511"/>
      <c r="NSL31" s="2511"/>
      <c r="NSM31" s="2511"/>
      <c r="NSN31" s="2511"/>
      <c r="NSO31" s="2511"/>
      <c r="NSP31" s="2511"/>
      <c r="NSQ31" s="2511"/>
      <c r="NSR31" s="2511"/>
      <c r="NSS31" s="2511"/>
      <c r="NST31" s="2511"/>
      <c r="NSU31" s="2511"/>
      <c r="NSV31" s="2511"/>
      <c r="NSW31" s="2511"/>
      <c r="NSX31" s="2511"/>
      <c r="NSY31" s="2511"/>
      <c r="NSZ31" s="2511"/>
      <c r="NTA31" s="2511"/>
      <c r="NTB31" s="2511"/>
      <c r="NTC31" s="2511"/>
      <c r="NTD31" s="2511"/>
      <c r="NTE31" s="2511"/>
      <c r="NTF31" s="2511"/>
      <c r="NTG31" s="2511"/>
      <c r="NTH31" s="2511"/>
      <c r="NTI31" s="2511"/>
      <c r="NTJ31" s="2511"/>
      <c r="NTK31" s="2511"/>
      <c r="NTL31" s="2511"/>
      <c r="NTM31" s="2511"/>
      <c r="NTN31" s="2511"/>
      <c r="NTO31" s="2511"/>
      <c r="NTP31" s="2511"/>
      <c r="NTQ31" s="2511"/>
      <c r="NTR31" s="2511"/>
      <c r="NTS31" s="2511"/>
      <c r="NTT31" s="2511"/>
      <c r="NTU31" s="2511"/>
      <c r="NTV31" s="2511"/>
      <c r="NTW31" s="2511"/>
      <c r="NTX31" s="2511"/>
      <c r="NTY31" s="2511"/>
      <c r="NTZ31" s="2511"/>
      <c r="NUA31" s="2511"/>
      <c r="NUB31" s="2511"/>
      <c r="NUC31" s="2511"/>
      <c r="NUD31" s="2511"/>
      <c r="NUE31" s="2511"/>
      <c r="NUF31" s="2511"/>
      <c r="NUG31" s="2511"/>
      <c r="NUH31" s="2511"/>
      <c r="NUI31" s="2511"/>
      <c r="NUJ31" s="2511"/>
      <c r="NUK31" s="2511"/>
      <c r="NUL31" s="2511"/>
      <c r="NUM31" s="2511"/>
      <c r="NUN31" s="2511"/>
      <c r="NUO31" s="2511"/>
      <c r="NUP31" s="2511"/>
      <c r="NUQ31" s="2511"/>
      <c r="NUR31" s="2511"/>
      <c r="NUS31" s="2511"/>
      <c r="NUT31" s="2511"/>
      <c r="NUU31" s="2511"/>
      <c r="NUV31" s="2511"/>
      <c r="NUW31" s="2511"/>
      <c r="NUX31" s="2511"/>
      <c r="NUY31" s="2511"/>
      <c r="NUZ31" s="2511"/>
      <c r="NVA31" s="2511"/>
      <c r="NVB31" s="2511"/>
      <c r="NVC31" s="2511"/>
      <c r="NVD31" s="2511"/>
      <c r="NVE31" s="2511"/>
      <c r="NVF31" s="2511"/>
      <c r="NVG31" s="2511"/>
      <c r="NVH31" s="2511"/>
      <c r="NVI31" s="2511"/>
      <c r="NVJ31" s="2511"/>
      <c r="NVK31" s="2511"/>
      <c r="NVL31" s="2511"/>
      <c r="NVM31" s="2511"/>
      <c r="NVN31" s="2511"/>
      <c r="NVO31" s="2511"/>
      <c r="NVP31" s="2511"/>
      <c r="NVQ31" s="2511"/>
      <c r="NVR31" s="2511"/>
      <c r="NVS31" s="2511"/>
      <c r="NVT31" s="2511"/>
      <c r="NVU31" s="2511"/>
      <c r="NVV31" s="2511"/>
      <c r="NVW31" s="2511"/>
      <c r="NVX31" s="2511"/>
      <c r="NVY31" s="2511"/>
      <c r="NVZ31" s="2511"/>
      <c r="NWA31" s="2511"/>
      <c r="NWB31" s="2511"/>
      <c r="NWC31" s="2511"/>
      <c r="NWD31" s="2511"/>
      <c r="NWE31" s="2511"/>
      <c r="NWF31" s="2511"/>
      <c r="NWG31" s="2511"/>
      <c r="NWH31" s="2511"/>
      <c r="NWI31" s="2511"/>
      <c r="NWJ31" s="2511"/>
      <c r="NWK31" s="2511"/>
      <c r="NWL31" s="2511"/>
      <c r="NWM31" s="2511"/>
      <c r="NWN31" s="2511"/>
      <c r="NWO31" s="2511"/>
      <c r="NWP31" s="2511"/>
      <c r="NWQ31" s="2511"/>
      <c r="NWR31" s="2511"/>
      <c r="NWS31" s="2511"/>
      <c r="NWT31" s="2511"/>
      <c r="NWU31" s="2511"/>
      <c r="NWV31" s="2511"/>
      <c r="NWW31" s="2511"/>
      <c r="NWX31" s="2511"/>
      <c r="NWY31" s="2511"/>
      <c r="NWZ31" s="2511"/>
      <c r="NXA31" s="2511"/>
      <c r="NXB31" s="2511"/>
      <c r="NXC31" s="2511"/>
      <c r="NXD31" s="2511"/>
      <c r="NXE31" s="2511"/>
      <c r="NXF31" s="2511"/>
      <c r="NXG31" s="2511"/>
      <c r="NXH31" s="2511"/>
      <c r="NXI31" s="2511"/>
      <c r="NXJ31" s="2511"/>
      <c r="NXK31" s="2511"/>
      <c r="NXL31" s="2511"/>
      <c r="NXM31" s="2511"/>
      <c r="NXN31" s="2511"/>
      <c r="NXO31" s="2511"/>
      <c r="NXP31" s="2511"/>
      <c r="NXQ31" s="2511"/>
      <c r="NXR31" s="2511"/>
      <c r="NXS31" s="2511"/>
      <c r="NXT31" s="2511"/>
      <c r="NXU31" s="2511"/>
      <c r="NXV31" s="2511"/>
      <c r="NXW31" s="2511"/>
      <c r="NXX31" s="2511"/>
      <c r="NXY31" s="2511"/>
      <c r="NXZ31" s="2511"/>
      <c r="NYA31" s="2511"/>
      <c r="NYB31" s="2511"/>
      <c r="NYC31" s="2511"/>
      <c r="NYD31" s="2511"/>
      <c r="NYE31" s="2511"/>
      <c r="NYF31" s="2511"/>
      <c r="NYG31" s="2511"/>
      <c r="NYH31" s="2511"/>
      <c r="NYI31" s="2511"/>
      <c r="NYJ31" s="2511"/>
      <c r="NYK31" s="2511"/>
      <c r="NYL31" s="2511"/>
      <c r="NYM31" s="2511"/>
      <c r="NYN31" s="2511"/>
      <c r="NYO31" s="2511"/>
      <c r="NYP31" s="2511"/>
      <c r="NYQ31" s="2511"/>
      <c r="NYR31" s="2511"/>
      <c r="NYS31" s="2511"/>
      <c r="NYT31" s="2511"/>
      <c r="NYU31" s="2511"/>
      <c r="NYV31" s="2511"/>
      <c r="NYW31" s="2511"/>
      <c r="NYX31" s="2511"/>
      <c r="NYY31" s="2511"/>
      <c r="NYZ31" s="2511"/>
      <c r="NZA31" s="2511"/>
      <c r="NZB31" s="2511"/>
      <c r="NZC31" s="2511"/>
      <c r="NZD31" s="2511"/>
      <c r="NZE31" s="2511"/>
      <c r="NZF31" s="2511"/>
      <c r="NZG31" s="2511"/>
      <c r="NZH31" s="2511"/>
      <c r="NZI31" s="2511"/>
      <c r="NZJ31" s="2511"/>
      <c r="NZK31" s="2511"/>
      <c r="NZL31" s="2511"/>
      <c r="NZM31" s="2511"/>
      <c r="NZN31" s="2511"/>
      <c r="NZO31" s="2511"/>
      <c r="NZP31" s="2511"/>
      <c r="NZQ31" s="2511"/>
      <c r="NZR31" s="2511"/>
      <c r="NZS31" s="2511"/>
      <c r="NZT31" s="2511"/>
      <c r="NZU31" s="2511"/>
      <c r="NZV31" s="2511"/>
      <c r="NZW31" s="2511"/>
      <c r="NZX31" s="2511"/>
      <c r="NZY31" s="2511"/>
      <c r="NZZ31" s="2511"/>
      <c r="OAA31" s="2511"/>
      <c r="OAB31" s="2511"/>
      <c r="OAC31" s="2511"/>
      <c r="OAD31" s="2511"/>
      <c r="OAE31" s="2511"/>
      <c r="OAF31" s="2511"/>
      <c r="OAG31" s="2511"/>
      <c r="OAH31" s="2511"/>
      <c r="OAI31" s="2511"/>
      <c r="OAJ31" s="2511"/>
      <c r="OAK31" s="2511"/>
      <c r="OAL31" s="2511"/>
      <c r="OAM31" s="2511"/>
      <c r="OAN31" s="2511"/>
      <c r="OAO31" s="2511"/>
      <c r="OAP31" s="2511"/>
      <c r="OAQ31" s="2511"/>
      <c r="OAR31" s="2511"/>
      <c r="OAS31" s="2511"/>
      <c r="OAT31" s="2511"/>
      <c r="OAU31" s="2511"/>
      <c r="OAV31" s="2511"/>
      <c r="OAW31" s="2511"/>
      <c r="OAX31" s="2511"/>
      <c r="OAY31" s="2511"/>
      <c r="OAZ31" s="2511"/>
      <c r="OBA31" s="2511"/>
      <c r="OBB31" s="2511"/>
      <c r="OBC31" s="2511"/>
      <c r="OBD31" s="2511"/>
      <c r="OBE31" s="2511"/>
      <c r="OBF31" s="2511"/>
      <c r="OBG31" s="2511"/>
      <c r="OBH31" s="2511"/>
      <c r="OBI31" s="2511"/>
      <c r="OBJ31" s="2511"/>
      <c r="OBK31" s="2511"/>
      <c r="OBL31" s="2511"/>
      <c r="OBM31" s="2511"/>
      <c r="OBN31" s="2511"/>
      <c r="OBO31" s="2511"/>
      <c r="OBP31" s="2511"/>
      <c r="OBQ31" s="2511"/>
      <c r="OBR31" s="2511"/>
      <c r="OBS31" s="2511"/>
      <c r="OBT31" s="2511"/>
      <c r="OBU31" s="2511"/>
      <c r="OBV31" s="2511"/>
      <c r="OBW31" s="2511"/>
      <c r="OBX31" s="2511"/>
      <c r="OBY31" s="2511"/>
      <c r="OBZ31" s="2511"/>
      <c r="OCA31" s="2511"/>
      <c r="OCB31" s="2511"/>
      <c r="OCC31" s="2511"/>
      <c r="OCD31" s="2511"/>
      <c r="OCE31" s="2511"/>
      <c r="OCF31" s="2511"/>
      <c r="OCG31" s="2511"/>
      <c r="OCH31" s="2511"/>
      <c r="OCI31" s="2511"/>
      <c r="OCJ31" s="2511"/>
      <c r="OCK31" s="2511"/>
      <c r="OCL31" s="2511"/>
      <c r="OCM31" s="2511"/>
      <c r="OCN31" s="2511"/>
      <c r="OCO31" s="2511"/>
      <c r="OCP31" s="2511"/>
      <c r="OCQ31" s="2511"/>
      <c r="OCR31" s="2511"/>
      <c r="OCS31" s="2511"/>
      <c r="OCT31" s="2511"/>
      <c r="OCU31" s="2511"/>
      <c r="OCV31" s="2511"/>
      <c r="OCW31" s="2511"/>
      <c r="OCX31" s="2511"/>
      <c r="OCY31" s="2511"/>
      <c r="OCZ31" s="2511"/>
      <c r="ODA31" s="2511"/>
      <c r="ODB31" s="2511"/>
      <c r="ODC31" s="2511"/>
      <c r="ODD31" s="2511"/>
      <c r="ODE31" s="2511"/>
      <c r="ODF31" s="2511"/>
      <c r="ODG31" s="2511"/>
      <c r="ODH31" s="2511"/>
      <c r="ODI31" s="2511"/>
      <c r="ODJ31" s="2511"/>
      <c r="ODK31" s="2511"/>
      <c r="ODL31" s="2511"/>
      <c r="ODM31" s="2511"/>
      <c r="ODN31" s="2511"/>
      <c r="ODO31" s="2511"/>
      <c r="ODP31" s="2511"/>
      <c r="ODQ31" s="2511"/>
      <c r="ODR31" s="2511"/>
      <c r="ODS31" s="2511"/>
      <c r="ODT31" s="2511"/>
      <c r="ODU31" s="2511"/>
      <c r="ODV31" s="2511"/>
      <c r="ODW31" s="2511"/>
      <c r="ODX31" s="2511"/>
      <c r="ODY31" s="2511"/>
      <c r="ODZ31" s="2511"/>
      <c r="OEA31" s="2511"/>
      <c r="OEB31" s="2511"/>
      <c r="OEC31" s="2511"/>
      <c r="OED31" s="2511"/>
      <c r="OEE31" s="2511"/>
      <c r="OEF31" s="2511"/>
      <c r="OEG31" s="2511"/>
      <c r="OEH31" s="2511"/>
      <c r="OEI31" s="2511"/>
      <c r="OEJ31" s="2511"/>
      <c r="OEK31" s="2511"/>
      <c r="OEL31" s="2511"/>
      <c r="OEM31" s="2511"/>
      <c r="OEN31" s="2511"/>
      <c r="OEO31" s="2511"/>
      <c r="OEP31" s="2511"/>
      <c r="OEQ31" s="2511"/>
      <c r="OER31" s="2511"/>
      <c r="OES31" s="2511"/>
      <c r="OET31" s="2511"/>
      <c r="OEU31" s="2511"/>
      <c r="OEV31" s="2511"/>
      <c r="OEW31" s="2511"/>
      <c r="OEX31" s="2511"/>
      <c r="OEY31" s="2511"/>
      <c r="OEZ31" s="2511"/>
      <c r="OFA31" s="2511"/>
      <c r="OFB31" s="2511"/>
      <c r="OFC31" s="2511"/>
      <c r="OFD31" s="2511"/>
      <c r="OFE31" s="2511"/>
      <c r="OFF31" s="2511"/>
      <c r="OFG31" s="2511"/>
      <c r="OFH31" s="2511"/>
      <c r="OFI31" s="2511"/>
      <c r="OFJ31" s="2511"/>
      <c r="OFK31" s="2511"/>
      <c r="OFL31" s="2511"/>
      <c r="OFM31" s="2511"/>
      <c r="OFN31" s="2511"/>
      <c r="OFO31" s="2511"/>
      <c r="OFP31" s="2511"/>
      <c r="OFQ31" s="2511"/>
      <c r="OFR31" s="2511"/>
      <c r="OFS31" s="2511"/>
      <c r="OFT31" s="2511"/>
      <c r="OFU31" s="2511"/>
      <c r="OFV31" s="2511"/>
      <c r="OFW31" s="2511"/>
      <c r="OFX31" s="2511"/>
      <c r="OFY31" s="2511"/>
      <c r="OFZ31" s="2511"/>
      <c r="OGA31" s="2511"/>
      <c r="OGB31" s="2511"/>
      <c r="OGC31" s="2511"/>
      <c r="OGD31" s="2511"/>
      <c r="OGE31" s="2511"/>
      <c r="OGF31" s="2511"/>
      <c r="OGG31" s="2511"/>
      <c r="OGH31" s="2511"/>
      <c r="OGI31" s="2511"/>
      <c r="OGJ31" s="2511"/>
      <c r="OGK31" s="2511"/>
      <c r="OGL31" s="2511"/>
      <c r="OGM31" s="2511"/>
      <c r="OGN31" s="2511"/>
      <c r="OGO31" s="2511"/>
      <c r="OGP31" s="2511"/>
      <c r="OGQ31" s="2511"/>
      <c r="OGR31" s="2511"/>
      <c r="OGS31" s="2511"/>
      <c r="OGT31" s="2511"/>
      <c r="OGU31" s="2511"/>
      <c r="OGV31" s="2511"/>
      <c r="OGW31" s="2511"/>
      <c r="OGX31" s="2511"/>
      <c r="OGY31" s="2511"/>
      <c r="OGZ31" s="2511"/>
      <c r="OHA31" s="2511"/>
      <c r="OHB31" s="2511"/>
      <c r="OHC31" s="2511"/>
      <c r="OHD31" s="2511"/>
      <c r="OHE31" s="2511"/>
      <c r="OHF31" s="2511"/>
      <c r="OHG31" s="2511"/>
      <c r="OHH31" s="2511"/>
      <c r="OHI31" s="2511"/>
      <c r="OHJ31" s="2511"/>
      <c r="OHK31" s="2511"/>
      <c r="OHL31" s="2511"/>
      <c r="OHM31" s="2511"/>
      <c r="OHN31" s="2511"/>
      <c r="OHO31" s="2511"/>
      <c r="OHP31" s="2511"/>
      <c r="OHQ31" s="2511"/>
      <c r="OHR31" s="2511"/>
      <c r="OHS31" s="2511"/>
      <c r="OHT31" s="2511"/>
      <c r="OHU31" s="2511"/>
      <c r="OHV31" s="2511"/>
      <c r="OHW31" s="2511"/>
      <c r="OHX31" s="2511"/>
      <c r="OHY31" s="2511"/>
      <c r="OHZ31" s="2511"/>
      <c r="OIA31" s="2511"/>
      <c r="OIB31" s="2511"/>
      <c r="OIC31" s="2511"/>
      <c r="OID31" s="2511"/>
      <c r="OIE31" s="2511"/>
      <c r="OIF31" s="2511"/>
      <c r="OIG31" s="2511"/>
      <c r="OIH31" s="2511"/>
      <c r="OII31" s="2511"/>
      <c r="OIJ31" s="2511"/>
      <c r="OIK31" s="2511"/>
      <c r="OIL31" s="2511"/>
      <c r="OIM31" s="2511"/>
      <c r="OIN31" s="2511"/>
      <c r="OIO31" s="2511"/>
      <c r="OIP31" s="2511"/>
      <c r="OIQ31" s="2511"/>
      <c r="OIR31" s="2511"/>
      <c r="OIS31" s="2511"/>
      <c r="OIT31" s="2511"/>
      <c r="OIU31" s="2511"/>
      <c r="OIV31" s="2511"/>
      <c r="OIW31" s="2511"/>
      <c r="OIX31" s="2511"/>
      <c r="OIY31" s="2511"/>
      <c r="OIZ31" s="2511"/>
      <c r="OJA31" s="2511"/>
      <c r="OJB31" s="2511"/>
      <c r="OJC31" s="2511"/>
      <c r="OJD31" s="2511"/>
      <c r="OJE31" s="2511"/>
      <c r="OJF31" s="2511"/>
      <c r="OJG31" s="2511"/>
      <c r="OJH31" s="2511"/>
      <c r="OJI31" s="2511"/>
      <c r="OJJ31" s="2511"/>
      <c r="OJK31" s="2511"/>
      <c r="OJL31" s="2511"/>
      <c r="OJM31" s="2511"/>
      <c r="OJN31" s="2511"/>
      <c r="OJO31" s="2511"/>
      <c r="OJP31" s="2511"/>
      <c r="OJQ31" s="2511"/>
      <c r="OJR31" s="2511"/>
      <c r="OJS31" s="2511"/>
      <c r="OJT31" s="2511"/>
      <c r="OJU31" s="2511"/>
      <c r="OJV31" s="2511"/>
      <c r="OJW31" s="2511"/>
      <c r="OJX31" s="2511"/>
      <c r="OJY31" s="2511"/>
      <c r="OJZ31" s="2511"/>
      <c r="OKA31" s="2511"/>
      <c r="OKB31" s="2511"/>
      <c r="OKC31" s="2511"/>
      <c r="OKD31" s="2511"/>
      <c r="OKE31" s="2511"/>
      <c r="OKF31" s="2511"/>
      <c r="OKG31" s="2511"/>
      <c r="OKH31" s="2511"/>
      <c r="OKI31" s="2511"/>
      <c r="OKJ31" s="2511"/>
      <c r="OKK31" s="2511"/>
      <c r="OKL31" s="2511"/>
      <c r="OKM31" s="2511"/>
      <c r="OKN31" s="2511"/>
      <c r="OKO31" s="2511"/>
      <c r="OKP31" s="2511"/>
      <c r="OKQ31" s="2511"/>
      <c r="OKR31" s="2511"/>
      <c r="OKS31" s="2511"/>
      <c r="OKT31" s="2511"/>
      <c r="OKU31" s="2511"/>
      <c r="OKV31" s="2511"/>
      <c r="OKW31" s="2511"/>
      <c r="OKX31" s="2511"/>
      <c r="OKY31" s="2511"/>
      <c r="OKZ31" s="2511"/>
      <c r="OLA31" s="2511"/>
      <c r="OLB31" s="2511"/>
      <c r="OLC31" s="2511"/>
      <c r="OLD31" s="2511"/>
      <c r="OLE31" s="2511"/>
      <c r="OLF31" s="2511"/>
      <c r="OLG31" s="2511"/>
      <c r="OLH31" s="2511"/>
      <c r="OLI31" s="2511"/>
      <c r="OLJ31" s="2511"/>
      <c r="OLK31" s="2511"/>
      <c r="OLL31" s="2511"/>
      <c r="OLM31" s="2511"/>
      <c r="OLN31" s="2511"/>
      <c r="OLO31" s="2511"/>
      <c r="OLP31" s="2511"/>
      <c r="OLQ31" s="2511"/>
      <c r="OLR31" s="2511"/>
      <c r="OLS31" s="2511"/>
      <c r="OLT31" s="2511"/>
      <c r="OLU31" s="2511"/>
      <c r="OLV31" s="2511"/>
      <c r="OLW31" s="2511"/>
      <c r="OLX31" s="2511"/>
      <c r="OLY31" s="2511"/>
      <c r="OLZ31" s="2511"/>
      <c r="OMA31" s="2511"/>
      <c r="OMB31" s="2511"/>
      <c r="OMC31" s="2511"/>
      <c r="OMD31" s="2511"/>
      <c r="OME31" s="2511"/>
      <c r="OMF31" s="2511"/>
      <c r="OMG31" s="2511"/>
      <c r="OMH31" s="2511"/>
      <c r="OMI31" s="2511"/>
      <c r="OMJ31" s="2511"/>
      <c r="OMK31" s="2511"/>
      <c r="OML31" s="2511"/>
      <c r="OMM31" s="2511"/>
      <c r="OMN31" s="2511"/>
      <c r="OMO31" s="2511"/>
      <c r="OMP31" s="2511"/>
      <c r="OMQ31" s="2511"/>
      <c r="OMR31" s="2511"/>
      <c r="OMS31" s="2511"/>
      <c r="OMT31" s="2511"/>
      <c r="OMU31" s="2511"/>
      <c r="OMV31" s="2511"/>
      <c r="OMW31" s="2511"/>
      <c r="OMX31" s="2511"/>
      <c r="OMY31" s="2511"/>
      <c r="OMZ31" s="2511"/>
      <c r="ONA31" s="2511"/>
      <c r="ONB31" s="2511"/>
      <c r="ONC31" s="2511"/>
      <c r="OND31" s="2511"/>
      <c r="ONE31" s="2511"/>
      <c r="ONF31" s="2511"/>
      <c r="ONG31" s="2511"/>
      <c r="ONH31" s="2511"/>
      <c r="ONI31" s="2511"/>
      <c r="ONJ31" s="2511"/>
      <c r="ONK31" s="2511"/>
      <c r="ONL31" s="2511"/>
      <c r="ONM31" s="2511"/>
      <c r="ONN31" s="2511"/>
      <c r="ONO31" s="2511"/>
      <c r="ONP31" s="2511"/>
      <c r="ONQ31" s="2511"/>
      <c r="ONR31" s="2511"/>
      <c r="ONS31" s="2511"/>
      <c r="ONT31" s="2511"/>
      <c r="ONU31" s="2511"/>
      <c r="ONV31" s="2511"/>
      <c r="ONW31" s="2511"/>
      <c r="ONX31" s="2511"/>
      <c r="ONY31" s="2511"/>
      <c r="ONZ31" s="2511"/>
      <c r="OOA31" s="2511"/>
      <c r="OOB31" s="2511"/>
      <c r="OOC31" s="2511"/>
      <c r="OOD31" s="2511"/>
      <c r="OOE31" s="2511"/>
      <c r="OOF31" s="2511"/>
      <c r="OOG31" s="2511"/>
      <c r="OOH31" s="2511"/>
      <c r="OOI31" s="2511"/>
      <c r="OOJ31" s="2511"/>
      <c r="OOK31" s="2511"/>
      <c r="OOL31" s="2511"/>
      <c r="OOM31" s="2511"/>
      <c r="OON31" s="2511"/>
      <c r="OOO31" s="2511"/>
      <c r="OOP31" s="2511"/>
      <c r="OOQ31" s="2511"/>
      <c r="OOR31" s="2511"/>
      <c r="OOS31" s="2511"/>
      <c r="OOT31" s="2511"/>
      <c r="OOU31" s="2511"/>
      <c r="OOV31" s="2511"/>
      <c r="OOW31" s="2511"/>
      <c r="OOX31" s="2511"/>
      <c r="OOY31" s="2511"/>
      <c r="OOZ31" s="2511"/>
      <c r="OPA31" s="2511"/>
      <c r="OPB31" s="2511"/>
      <c r="OPC31" s="2511"/>
      <c r="OPD31" s="2511"/>
      <c r="OPE31" s="2511"/>
      <c r="OPF31" s="2511"/>
      <c r="OPG31" s="2511"/>
      <c r="OPH31" s="2511"/>
      <c r="OPI31" s="2511"/>
      <c r="OPJ31" s="2511"/>
      <c r="OPK31" s="2511"/>
      <c r="OPL31" s="2511"/>
      <c r="OPM31" s="2511"/>
      <c r="OPN31" s="2511"/>
      <c r="OPO31" s="2511"/>
      <c r="OPP31" s="2511"/>
      <c r="OPQ31" s="2511"/>
      <c r="OPR31" s="2511"/>
      <c r="OPS31" s="2511"/>
      <c r="OPT31" s="2511"/>
      <c r="OPU31" s="2511"/>
      <c r="OPV31" s="2511"/>
      <c r="OPW31" s="2511"/>
      <c r="OPX31" s="2511"/>
      <c r="OPY31" s="2511"/>
      <c r="OPZ31" s="2511"/>
      <c r="OQA31" s="2511"/>
      <c r="OQB31" s="2511"/>
      <c r="OQC31" s="2511"/>
      <c r="OQD31" s="2511"/>
      <c r="OQE31" s="2511"/>
      <c r="OQF31" s="2511"/>
      <c r="OQG31" s="2511"/>
      <c r="OQH31" s="2511"/>
      <c r="OQI31" s="2511"/>
      <c r="OQJ31" s="2511"/>
      <c r="OQK31" s="2511"/>
      <c r="OQL31" s="2511"/>
      <c r="OQM31" s="2511"/>
      <c r="OQN31" s="2511"/>
      <c r="OQO31" s="2511"/>
      <c r="OQP31" s="2511"/>
      <c r="OQQ31" s="2511"/>
      <c r="OQR31" s="2511"/>
      <c r="OQS31" s="2511"/>
      <c r="OQT31" s="2511"/>
      <c r="OQU31" s="2511"/>
      <c r="OQV31" s="2511"/>
      <c r="OQW31" s="2511"/>
      <c r="OQX31" s="2511"/>
      <c r="OQY31" s="2511"/>
      <c r="OQZ31" s="2511"/>
      <c r="ORA31" s="2511"/>
      <c r="ORB31" s="2511"/>
      <c r="ORC31" s="2511"/>
      <c r="ORD31" s="2511"/>
      <c r="ORE31" s="2511"/>
      <c r="ORF31" s="2511"/>
      <c r="ORG31" s="2511"/>
      <c r="ORH31" s="2511"/>
      <c r="ORI31" s="2511"/>
      <c r="ORJ31" s="2511"/>
      <c r="ORK31" s="2511"/>
      <c r="ORL31" s="2511"/>
      <c r="ORM31" s="2511"/>
      <c r="ORN31" s="2511"/>
      <c r="ORO31" s="2511"/>
      <c r="ORP31" s="2511"/>
      <c r="ORQ31" s="2511"/>
      <c r="ORR31" s="2511"/>
      <c r="ORS31" s="2511"/>
      <c r="ORT31" s="2511"/>
      <c r="ORU31" s="2511"/>
      <c r="ORV31" s="2511"/>
      <c r="ORW31" s="2511"/>
      <c r="ORX31" s="2511"/>
      <c r="ORY31" s="2511"/>
      <c r="ORZ31" s="2511"/>
      <c r="OSA31" s="2511"/>
      <c r="OSB31" s="2511"/>
      <c r="OSC31" s="2511"/>
      <c r="OSD31" s="2511"/>
      <c r="OSE31" s="2511"/>
      <c r="OSF31" s="2511"/>
      <c r="OSG31" s="2511"/>
      <c r="OSH31" s="2511"/>
      <c r="OSI31" s="2511"/>
      <c r="OSJ31" s="2511"/>
      <c r="OSK31" s="2511"/>
      <c r="OSL31" s="2511"/>
      <c r="OSM31" s="2511"/>
      <c r="OSN31" s="2511"/>
      <c r="OSO31" s="2511"/>
      <c r="OSP31" s="2511"/>
      <c r="OSQ31" s="2511"/>
      <c r="OSR31" s="2511"/>
      <c r="OSS31" s="2511"/>
      <c r="OST31" s="2511"/>
      <c r="OSU31" s="2511"/>
      <c r="OSV31" s="2511"/>
      <c r="OSW31" s="2511"/>
      <c r="OSX31" s="2511"/>
      <c r="OSY31" s="2511"/>
      <c r="OSZ31" s="2511"/>
      <c r="OTA31" s="2511"/>
      <c r="OTB31" s="2511"/>
      <c r="OTC31" s="2511"/>
      <c r="OTD31" s="2511"/>
      <c r="OTE31" s="2511"/>
      <c r="OTF31" s="2511"/>
      <c r="OTG31" s="2511"/>
      <c r="OTH31" s="2511"/>
      <c r="OTI31" s="2511"/>
      <c r="OTJ31" s="2511"/>
      <c r="OTK31" s="2511"/>
      <c r="OTL31" s="2511"/>
      <c r="OTM31" s="2511"/>
      <c r="OTN31" s="2511"/>
      <c r="OTO31" s="2511"/>
      <c r="OTP31" s="2511"/>
      <c r="OTQ31" s="2511"/>
      <c r="OTR31" s="2511"/>
      <c r="OTS31" s="2511"/>
      <c r="OTT31" s="2511"/>
      <c r="OTU31" s="2511"/>
      <c r="OTV31" s="2511"/>
      <c r="OTW31" s="2511"/>
      <c r="OTX31" s="2511"/>
      <c r="OTY31" s="2511"/>
      <c r="OTZ31" s="2511"/>
      <c r="OUA31" s="2511"/>
      <c r="OUB31" s="2511"/>
      <c r="OUC31" s="2511"/>
      <c r="OUD31" s="2511"/>
      <c r="OUE31" s="2511"/>
      <c r="OUF31" s="2511"/>
      <c r="OUG31" s="2511"/>
      <c r="OUH31" s="2511"/>
      <c r="OUI31" s="2511"/>
      <c r="OUJ31" s="2511"/>
      <c r="OUK31" s="2511"/>
      <c r="OUL31" s="2511"/>
      <c r="OUM31" s="2511"/>
      <c r="OUN31" s="2511"/>
      <c r="OUO31" s="2511"/>
      <c r="OUP31" s="2511"/>
      <c r="OUQ31" s="2511"/>
      <c r="OUR31" s="2511"/>
      <c r="OUS31" s="2511"/>
      <c r="OUT31" s="2511"/>
      <c r="OUU31" s="2511"/>
      <c r="OUV31" s="2511"/>
      <c r="OUW31" s="2511"/>
      <c r="OUX31" s="2511"/>
      <c r="OUY31" s="2511"/>
      <c r="OUZ31" s="2511"/>
      <c r="OVA31" s="2511"/>
      <c r="OVB31" s="2511"/>
      <c r="OVC31" s="2511"/>
      <c r="OVD31" s="2511"/>
      <c r="OVE31" s="2511"/>
      <c r="OVF31" s="2511"/>
      <c r="OVG31" s="2511"/>
      <c r="OVH31" s="2511"/>
      <c r="OVI31" s="2511"/>
      <c r="OVJ31" s="2511"/>
      <c r="OVK31" s="2511"/>
      <c r="OVL31" s="2511"/>
      <c r="OVM31" s="2511"/>
      <c r="OVN31" s="2511"/>
      <c r="OVO31" s="2511"/>
      <c r="OVP31" s="2511"/>
      <c r="OVQ31" s="2511"/>
      <c r="OVR31" s="2511"/>
      <c r="OVS31" s="2511"/>
      <c r="OVT31" s="2511"/>
      <c r="OVU31" s="2511"/>
      <c r="OVV31" s="2511"/>
      <c r="OVW31" s="2511"/>
      <c r="OVX31" s="2511"/>
      <c r="OVY31" s="2511"/>
      <c r="OVZ31" s="2511"/>
      <c r="OWA31" s="2511"/>
      <c r="OWB31" s="2511"/>
      <c r="OWC31" s="2511"/>
      <c r="OWD31" s="2511"/>
      <c r="OWE31" s="2511"/>
      <c r="OWF31" s="2511"/>
      <c r="OWG31" s="2511"/>
      <c r="OWH31" s="2511"/>
      <c r="OWI31" s="2511"/>
      <c r="OWJ31" s="2511"/>
      <c r="OWK31" s="2511"/>
      <c r="OWL31" s="2511"/>
      <c r="OWM31" s="2511"/>
      <c r="OWN31" s="2511"/>
      <c r="OWO31" s="2511"/>
      <c r="OWP31" s="2511"/>
      <c r="OWQ31" s="2511"/>
      <c r="OWR31" s="2511"/>
      <c r="OWS31" s="2511"/>
      <c r="OWT31" s="2511"/>
      <c r="OWU31" s="2511"/>
      <c r="OWV31" s="2511"/>
      <c r="OWW31" s="2511"/>
      <c r="OWX31" s="2511"/>
      <c r="OWY31" s="2511"/>
      <c r="OWZ31" s="2511"/>
      <c r="OXA31" s="2511"/>
      <c r="OXB31" s="2511"/>
      <c r="OXC31" s="2511"/>
      <c r="OXD31" s="2511"/>
      <c r="OXE31" s="2511"/>
      <c r="OXF31" s="2511"/>
      <c r="OXG31" s="2511"/>
      <c r="OXH31" s="2511"/>
      <c r="OXI31" s="2511"/>
      <c r="OXJ31" s="2511"/>
      <c r="OXK31" s="2511"/>
      <c r="OXL31" s="2511"/>
      <c r="OXM31" s="2511"/>
      <c r="OXN31" s="2511"/>
      <c r="OXO31" s="2511"/>
      <c r="OXP31" s="2511"/>
      <c r="OXQ31" s="2511"/>
      <c r="OXR31" s="2511"/>
      <c r="OXS31" s="2511"/>
      <c r="OXT31" s="2511"/>
      <c r="OXU31" s="2511"/>
      <c r="OXV31" s="2511"/>
      <c r="OXW31" s="2511"/>
      <c r="OXX31" s="2511"/>
      <c r="OXY31" s="2511"/>
      <c r="OXZ31" s="2511"/>
      <c r="OYA31" s="2511"/>
      <c r="OYB31" s="2511"/>
      <c r="OYC31" s="2511"/>
      <c r="OYD31" s="2511"/>
      <c r="OYE31" s="2511"/>
      <c r="OYF31" s="2511"/>
      <c r="OYG31" s="2511"/>
      <c r="OYH31" s="2511"/>
      <c r="OYI31" s="2511"/>
      <c r="OYJ31" s="2511"/>
      <c r="OYK31" s="2511"/>
      <c r="OYL31" s="2511"/>
      <c r="OYM31" s="2511"/>
      <c r="OYN31" s="2511"/>
      <c r="OYO31" s="2511"/>
      <c r="OYP31" s="2511"/>
      <c r="OYQ31" s="2511"/>
      <c r="OYR31" s="2511"/>
      <c r="OYS31" s="2511"/>
      <c r="OYT31" s="2511"/>
      <c r="OYU31" s="2511"/>
      <c r="OYV31" s="2511"/>
      <c r="OYW31" s="2511"/>
      <c r="OYX31" s="2511"/>
      <c r="OYY31" s="2511"/>
      <c r="OYZ31" s="2511"/>
      <c r="OZA31" s="2511"/>
      <c r="OZB31" s="2511"/>
      <c r="OZC31" s="2511"/>
      <c r="OZD31" s="2511"/>
      <c r="OZE31" s="2511"/>
      <c r="OZF31" s="2511"/>
      <c r="OZG31" s="2511"/>
      <c r="OZH31" s="2511"/>
      <c r="OZI31" s="2511"/>
      <c r="OZJ31" s="2511"/>
      <c r="OZK31" s="2511"/>
      <c r="OZL31" s="2511"/>
      <c r="OZM31" s="2511"/>
      <c r="OZN31" s="2511"/>
      <c r="OZO31" s="2511"/>
      <c r="OZP31" s="2511"/>
      <c r="OZQ31" s="2511"/>
      <c r="OZR31" s="2511"/>
      <c r="OZS31" s="2511"/>
      <c r="OZT31" s="2511"/>
      <c r="OZU31" s="2511"/>
      <c r="OZV31" s="2511"/>
      <c r="OZW31" s="2511"/>
      <c r="OZX31" s="2511"/>
      <c r="OZY31" s="2511"/>
      <c r="OZZ31" s="2511"/>
      <c r="PAA31" s="2511"/>
      <c r="PAB31" s="2511"/>
      <c r="PAC31" s="2511"/>
      <c r="PAD31" s="2511"/>
      <c r="PAE31" s="2511"/>
      <c r="PAF31" s="2511"/>
      <c r="PAG31" s="2511"/>
      <c r="PAH31" s="2511"/>
      <c r="PAI31" s="2511"/>
      <c r="PAJ31" s="2511"/>
      <c r="PAK31" s="2511"/>
      <c r="PAL31" s="2511"/>
      <c r="PAM31" s="2511"/>
      <c r="PAN31" s="2511"/>
      <c r="PAO31" s="2511"/>
      <c r="PAP31" s="2511"/>
      <c r="PAQ31" s="2511"/>
      <c r="PAR31" s="2511"/>
      <c r="PAS31" s="2511"/>
      <c r="PAT31" s="2511"/>
      <c r="PAU31" s="2511"/>
      <c r="PAV31" s="2511"/>
      <c r="PAW31" s="2511"/>
      <c r="PAX31" s="2511"/>
      <c r="PAY31" s="2511"/>
      <c r="PAZ31" s="2511"/>
      <c r="PBA31" s="2511"/>
      <c r="PBB31" s="2511"/>
      <c r="PBC31" s="2511"/>
      <c r="PBD31" s="2511"/>
      <c r="PBE31" s="2511"/>
      <c r="PBF31" s="2511"/>
      <c r="PBG31" s="2511"/>
      <c r="PBH31" s="2511"/>
      <c r="PBI31" s="2511"/>
      <c r="PBJ31" s="2511"/>
      <c r="PBK31" s="2511"/>
      <c r="PBL31" s="2511"/>
      <c r="PBM31" s="2511"/>
      <c r="PBN31" s="2511"/>
      <c r="PBO31" s="2511"/>
      <c r="PBP31" s="2511"/>
      <c r="PBQ31" s="2511"/>
      <c r="PBR31" s="2511"/>
      <c r="PBS31" s="2511"/>
      <c r="PBT31" s="2511"/>
      <c r="PBU31" s="2511"/>
      <c r="PBV31" s="2511"/>
      <c r="PBW31" s="2511"/>
      <c r="PBX31" s="2511"/>
      <c r="PBY31" s="2511"/>
      <c r="PBZ31" s="2511"/>
      <c r="PCA31" s="2511"/>
      <c r="PCB31" s="2511"/>
      <c r="PCC31" s="2511"/>
      <c r="PCD31" s="2511"/>
      <c r="PCE31" s="2511"/>
      <c r="PCF31" s="2511"/>
      <c r="PCG31" s="2511"/>
      <c r="PCH31" s="2511"/>
      <c r="PCI31" s="2511"/>
      <c r="PCJ31" s="2511"/>
      <c r="PCK31" s="2511"/>
      <c r="PCL31" s="2511"/>
      <c r="PCM31" s="2511"/>
      <c r="PCN31" s="2511"/>
      <c r="PCO31" s="2511"/>
      <c r="PCP31" s="2511"/>
      <c r="PCQ31" s="2511"/>
      <c r="PCR31" s="2511"/>
      <c r="PCS31" s="2511"/>
      <c r="PCT31" s="2511"/>
      <c r="PCU31" s="2511"/>
      <c r="PCV31" s="2511"/>
      <c r="PCW31" s="2511"/>
      <c r="PCX31" s="2511"/>
      <c r="PCY31" s="2511"/>
      <c r="PCZ31" s="2511"/>
      <c r="PDA31" s="2511"/>
      <c r="PDB31" s="2511"/>
      <c r="PDC31" s="2511"/>
      <c r="PDD31" s="2511"/>
      <c r="PDE31" s="2511"/>
      <c r="PDF31" s="2511"/>
      <c r="PDG31" s="2511"/>
      <c r="PDH31" s="2511"/>
      <c r="PDI31" s="2511"/>
      <c r="PDJ31" s="2511"/>
      <c r="PDK31" s="2511"/>
      <c r="PDL31" s="2511"/>
      <c r="PDM31" s="2511"/>
      <c r="PDN31" s="2511"/>
      <c r="PDO31" s="2511"/>
      <c r="PDP31" s="2511"/>
      <c r="PDQ31" s="2511"/>
      <c r="PDR31" s="2511"/>
      <c r="PDS31" s="2511"/>
      <c r="PDT31" s="2511"/>
      <c r="PDU31" s="2511"/>
      <c r="PDV31" s="2511"/>
      <c r="PDW31" s="2511"/>
      <c r="PDX31" s="2511"/>
      <c r="PDY31" s="2511"/>
      <c r="PDZ31" s="2511"/>
      <c r="PEA31" s="2511"/>
      <c r="PEB31" s="2511"/>
      <c r="PEC31" s="2511"/>
      <c r="PED31" s="2511"/>
      <c r="PEE31" s="2511"/>
      <c r="PEF31" s="2511"/>
      <c r="PEG31" s="2511"/>
      <c r="PEH31" s="2511"/>
      <c r="PEI31" s="2511"/>
      <c r="PEJ31" s="2511"/>
      <c r="PEK31" s="2511"/>
      <c r="PEL31" s="2511"/>
      <c r="PEM31" s="2511"/>
      <c r="PEN31" s="2511"/>
      <c r="PEO31" s="2511"/>
      <c r="PEP31" s="2511"/>
      <c r="PEQ31" s="2511"/>
      <c r="PER31" s="2511"/>
      <c r="PES31" s="2511"/>
      <c r="PET31" s="2511"/>
      <c r="PEU31" s="2511"/>
      <c r="PEV31" s="2511"/>
      <c r="PEW31" s="2511"/>
      <c r="PEX31" s="2511"/>
      <c r="PEY31" s="2511"/>
      <c r="PEZ31" s="2511"/>
      <c r="PFA31" s="2511"/>
      <c r="PFB31" s="2511"/>
      <c r="PFC31" s="2511"/>
      <c r="PFD31" s="2511"/>
      <c r="PFE31" s="2511"/>
      <c r="PFF31" s="2511"/>
      <c r="PFG31" s="2511"/>
      <c r="PFH31" s="2511"/>
      <c r="PFI31" s="2511"/>
      <c r="PFJ31" s="2511"/>
      <c r="PFK31" s="2511"/>
      <c r="PFL31" s="2511"/>
      <c r="PFM31" s="2511"/>
      <c r="PFN31" s="2511"/>
      <c r="PFO31" s="2511"/>
      <c r="PFP31" s="2511"/>
      <c r="PFQ31" s="2511"/>
      <c r="PFR31" s="2511"/>
      <c r="PFS31" s="2511"/>
      <c r="PFT31" s="2511"/>
      <c r="PFU31" s="2511"/>
      <c r="PFV31" s="2511"/>
      <c r="PFW31" s="2511"/>
      <c r="PFX31" s="2511"/>
      <c r="PFY31" s="2511"/>
      <c r="PFZ31" s="2511"/>
      <c r="PGA31" s="2511"/>
      <c r="PGB31" s="2511"/>
      <c r="PGC31" s="2511"/>
      <c r="PGD31" s="2511"/>
      <c r="PGE31" s="2511"/>
      <c r="PGF31" s="2511"/>
      <c r="PGG31" s="2511"/>
      <c r="PGH31" s="2511"/>
      <c r="PGI31" s="2511"/>
      <c r="PGJ31" s="2511"/>
      <c r="PGK31" s="2511"/>
      <c r="PGL31" s="2511"/>
      <c r="PGM31" s="2511"/>
      <c r="PGN31" s="2511"/>
      <c r="PGO31" s="2511"/>
      <c r="PGP31" s="2511"/>
      <c r="PGQ31" s="2511"/>
      <c r="PGR31" s="2511"/>
      <c r="PGS31" s="2511"/>
      <c r="PGT31" s="2511"/>
      <c r="PGU31" s="2511"/>
      <c r="PGV31" s="2511"/>
      <c r="PGW31" s="2511"/>
      <c r="PGX31" s="2511"/>
      <c r="PGY31" s="2511"/>
      <c r="PGZ31" s="2511"/>
      <c r="PHA31" s="2511"/>
      <c r="PHB31" s="2511"/>
      <c r="PHC31" s="2511"/>
      <c r="PHD31" s="2511"/>
      <c r="PHE31" s="2511"/>
      <c r="PHF31" s="2511"/>
      <c r="PHG31" s="2511"/>
      <c r="PHH31" s="2511"/>
      <c r="PHI31" s="2511"/>
      <c r="PHJ31" s="2511"/>
      <c r="PHK31" s="2511"/>
      <c r="PHL31" s="2511"/>
      <c r="PHM31" s="2511"/>
      <c r="PHN31" s="2511"/>
      <c r="PHO31" s="2511"/>
      <c r="PHP31" s="2511"/>
      <c r="PHQ31" s="2511"/>
      <c r="PHR31" s="2511"/>
      <c r="PHS31" s="2511"/>
      <c r="PHT31" s="2511"/>
      <c r="PHU31" s="2511"/>
      <c r="PHV31" s="2511"/>
      <c r="PHW31" s="2511"/>
      <c r="PHX31" s="2511"/>
      <c r="PHY31" s="2511"/>
      <c r="PHZ31" s="2511"/>
      <c r="PIA31" s="2511"/>
      <c r="PIB31" s="2511"/>
      <c r="PIC31" s="2511"/>
      <c r="PID31" s="2511"/>
      <c r="PIE31" s="2511"/>
      <c r="PIF31" s="2511"/>
      <c r="PIG31" s="2511"/>
      <c r="PIH31" s="2511"/>
      <c r="PII31" s="2511"/>
      <c r="PIJ31" s="2511"/>
      <c r="PIK31" s="2511"/>
      <c r="PIL31" s="2511"/>
      <c r="PIM31" s="2511"/>
      <c r="PIN31" s="2511"/>
      <c r="PIO31" s="2511"/>
      <c r="PIP31" s="2511"/>
      <c r="PIQ31" s="2511"/>
      <c r="PIR31" s="2511"/>
      <c r="PIS31" s="2511"/>
      <c r="PIT31" s="2511"/>
      <c r="PIU31" s="2511"/>
      <c r="PIV31" s="2511"/>
      <c r="PIW31" s="2511"/>
      <c r="PIX31" s="2511"/>
      <c r="PIY31" s="2511"/>
      <c r="PIZ31" s="2511"/>
      <c r="PJA31" s="2511"/>
      <c r="PJB31" s="2511"/>
      <c r="PJC31" s="2511"/>
      <c r="PJD31" s="2511"/>
      <c r="PJE31" s="2511"/>
      <c r="PJF31" s="2511"/>
      <c r="PJG31" s="2511"/>
      <c r="PJH31" s="2511"/>
      <c r="PJI31" s="2511"/>
      <c r="PJJ31" s="2511"/>
      <c r="PJK31" s="2511"/>
      <c r="PJL31" s="2511"/>
      <c r="PJM31" s="2511"/>
      <c r="PJN31" s="2511"/>
      <c r="PJO31" s="2511"/>
      <c r="PJP31" s="2511"/>
      <c r="PJQ31" s="2511"/>
      <c r="PJR31" s="2511"/>
      <c r="PJS31" s="2511"/>
      <c r="PJT31" s="2511"/>
      <c r="PJU31" s="2511"/>
      <c r="PJV31" s="2511"/>
      <c r="PJW31" s="2511"/>
      <c r="PJX31" s="2511"/>
      <c r="PJY31" s="2511"/>
      <c r="PJZ31" s="2511"/>
      <c r="PKA31" s="2511"/>
      <c r="PKB31" s="2511"/>
      <c r="PKC31" s="2511"/>
      <c r="PKD31" s="2511"/>
      <c r="PKE31" s="2511"/>
      <c r="PKF31" s="2511"/>
      <c r="PKG31" s="2511"/>
      <c r="PKH31" s="2511"/>
      <c r="PKI31" s="2511"/>
      <c r="PKJ31" s="2511"/>
      <c r="PKK31" s="2511"/>
      <c r="PKL31" s="2511"/>
      <c r="PKM31" s="2511"/>
      <c r="PKN31" s="2511"/>
      <c r="PKO31" s="2511"/>
      <c r="PKP31" s="2511"/>
      <c r="PKQ31" s="2511"/>
      <c r="PKR31" s="2511"/>
      <c r="PKS31" s="2511"/>
      <c r="PKT31" s="2511"/>
      <c r="PKU31" s="2511"/>
      <c r="PKV31" s="2511"/>
      <c r="PKW31" s="2511"/>
      <c r="PKX31" s="2511"/>
      <c r="PKY31" s="2511"/>
      <c r="PKZ31" s="2511"/>
      <c r="PLA31" s="2511"/>
      <c r="PLB31" s="2511"/>
      <c r="PLC31" s="2511"/>
      <c r="PLD31" s="2511"/>
      <c r="PLE31" s="2511"/>
      <c r="PLF31" s="2511"/>
      <c r="PLG31" s="2511"/>
      <c r="PLH31" s="2511"/>
      <c r="PLI31" s="2511"/>
      <c r="PLJ31" s="2511"/>
      <c r="PLK31" s="2511"/>
      <c r="PLL31" s="2511"/>
      <c r="PLM31" s="2511"/>
      <c r="PLN31" s="2511"/>
      <c r="PLO31" s="2511"/>
      <c r="PLP31" s="2511"/>
      <c r="PLQ31" s="2511"/>
      <c r="PLR31" s="2511"/>
      <c r="PLS31" s="2511"/>
      <c r="PLT31" s="2511"/>
      <c r="PLU31" s="2511"/>
      <c r="PLV31" s="2511"/>
      <c r="PLW31" s="2511"/>
      <c r="PLX31" s="2511"/>
      <c r="PLY31" s="2511"/>
      <c r="PLZ31" s="2511"/>
      <c r="PMA31" s="2511"/>
      <c r="PMB31" s="2511"/>
      <c r="PMC31" s="2511"/>
      <c r="PMD31" s="2511"/>
      <c r="PME31" s="2511"/>
      <c r="PMF31" s="2511"/>
      <c r="PMG31" s="2511"/>
      <c r="PMH31" s="2511"/>
      <c r="PMI31" s="2511"/>
      <c r="PMJ31" s="2511"/>
      <c r="PMK31" s="2511"/>
      <c r="PML31" s="2511"/>
      <c r="PMM31" s="2511"/>
      <c r="PMN31" s="2511"/>
      <c r="PMO31" s="2511"/>
      <c r="PMP31" s="2511"/>
      <c r="PMQ31" s="2511"/>
      <c r="PMR31" s="2511"/>
      <c r="PMS31" s="2511"/>
      <c r="PMT31" s="2511"/>
      <c r="PMU31" s="2511"/>
      <c r="PMV31" s="2511"/>
      <c r="PMW31" s="2511"/>
      <c r="PMX31" s="2511"/>
      <c r="PMY31" s="2511"/>
      <c r="PMZ31" s="2511"/>
      <c r="PNA31" s="2511"/>
      <c r="PNB31" s="2511"/>
      <c r="PNC31" s="2511"/>
      <c r="PND31" s="2511"/>
      <c r="PNE31" s="2511"/>
      <c r="PNF31" s="2511"/>
      <c r="PNG31" s="2511"/>
      <c r="PNH31" s="2511"/>
      <c r="PNI31" s="2511"/>
      <c r="PNJ31" s="2511"/>
      <c r="PNK31" s="2511"/>
      <c r="PNL31" s="2511"/>
      <c r="PNM31" s="2511"/>
      <c r="PNN31" s="2511"/>
      <c r="PNO31" s="2511"/>
      <c r="PNP31" s="2511"/>
      <c r="PNQ31" s="2511"/>
      <c r="PNR31" s="2511"/>
      <c r="PNS31" s="2511"/>
      <c r="PNT31" s="2511"/>
      <c r="PNU31" s="2511"/>
      <c r="PNV31" s="2511"/>
      <c r="PNW31" s="2511"/>
      <c r="PNX31" s="2511"/>
      <c r="PNY31" s="2511"/>
      <c r="PNZ31" s="2511"/>
      <c r="POA31" s="2511"/>
      <c r="POB31" s="2511"/>
      <c r="POC31" s="2511"/>
      <c r="POD31" s="2511"/>
      <c r="POE31" s="2511"/>
      <c r="POF31" s="2511"/>
      <c r="POG31" s="2511"/>
      <c r="POH31" s="2511"/>
      <c r="POI31" s="2511"/>
      <c r="POJ31" s="2511"/>
      <c r="POK31" s="2511"/>
      <c r="POL31" s="2511"/>
      <c r="POM31" s="2511"/>
      <c r="PON31" s="2511"/>
      <c r="POO31" s="2511"/>
      <c r="POP31" s="2511"/>
      <c r="POQ31" s="2511"/>
      <c r="POR31" s="2511"/>
      <c r="POS31" s="2511"/>
      <c r="POT31" s="2511"/>
      <c r="POU31" s="2511"/>
      <c r="POV31" s="2511"/>
      <c r="POW31" s="2511"/>
      <c r="POX31" s="2511"/>
      <c r="POY31" s="2511"/>
      <c r="POZ31" s="2511"/>
      <c r="PPA31" s="2511"/>
      <c r="PPB31" s="2511"/>
      <c r="PPC31" s="2511"/>
      <c r="PPD31" s="2511"/>
      <c r="PPE31" s="2511"/>
      <c r="PPF31" s="2511"/>
      <c r="PPG31" s="2511"/>
      <c r="PPH31" s="2511"/>
      <c r="PPI31" s="2511"/>
      <c r="PPJ31" s="2511"/>
      <c r="PPK31" s="2511"/>
      <c r="PPL31" s="2511"/>
      <c r="PPM31" s="2511"/>
      <c r="PPN31" s="2511"/>
      <c r="PPO31" s="2511"/>
      <c r="PPP31" s="2511"/>
      <c r="PPQ31" s="2511"/>
      <c r="PPR31" s="2511"/>
      <c r="PPS31" s="2511"/>
      <c r="PPT31" s="2511"/>
      <c r="PPU31" s="2511"/>
      <c r="PPV31" s="2511"/>
      <c r="PPW31" s="2511"/>
      <c r="PPX31" s="2511"/>
      <c r="PPY31" s="2511"/>
      <c r="PPZ31" s="2511"/>
      <c r="PQA31" s="2511"/>
      <c r="PQB31" s="2511"/>
      <c r="PQC31" s="2511"/>
      <c r="PQD31" s="2511"/>
      <c r="PQE31" s="2511"/>
      <c r="PQF31" s="2511"/>
      <c r="PQG31" s="2511"/>
      <c r="PQH31" s="2511"/>
      <c r="PQI31" s="2511"/>
      <c r="PQJ31" s="2511"/>
      <c r="PQK31" s="2511"/>
      <c r="PQL31" s="2511"/>
      <c r="PQM31" s="2511"/>
      <c r="PQN31" s="2511"/>
      <c r="PQO31" s="2511"/>
      <c r="PQP31" s="2511"/>
      <c r="PQQ31" s="2511"/>
      <c r="PQR31" s="2511"/>
      <c r="PQS31" s="2511"/>
      <c r="PQT31" s="2511"/>
      <c r="PQU31" s="2511"/>
      <c r="PQV31" s="2511"/>
      <c r="PQW31" s="2511"/>
      <c r="PQX31" s="2511"/>
      <c r="PQY31" s="2511"/>
      <c r="PQZ31" s="2511"/>
      <c r="PRA31" s="2511"/>
      <c r="PRB31" s="2511"/>
      <c r="PRC31" s="2511"/>
      <c r="PRD31" s="2511"/>
      <c r="PRE31" s="2511"/>
      <c r="PRF31" s="2511"/>
      <c r="PRG31" s="2511"/>
      <c r="PRH31" s="2511"/>
      <c r="PRI31" s="2511"/>
      <c r="PRJ31" s="2511"/>
      <c r="PRK31" s="2511"/>
      <c r="PRL31" s="2511"/>
      <c r="PRM31" s="2511"/>
      <c r="PRN31" s="2511"/>
      <c r="PRO31" s="2511"/>
      <c r="PRP31" s="2511"/>
      <c r="PRQ31" s="2511"/>
      <c r="PRR31" s="2511"/>
      <c r="PRS31" s="2511"/>
      <c r="PRT31" s="2511"/>
      <c r="PRU31" s="2511"/>
      <c r="PRV31" s="2511"/>
      <c r="PRW31" s="2511"/>
      <c r="PRX31" s="2511"/>
      <c r="PRY31" s="2511"/>
      <c r="PRZ31" s="2511"/>
      <c r="PSA31" s="2511"/>
      <c r="PSB31" s="2511"/>
      <c r="PSC31" s="2511"/>
      <c r="PSD31" s="2511"/>
      <c r="PSE31" s="2511"/>
      <c r="PSF31" s="2511"/>
      <c r="PSG31" s="2511"/>
      <c r="PSH31" s="2511"/>
      <c r="PSI31" s="2511"/>
      <c r="PSJ31" s="2511"/>
      <c r="PSK31" s="2511"/>
      <c r="PSL31" s="2511"/>
      <c r="PSM31" s="2511"/>
      <c r="PSN31" s="2511"/>
      <c r="PSO31" s="2511"/>
      <c r="PSP31" s="2511"/>
      <c r="PSQ31" s="2511"/>
      <c r="PSR31" s="2511"/>
      <c r="PSS31" s="2511"/>
      <c r="PST31" s="2511"/>
      <c r="PSU31" s="2511"/>
      <c r="PSV31" s="2511"/>
      <c r="PSW31" s="2511"/>
      <c r="PSX31" s="2511"/>
      <c r="PSY31" s="2511"/>
      <c r="PSZ31" s="2511"/>
      <c r="PTA31" s="2511"/>
      <c r="PTB31" s="2511"/>
      <c r="PTC31" s="2511"/>
      <c r="PTD31" s="2511"/>
      <c r="PTE31" s="2511"/>
      <c r="PTF31" s="2511"/>
      <c r="PTG31" s="2511"/>
      <c r="PTH31" s="2511"/>
      <c r="PTI31" s="2511"/>
      <c r="PTJ31" s="2511"/>
      <c r="PTK31" s="2511"/>
      <c r="PTL31" s="2511"/>
      <c r="PTM31" s="2511"/>
      <c r="PTN31" s="2511"/>
      <c r="PTO31" s="2511"/>
      <c r="PTP31" s="2511"/>
      <c r="PTQ31" s="2511"/>
      <c r="PTR31" s="2511"/>
      <c r="PTS31" s="2511"/>
      <c r="PTT31" s="2511"/>
      <c r="PTU31" s="2511"/>
      <c r="PTV31" s="2511"/>
      <c r="PTW31" s="2511"/>
      <c r="PTX31" s="2511"/>
      <c r="PTY31" s="2511"/>
      <c r="PTZ31" s="2511"/>
      <c r="PUA31" s="2511"/>
      <c r="PUB31" s="2511"/>
      <c r="PUC31" s="2511"/>
      <c r="PUD31" s="2511"/>
      <c r="PUE31" s="2511"/>
      <c r="PUF31" s="2511"/>
      <c r="PUG31" s="2511"/>
      <c r="PUH31" s="2511"/>
      <c r="PUI31" s="2511"/>
      <c r="PUJ31" s="2511"/>
      <c r="PUK31" s="2511"/>
      <c r="PUL31" s="2511"/>
      <c r="PUM31" s="2511"/>
      <c r="PUN31" s="2511"/>
      <c r="PUO31" s="2511"/>
      <c r="PUP31" s="2511"/>
      <c r="PUQ31" s="2511"/>
      <c r="PUR31" s="2511"/>
      <c r="PUS31" s="2511"/>
      <c r="PUT31" s="2511"/>
      <c r="PUU31" s="2511"/>
      <c r="PUV31" s="2511"/>
      <c r="PUW31" s="2511"/>
      <c r="PUX31" s="2511"/>
      <c r="PUY31" s="2511"/>
      <c r="PUZ31" s="2511"/>
      <c r="PVA31" s="2511"/>
      <c r="PVB31" s="2511"/>
      <c r="PVC31" s="2511"/>
      <c r="PVD31" s="2511"/>
      <c r="PVE31" s="2511"/>
      <c r="PVF31" s="2511"/>
      <c r="PVG31" s="2511"/>
      <c r="PVH31" s="2511"/>
      <c r="PVI31" s="2511"/>
      <c r="PVJ31" s="2511"/>
      <c r="PVK31" s="2511"/>
      <c r="PVL31" s="2511"/>
      <c r="PVM31" s="2511"/>
      <c r="PVN31" s="2511"/>
      <c r="PVO31" s="2511"/>
      <c r="PVP31" s="2511"/>
      <c r="PVQ31" s="2511"/>
      <c r="PVR31" s="2511"/>
      <c r="PVS31" s="2511"/>
      <c r="PVT31" s="2511"/>
      <c r="PVU31" s="2511"/>
      <c r="PVV31" s="2511"/>
      <c r="PVW31" s="2511"/>
      <c r="PVX31" s="2511"/>
      <c r="PVY31" s="2511"/>
      <c r="PVZ31" s="2511"/>
      <c r="PWA31" s="2511"/>
      <c r="PWB31" s="2511"/>
      <c r="PWC31" s="2511"/>
      <c r="PWD31" s="2511"/>
      <c r="PWE31" s="2511"/>
      <c r="PWF31" s="2511"/>
      <c r="PWG31" s="2511"/>
      <c r="PWH31" s="2511"/>
      <c r="PWI31" s="2511"/>
      <c r="PWJ31" s="2511"/>
      <c r="PWK31" s="2511"/>
      <c r="PWL31" s="2511"/>
      <c r="PWM31" s="2511"/>
      <c r="PWN31" s="2511"/>
      <c r="PWO31" s="2511"/>
      <c r="PWP31" s="2511"/>
      <c r="PWQ31" s="2511"/>
      <c r="PWR31" s="2511"/>
      <c r="PWS31" s="2511"/>
      <c r="PWT31" s="2511"/>
      <c r="PWU31" s="2511"/>
      <c r="PWV31" s="2511"/>
      <c r="PWW31" s="2511"/>
      <c r="PWX31" s="2511"/>
      <c r="PWY31" s="2511"/>
      <c r="PWZ31" s="2511"/>
      <c r="PXA31" s="2511"/>
      <c r="PXB31" s="2511"/>
      <c r="PXC31" s="2511"/>
      <c r="PXD31" s="2511"/>
      <c r="PXE31" s="2511"/>
      <c r="PXF31" s="2511"/>
      <c r="PXG31" s="2511"/>
      <c r="PXH31" s="2511"/>
      <c r="PXI31" s="2511"/>
      <c r="PXJ31" s="2511"/>
      <c r="PXK31" s="2511"/>
      <c r="PXL31" s="2511"/>
      <c r="PXM31" s="2511"/>
      <c r="PXN31" s="2511"/>
      <c r="PXO31" s="2511"/>
      <c r="PXP31" s="2511"/>
      <c r="PXQ31" s="2511"/>
      <c r="PXR31" s="2511"/>
      <c r="PXS31" s="2511"/>
      <c r="PXT31" s="2511"/>
      <c r="PXU31" s="2511"/>
      <c r="PXV31" s="2511"/>
      <c r="PXW31" s="2511"/>
      <c r="PXX31" s="2511"/>
      <c r="PXY31" s="2511"/>
      <c r="PXZ31" s="2511"/>
      <c r="PYA31" s="2511"/>
      <c r="PYB31" s="2511"/>
      <c r="PYC31" s="2511"/>
      <c r="PYD31" s="2511"/>
      <c r="PYE31" s="2511"/>
      <c r="PYF31" s="2511"/>
      <c r="PYG31" s="2511"/>
      <c r="PYH31" s="2511"/>
      <c r="PYI31" s="2511"/>
      <c r="PYJ31" s="2511"/>
      <c r="PYK31" s="2511"/>
      <c r="PYL31" s="2511"/>
      <c r="PYM31" s="2511"/>
      <c r="PYN31" s="2511"/>
      <c r="PYO31" s="2511"/>
      <c r="PYP31" s="2511"/>
      <c r="PYQ31" s="2511"/>
      <c r="PYR31" s="2511"/>
      <c r="PYS31" s="2511"/>
      <c r="PYT31" s="2511"/>
      <c r="PYU31" s="2511"/>
      <c r="PYV31" s="2511"/>
      <c r="PYW31" s="2511"/>
      <c r="PYX31" s="2511"/>
      <c r="PYY31" s="2511"/>
      <c r="PYZ31" s="2511"/>
      <c r="PZA31" s="2511"/>
      <c r="PZB31" s="2511"/>
      <c r="PZC31" s="2511"/>
      <c r="PZD31" s="2511"/>
      <c r="PZE31" s="2511"/>
      <c r="PZF31" s="2511"/>
      <c r="PZG31" s="2511"/>
      <c r="PZH31" s="2511"/>
      <c r="PZI31" s="2511"/>
      <c r="PZJ31" s="2511"/>
      <c r="PZK31" s="2511"/>
      <c r="PZL31" s="2511"/>
      <c r="PZM31" s="2511"/>
      <c r="PZN31" s="2511"/>
      <c r="PZO31" s="2511"/>
      <c r="PZP31" s="2511"/>
      <c r="PZQ31" s="2511"/>
      <c r="PZR31" s="2511"/>
      <c r="PZS31" s="2511"/>
      <c r="PZT31" s="2511"/>
      <c r="PZU31" s="2511"/>
      <c r="PZV31" s="2511"/>
      <c r="PZW31" s="2511"/>
      <c r="PZX31" s="2511"/>
      <c r="PZY31" s="2511"/>
      <c r="PZZ31" s="2511"/>
      <c r="QAA31" s="2511"/>
      <c r="QAB31" s="2511"/>
      <c r="QAC31" s="2511"/>
      <c r="QAD31" s="2511"/>
      <c r="QAE31" s="2511"/>
      <c r="QAF31" s="2511"/>
      <c r="QAG31" s="2511"/>
      <c r="QAH31" s="2511"/>
      <c r="QAI31" s="2511"/>
      <c r="QAJ31" s="2511"/>
      <c r="QAK31" s="2511"/>
      <c r="QAL31" s="2511"/>
      <c r="QAM31" s="2511"/>
      <c r="QAN31" s="2511"/>
      <c r="QAO31" s="2511"/>
      <c r="QAP31" s="2511"/>
      <c r="QAQ31" s="2511"/>
      <c r="QAR31" s="2511"/>
      <c r="QAS31" s="2511"/>
      <c r="QAT31" s="2511"/>
      <c r="QAU31" s="2511"/>
      <c r="QAV31" s="2511"/>
      <c r="QAW31" s="2511"/>
      <c r="QAX31" s="2511"/>
      <c r="QAY31" s="2511"/>
      <c r="QAZ31" s="2511"/>
      <c r="QBA31" s="2511"/>
      <c r="QBB31" s="2511"/>
      <c r="QBC31" s="2511"/>
      <c r="QBD31" s="2511"/>
      <c r="QBE31" s="2511"/>
      <c r="QBF31" s="2511"/>
      <c r="QBG31" s="2511"/>
      <c r="QBH31" s="2511"/>
      <c r="QBI31" s="2511"/>
      <c r="QBJ31" s="2511"/>
      <c r="QBK31" s="2511"/>
      <c r="QBL31" s="2511"/>
      <c r="QBM31" s="2511"/>
      <c r="QBN31" s="2511"/>
      <c r="QBO31" s="2511"/>
      <c r="QBP31" s="2511"/>
      <c r="QBQ31" s="2511"/>
      <c r="QBR31" s="2511"/>
      <c r="QBS31" s="2511"/>
      <c r="QBT31" s="2511"/>
      <c r="QBU31" s="2511"/>
      <c r="QBV31" s="2511"/>
      <c r="QBW31" s="2511"/>
      <c r="QBX31" s="2511"/>
      <c r="QBY31" s="2511"/>
      <c r="QBZ31" s="2511"/>
      <c r="QCA31" s="2511"/>
      <c r="QCB31" s="2511"/>
      <c r="QCC31" s="2511"/>
      <c r="QCD31" s="2511"/>
      <c r="QCE31" s="2511"/>
      <c r="QCF31" s="2511"/>
      <c r="QCG31" s="2511"/>
      <c r="QCH31" s="2511"/>
      <c r="QCI31" s="2511"/>
      <c r="QCJ31" s="2511"/>
      <c r="QCK31" s="2511"/>
      <c r="QCL31" s="2511"/>
      <c r="QCM31" s="2511"/>
      <c r="QCN31" s="2511"/>
      <c r="QCO31" s="2511"/>
      <c r="QCP31" s="2511"/>
      <c r="QCQ31" s="2511"/>
      <c r="QCR31" s="2511"/>
      <c r="QCS31" s="2511"/>
      <c r="QCT31" s="2511"/>
      <c r="QCU31" s="2511"/>
      <c r="QCV31" s="2511"/>
      <c r="QCW31" s="2511"/>
      <c r="QCX31" s="2511"/>
      <c r="QCY31" s="2511"/>
      <c r="QCZ31" s="2511"/>
      <c r="QDA31" s="2511"/>
      <c r="QDB31" s="2511"/>
      <c r="QDC31" s="2511"/>
      <c r="QDD31" s="2511"/>
      <c r="QDE31" s="2511"/>
      <c r="QDF31" s="2511"/>
      <c r="QDG31" s="2511"/>
      <c r="QDH31" s="2511"/>
      <c r="QDI31" s="2511"/>
      <c r="QDJ31" s="2511"/>
      <c r="QDK31" s="2511"/>
      <c r="QDL31" s="2511"/>
      <c r="QDM31" s="2511"/>
      <c r="QDN31" s="2511"/>
      <c r="QDO31" s="2511"/>
      <c r="QDP31" s="2511"/>
      <c r="QDQ31" s="2511"/>
      <c r="QDR31" s="2511"/>
      <c r="QDS31" s="2511"/>
      <c r="QDT31" s="2511"/>
      <c r="QDU31" s="2511"/>
      <c r="QDV31" s="2511"/>
      <c r="QDW31" s="2511"/>
      <c r="QDX31" s="2511"/>
      <c r="QDY31" s="2511"/>
      <c r="QDZ31" s="2511"/>
      <c r="QEA31" s="2511"/>
      <c r="QEB31" s="2511"/>
      <c r="QEC31" s="2511"/>
      <c r="QED31" s="2511"/>
      <c r="QEE31" s="2511"/>
      <c r="QEF31" s="2511"/>
      <c r="QEG31" s="2511"/>
      <c r="QEH31" s="2511"/>
      <c r="QEI31" s="2511"/>
      <c r="QEJ31" s="2511"/>
      <c r="QEK31" s="2511"/>
      <c r="QEL31" s="2511"/>
      <c r="QEM31" s="2511"/>
      <c r="QEN31" s="2511"/>
      <c r="QEO31" s="2511"/>
      <c r="QEP31" s="2511"/>
      <c r="QEQ31" s="2511"/>
      <c r="QER31" s="2511"/>
      <c r="QES31" s="2511"/>
      <c r="QET31" s="2511"/>
      <c r="QEU31" s="2511"/>
      <c r="QEV31" s="2511"/>
      <c r="QEW31" s="2511"/>
      <c r="QEX31" s="2511"/>
      <c r="QEY31" s="2511"/>
      <c r="QEZ31" s="2511"/>
      <c r="QFA31" s="2511"/>
      <c r="QFB31" s="2511"/>
      <c r="QFC31" s="2511"/>
      <c r="QFD31" s="2511"/>
      <c r="QFE31" s="2511"/>
      <c r="QFF31" s="2511"/>
      <c r="QFG31" s="2511"/>
      <c r="QFH31" s="2511"/>
      <c r="QFI31" s="2511"/>
      <c r="QFJ31" s="2511"/>
      <c r="QFK31" s="2511"/>
      <c r="QFL31" s="2511"/>
      <c r="QFM31" s="2511"/>
      <c r="QFN31" s="2511"/>
      <c r="QFO31" s="2511"/>
      <c r="QFP31" s="2511"/>
      <c r="QFQ31" s="2511"/>
      <c r="QFR31" s="2511"/>
      <c r="QFS31" s="2511"/>
      <c r="QFT31" s="2511"/>
      <c r="QFU31" s="2511"/>
      <c r="QFV31" s="2511"/>
      <c r="QFW31" s="2511"/>
      <c r="QFX31" s="2511"/>
      <c r="QFY31" s="2511"/>
      <c r="QFZ31" s="2511"/>
      <c r="QGA31" s="2511"/>
      <c r="QGB31" s="2511"/>
      <c r="QGC31" s="2511"/>
      <c r="QGD31" s="2511"/>
      <c r="QGE31" s="2511"/>
      <c r="QGF31" s="2511"/>
      <c r="QGG31" s="2511"/>
      <c r="QGH31" s="2511"/>
      <c r="QGI31" s="2511"/>
      <c r="QGJ31" s="2511"/>
      <c r="QGK31" s="2511"/>
      <c r="QGL31" s="2511"/>
      <c r="QGM31" s="2511"/>
      <c r="QGN31" s="2511"/>
      <c r="QGO31" s="2511"/>
      <c r="QGP31" s="2511"/>
      <c r="QGQ31" s="2511"/>
      <c r="QGR31" s="2511"/>
      <c r="QGS31" s="2511"/>
      <c r="QGT31" s="2511"/>
      <c r="QGU31" s="2511"/>
      <c r="QGV31" s="2511"/>
      <c r="QGW31" s="2511"/>
      <c r="QGX31" s="2511"/>
      <c r="QGY31" s="2511"/>
      <c r="QGZ31" s="2511"/>
      <c r="QHA31" s="2511"/>
      <c r="QHB31" s="2511"/>
      <c r="QHC31" s="2511"/>
      <c r="QHD31" s="2511"/>
      <c r="QHE31" s="2511"/>
      <c r="QHF31" s="2511"/>
      <c r="QHG31" s="2511"/>
      <c r="QHH31" s="2511"/>
      <c r="QHI31" s="2511"/>
      <c r="QHJ31" s="2511"/>
      <c r="QHK31" s="2511"/>
      <c r="QHL31" s="2511"/>
      <c r="QHM31" s="2511"/>
      <c r="QHN31" s="2511"/>
      <c r="QHO31" s="2511"/>
      <c r="QHP31" s="2511"/>
      <c r="QHQ31" s="2511"/>
      <c r="QHR31" s="2511"/>
      <c r="QHS31" s="2511"/>
      <c r="QHT31" s="2511"/>
      <c r="QHU31" s="2511"/>
      <c r="QHV31" s="2511"/>
      <c r="QHW31" s="2511"/>
      <c r="QHX31" s="2511"/>
      <c r="QHY31" s="2511"/>
      <c r="QHZ31" s="2511"/>
      <c r="QIA31" s="2511"/>
      <c r="QIB31" s="2511"/>
      <c r="QIC31" s="2511"/>
      <c r="QID31" s="2511"/>
      <c r="QIE31" s="2511"/>
      <c r="QIF31" s="2511"/>
      <c r="QIG31" s="2511"/>
      <c r="QIH31" s="2511"/>
      <c r="QII31" s="2511"/>
      <c r="QIJ31" s="2511"/>
      <c r="QIK31" s="2511"/>
      <c r="QIL31" s="2511"/>
      <c r="QIM31" s="2511"/>
      <c r="QIN31" s="2511"/>
      <c r="QIO31" s="2511"/>
      <c r="QIP31" s="2511"/>
      <c r="QIQ31" s="2511"/>
      <c r="QIR31" s="2511"/>
      <c r="QIS31" s="2511"/>
      <c r="QIT31" s="2511"/>
      <c r="QIU31" s="2511"/>
      <c r="QIV31" s="2511"/>
      <c r="QIW31" s="2511"/>
      <c r="QIX31" s="2511"/>
      <c r="QIY31" s="2511"/>
      <c r="QIZ31" s="2511"/>
      <c r="QJA31" s="2511"/>
      <c r="QJB31" s="2511"/>
      <c r="QJC31" s="2511"/>
      <c r="QJD31" s="2511"/>
      <c r="QJE31" s="2511"/>
      <c r="QJF31" s="2511"/>
      <c r="QJG31" s="2511"/>
      <c r="QJH31" s="2511"/>
      <c r="QJI31" s="2511"/>
      <c r="QJJ31" s="2511"/>
      <c r="QJK31" s="2511"/>
      <c r="QJL31" s="2511"/>
      <c r="QJM31" s="2511"/>
      <c r="QJN31" s="2511"/>
      <c r="QJO31" s="2511"/>
      <c r="QJP31" s="2511"/>
      <c r="QJQ31" s="2511"/>
      <c r="QJR31" s="2511"/>
      <c r="QJS31" s="2511"/>
      <c r="QJT31" s="2511"/>
      <c r="QJU31" s="2511"/>
      <c r="QJV31" s="2511"/>
      <c r="QJW31" s="2511"/>
      <c r="QJX31" s="2511"/>
      <c r="QJY31" s="2511"/>
      <c r="QJZ31" s="2511"/>
      <c r="QKA31" s="2511"/>
      <c r="QKB31" s="2511"/>
      <c r="QKC31" s="2511"/>
      <c r="QKD31" s="2511"/>
      <c r="QKE31" s="2511"/>
      <c r="QKF31" s="2511"/>
      <c r="QKG31" s="2511"/>
      <c r="QKH31" s="2511"/>
      <c r="QKI31" s="2511"/>
      <c r="QKJ31" s="2511"/>
      <c r="QKK31" s="2511"/>
      <c r="QKL31" s="2511"/>
      <c r="QKM31" s="2511"/>
      <c r="QKN31" s="2511"/>
      <c r="QKO31" s="2511"/>
      <c r="QKP31" s="2511"/>
      <c r="QKQ31" s="2511"/>
      <c r="QKR31" s="2511"/>
      <c r="QKS31" s="2511"/>
      <c r="QKT31" s="2511"/>
      <c r="QKU31" s="2511"/>
      <c r="QKV31" s="2511"/>
      <c r="QKW31" s="2511"/>
      <c r="QKX31" s="2511"/>
      <c r="QKY31" s="2511"/>
      <c r="QKZ31" s="2511"/>
      <c r="QLA31" s="2511"/>
      <c r="QLB31" s="2511"/>
      <c r="QLC31" s="2511"/>
      <c r="QLD31" s="2511"/>
      <c r="QLE31" s="2511"/>
      <c r="QLF31" s="2511"/>
      <c r="QLG31" s="2511"/>
      <c r="QLH31" s="2511"/>
      <c r="QLI31" s="2511"/>
      <c r="QLJ31" s="2511"/>
      <c r="QLK31" s="2511"/>
      <c r="QLL31" s="2511"/>
      <c r="QLM31" s="2511"/>
      <c r="QLN31" s="2511"/>
      <c r="QLO31" s="2511"/>
      <c r="QLP31" s="2511"/>
      <c r="QLQ31" s="2511"/>
      <c r="QLR31" s="2511"/>
      <c r="QLS31" s="2511"/>
      <c r="QLT31" s="2511"/>
      <c r="QLU31" s="2511"/>
      <c r="QLV31" s="2511"/>
      <c r="QLW31" s="2511"/>
      <c r="QLX31" s="2511"/>
      <c r="QLY31" s="2511"/>
      <c r="QLZ31" s="2511"/>
      <c r="QMA31" s="2511"/>
      <c r="QMB31" s="2511"/>
      <c r="QMC31" s="2511"/>
      <c r="QMD31" s="2511"/>
      <c r="QME31" s="2511"/>
      <c r="QMF31" s="2511"/>
      <c r="QMG31" s="2511"/>
      <c r="QMH31" s="2511"/>
      <c r="QMI31" s="2511"/>
      <c r="QMJ31" s="2511"/>
      <c r="QMK31" s="2511"/>
      <c r="QML31" s="2511"/>
      <c r="QMM31" s="2511"/>
      <c r="QMN31" s="2511"/>
      <c r="QMO31" s="2511"/>
      <c r="QMP31" s="2511"/>
      <c r="QMQ31" s="2511"/>
      <c r="QMR31" s="2511"/>
      <c r="QMS31" s="2511"/>
      <c r="QMT31" s="2511"/>
      <c r="QMU31" s="2511"/>
      <c r="QMV31" s="2511"/>
      <c r="QMW31" s="2511"/>
      <c r="QMX31" s="2511"/>
      <c r="QMY31" s="2511"/>
      <c r="QMZ31" s="2511"/>
      <c r="QNA31" s="2511"/>
      <c r="QNB31" s="2511"/>
      <c r="QNC31" s="2511"/>
      <c r="QND31" s="2511"/>
      <c r="QNE31" s="2511"/>
      <c r="QNF31" s="2511"/>
      <c r="QNG31" s="2511"/>
      <c r="QNH31" s="2511"/>
      <c r="QNI31" s="2511"/>
      <c r="QNJ31" s="2511"/>
      <c r="QNK31" s="2511"/>
      <c r="QNL31" s="2511"/>
      <c r="QNM31" s="2511"/>
      <c r="QNN31" s="2511"/>
      <c r="QNO31" s="2511"/>
      <c r="QNP31" s="2511"/>
      <c r="QNQ31" s="2511"/>
      <c r="QNR31" s="2511"/>
      <c r="QNS31" s="2511"/>
      <c r="QNT31" s="2511"/>
      <c r="QNU31" s="2511"/>
      <c r="QNV31" s="2511"/>
      <c r="QNW31" s="2511"/>
      <c r="QNX31" s="2511"/>
      <c r="QNY31" s="2511"/>
      <c r="QNZ31" s="2511"/>
      <c r="QOA31" s="2511"/>
      <c r="QOB31" s="2511"/>
      <c r="QOC31" s="2511"/>
      <c r="QOD31" s="2511"/>
      <c r="QOE31" s="2511"/>
      <c r="QOF31" s="2511"/>
      <c r="QOG31" s="2511"/>
      <c r="QOH31" s="2511"/>
      <c r="QOI31" s="2511"/>
      <c r="QOJ31" s="2511"/>
      <c r="QOK31" s="2511"/>
      <c r="QOL31" s="2511"/>
      <c r="QOM31" s="2511"/>
      <c r="QON31" s="2511"/>
      <c r="QOO31" s="2511"/>
      <c r="QOP31" s="2511"/>
      <c r="QOQ31" s="2511"/>
      <c r="QOR31" s="2511"/>
      <c r="QOS31" s="2511"/>
      <c r="QOT31" s="2511"/>
      <c r="QOU31" s="2511"/>
      <c r="QOV31" s="2511"/>
      <c r="QOW31" s="2511"/>
      <c r="QOX31" s="2511"/>
      <c r="QOY31" s="2511"/>
      <c r="QOZ31" s="2511"/>
      <c r="QPA31" s="2511"/>
      <c r="QPB31" s="2511"/>
      <c r="QPC31" s="2511"/>
      <c r="QPD31" s="2511"/>
      <c r="QPE31" s="2511"/>
      <c r="QPF31" s="2511"/>
      <c r="QPG31" s="2511"/>
      <c r="QPH31" s="2511"/>
      <c r="QPI31" s="2511"/>
      <c r="QPJ31" s="2511"/>
      <c r="QPK31" s="2511"/>
      <c r="QPL31" s="2511"/>
      <c r="QPM31" s="2511"/>
      <c r="QPN31" s="2511"/>
      <c r="QPO31" s="2511"/>
      <c r="QPP31" s="2511"/>
      <c r="QPQ31" s="2511"/>
      <c r="QPR31" s="2511"/>
      <c r="QPS31" s="2511"/>
      <c r="QPT31" s="2511"/>
      <c r="QPU31" s="2511"/>
      <c r="QPV31" s="2511"/>
      <c r="QPW31" s="2511"/>
      <c r="QPX31" s="2511"/>
      <c r="QPY31" s="2511"/>
      <c r="QPZ31" s="2511"/>
      <c r="QQA31" s="2511"/>
      <c r="QQB31" s="2511"/>
      <c r="QQC31" s="2511"/>
      <c r="QQD31" s="2511"/>
      <c r="QQE31" s="2511"/>
      <c r="QQF31" s="2511"/>
      <c r="QQG31" s="2511"/>
      <c r="QQH31" s="2511"/>
      <c r="QQI31" s="2511"/>
      <c r="QQJ31" s="2511"/>
      <c r="QQK31" s="2511"/>
      <c r="QQL31" s="2511"/>
      <c r="QQM31" s="2511"/>
      <c r="QQN31" s="2511"/>
      <c r="QQO31" s="2511"/>
      <c r="QQP31" s="2511"/>
      <c r="QQQ31" s="2511"/>
      <c r="QQR31" s="2511"/>
      <c r="QQS31" s="2511"/>
      <c r="QQT31" s="2511"/>
      <c r="QQU31" s="2511"/>
      <c r="QQV31" s="2511"/>
      <c r="QQW31" s="2511"/>
      <c r="QQX31" s="2511"/>
      <c r="QQY31" s="2511"/>
      <c r="QQZ31" s="2511"/>
      <c r="QRA31" s="2511"/>
      <c r="QRB31" s="2511"/>
      <c r="QRC31" s="2511"/>
      <c r="QRD31" s="2511"/>
      <c r="QRE31" s="2511"/>
      <c r="QRF31" s="2511"/>
      <c r="QRG31" s="2511"/>
      <c r="QRH31" s="2511"/>
      <c r="QRI31" s="2511"/>
      <c r="QRJ31" s="2511"/>
      <c r="QRK31" s="2511"/>
      <c r="QRL31" s="2511"/>
      <c r="QRM31" s="2511"/>
      <c r="QRN31" s="2511"/>
      <c r="QRO31" s="2511"/>
      <c r="QRP31" s="2511"/>
      <c r="QRQ31" s="2511"/>
      <c r="QRR31" s="2511"/>
      <c r="QRS31" s="2511"/>
      <c r="QRT31" s="2511"/>
      <c r="QRU31" s="2511"/>
      <c r="QRV31" s="2511"/>
      <c r="QRW31" s="2511"/>
      <c r="QRX31" s="2511"/>
      <c r="QRY31" s="2511"/>
      <c r="QRZ31" s="2511"/>
      <c r="QSA31" s="2511"/>
      <c r="QSB31" s="2511"/>
      <c r="QSC31" s="2511"/>
      <c r="QSD31" s="2511"/>
      <c r="QSE31" s="2511"/>
      <c r="QSF31" s="2511"/>
      <c r="QSG31" s="2511"/>
      <c r="QSH31" s="2511"/>
      <c r="QSI31" s="2511"/>
      <c r="QSJ31" s="2511"/>
      <c r="QSK31" s="2511"/>
      <c r="QSL31" s="2511"/>
      <c r="QSM31" s="2511"/>
      <c r="QSN31" s="2511"/>
      <c r="QSO31" s="2511"/>
      <c r="QSP31" s="2511"/>
      <c r="QSQ31" s="2511"/>
      <c r="QSR31" s="2511"/>
      <c r="QSS31" s="2511"/>
      <c r="QST31" s="2511"/>
      <c r="QSU31" s="2511"/>
      <c r="QSV31" s="2511"/>
      <c r="QSW31" s="2511"/>
      <c r="QSX31" s="2511"/>
      <c r="QSY31" s="2511"/>
      <c r="QSZ31" s="2511"/>
      <c r="QTA31" s="2511"/>
      <c r="QTB31" s="2511"/>
      <c r="QTC31" s="2511"/>
      <c r="QTD31" s="2511"/>
      <c r="QTE31" s="2511"/>
      <c r="QTF31" s="2511"/>
      <c r="QTG31" s="2511"/>
      <c r="QTH31" s="2511"/>
      <c r="QTI31" s="2511"/>
      <c r="QTJ31" s="2511"/>
      <c r="QTK31" s="2511"/>
      <c r="QTL31" s="2511"/>
      <c r="QTM31" s="2511"/>
      <c r="QTN31" s="2511"/>
      <c r="QTO31" s="2511"/>
      <c r="QTP31" s="2511"/>
      <c r="QTQ31" s="2511"/>
      <c r="QTR31" s="2511"/>
      <c r="QTS31" s="2511"/>
      <c r="QTT31" s="2511"/>
      <c r="QTU31" s="2511"/>
      <c r="QTV31" s="2511"/>
      <c r="QTW31" s="2511"/>
      <c r="QTX31" s="2511"/>
      <c r="QTY31" s="2511"/>
      <c r="QTZ31" s="2511"/>
      <c r="QUA31" s="2511"/>
      <c r="QUB31" s="2511"/>
      <c r="QUC31" s="2511"/>
      <c r="QUD31" s="2511"/>
      <c r="QUE31" s="2511"/>
      <c r="QUF31" s="2511"/>
      <c r="QUG31" s="2511"/>
      <c r="QUH31" s="2511"/>
      <c r="QUI31" s="2511"/>
      <c r="QUJ31" s="2511"/>
      <c r="QUK31" s="2511"/>
      <c r="QUL31" s="2511"/>
      <c r="QUM31" s="2511"/>
      <c r="QUN31" s="2511"/>
      <c r="QUO31" s="2511"/>
      <c r="QUP31" s="2511"/>
      <c r="QUQ31" s="2511"/>
      <c r="QUR31" s="2511"/>
      <c r="QUS31" s="2511"/>
      <c r="QUT31" s="2511"/>
      <c r="QUU31" s="2511"/>
      <c r="QUV31" s="2511"/>
      <c r="QUW31" s="2511"/>
      <c r="QUX31" s="2511"/>
      <c r="QUY31" s="2511"/>
      <c r="QUZ31" s="2511"/>
      <c r="QVA31" s="2511"/>
      <c r="QVB31" s="2511"/>
      <c r="QVC31" s="2511"/>
      <c r="QVD31" s="2511"/>
      <c r="QVE31" s="2511"/>
      <c r="QVF31" s="2511"/>
      <c r="QVG31" s="2511"/>
      <c r="QVH31" s="2511"/>
      <c r="QVI31" s="2511"/>
      <c r="QVJ31" s="2511"/>
      <c r="QVK31" s="2511"/>
      <c r="QVL31" s="2511"/>
      <c r="QVM31" s="2511"/>
      <c r="QVN31" s="2511"/>
      <c r="QVO31" s="2511"/>
      <c r="QVP31" s="2511"/>
      <c r="QVQ31" s="2511"/>
      <c r="QVR31" s="2511"/>
      <c r="QVS31" s="2511"/>
      <c r="QVT31" s="2511"/>
      <c r="QVU31" s="2511"/>
      <c r="QVV31" s="2511"/>
      <c r="QVW31" s="2511"/>
      <c r="QVX31" s="2511"/>
      <c r="QVY31" s="2511"/>
      <c r="QVZ31" s="2511"/>
      <c r="QWA31" s="2511"/>
      <c r="QWB31" s="2511"/>
      <c r="QWC31" s="2511"/>
      <c r="QWD31" s="2511"/>
      <c r="QWE31" s="2511"/>
      <c r="QWF31" s="2511"/>
      <c r="QWG31" s="2511"/>
      <c r="QWH31" s="2511"/>
      <c r="QWI31" s="2511"/>
      <c r="QWJ31" s="2511"/>
      <c r="QWK31" s="2511"/>
      <c r="QWL31" s="2511"/>
      <c r="QWM31" s="2511"/>
      <c r="QWN31" s="2511"/>
      <c r="QWO31" s="2511"/>
      <c r="QWP31" s="2511"/>
      <c r="QWQ31" s="2511"/>
      <c r="QWR31" s="2511"/>
      <c r="QWS31" s="2511"/>
      <c r="QWT31" s="2511"/>
      <c r="QWU31" s="2511"/>
      <c r="QWV31" s="2511"/>
      <c r="QWW31" s="2511"/>
      <c r="QWX31" s="2511"/>
      <c r="QWY31" s="2511"/>
      <c r="QWZ31" s="2511"/>
      <c r="QXA31" s="2511"/>
      <c r="QXB31" s="2511"/>
      <c r="QXC31" s="2511"/>
      <c r="QXD31" s="2511"/>
      <c r="QXE31" s="2511"/>
      <c r="QXF31" s="2511"/>
      <c r="QXG31" s="2511"/>
      <c r="QXH31" s="2511"/>
      <c r="QXI31" s="2511"/>
      <c r="QXJ31" s="2511"/>
      <c r="QXK31" s="2511"/>
      <c r="QXL31" s="2511"/>
      <c r="QXM31" s="2511"/>
      <c r="QXN31" s="2511"/>
      <c r="QXO31" s="2511"/>
      <c r="QXP31" s="2511"/>
      <c r="QXQ31" s="2511"/>
      <c r="QXR31" s="2511"/>
      <c r="QXS31" s="2511"/>
      <c r="QXT31" s="2511"/>
      <c r="QXU31" s="2511"/>
      <c r="QXV31" s="2511"/>
      <c r="QXW31" s="2511"/>
      <c r="QXX31" s="2511"/>
      <c r="QXY31" s="2511"/>
      <c r="QXZ31" s="2511"/>
      <c r="QYA31" s="2511"/>
      <c r="QYB31" s="2511"/>
      <c r="QYC31" s="2511"/>
      <c r="QYD31" s="2511"/>
      <c r="QYE31" s="2511"/>
      <c r="QYF31" s="2511"/>
      <c r="QYG31" s="2511"/>
      <c r="QYH31" s="2511"/>
      <c r="QYI31" s="2511"/>
      <c r="QYJ31" s="2511"/>
      <c r="QYK31" s="2511"/>
      <c r="QYL31" s="2511"/>
      <c r="QYM31" s="2511"/>
      <c r="QYN31" s="2511"/>
      <c r="QYO31" s="2511"/>
      <c r="QYP31" s="2511"/>
      <c r="QYQ31" s="2511"/>
      <c r="QYR31" s="2511"/>
      <c r="QYS31" s="2511"/>
      <c r="QYT31" s="2511"/>
      <c r="QYU31" s="2511"/>
      <c r="QYV31" s="2511"/>
      <c r="QYW31" s="2511"/>
      <c r="QYX31" s="2511"/>
      <c r="QYY31" s="2511"/>
      <c r="QYZ31" s="2511"/>
      <c r="QZA31" s="2511"/>
      <c r="QZB31" s="2511"/>
      <c r="QZC31" s="2511"/>
      <c r="QZD31" s="2511"/>
      <c r="QZE31" s="2511"/>
      <c r="QZF31" s="2511"/>
      <c r="QZG31" s="2511"/>
      <c r="QZH31" s="2511"/>
      <c r="QZI31" s="2511"/>
      <c r="QZJ31" s="2511"/>
      <c r="QZK31" s="2511"/>
      <c r="QZL31" s="2511"/>
      <c r="QZM31" s="2511"/>
      <c r="QZN31" s="2511"/>
      <c r="QZO31" s="2511"/>
      <c r="QZP31" s="2511"/>
      <c r="QZQ31" s="2511"/>
      <c r="QZR31" s="2511"/>
      <c r="QZS31" s="2511"/>
      <c r="QZT31" s="2511"/>
      <c r="QZU31" s="2511"/>
      <c r="QZV31" s="2511"/>
      <c r="QZW31" s="2511"/>
      <c r="QZX31" s="2511"/>
      <c r="QZY31" s="2511"/>
      <c r="QZZ31" s="2511"/>
      <c r="RAA31" s="2511"/>
      <c r="RAB31" s="2511"/>
      <c r="RAC31" s="2511"/>
      <c r="RAD31" s="2511"/>
      <c r="RAE31" s="2511"/>
      <c r="RAF31" s="2511"/>
      <c r="RAG31" s="2511"/>
      <c r="RAH31" s="2511"/>
      <c r="RAI31" s="2511"/>
      <c r="RAJ31" s="2511"/>
      <c r="RAK31" s="2511"/>
      <c r="RAL31" s="2511"/>
      <c r="RAM31" s="2511"/>
      <c r="RAN31" s="2511"/>
      <c r="RAO31" s="2511"/>
      <c r="RAP31" s="2511"/>
      <c r="RAQ31" s="2511"/>
      <c r="RAR31" s="2511"/>
      <c r="RAS31" s="2511"/>
      <c r="RAT31" s="2511"/>
      <c r="RAU31" s="2511"/>
      <c r="RAV31" s="2511"/>
      <c r="RAW31" s="2511"/>
      <c r="RAX31" s="2511"/>
      <c r="RAY31" s="2511"/>
      <c r="RAZ31" s="2511"/>
      <c r="RBA31" s="2511"/>
      <c r="RBB31" s="2511"/>
      <c r="RBC31" s="2511"/>
      <c r="RBD31" s="2511"/>
      <c r="RBE31" s="2511"/>
      <c r="RBF31" s="2511"/>
      <c r="RBG31" s="2511"/>
      <c r="RBH31" s="2511"/>
      <c r="RBI31" s="2511"/>
      <c r="RBJ31" s="2511"/>
      <c r="RBK31" s="2511"/>
      <c r="RBL31" s="2511"/>
      <c r="RBM31" s="2511"/>
      <c r="RBN31" s="2511"/>
      <c r="RBO31" s="2511"/>
      <c r="RBP31" s="2511"/>
      <c r="RBQ31" s="2511"/>
      <c r="RBR31" s="2511"/>
      <c r="RBS31" s="2511"/>
      <c r="RBT31" s="2511"/>
      <c r="RBU31" s="2511"/>
      <c r="RBV31" s="2511"/>
      <c r="RBW31" s="2511"/>
      <c r="RBX31" s="2511"/>
      <c r="RBY31" s="2511"/>
      <c r="RBZ31" s="2511"/>
      <c r="RCA31" s="2511"/>
      <c r="RCB31" s="2511"/>
      <c r="RCC31" s="2511"/>
      <c r="RCD31" s="2511"/>
      <c r="RCE31" s="2511"/>
      <c r="RCF31" s="2511"/>
      <c r="RCG31" s="2511"/>
      <c r="RCH31" s="2511"/>
      <c r="RCI31" s="2511"/>
      <c r="RCJ31" s="2511"/>
      <c r="RCK31" s="2511"/>
      <c r="RCL31" s="2511"/>
      <c r="RCM31" s="2511"/>
      <c r="RCN31" s="2511"/>
      <c r="RCO31" s="2511"/>
      <c r="RCP31" s="2511"/>
      <c r="RCQ31" s="2511"/>
      <c r="RCR31" s="2511"/>
      <c r="RCS31" s="2511"/>
      <c r="RCT31" s="2511"/>
      <c r="RCU31" s="2511"/>
      <c r="RCV31" s="2511"/>
      <c r="RCW31" s="2511"/>
      <c r="RCX31" s="2511"/>
      <c r="RCY31" s="2511"/>
      <c r="RCZ31" s="2511"/>
      <c r="RDA31" s="2511"/>
      <c r="RDB31" s="2511"/>
      <c r="RDC31" s="2511"/>
      <c r="RDD31" s="2511"/>
      <c r="RDE31" s="2511"/>
      <c r="RDF31" s="2511"/>
      <c r="RDG31" s="2511"/>
      <c r="RDH31" s="2511"/>
      <c r="RDI31" s="2511"/>
      <c r="RDJ31" s="2511"/>
      <c r="RDK31" s="2511"/>
      <c r="RDL31" s="2511"/>
      <c r="RDM31" s="2511"/>
      <c r="RDN31" s="2511"/>
      <c r="RDO31" s="2511"/>
      <c r="RDP31" s="2511"/>
      <c r="RDQ31" s="2511"/>
      <c r="RDR31" s="2511"/>
      <c r="RDS31" s="2511"/>
      <c r="RDT31" s="2511"/>
      <c r="RDU31" s="2511"/>
      <c r="RDV31" s="2511"/>
      <c r="RDW31" s="2511"/>
      <c r="RDX31" s="2511"/>
      <c r="RDY31" s="2511"/>
      <c r="RDZ31" s="2511"/>
      <c r="REA31" s="2511"/>
      <c r="REB31" s="2511"/>
      <c r="REC31" s="2511"/>
      <c r="RED31" s="2511"/>
      <c r="REE31" s="2511"/>
      <c r="REF31" s="2511"/>
      <c r="REG31" s="2511"/>
      <c r="REH31" s="2511"/>
      <c r="REI31" s="2511"/>
      <c r="REJ31" s="2511"/>
      <c r="REK31" s="2511"/>
      <c r="REL31" s="2511"/>
      <c r="REM31" s="2511"/>
      <c r="REN31" s="2511"/>
      <c r="REO31" s="2511"/>
      <c r="REP31" s="2511"/>
      <c r="REQ31" s="2511"/>
      <c r="RER31" s="2511"/>
      <c r="RES31" s="2511"/>
      <c r="RET31" s="2511"/>
      <c r="REU31" s="2511"/>
      <c r="REV31" s="2511"/>
      <c r="REW31" s="2511"/>
      <c r="REX31" s="2511"/>
      <c r="REY31" s="2511"/>
      <c r="REZ31" s="2511"/>
      <c r="RFA31" s="2511"/>
      <c r="RFB31" s="2511"/>
      <c r="RFC31" s="2511"/>
      <c r="RFD31" s="2511"/>
      <c r="RFE31" s="2511"/>
      <c r="RFF31" s="2511"/>
      <c r="RFG31" s="2511"/>
      <c r="RFH31" s="2511"/>
      <c r="RFI31" s="2511"/>
      <c r="RFJ31" s="2511"/>
      <c r="RFK31" s="2511"/>
      <c r="RFL31" s="2511"/>
      <c r="RFM31" s="2511"/>
      <c r="RFN31" s="2511"/>
      <c r="RFO31" s="2511"/>
      <c r="RFP31" s="2511"/>
      <c r="RFQ31" s="2511"/>
      <c r="RFR31" s="2511"/>
      <c r="RFS31" s="2511"/>
      <c r="RFT31" s="2511"/>
      <c r="RFU31" s="2511"/>
      <c r="RFV31" s="2511"/>
      <c r="RFW31" s="2511"/>
      <c r="RFX31" s="2511"/>
      <c r="RFY31" s="2511"/>
      <c r="RFZ31" s="2511"/>
      <c r="RGA31" s="2511"/>
      <c r="RGB31" s="2511"/>
      <c r="RGC31" s="2511"/>
      <c r="RGD31" s="2511"/>
      <c r="RGE31" s="2511"/>
      <c r="RGF31" s="2511"/>
      <c r="RGG31" s="2511"/>
      <c r="RGH31" s="2511"/>
      <c r="RGI31" s="2511"/>
      <c r="RGJ31" s="2511"/>
      <c r="RGK31" s="2511"/>
      <c r="RGL31" s="2511"/>
      <c r="RGM31" s="2511"/>
      <c r="RGN31" s="2511"/>
      <c r="RGO31" s="2511"/>
      <c r="RGP31" s="2511"/>
      <c r="RGQ31" s="2511"/>
      <c r="RGR31" s="2511"/>
      <c r="RGS31" s="2511"/>
      <c r="RGT31" s="2511"/>
      <c r="RGU31" s="2511"/>
      <c r="RGV31" s="2511"/>
      <c r="RGW31" s="2511"/>
      <c r="RGX31" s="2511"/>
      <c r="RGY31" s="2511"/>
      <c r="RGZ31" s="2511"/>
      <c r="RHA31" s="2511"/>
      <c r="RHB31" s="2511"/>
      <c r="RHC31" s="2511"/>
      <c r="RHD31" s="2511"/>
      <c r="RHE31" s="2511"/>
      <c r="RHF31" s="2511"/>
      <c r="RHG31" s="2511"/>
      <c r="RHH31" s="2511"/>
      <c r="RHI31" s="2511"/>
      <c r="RHJ31" s="2511"/>
      <c r="RHK31" s="2511"/>
      <c r="RHL31" s="2511"/>
      <c r="RHM31" s="2511"/>
      <c r="RHN31" s="2511"/>
      <c r="RHO31" s="2511"/>
      <c r="RHP31" s="2511"/>
      <c r="RHQ31" s="2511"/>
      <c r="RHR31" s="2511"/>
      <c r="RHS31" s="2511"/>
      <c r="RHT31" s="2511"/>
      <c r="RHU31" s="2511"/>
      <c r="RHV31" s="2511"/>
      <c r="RHW31" s="2511"/>
      <c r="RHX31" s="2511"/>
      <c r="RHY31" s="2511"/>
      <c r="RHZ31" s="2511"/>
      <c r="RIA31" s="2511"/>
      <c r="RIB31" s="2511"/>
      <c r="RIC31" s="2511"/>
      <c r="RID31" s="2511"/>
      <c r="RIE31" s="2511"/>
      <c r="RIF31" s="2511"/>
      <c r="RIG31" s="2511"/>
      <c r="RIH31" s="2511"/>
      <c r="RII31" s="2511"/>
      <c r="RIJ31" s="2511"/>
      <c r="RIK31" s="2511"/>
      <c r="RIL31" s="2511"/>
      <c r="RIM31" s="2511"/>
      <c r="RIN31" s="2511"/>
      <c r="RIO31" s="2511"/>
      <c r="RIP31" s="2511"/>
      <c r="RIQ31" s="2511"/>
      <c r="RIR31" s="2511"/>
      <c r="RIS31" s="2511"/>
      <c r="RIT31" s="2511"/>
      <c r="RIU31" s="2511"/>
      <c r="RIV31" s="2511"/>
      <c r="RIW31" s="2511"/>
      <c r="RIX31" s="2511"/>
      <c r="RIY31" s="2511"/>
      <c r="RIZ31" s="2511"/>
      <c r="RJA31" s="2511"/>
      <c r="RJB31" s="2511"/>
      <c r="RJC31" s="2511"/>
      <c r="RJD31" s="2511"/>
      <c r="RJE31" s="2511"/>
      <c r="RJF31" s="2511"/>
      <c r="RJG31" s="2511"/>
      <c r="RJH31" s="2511"/>
      <c r="RJI31" s="2511"/>
      <c r="RJJ31" s="2511"/>
      <c r="RJK31" s="2511"/>
      <c r="RJL31" s="2511"/>
      <c r="RJM31" s="2511"/>
      <c r="RJN31" s="2511"/>
      <c r="RJO31" s="2511"/>
      <c r="RJP31" s="2511"/>
      <c r="RJQ31" s="2511"/>
      <c r="RJR31" s="2511"/>
      <c r="RJS31" s="2511"/>
      <c r="RJT31" s="2511"/>
      <c r="RJU31" s="2511"/>
      <c r="RJV31" s="2511"/>
      <c r="RJW31" s="2511"/>
      <c r="RJX31" s="2511"/>
      <c r="RJY31" s="2511"/>
      <c r="RJZ31" s="2511"/>
      <c r="RKA31" s="2511"/>
      <c r="RKB31" s="2511"/>
      <c r="RKC31" s="2511"/>
      <c r="RKD31" s="2511"/>
      <c r="RKE31" s="2511"/>
      <c r="RKF31" s="2511"/>
      <c r="RKG31" s="2511"/>
      <c r="RKH31" s="2511"/>
      <c r="RKI31" s="2511"/>
      <c r="RKJ31" s="2511"/>
      <c r="RKK31" s="2511"/>
      <c r="RKL31" s="2511"/>
      <c r="RKM31" s="2511"/>
      <c r="RKN31" s="2511"/>
      <c r="RKO31" s="2511"/>
      <c r="RKP31" s="2511"/>
      <c r="RKQ31" s="2511"/>
      <c r="RKR31" s="2511"/>
      <c r="RKS31" s="2511"/>
      <c r="RKT31" s="2511"/>
      <c r="RKU31" s="2511"/>
      <c r="RKV31" s="2511"/>
      <c r="RKW31" s="2511"/>
      <c r="RKX31" s="2511"/>
      <c r="RKY31" s="2511"/>
      <c r="RKZ31" s="2511"/>
      <c r="RLA31" s="2511"/>
      <c r="RLB31" s="2511"/>
      <c r="RLC31" s="2511"/>
      <c r="RLD31" s="2511"/>
      <c r="RLE31" s="2511"/>
      <c r="RLF31" s="2511"/>
      <c r="RLG31" s="2511"/>
      <c r="RLH31" s="2511"/>
      <c r="RLI31" s="2511"/>
      <c r="RLJ31" s="2511"/>
      <c r="RLK31" s="2511"/>
      <c r="RLL31" s="2511"/>
      <c r="RLM31" s="2511"/>
      <c r="RLN31" s="2511"/>
      <c r="RLO31" s="2511"/>
      <c r="RLP31" s="2511"/>
      <c r="RLQ31" s="2511"/>
      <c r="RLR31" s="2511"/>
      <c r="RLS31" s="2511"/>
      <c r="RLT31" s="2511"/>
      <c r="RLU31" s="2511"/>
      <c r="RLV31" s="2511"/>
      <c r="RLW31" s="2511"/>
      <c r="RLX31" s="2511"/>
      <c r="RLY31" s="2511"/>
      <c r="RLZ31" s="2511"/>
      <c r="RMA31" s="2511"/>
      <c r="RMB31" s="2511"/>
      <c r="RMC31" s="2511"/>
      <c r="RMD31" s="2511"/>
      <c r="RME31" s="2511"/>
      <c r="RMF31" s="2511"/>
      <c r="RMG31" s="2511"/>
      <c r="RMH31" s="2511"/>
      <c r="RMI31" s="2511"/>
      <c r="RMJ31" s="2511"/>
      <c r="RMK31" s="2511"/>
      <c r="RML31" s="2511"/>
      <c r="RMM31" s="2511"/>
      <c r="RMN31" s="2511"/>
      <c r="RMO31" s="2511"/>
      <c r="RMP31" s="2511"/>
      <c r="RMQ31" s="2511"/>
      <c r="RMR31" s="2511"/>
      <c r="RMS31" s="2511"/>
      <c r="RMT31" s="2511"/>
      <c r="RMU31" s="2511"/>
      <c r="RMV31" s="2511"/>
      <c r="RMW31" s="2511"/>
      <c r="RMX31" s="2511"/>
      <c r="RMY31" s="2511"/>
      <c r="RMZ31" s="2511"/>
      <c r="RNA31" s="2511"/>
      <c r="RNB31" s="2511"/>
      <c r="RNC31" s="2511"/>
      <c r="RND31" s="2511"/>
      <c r="RNE31" s="2511"/>
      <c r="RNF31" s="2511"/>
      <c r="RNG31" s="2511"/>
      <c r="RNH31" s="2511"/>
      <c r="RNI31" s="2511"/>
      <c r="RNJ31" s="2511"/>
      <c r="RNK31" s="2511"/>
      <c r="RNL31" s="2511"/>
      <c r="RNM31" s="2511"/>
      <c r="RNN31" s="2511"/>
      <c r="RNO31" s="2511"/>
      <c r="RNP31" s="2511"/>
      <c r="RNQ31" s="2511"/>
      <c r="RNR31" s="2511"/>
      <c r="RNS31" s="2511"/>
      <c r="RNT31" s="2511"/>
      <c r="RNU31" s="2511"/>
      <c r="RNV31" s="2511"/>
      <c r="RNW31" s="2511"/>
      <c r="RNX31" s="2511"/>
      <c r="RNY31" s="2511"/>
      <c r="RNZ31" s="2511"/>
      <c r="ROA31" s="2511"/>
      <c r="ROB31" s="2511"/>
      <c r="ROC31" s="2511"/>
      <c r="ROD31" s="2511"/>
      <c r="ROE31" s="2511"/>
      <c r="ROF31" s="2511"/>
      <c r="ROG31" s="2511"/>
      <c r="ROH31" s="2511"/>
      <c r="ROI31" s="2511"/>
      <c r="ROJ31" s="2511"/>
      <c r="ROK31" s="2511"/>
      <c r="ROL31" s="2511"/>
      <c r="ROM31" s="2511"/>
      <c r="RON31" s="2511"/>
      <c r="ROO31" s="2511"/>
      <c r="ROP31" s="2511"/>
      <c r="ROQ31" s="2511"/>
      <c r="ROR31" s="2511"/>
      <c r="ROS31" s="2511"/>
      <c r="ROT31" s="2511"/>
      <c r="ROU31" s="2511"/>
      <c r="ROV31" s="2511"/>
      <c r="ROW31" s="2511"/>
      <c r="ROX31" s="2511"/>
      <c r="ROY31" s="2511"/>
      <c r="ROZ31" s="2511"/>
      <c r="RPA31" s="2511"/>
      <c r="RPB31" s="2511"/>
      <c r="RPC31" s="2511"/>
      <c r="RPD31" s="2511"/>
      <c r="RPE31" s="2511"/>
      <c r="RPF31" s="2511"/>
      <c r="RPG31" s="2511"/>
      <c r="RPH31" s="2511"/>
      <c r="RPI31" s="2511"/>
      <c r="RPJ31" s="2511"/>
      <c r="RPK31" s="2511"/>
      <c r="RPL31" s="2511"/>
      <c r="RPM31" s="2511"/>
      <c r="RPN31" s="2511"/>
      <c r="RPO31" s="2511"/>
      <c r="RPP31" s="2511"/>
      <c r="RPQ31" s="2511"/>
      <c r="RPR31" s="2511"/>
      <c r="RPS31" s="2511"/>
      <c r="RPT31" s="2511"/>
      <c r="RPU31" s="2511"/>
      <c r="RPV31" s="2511"/>
      <c r="RPW31" s="2511"/>
      <c r="RPX31" s="2511"/>
      <c r="RPY31" s="2511"/>
      <c r="RPZ31" s="2511"/>
      <c r="RQA31" s="2511"/>
      <c r="RQB31" s="2511"/>
      <c r="RQC31" s="2511"/>
      <c r="RQD31" s="2511"/>
      <c r="RQE31" s="2511"/>
      <c r="RQF31" s="2511"/>
      <c r="RQG31" s="2511"/>
      <c r="RQH31" s="2511"/>
      <c r="RQI31" s="2511"/>
      <c r="RQJ31" s="2511"/>
      <c r="RQK31" s="2511"/>
      <c r="RQL31" s="2511"/>
      <c r="RQM31" s="2511"/>
      <c r="RQN31" s="2511"/>
      <c r="RQO31" s="2511"/>
      <c r="RQP31" s="2511"/>
      <c r="RQQ31" s="2511"/>
      <c r="RQR31" s="2511"/>
      <c r="RQS31" s="2511"/>
      <c r="RQT31" s="2511"/>
      <c r="RQU31" s="2511"/>
      <c r="RQV31" s="2511"/>
      <c r="RQW31" s="2511"/>
      <c r="RQX31" s="2511"/>
      <c r="RQY31" s="2511"/>
      <c r="RQZ31" s="2511"/>
      <c r="RRA31" s="2511"/>
      <c r="RRB31" s="2511"/>
      <c r="RRC31" s="2511"/>
      <c r="RRD31" s="2511"/>
      <c r="RRE31" s="2511"/>
      <c r="RRF31" s="2511"/>
      <c r="RRG31" s="2511"/>
      <c r="RRH31" s="2511"/>
      <c r="RRI31" s="2511"/>
      <c r="RRJ31" s="2511"/>
      <c r="RRK31" s="2511"/>
      <c r="RRL31" s="2511"/>
      <c r="RRM31" s="2511"/>
      <c r="RRN31" s="2511"/>
      <c r="RRO31" s="2511"/>
      <c r="RRP31" s="2511"/>
      <c r="RRQ31" s="2511"/>
      <c r="RRR31" s="2511"/>
      <c r="RRS31" s="2511"/>
      <c r="RRT31" s="2511"/>
      <c r="RRU31" s="2511"/>
      <c r="RRV31" s="2511"/>
      <c r="RRW31" s="2511"/>
      <c r="RRX31" s="2511"/>
      <c r="RRY31" s="2511"/>
      <c r="RRZ31" s="2511"/>
      <c r="RSA31" s="2511"/>
      <c r="RSB31" s="2511"/>
      <c r="RSC31" s="2511"/>
      <c r="RSD31" s="2511"/>
      <c r="RSE31" s="2511"/>
      <c r="RSF31" s="2511"/>
      <c r="RSG31" s="2511"/>
      <c r="RSH31" s="2511"/>
      <c r="RSI31" s="2511"/>
      <c r="RSJ31" s="2511"/>
      <c r="RSK31" s="2511"/>
      <c r="RSL31" s="2511"/>
      <c r="RSM31" s="2511"/>
      <c r="RSN31" s="2511"/>
      <c r="RSO31" s="2511"/>
      <c r="RSP31" s="2511"/>
      <c r="RSQ31" s="2511"/>
      <c r="RSR31" s="2511"/>
      <c r="RSS31" s="2511"/>
      <c r="RST31" s="2511"/>
      <c r="RSU31" s="2511"/>
      <c r="RSV31" s="2511"/>
      <c r="RSW31" s="2511"/>
      <c r="RSX31" s="2511"/>
      <c r="RSY31" s="2511"/>
      <c r="RSZ31" s="2511"/>
      <c r="RTA31" s="2511"/>
      <c r="RTB31" s="2511"/>
      <c r="RTC31" s="2511"/>
      <c r="RTD31" s="2511"/>
      <c r="RTE31" s="2511"/>
      <c r="RTF31" s="2511"/>
      <c r="RTG31" s="2511"/>
      <c r="RTH31" s="2511"/>
      <c r="RTI31" s="2511"/>
      <c r="RTJ31" s="2511"/>
      <c r="RTK31" s="2511"/>
      <c r="RTL31" s="2511"/>
      <c r="RTM31" s="2511"/>
      <c r="RTN31" s="2511"/>
      <c r="RTO31" s="2511"/>
      <c r="RTP31" s="2511"/>
      <c r="RTQ31" s="2511"/>
      <c r="RTR31" s="2511"/>
      <c r="RTS31" s="2511"/>
      <c r="RTT31" s="2511"/>
      <c r="RTU31" s="2511"/>
      <c r="RTV31" s="2511"/>
      <c r="RTW31" s="2511"/>
      <c r="RTX31" s="2511"/>
      <c r="RTY31" s="2511"/>
      <c r="RTZ31" s="2511"/>
      <c r="RUA31" s="2511"/>
      <c r="RUB31" s="2511"/>
      <c r="RUC31" s="2511"/>
      <c r="RUD31" s="2511"/>
      <c r="RUE31" s="2511"/>
      <c r="RUF31" s="2511"/>
      <c r="RUG31" s="2511"/>
      <c r="RUH31" s="2511"/>
      <c r="RUI31" s="2511"/>
      <c r="RUJ31" s="2511"/>
      <c r="RUK31" s="2511"/>
      <c r="RUL31" s="2511"/>
      <c r="RUM31" s="2511"/>
      <c r="RUN31" s="2511"/>
      <c r="RUO31" s="2511"/>
      <c r="RUP31" s="2511"/>
      <c r="RUQ31" s="2511"/>
      <c r="RUR31" s="2511"/>
      <c r="RUS31" s="2511"/>
      <c r="RUT31" s="2511"/>
      <c r="RUU31" s="2511"/>
      <c r="RUV31" s="2511"/>
      <c r="RUW31" s="2511"/>
      <c r="RUX31" s="2511"/>
      <c r="RUY31" s="2511"/>
      <c r="RUZ31" s="2511"/>
      <c r="RVA31" s="2511"/>
      <c r="RVB31" s="2511"/>
      <c r="RVC31" s="2511"/>
      <c r="RVD31" s="2511"/>
      <c r="RVE31" s="2511"/>
      <c r="RVF31" s="2511"/>
      <c r="RVG31" s="2511"/>
      <c r="RVH31" s="2511"/>
      <c r="RVI31" s="2511"/>
      <c r="RVJ31" s="2511"/>
      <c r="RVK31" s="2511"/>
      <c r="RVL31" s="2511"/>
      <c r="RVM31" s="2511"/>
      <c r="RVN31" s="2511"/>
      <c r="RVO31" s="2511"/>
      <c r="RVP31" s="2511"/>
      <c r="RVQ31" s="2511"/>
      <c r="RVR31" s="2511"/>
      <c r="RVS31" s="2511"/>
      <c r="RVT31" s="2511"/>
      <c r="RVU31" s="2511"/>
      <c r="RVV31" s="2511"/>
      <c r="RVW31" s="2511"/>
      <c r="RVX31" s="2511"/>
      <c r="RVY31" s="2511"/>
      <c r="RVZ31" s="2511"/>
      <c r="RWA31" s="2511"/>
      <c r="RWB31" s="2511"/>
      <c r="RWC31" s="2511"/>
      <c r="RWD31" s="2511"/>
      <c r="RWE31" s="2511"/>
      <c r="RWF31" s="2511"/>
      <c r="RWG31" s="2511"/>
      <c r="RWH31" s="2511"/>
      <c r="RWI31" s="2511"/>
      <c r="RWJ31" s="2511"/>
      <c r="RWK31" s="2511"/>
      <c r="RWL31" s="2511"/>
      <c r="RWM31" s="2511"/>
      <c r="RWN31" s="2511"/>
      <c r="RWO31" s="2511"/>
      <c r="RWP31" s="2511"/>
      <c r="RWQ31" s="2511"/>
      <c r="RWR31" s="2511"/>
      <c r="RWS31" s="2511"/>
      <c r="RWT31" s="2511"/>
      <c r="RWU31" s="2511"/>
      <c r="RWV31" s="2511"/>
      <c r="RWW31" s="2511"/>
      <c r="RWX31" s="2511"/>
      <c r="RWY31" s="2511"/>
      <c r="RWZ31" s="2511"/>
      <c r="RXA31" s="2511"/>
      <c r="RXB31" s="2511"/>
      <c r="RXC31" s="2511"/>
      <c r="RXD31" s="2511"/>
      <c r="RXE31" s="2511"/>
      <c r="RXF31" s="2511"/>
      <c r="RXG31" s="2511"/>
      <c r="RXH31" s="2511"/>
      <c r="RXI31" s="2511"/>
      <c r="RXJ31" s="2511"/>
      <c r="RXK31" s="2511"/>
      <c r="RXL31" s="2511"/>
      <c r="RXM31" s="2511"/>
      <c r="RXN31" s="2511"/>
      <c r="RXO31" s="2511"/>
      <c r="RXP31" s="2511"/>
      <c r="RXQ31" s="2511"/>
      <c r="RXR31" s="2511"/>
      <c r="RXS31" s="2511"/>
      <c r="RXT31" s="2511"/>
      <c r="RXU31" s="2511"/>
      <c r="RXV31" s="2511"/>
      <c r="RXW31" s="2511"/>
      <c r="RXX31" s="2511"/>
      <c r="RXY31" s="2511"/>
      <c r="RXZ31" s="2511"/>
      <c r="RYA31" s="2511"/>
      <c r="RYB31" s="2511"/>
      <c r="RYC31" s="2511"/>
      <c r="RYD31" s="2511"/>
      <c r="RYE31" s="2511"/>
      <c r="RYF31" s="2511"/>
      <c r="RYG31" s="2511"/>
      <c r="RYH31" s="2511"/>
      <c r="RYI31" s="2511"/>
      <c r="RYJ31" s="2511"/>
      <c r="RYK31" s="2511"/>
      <c r="RYL31" s="2511"/>
      <c r="RYM31" s="2511"/>
      <c r="RYN31" s="2511"/>
      <c r="RYO31" s="2511"/>
      <c r="RYP31" s="2511"/>
      <c r="RYQ31" s="2511"/>
      <c r="RYR31" s="2511"/>
      <c r="RYS31" s="2511"/>
      <c r="RYT31" s="2511"/>
      <c r="RYU31" s="2511"/>
      <c r="RYV31" s="2511"/>
      <c r="RYW31" s="2511"/>
      <c r="RYX31" s="2511"/>
      <c r="RYY31" s="2511"/>
      <c r="RYZ31" s="2511"/>
      <c r="RZA31" s="2511"/>
      <c r="RZB31" s="2511"/>
      <c r="RZC31" s="2511"/>
      <c r="RZD31" s="2511"/>
      <c r="RZE31" s="2511"/>
      <c r="RZF31" s="2511"/>
      <c r="RZG31" s="2511"/>
      <c r="RZH31" s="2511"/>
      <c r="RZI31" s="2511"/>
      <c r="RZJ31" s="2511"/>
      <c r="RZK31" s="2511"/>
      <c r="RZL31" s="2511"/>
      <c r="RZM31" s="2511"/>
      <c r="RZN31" s="2511"/>
      <c r="RZO31" s="2511"/>
      <c r="RZP31" s="2511"/>
      <c r="RZQ31" s="2511"/>
      <c r="RZR31" s="2511"/>
      <c r="RZS31" s="2511"/>
      <c r="RZT31" s="2511"/>
      <c r="RZU31" s="2511"/>
      <c r="RZV31" s="2511"/>
      <c r="RZW31" s="2511"/>
      <c r="RZX31" s="2511"/>
      <c r="RZY31" s="2511"/>
      <c r="RZZ31" s="2511"/>
      <c r="SAA31" s="2511"/>
      <c r="SAB31" s="2511"/>
      <c r="SAC31" s="2511"/>
      <c r="SAD31" s="2511"/>
      <c r="SAE31" s="2511"/>
      <c r="SAF31" s="2511"/>
      <c r="SAG31" s="2511"/>
      <c r="SAH31" s="2511"/>
      <c r="SAI31" s="2511"/>
      <c r="SAJ31" s="2511"/>
      <c r="SAK31" s="2511"/>
      <c r="SAL31" s="2511"/>
      <c r="SAM31" s="2511"/>
      <c r="SAN31" s="2511"/>
      <c r="SAO31" s="2511"/>
      <c r="SAP31" s="2511"/>
      <c r="SAQ31" s="2511"/>
      <c r="SAR31" s="2511"/>
      <c r="SAS31" s="2511"/>
      <c r="SAT31" s="2511"/>
      <c r="SAU31" s="2511"/>
      <c r="SAV31" s="2511"/>
      <c r="SAW31" s="2511"/>
      <c r="SAX31" s="2511"/>
      <c r="SAY31" s="2511"/>
      <c r="SAZ31" s="2511"/>
      <c r="SBA31" s="2511"/>
      <c r="SBB31" s="2511"/>
      <c r="SBC31" s="2511"/>
      <c r="SBD31" s="2511"/>
      <c r="SBE31" s="2511"/>
      <c r="SBF31" s="2511"/>
      <c r="SBG31" s="2511"/>
      <c r="SBH31" s="2511"/>
      <c r="SBI31" s="2511"/>
      <c r="SBJ31" s="2511"/>
      <c r="SBK31" s="2511"/>
      <c r="SBL31" s="2511"/>
      <c r="SBM31" s="2511"/>
      <c r="SBN31" s="2511"/>
      <c r="SBO31" s="2511"/>
      <c r="SBP31" s="2511"/>
      <c r="SBQ31" s="2511"/>
      <c r="SBR31" s="2511"/>
      <c r="SBS31" s="2511"/>
      <c r="SBT31" s="2511"/>
      <c r="SBU31" s="2511"/>
      <c r="SBV31" s="2511"/>
      <c r="SBW31" s="2511"/>
      <c r="SBX31" s="2511"/>
      <c r="SBY31" s="2511"/>
      <c r="SBZ31" s="2511"/>
      <c r="SCA31" s="2511"/>
      <c r="SCB31" s="2511"/>
      <c r="SCC31" s="2511"/>
      <c r="SCD31" s="2511"/>
      <c r="SCE31" s="2511"/>
      <c r="SCF31" s="2511"/>
      <c r="SCG31" s="2511"/>
      <c r="SCH31" s="2511"/>
      <c r="SCI31" s="2511"/>
      <c r="SCJ31" s="2511"/>
      <c r="SCK31" s="2511"/>
      <c r="SCL31" s="2511"/>
      <c r="SCM31" s="2511"/>
      <c r="SCN31" s="2511"/>
      <c r="SCO31" s="2511"/>
      <c r="SCP31" s="2511"/>
      <c r="SCQ31" s="2511"/>
      <c r="SCR31" s="2511"/>
      <c r="SCS31" s="2511"/>
      <c r="SCT31" s="2511"/>
      <c r="SCU31" s="2511"/>
      <c r="SCV31" s="2511"/>
      <c r="SCW31" s="2511"/>
      <c r="SCX31" s="2511"/>
      <c r="SCY31" s="2511"/>
      <c r="SCZ31" s="2511"/>
      <c r="SDA31" s="2511"/>
      <c r="SDB31" s="2511"/>
      <c r="SDC31" s="2511"/>
      <c r="SDD31" s="2511"/>
      <c r="SDE31" s="2511"/>
      <c r="SDF31" s="2511"/>
      <c r="SDG31" s="2511"/>
      <c r="SDH31" s="2511"/>
      <c r="SDI31" s="2511"/>
      <c r="SDJ31" s="2511"/>
      <c r="SDK31" s="2511"/>
      <c r="SDL31" s="2511"/>
      <c r="SDM31" s="2511"/>
      <c r="SDN31" s="2511"/>
      <c r="SDO31" s="2511"/>
      <c r="SDP31" s="2511"/>
      <c r="SDQ31" s="2511"/>
      <c r="SDR31" s="2511"/>
      <c r="SDS31" s="2511"/>
      <c r="SDT31" s="2511"/>
      <c r="SDU31" s="2511"/>
      <c r="SDV31" s="2511"/>
      <c r="SDW31" s="2511"/>
      <c r="SDX31" s="2511"/>
      <c r="SDY31" s="2511"/>
      <c r="SDZ31" s="2511"/>
      <c r="SEA31" s="2511"/>
      <c r="SEB31" s="2511"/>
      <c r="SEC31" s="2511"/>
      <c r="SED31" s="2511"/>
      <c r="SEE31" s="2511"/>
      <c r="SEF31" s="2511"/>
      <c r="SEG31" s="2511"/>
      <c r="SEH31" s="2511"/>
      <c r="SEI31" s="2511"/>
      <c r="SEJ31" s="2511"/>
      <c r="SEK31" s="2511"/>
      <c r="SEL31" s="2511"/>
      <c r="SEM31" s="2511"/>
      <c r="SEN31" s="2511"/>
      <c r="SEO31" s="2511"/>
      <c r="SEP31" s="2511"/>
      <c r="SEQ31" s="2511"/>
      <c r="SER31" s="2511"/>
      <c r="SES31" s="2511"/>
      <c r="SET31" s="2511"/>
      <c r="SEU31" s="2511"/>
      <c r="SEV31" s="2511"/>
      <c r="SEW31" s="2511"/>
      <c r="SEX31" s="2511"/>
      <c r="SEY31" s="2511"/>
      <c r="SEZ31" s="2511"/>
      <c r="SFA31" s="2511"/>
      <c r="SFB31" s="2511"/>
      <c r="SFC31" s="2511"/>
      <c r="SFD31" s="2511"/>
      <c r="SFE31" s="2511"/>
      <c r="SFF31" s="2511"/>
      <c r="SFG31" s="2511"/>
      <c r="SFH31" s="2511"/>
      <c r="SFI31" s="2511"/>
      <c r="SFJ31" s="2511"/>
      <c r="SFK31" s="2511"/>
      <c r="SFL31" s="2511"/>
      <c r="SFM31" s="2511"/>
      <c r="SFN31" s="2511"/>
      <c r="SFO31" s="2511"/>
      <c r="SFP31" s="2511"/>
      <c r="SFQ31" s="2511"/>
      <c r="SFR31" s="2511"/>
      <c r="SFS31" s="2511"/>
      <c r="SFT31" s="2511"/>
      <c r="SFU31" s="2511"/>
      <c r="SFV31" s="2511"/>
      <c r="SFW31" s="2511"/>
      <c r="SFX31" s="2511"/>
      <c r="SFY31" s="2511"/>
      <c r="SFZ31" s="2511"/>
      <c r="SGA31" s="2511"/>
      <c r="SGB31" s="2511"/>
      <c r="SGC31" s="2511"/>
      <c r="SGD31" s="2511"/>
      <c r="SGE31" s="2511"/>
      <c r="SGF31" s="2511"/>
      <c r="SGG31" s="2511"/>
      <c r="SGH31" s="2511"/>
      <c r="SGI31" s="2511"/>
      <c r="SGJ31" s="2511"/>
      <c r="SGK31" s="2511"/>
      <c r="SGL31" s="2511"/>
      <c r="SGM31" s="2511"/>
      <c r="SGN31" s="2511"/>
      <c r="SGO31" s="2511"/>
      <c r="SGP31" s="2511"/>
      <c r="SGQ31" s="2511"/>
      <c r="SGR31" s="2511"/>
      <c r="SGS31" s="2511"/>
      <c r="SGT31" s="2511"/>
      <c r="SGU31" s="2511"/>
      <c r="SGV31" s="2511"/>
      <c r="SGW31" s="2511"/>
      <c r="SGX31" s="2511"/>
      <c r="SGY31" s="2511"/>
      <c r="SGZ31" s="2511"/>
      <c r="SHA31" s="2511"/>
      <c r="SHB31" s="2511"/>
      <c r="SHC31" s="2511"/>
      <c r="SHD31" s="2511"/>
      <c r="SHE31" s="2511"/>
      <c r="SHF31" s="2511"/>
      <c r="SHG31" s="2511"/>
      <c r="SHH31" s="2511"/>
      <c r="SHI31" s="2511"/>
      <c r="SHJ31" s="2511"/>
      <c r="SHK31" s="2511"/>
      <c r="SHL31" s="2511"/>
      <c r="SHM31" s="2511"/>
      <c r="SHN31" s="2511"/>
      <c r="SHO31" s="2511"/>
      <c r="SHP31" s="2511"/>
      <c r="SHQ31" s="2511"/>
      <c r="SHR31" s="2511"/>
      <c r="SHS31" s="2511"/>
      <c r="SHT31" s="2511"/>
      <c r="SHU31" s="2511"/>
      <c r="SHV31" s="2511"/>
      <c r="SHW31" s="2511"/>
      <c r="SHX31" s="2511"/>
      <c r="SHY31" s="2511"/>
      <c r="SHZ31" s="2511"/>
      <c r="SIA31" s="2511"/>
      <c r="SIB31" s="2511"/>
      <c r="SIC31" s="2511"/>
      <c r="SID31" s="2511"/>
      <c r="SIE31" s="2511"/>
      <c r="SIF31" s="2511"/>
      <c r="SIG31" s="2511"/>
      <c r="SIH31" s="2511"/>
      <c r="SII31" s="2511"/>
      <c r="SIJ31" s="2511"/>
      <c r="SIK31" s="2511"/>
      <c r="SIL31" s="2511"/>
      <c r="SIM31" s="2511"/>
      <c r="SIN31" s="2511"/>
      <c r="SIO31" s="2511"/>
      <c r="SIP31" s="2511"/>
      <c r="SIQ31" s="2511"/>
      <c r="SIR31" s="2511"/>
      <c r="SIS31" s="2511"/>
      <c r="SIT31" s="2511"/>
      <c r="SIU31" s="2511"/>
      <c r="SIV31" s="2511"/>
      <c r="SIW31" s="2511"/>
      <c r="SIX31" s="2511"/>
      <c r="SIY31" s="2511"/>
      <c r="SIZ31" s="2511"/>
      <c r="SJA31" s="2511"/>
      <c r="SJB31" s="2511"/>
      <c r="SJC31" s="2511"/>
      <c r="SJD31" s="2511"/>
      <c r="SJE31" s="2511"/>
      <c r="SJF31" s="2511"/>
      <c r="SJG31" s="2511"/>
      <c r="SJH31" s="2511"/>
      <c r="SJI31" s="2511"/>
      <c r="SJJ31" s="2511"/>
      <c r="SJK31" s="2511"/>
      <c r="SJL31" s="2511"/>
      <c r="SJM31" s="2511"/>
      <c r="SJN31" s="2511"/>
      <c r="SJO31" s="2511"/>
      <c r="SJP31" s="2511"/>
      <c r="SJQ31" s="2511"/>
      <c r="SJR31" s="2511"/>
      <c r="SJS31" s="2511"/>
      <c r="SJT31" s="2511"/>
      <c r="SJU31" s="2511"/>
      <c r="SJV31" s="2511"/>
      <c r="SJW31" s="2511"/>
      <c r="SJX31" s="2511"/>
      <c r="SJY31" s="2511"/>
      <c r="SJZ31" s="2511"/>
      <c r="SKA31" s="2511"/>
      <c r="SKB31" s="2511"/>
      <c r="SKC31" s="2511"/>
      <c r="SKD31" s="2511"/>
      <c r="SKE31" s="2511"/>
      <c r="SKF31" s="2511"/>
      <c r="SKG31" s="2511"/>
      <c r="SKH31" s="2511"/>
      <c r="SKI31" s="2511"/>
      <c r="SKJ31" s="2511"/>
      <c r="SKK31" s="2511"/>
      <c r="SKL31" s="2511"/>
      <c r="SKM31" s="2511"/>
      <c r="SKN31" s="2511"/>
      <c r="SKO31" s="2511"/>
      <c r="SKP31" s="2511"/>
      <c r="SKQ31" s="2511"/>
      <c r="SKR31" s="2511"/>
      <c r="SKS31" s="2511"/>
      <c r="SKT31" s="2511"/>
      <c r="SKU31" s="2511"/>
      <c r="SKV31" s="2511"/>
      <c r="SKW31" s="2511"/>
      <c r="SKX31" s="2511"/>
      <c r="SKY31" s="2511"/>
      <c r="SKZ31" s="2511"/>
      <c r="SLA31" s="2511"/>
      <c r="SLB31" s="2511"/>
      <c r="SLC31" s="2511"/>
      <c r="SLD31" s="2511"/>
      <c r="SLE31" s="2511"/>
      <c r="SLF31" s="2511"/>
      <c r="SLG31" s="2511"/>
      <c r="SLH31" s="2511"/>
      <c r="SLI31" s="2511"/>
      <c r="SLJ31" s="2511"/>
      <c r="SLK31" s="2511"/>
      <c r="SLL31" s="2511"/>
      <c r="SLM31" s="2511"/>
      <c r="SLN31" s="2511"/>
      <c r="SLO31" s="2511"/>
      <c r="SLP31" s="2511"/>
      <c r="SLQ31" s="2511"/>
      <c r="SLR31" s="2511"/>
      <c r="SLS31" s="2511"/>
      <c r="SLT31" s="2511"/>
      <c r="SLU31" s="2511"/>
      <c r="SLV31" s="2511"/>
      <c r="SLW31" s="2511"/>
      <c r="SLX31" s="2511"/>
      <c r="SLY31" s="2511"/>
      <c r="SLZ31" s="2511"/>
      <c r="SMA31" s="2511"/>
      <c r="SMB31" s="2511"/>
      <c r="SMC31" s="2511"/>
      <c r="SMD31" s="2511"/>
      <c r="SME31" s="2511"/>
      <c r="SMF31" s="2511"/>
      <c r="SMG31" s="2511"/>
      <c r="SMH31" s="2511"/>
      <c r="SMI31" s="2511"/>
      <c r="SMJ31" s="2511"/>
      <c r="SMK31" s="2511"/>
      <c r="SML31" s="2511"/>
      <c r="SMM31" s="2511"/>
      <c r="SMN31" s="2511"/>
      <c r="SMO31" s="2511"/>
      <c r="SMP31" s="2511"/>
      <c r="SMQ31" s="2511"/>
      <c r="SMR31" s="2511"/>
      <c r="SMS31" s="2511"/>
      <c r="SMT31" s="2511"/>
      <c r="SMU31" s="2511"/>
      <c r="SMV31" s="2511"/>
      <c r="SMW31" s="2511"/>
      <c r="SMX31" s="2511"/>
      <c r="SMY31" s="2511"/>
      <c r="SMZ31" s="2511"/>
      <c r="SNA31" s="2511"/>
      <c r="SNB31" s="2511"/>
      <c r="SNC31" s="2511"/>
      <c r="SND31" s="2511"/>
      <c r="SNE31" s="2511"/>
      <c r="SNF31" s="2511"/>
      <c r="SNG31" s="2511"/>
      <c r="SNH31" s="2511"/>
      <c r="SNI31" s="2511"/>
      <c r="SNJ31" s="2511"/>
      <c r="SNK31" s="2511"/>
      <c r="SNL31" s="2511"/>
      <c r="SNM31" s="2511"/>
      <c r="SNN31" s="2511"/>
      <c r="SNO31" s="2511"/>
      <c r="SNP31" s="2511"/>
      <c r="SNQ31" s="2511"/>
      <c r="SNR31" s="2511"/>
      <c r="SNS31" s="2511"/>
      <c r="SNT31" s="2511"/>
      <c r="SNU31" s="2511"/>
      <c r="SNV31" s="2511"/>
      <c r="SNW31" s="2511"/>
      <c r="SNX31" s="2511"/>
      <c r="SNY31" s="2511"/>
      <c r="SNZ31" s="2511"/>
      <c r="SOA31" s="2511"/>
      <c r="SOB31" s="2511"/>
      <c r="SOC31" s="2511"/>
      <c r="SOD31" s="2511"/>
      <c r="SOE31" s="2511"/>
      <c r="SOF31" s="2511"/>
      <c r="SOG31" s="2511"/>
      <c r="SOH31" s="2511"/>
      <c r="SOI31" s="2511"/>
      <c r="SOJ31" s="2511"/>
      <c r="SOK31" s="2511"/>
      <c r="SOL31" s="2511"/>
      <c r="SOM31" s="2511"/>
      <c r="SON31" s="2511"/>
      <c r="SOO31" s="2511"/>
      <c r="SOP31" s="2511"/>
      <c r="SOQ31" s="2511"/>
      <c r="SOR31" s="2511"/>
      <c r="SOS31" s="2511"/>
      <c r="SOT31" s="2511"/>
      <c r="SOU31" s="2511"/>
      <c r="SOV31" s="2511"/>
      <c r="SOW31" s="2511"/>
      <c r="SOX31" s="2511"/>
      <c r="SOY31" s="2511"/>
      <c r="SOZ31" s="2511"/>
      <c r="SPA31" s="2511"/>
      <c r="SPB31" s="2511"/>
      <c r="SPC31" s="2511"/>
      <c r="SPD31" s="2511"/>
      <c r="SPE31" s="2511"/>
      <c r="SPF31" s="2511"/>
      <c r="SPG31" s="2511"/>
      <c r="SPH31" s="2511"/>
      <c r="SPI31" s="2511"/>
      <c r="SPJ31" s="2511"/>
      <c r="SPK31" s="2511"/>
      <c r="SPL31" s="2511"/>
      <c r="SPM31" s="2511"/>
      <c r="SPN31" s="2511"/>
      <c r="SPO31" s="2511"/>
      <c r="SPP31" s="2511"/>
      <c r="SPQ31" s="2511"/>
      <c r="SPR31" s="2511"/>
      <c r="SPS31" s="2511"/>
      <c r="SPT31" s="2511"/>
      <c r="SPU31" s="2511"/>
      <c r="SPV31" s="2511"/>
      <c r="SPW31" s="2511"/>
      <c r="SPX31" s="2511"/>
      <c r="SPY31" s="2511"/>
      <c r="SPZ31" s="2511"/>
      <c r="SQA31" s="2511"/>
      <c r="SQB31" s="2511"/>
      <c r="SQC31" s="2511"/>
      <c r="SQD31" s="2511"/>
      <c r="SQE31" s="2511"/>
      <c r="SQF31" s="2511"/>
      <c r="SQG31" s="2511"/>
      <c r="SQH31" s="2511"/>
      <c r="SQI31" s="2511"/>
      <c r="SQJ31" s="2511"/>
      <c r="SQK31" s="2511"/>
      <c r="SQL31" s="2511"/>
      <c r="SQM31" s="2511"/>
      <c r="SQN31" s="2511"/>
      <c r="SQO31" s="2511"/>
      <c r="SQP31" s="2511"/>
      <c r="SQQ31" s="2511"/>
      <c r="SQR31" s="2511"/>
      <c r="SQS31" s="2511"/>
      <c r="SQT31" s="2511"/>
      <c r="SQU31" s="2511"/>
      <c r="SQV31" s="2511"/>
      <c r="SQW31" s="2511"/>
      <c r="SQX31" s="2511"/>
      <c r="SQY31" s="2511"/>
      <c r="SQZ31" s="2511"/>
      <c r="SRA31" s="2511"/>
      <c r="SRB31" s="2511"/>
      <c r="SRC31" s="2511"/>
      <c r="SRD31" s="2511"/>
      <c r="SRE31" s="2511"/>
      <c r="SRF31" s="2511"/>
      <c r="SRG31" s="2511"/>
      <c r="SRH31" s="2511"/>
      <c r="SRI31" s="2511"/>
      <c r="SRJ31" s="2511"/>
      <c r="SRK31" s="2511"/>
      <c r="SRL31" s="2511"/>
      <c r="SRM31" s="2511"/>
      <c r="SRN31" s="2511"/>
      <c r="SRO31" s="2511"/>
      <c r="SRP31" s="2511"/>
      <c r="SRQ31" s="2511"/>
      <c r="SRR31" s="2511"/>
      <c r="SRS31" s="2511"/>
      <c r="SRT31" s="2511"/>
      <c r="SRU31" s="2511"/>
      <c r="SRV31" s="2511"/>
      <c r="SRW31" s="2511"/>
      <c r="SRX31" s="2511"/>
      <c r="SRY31" s="2511"/>
      <c r="SRZ31" s="2511"/>
      <c r="SSA31" s="2511"/>
      <c r="SSB31" s="2511"/>
      <c r="SSC31" s="2511"/>
      <c r="SSD31" s="2511"/>
      <c r="SSE31" s="2511"/>
      <c r="SSF31" s="2511"/>
      <c r="SSG31" s="2511"/>
      <c r="SSH31" s="2511"/>
      <c r="SSI31" s="2511"/>
      <c r="SSJ31" s="2511"/>
      <c r="SSK31" s="2511"/>
      <c r="SSL31" s="2511"/>
      <c r="SSM31" s="2511"/>
      <c r="SSN31" s="2511"/>
      <c r="SSO31" s="2511"/>
      <c r="SSP31" s="2511"/>
      <c r="SSQ31" s="2511"/>
      <c r="SSR31" s="2511"/>
      <c r="SSS31" s="2511"/>
      <c r="SST31" s="2511"/>
      <c r="SSU31" s="2511"/>
      <c r="SSV31" s="2511"/>
      <c r="SSW31" s="2511"/>
      <c r="SSX31" s="2511"/>
      <c r="SSY31" s="2511"/>
      <c r="SSZ31" s="2511"/>
      <c r="STA31" s="2511"/>
      <c r="STB31" s="2511"/>
      <c r="STC31" s="2511"/>
      <c r="STD31" s="2511"/>
      <c r="STE31" s="2511"/>
      <c r="STF31" s="2511"/>
      <c r="STG31" s="2511"/>
      <c r="STH31" s="2511"/>
      <c r="STI31" s="2511"/>
      <c r="STJ31" s="2511"/>
      <c r="STK31" s="2511"/>
      <c r="STL31" s="2511"/>
      <c r="STM31" s="2511"/>
      <c r="STN31" s="2511"/>
      <c r="STO31" s="2511"/>
      <c r="STP31" s="2511"/>
      <c r="STQ31" s="2511"/>
      <c r="STR31" s="2511"/>
      <c r="STS31" s="2511"/>
      <c r="STT31" s="2511"/>
      <c r="STU31" s="2511"/>
      <c r="STV31" s="2511"/>
      <c r="STW31" s="2511"/>
      <c r="STX31" s="2511"/>
      <c r="STY31" s="2511"/>
      <c r="STZ31" s="2511"/>
      <c r="SUA31" s="2511"/>
      <c r="SUB31" s="2511"/>
      <c r="SUC31" s="2511"/>
      <c r="SUD31" s="2511"/>
      <c r="SUE31" s="2511"/>
      <c r="SUF31" s="2511"/>
      <c r="SUG31" s="2511"/>
      <c r="SUH31" s="2511"/>
      <c r="SUI31" s="2511"/>
      <c r="SUJ31" s="2511"/>
      <c r="SUK31" s="2511"/>
      <c r="SUL31" s="2511"/>
      <c r="SUM31" s="2511"/>
      <c r="SUN31" s="2511"/>
      <c r="SUO31" s="2511"/>
      <c r="SUP31" s="2511"/>
      <c r="SUQ31" s="2511"/>
      <c r="SUR31" s="2511"/>
      <c r="SUS31" s="2511"/>
      <c r="SUT31" s="2511"/>
      <c r="SUU31" s="2511"/>
      <c r="SUV31" s="2511"/>
      <c r="SUW31" s="2511"/>
      <c r="SUX31" s="2511"/>
      <c r="SUY31" s="2511"/>
      <c r="SUZ31" s="2511"/>
      <c r="SVA31" s="2511"/>
      <c r="SVB31" s="2511"/>
      <c r="SVC31" s="2511"/>
      <c r="SVD31" s="2511"/>
      <c r="SVE31" s="2511"/>
      <c r="SVF31" s="2511"/>
      <c r="SVG31" s="2511"/>
      <c r="SVH31" s="2511"/>
      <c r="SVI31" s="2511"/>
      <c r="SVJ31" s="2511"/>
      <c r="SVK31" s="2511"/>
      <c r="SVL31" s="2511"/>
      <c r="SVM31" s="2511"/>
      <c r="SVN31" s="2511"/>
      <c r="SVO31" s="2511"/>
      <c r="SVP31" s="2511"/>
      <c r="SVQ31" s="2511"/>
      <c r="SVR31" s="2511"/>
      <c r="SVS31" s="2511"/>
      <c r="SVT31" s="2511"/>
      <c r="SVU31" s="2511"/>
      <c r="SVV31" s="2511"/>
      <c r="SVW31" s="2511"/>
      <c r="SVX31" s="2511"/>
      <c r="SVY31" s="2511"/>
      <c r="SVZ31" s="2511"/>
      <c r="SWA31" s="2511"/>
      <c r="SWB31" s="2511"/>
      <c r="SWC31" s="2511"/>
      <c r="SWD31" s="2511"/>
      <c r="SWE31" s="2511"/>
      <c r="SWF31" s="2511"/>
      <c r="SWG31" s="2511"/>
      <c r="SWH31" s="2511"/>
      <c r="SWI31" s="2511"/>
      <c r="SWJ31" s="2511"/>
      <c r="SWK31" s="2511"/>
      <c r="SWL31" s="2511"/>
      <c r="SWM31" s="2511"/>
      <c r="SWN31" s="2511"/>
      <c r="SWO31" s="2511"/>
      <c r="SWP31" s="2511"/>
      <c r="SWQ31" s="2511"/>
      <c r="SWR31" s="2511"/>
      <c r="SWS31" s="2511"/>
      <c r="SWT31" s="2511"/>
      <c r="SWU31" s="2511"/>
      <c r="SWV31" s="2511"/>
      <c r="SWW31" s="2511"/>
      <c r="SWX31" s="2511"/>
      <c r="SWY31" s="2511"/>
      <c r="SWZ31" s="2511"/>
      <c r="SXA31" s="2511"/>
      <c r="SXB31" s="2511"/>
      <c r="SXC31" s="2511"/>
      <c r="SXD31" s="2511"/>
      <c r="SXE31" s="2511"/>
      <c r="SXF31" s="2511"/>
      <c r="SXG31" s="2511"/>
      <c r="SXH31" s="2511"/>
      <c r="SXI31" s="2511"/>
      <c r="SXJ31" s="2511"/>
      <c r="SXK31" s="2511"/>
      <c r="SXL31" s="2511"/>
      <c r="SXM31" s="2511"/>
      <c r="SXN31" s="2511"/>
      <c r="SXO31" s="2511"/>
      <c r="SXP31" s="2511"/>
      <c r="SXQ31" s="2511"/>
      <c r="SXR31" s="2511"/>
      <c r="SXS31" s="2511"/>
      <c r="SXT31" s="2511"/>
      <c r="SXU31" s="2511"/>
      <c r="SXV31" s="2511"/>
      <c r="SXW31" s="2511"/>
      <c r="SXX31" s="2511"/>
      <c r="SXY31" s="2511"/>
      <c r="SXZ31" s="2511"/>
      <c r="SYA31" s="2511"/>
      <c r="SYB31" s="2511"/>
      <c r="SYC31" s="2511"/>
      <c r="SYD31" s="2511"/>
      <c r="SYE31" s="2511"/>
      <c r="SYF31" s="2511"/>
      <c r="SYG31" s="2511"/>
      <c r="SYH31" s="2511"/>
      <c r="SYI31" s="2511"/>
      <c r="SYJ31" s="2511"/>
      <c r="SYK31" s="2511"/>
      <c r="SYL31" s="2511"/>
      <c r="SYM31" s="2511"/>
      <c r="SYN31" s="2511"/>
      <c r="SYO31" s="2511"/>
      <c r="SYP31" s="2511"/>
      <c r="SYQ31" s="2511"/>
      <c r="SYR31" s="2511"/>
      <c r="SYS31" s="2511"/>
      <c r="SYT31" s="2511"/>
      <c r="SYU31" s="2511"/>
      <c r="SYV31" s="2511"/>
      <c r="SYW31" s="2511"/>
      <c r="SYX31" s="2511"/>
      <c r="SYY31" s="2511"/>
      <c r="SYZ31" s="2511"/>
      <c r="SZA31" s="2511"/>
      <c r="SZB31" s="2511"/>
      <c r="SZC31" s="2511"/>
      <c r="SZD31" s="2511"/>
      <c r="SZE31" s="2511"/>
      <c r="SZF31" s="2511"/>
      <c r="SZG31" s="2511"/>
      <c r="SZH31" s="2511"/>
      <c r="SZI31" s="2511"/>
      <c r="SZJ31" s="2511"/>
      <c r="SZK31" s="2511"/>
      <c r="SZL31" s="2511"/>
      <c r="SZM31" s="2511"/>
      <c r="SZN31" s="2511"/>
      <c r="SZO31" s="2511"/>
      <c r="SZP31" s="2511"/>
      <c r="SZQ31" s="2511"/>
      <c r="SZR31" s="2511"/>
      <c r="SZS31" s="2511"/>
      <c r="SZT31" s="2511"/>
      <c r="SZU31" s="2511"/>
      <c r="SZV31" s="2511"/>
      <c r="SZW31" s="2511"/>
      <c r="SZX31" s="2511"/>
      <c r="SZY31" s="2511"/>
      <c r="SZZ31" s="2511"/>
      <c r="TAA31" s="2511"/>
      <c r="TAB31" s="2511"/>
      <c r="TAC31" s="2511"/>
      <c r="TAD31" s="2511"/>
      <c r="TAE31" s="2511"/>
      <c r="TAF31" s="2511"/>
      <c r="TAG31" s="2511"/>
      <c r="TAH31" s="2511"/>
      <c r="TAI31" s="2511"/>
      <c r="TAJ31" s="2511"/>
      <c r="TAK31" s="2511"/>
      <c r="TAL31" s="2511"/>
      <c r="TAM31" s="2511"/>
      <c r="TAN31" s="2511"/>
      <c r="TAO31" s="2511"/>
      <c r="TAP31" s="2511"/>
      <c r="TAQ31" s="2511"/>
      <c r="TAR31" s="2511"/>
      <c r="TAS31" s="2511"/>
      <c r="TAT31" s="2511"/>
      <c r="TAU31" s="2511"/>
      <c r="TAV31" s="2511"/>
      <c r="TAW31" s="2511"/>
      <c r="TAX31" s="2511"/>
      <c r="TAY31" s="2511"/>
      <c r="TAZ31" s="2511"/>
      <c r="TBA31" s="2511"/>
      <c r="TBB31" s="2511"/>
      <c r="TBC31" s="2511"/>
      <c r="TBD31" s="2511"/>
      <c r="TBE31" s="2511"/>
      <c r="TBF31" s="2511"/>
      <c r="TBG31" s="2511"/>
      <c r="TBH31" s="2511"/>
      <c r="TBI31" s="2511"/>
      <c r="TBJ31" s="2511"/>
      <c r="TBK31" s="2511"/>
      <c r="TBL31" s="2511"/>
      <c r="TBM31" s="2511"/>
      <c r="TBN31" s="2511"/>
      <c r="TBO31" s="2511"/>
      <c r="TBP31" s="2511"/>
      <c r="TBQ31" s="2511"/>
      <c r="TBR31" s="2511"/>
      <c r="TBS31" s="2511"/>
      <c r="TBT31" s="2511"/>
      <c r="TBU31" s="2511"/>
      <c r="TBV31" s="2511"/>
      <c r="TBW31" s="2511"/>
      <c r="TBX31" s="2511"/>
      <c r="TBY31" s="2511"/>
      <c r="TBZ31" s="2511"/>
      <c r="TCA31" s="2511"/>
      <c r="TCB31" s="2511"/>
      <c r="TCC31" s="2511"/>
      <c r="TCD31" s="2511"/>
      <c r="TCE31" s="2511"/>
      <c r="TCF31" s="2511"/>
      <c r="TCG31" s="2511"/>
      <c r="TCH31" s="2511"/>
      <c r="TCI31" s="2511"/>
      <c r="TCJ31" s="2511"/>
      <c r="TCK31" s="2511"/>
      <c r="TCL31" s="2511"/>
      <c r="TCM31" s="2511"/>
      <c r="TCN31" s="2511"/>
      <c r="TCO31" s="2511"/>
      <c r="TCP31" s="2511"/>
      <c r="TCQ31" s="2511"/>
      <c r="TCR31" s="2511"/>
      <c r="TCS31" s="2511"/>
      <c r="TCT31" s="2511"/>
      <c r="TCU31" s="2511"/>
      <c r="TCV31" s="2511"/>
      <c r="TCW31" s="2511"/>
      <c r="TCX31" s="2511"/>
      <c r="TCY31" s="2511"/>
      <c r="TCZ31" s="2511"/>
      <c r="TDA31" s="2511"/>
      <c r="TDB31" s="2511"/>
      <c r="TDC31" s="2511"/>
      <c r="TDD31" s="2511"/>
      <c r="TDE31" s="2511"/>
      <c r="TDF31" s="2511"/>
      <c r="TDG31" s="2511"/>
      <c r="TDH31" s="2511"/>
      <c r="TDI31" s="2511"/>
      <c r="TDJ31" s="2511"/>
      <c r="TDK31" s="2511"/>
      <c r="TDL31" s="2511"/>
      <c r="TDM31" s="2511"/>
      <c r="TDN31" s="2511"/>
      <c r="TDO31" s="2511"/>
      <c r="TDP31" s="2511"/>
      <c r="TDQ31" s="2511"/>
      <c r="TDR31" s="2511"/>
      <c r="TDS31" s="2511"/>
      <c r="TDT31" s="2511"/>
      <c r="TDU31" s="2511"/>
      <c r="TDV31" s="2511"/>
      <c r="TDW31" s="2511"/>
      <c r="TDX31" s="2511"/>
      <c r="TDY31" s="2511"/>
      <c r="TDZ31" s="2511"/>
      <c r="TEA31" s="2511"/>
      <c r="TEB31" s="2511"/>
      <c r="TEC31" s="2511"/>
      <c r="TED31" s="2511"/>
      <c r="TEE31" s="2511"/>
      <c r="TEF31" s="2511"/>
      <c r="TEG31" s="2511"/>
      <c r="TEH31" s="2511"/>
      <c r="TEI31" s="2511"/>
      <c r="TEJ31" s="2511"/>
      <c r="TEK31" s="2511"/>
      <c r="TEL31" s="2511"/>
      <c r="TEM31" s="2511"/>
      <c r="TEN31" s="2511"/>
      <c r="TEO31" s="2511"/>
      <c r="TEP31" s="2511"/>
      <c r="TEQ31" s="2511"/>
      <c r="TER31" s="2511"/>
      <c r="TES31" s="2511"/>
      <c r="TET31" s="2511"/>
      <c r="TEU31" s="2511"/>
      <c r="TEV31" s="2511"/>
      <c r="TEW31" s="2511"/>
      <c r="TEX31" s="2511"/>
      <c r="TEY31" s="2511"/>
      <c r="TEZ31" s="2511"/>
      <c r="TFA31" s="2511"/>
      <c r="TFB31" s="2511"/>
      <c r="TFC31" s="2511"/>
      <c r="TFD31" s="2511"/>
      <c r="TFE31" s="2511"/>
      <c r="TFF31" s="2511"/>
      <c r="TFG31" s="2511"/>
      <c r="TFH31" s="2511"/>
      <c r="TFI31" s="2511"/>
      <c r="TFJ31" s="2511"/>
      <c r="TFK31" s="2511"/>
      <c r="TFL31" s="2511"/>
      <c r="TFM31" s="2511"/>
      <c r="TFN31" s="2511"/>
      <c r="TFO31" s="2511"/>
      <c r="TFP31" s="2511"/>
      <c r="TFQ31" s="2511"/>
      <c r="TFR31" s="2511"/>
      <c r="TFS31" s="2511"/>
      <c r="TFT31" s="2511"/>
      <c r="TFU31" s="2511"/>
      <c r="TFV31" s="2511"/>
      <c r="TFW31" s="2511"/>
      <c r="TFX31" s="2511"/>
      <c r="TFY31" s="2511"/>
      <c r="TFZ31" s="2511"/>
      <c r="TGA31" s="2511"/>
      <c r="TGB31" s="2511"/>
      <c r="TGC31" s="2511"/>
      <c r="TGD31" s="2511"/>
      <c r="TGE31" s="2511"/>
      <c r="TGF31" s="2511"/>
      <c r="TGG31" s="2511"/>
      <c r="TGH31" s="2511"/>
      <c r="TGI31" s="2511"/>
      <c r="TGJ31" s="2511"/>
      <c r="TGK31" s="2511"/>
      <c r="TGL31" s="2511"/>
      <c r="TGM31" s="2511"/>
      <c r="TGN31" s="2511"/>
      <c r="TGO31" s="2511"/>
      <c r="TGP31" s="2511"/>
      <c r="TGQ31" s="2511"/>
      <c r="TGR31" s="2511"/>
      <c r="TGS31" s="2511"/>
      <c r="TGT31" s="2511"/>
      <c r="TGU31" s="2511"/>
      <c r="TGV31" s="2511"/>
      <c r="TGW31" s="2511"/>
      <c r="TGX31" s="2511"/>
      <c r="TGY31" s="2511"/>
      <c r="TGZ31" s="2511"/>
      <c r="THA31" s="2511"/>
      <c r="THB31" s="2511"/>
      <c r="THC31" s="2511"/>
      <c r="THD31" s="2511"/>
      <c r="THE31" s="2511"/>
      <c r="THF31" s="2511"/>
      <c r="THG31" s="2511"/>
      <c r="THH31" s="2511"/>
      <c r="THI31" s="2511"/>
      <c r="THJ31" s="2511"/>
      <c r="THK31" s="2511"/>
      <c r="THL31" s="2511"/>
      <c r="THM31" s="2511"/>
      <c r="THN31" s="2511"/>
      <c r="THO31" s="2511"/>
      <c r="THP31" s="2511"/>
      <c r="THQ31" s="2511"/>
      <c r="THR31" s="2511"/>
      <c r="THS31" s="2511"/>
      <c r="THT31" s="2511"/>
      <c r="THU31" s="2511"/>
      <c r="THV31" s="2511"/>
      <c r="THW31" s="2511"/>
      <c r="THX31" s="2511"/>
      <c r="THY31" s="2511"/>
      <c r="THZ31" s="2511"/>
      <c r="TIA31" s="2511"/>
      <c r="TIB31" s="2511"/>
      <c r="TIC31" s="2511"/>
      <c r="TID31" s="2511"/>
      <c r="TIE31" s="2511"/>
      <c r="TIF31" s="2511"/>
      <c r="TIG31" s="2511"/>
      <c r="TIH31" s="2511"/>
      <c r="TII31" s="2511"/>
      <c r="TIJ31" s="2511"/>
      <c r="TIK31" s="2511"/>
      <c r="TIL31" s="2511"/>
      <c r="TIM31" s="2511"/>
      <c r="TIN31" s="2511"/>
      <c r="TIO31" s="2511"/>
      <c r="TIP31" s="2511"/>
      <c r="TIQ31" s="2511"/>
      <c r="TIR31" s="2511"/>
      <c r="TIS31" s="2511"/>
      <c r="TIT31" s="2511"/>
      <c r="TIU31" s="2511"/>
      <c r="TIV31" s="2511"/>
      <c r="TIW31" s="2511"/>
      <c r="TIX31" s="2511"/>
      <c r="TIY31" s="2511"/>
      <c r="TIZ31" s="2511"/>
      <c r="TJA31" s="2511"/>
      <c r="TJB31" s="2511"/>
      <c r="TJC31" s="2511"/>
      <c r="TJD31" s="2511"/>
      <c r="TJE31" s="2511"/>
      <c r="TJF31" s="2511"/>
      <c r="TJG31" s="2511"/>
      <c r="TJH31" s="2511"/>
      <c r="TJI31" s="2511"/>
      <c r="TJJ31" s="2511"/>
      <c r="TJK31" s="2511"/>
      <c r="TJL31" s="2511"/>
      <c r="TJM31" s="2511"/>
      <c r="TJN31" s="2511"/>
      <c r="TJO31" s="2511"/>
      <c r="TJP31" s="2511"/>
      <c r="TJQ31" s="2511"/>
      <c r="TJR31" s="2511"/>
      <c r="TJS31" s="2511"/>
      <c r="TJT31" s="2511"/>
      <c r="TJU31" s="2511"/>
      <c r="TJV31" s="2511"/>
      <c r="TJW31" s="2511"/>
      <c r="TJX31" s="2511"/>
      <c r="TJY31" s="2511"/>
      <c r="TJZ31" s="2511"/>
      <c r="TKA31" s="2511"/>
      <c r="TKB31" s="2511"/>
      <c r="TKC31" s="2511"/>
      <c r="TKD31" s="2511"/>
      <c r="TKE31" s="2511"/>
      <c r="TKF31" s="2511"/>
      <c r="TKG31" s="2511"/>
      <c r="TKH31" s="2511"/>
      <c r="TKI31" s="2511"/>
      <c r="TKJ31" s="2511"/>
      <c r="TKK31" s="2511"/>
      <c r="TKL31" s="2511"/>
      <c r="TKM31" s="2511"/>
      <c r="TKN31" s="2511"/>
      <c r="TKO31" s="2511"/>
      <c r="TKP31" s="2511"/>
      <c r="TKQ31" s="2511"/>
      <c r="TKR31" s="2511"/>
      <c r="TKS31" s="2511"/>
      <c r="TKT31" s="2511"/>
      <c r="TKU31" s="2511"/>
      <c r="TKV31" s="2511"/>
      <c r="TKW31" s="2511"/>
      <c r="TKX31" s="2511"/>
      <c r="TKY31" s="2511"/>
      <c r="TKZ31" s="2511"/>
      <c r="TLA31" s="2511"/>
      <c r="TLB31" s="2511"/>
      <c r="TLC31" s="2511"/>
      <c r="TLD31" s="2511"/>
      <c r="TLE31" s="2511"/>
      <c r="TLF31" s="2511"/>
      <c r="TLG31" s="2511"/>
      <c r="TLH31" s="2511"/>
      <c r="TLI31" s="2511"/>
      <c r="TLJ31" s="2511"/>
      <c r="TLK31" s="2511"/>
      <c r="TLL31" s="2511"/>
      <c r="TLM31" s="2511"/>
      <c r="TLN31" s="2511"/>
      <c r="TLO31" s="2511"/>
      <c r="TLP31" s="2511"/>
      <c r="TLQ31" s="2511"/>
      <c r="TLR31" s="2511"/>
      <c r="TLS31" s="2511"/>
      <c r="TLT31" s="2511"/>
      <c r="TLU31" s="2511"/>
      <c r="TLV31" s="2511"/>
      <c r="TLW31" s="2511"/>
      <c r="TLX31" s="2511"/>
      <c r="TLY31" s="2511"/>
      <c r="TLZ31" s="2511"/>
      <c r="TMA31" s="2511"/>
      <c r="TMB31" s="2511"/>
      <c r="TMC31" s="2511"/>
      <c r="TMD31" s="2511"/>
      <c r="TME31" s="2511"/>
      <c r="TMF31" s="2511"/>
      <c r="TMG31" s="2511"/>
      <c r="TMH31" s="2511"/>
      <c r="TMI31" s="2511"/>
      <c r="TMJ31" s="2511"/>
      <c r="TMK31" s="2511"/>
      <c r="TML31" s="2511"/>
      <c r="TMM31" s="2511"/>
      <c r="TMN31" s="2511"/>
      <c r="TMO31" s="2511"/>
      <c r="TMP31" s="2511"/>
      <c r="TMQ31" s="2511"/>
      <c r="TMR31" s="2511"/>
      <c r="TMS31" s="2511"/>
      <c r="TMT31" s="2511"/>
      <c r="TMU31" s="2511"/>
      <c r="TMV31" s="2511"/>
      <c r="TMW31" s="2511"/>
      <c r="TMX31" s="2511"/>
      <c r="TMY31" s="2511"/>
      <c r="TMZ31" s="2511"/>
      <c r="TNA31" s="2511"/>
      <c r="TNB31" s="2511"/>
      <c r="TNC31" s="2511"/>
      <c r="TND31" s="2511"/>
      <c r="TNE31" s="2511"/>
      <c r="TNF31" s="2511"/>
      <c r="TNG31" s="2511"/>
      <c r="TNH31" s="2511"/>
      <c r="TNI31" s="2511"/>
      <c r="TNJ31" s="2511"/>
      <c r="TNK31" s="2511"/>
      <c r="TNL31" s="2511"/>
      <c r="TNM31" s="2511"/>
      <c r="TNN31" s="2511"/>
      <c r="TNO31" s="2511"/>
      <c r="TNP31" s="2511"/>
      <c r="TNQ31" s="2511"/>
      <c r="TNR31" s="2511"/>
      <c r="TNS31" s="2511"/>
      <c r="TNT31" s="2511"/>
      <c r="TNU31" s="2511"/>
      <c r="TNV31" s="2511"/>
      <c r="TNW31" s="2511"/>
      <c r="TNX31" s="2511"/>
      <c r="TNY31" s="2511"/>
      <c r="TNZ31" s="2511"/>
      <c r="TOA31" s="2511"/>
      <c r="TOB31" s="2511"/>
      <c r="TOC31" s="2511"/>
      <c r="TOD31" s="2511"/>
      <c r="TOE31" s="2511"/>
      <c r="TOF31" s="2511"/>
      <c r="TOG31" s="2511"/>
      <c r="TOH31" s="2511"/>
      <c r="TOI31" s="2511"/>
      <c r="TOJ31" s="2511"/>
      <c r="TOK31" s="2511"/>
      <c r="TOL31" s="2511"/>
      <c r="TOM31" s="2511"/>
      <c r="TON31" s="2511"/>
      <c r="TOO31" s="2511"/>
      <c r="TOP31" s="2511"/>
      <c r="TOQ31" s="2511"/>
      <c r="TOR31" s="2511"/>
      <c r="TOS31" s="2511"/>
      <c r="TOT31" s="2511"/>
      <c r="TOU31" s="2511"/>
      <c r="TOV31" s="2511"/>
      <c r="TOW31" s="2511"/>
      <c r="TOX31" s="2511"/>
      <c r="TOY31" s="2511"/>
      <c r="TOZ31" s="2511"/>
      <c r="TPA31" s="2511"/>
      <c r="TPB31" s="2511"/>
      <c r="TPC31" s="2511"/>
      <c r="TPD31" s="2511"/>
      <c r="TPE31" s="2511"/>
      <c r="TPF31" s="2511"/>
      <c r="TPG31" s="2511"/>
      <c r="TPH31" s="2511"/>
      <c r="TPI31" s="2511"/>
      <c r="TPJ31" s="2511"/>
      <c r="TPK31" s="2511"/>
      <c r="TPL31" s="2511"/>
      <c r="TPM31" s="2511"/>
      <c r="TPN31" s="2511"/>
      <c r="TPO31" s="2511"/>
      <c r="TPP31" s="2511"/>
      <c r="TPQ31" s="2511"/>
      <c r="TPR31" s="2511"/>
      <c r="TPS31" s="2511"/>
      <c r="TPT31" s="2511"/>
      <c r="TPU31" s="2511"/>
      <c r="TPV31" s="2511"/>
      <c r="TPW31" s="2511"/>
      <c r="TPX31" s="2511"/>
      <c r="TPY31" s="2511"/>
      <c r="TPZ31" s="2511"/>
      <c r="TQA31" s="2511"/>
      <c r="TQB31" s="2511"/>
      <c r="TQC31" s="2511"/>
      <c r="TQD31" s="2511"/>
      <c r="TQE31" s="2511"/>
      <c r="TQF31" s="2511"/>
      <c r="TQG31" s="2511"/>
      <c r="TQH31" s="2511"/>
      <c r="TQI31" s="2511"/>
      <c r="TQJ31" s="2511"/>
      <c r="TQK31" s="2511"/>
      <c r="TQL31" s="2511"/>
      <c r="TQM31" s="2511"/>
      <c r="TQN31" s="2511"/>
      <c r="TQO31" s="2511"/>
      <c r="TQP31" s="2511"/>
      <c r="TQQ31" s="2511"/>
      <c r="TQR31" s="2511"/>
      <c r="TQS31" s="2511"/>
      <c r="TQT31" s="2511"/>
      <c r="TQU31" s="2511"/>
      <c r="TQV31" s="2511"/>
      <c r="TQW31" s="2511"/>
      <c r="TQX31" s="2511"/>
      <c r="TQY31" s="2511"/>
      <c r="TQZ31" s="2511"/>
      <c r="TRA31" s="2511"/>
      <c r="TRB31" s="2511"/>
      <c r="TRC31" s="2511"/>
      <c r="TRD31" s="2511"/>
      <c r="TRE31" s="2511"/>
      <c r="TRF31" s="2511"/>
      <c r="TRG31" s="2511"/>
      <c r="TRH31" s="2511"/>
      <c r="TRI31" s="2511"/>
      <c r="TRJ31" s="2511"/>
      <c r="TRK31" s="2511"/>
      <c r="TRL31" s="2511"/>
      <c r="TRM31" s="2511"/>
      <c r="TRN31" s="2511"/>
      <c r="TRO31" s="2511"/>
      <c r="TRP31" s="2511"/>
      <c r="TRQ31" s="2511"/>
      <c r="TRR31" s="2511"/>
      <c r="TRS31" s="2511"/>
      <c r="TRT31" s="2511"/>
      <c r="TRU31" s="2511"/>
      <c r="TRV31" s="2511"/>
      <c r="TRW31" s="2511"/>
      <c r="TRX31" s="2511"/>
      <c r="TRY31" s="2511"/>
      <c r="TRZ31" s="2511"/>
      <c r="TSA31" s="2511"/>
      <c r="TSB31" s="2511"/>
      <c r="TSC31" s="2511"/>
      <c r="TSD31" s="2511"/>
      <c r="TSE31" s="2511"/>
      <c r="TSF31" s="2511"/>
      <c r="TSG31" s="2511"/>
      <c r="TSH31" s="2511"/>
      <c r="TSI31" s="2511"/>
      <c r="TSJ31" s="2511"/>
      <c r="TSK31" s="2511"/>
      <c r="TSL31" s="2511"/>
      <c r="TSM31" s="2511"/>
      <c r="TSN31" s="2511"/>
      <c r="TSO31" s="2511"/>
      <c r="TSP31" s="2511"/>
      <c r="TSQ31" s="2511"/>
      <c r="TSR31" s="2511"/>
      <c r="TSS31" s="2511"/>
      <c r="TST31" s="2511"/>
      <c r="TSU31" s="2511"/>
      <c r="TSV31" s="2511"/>
      <c r="TSW31" s="2511"/>
      <c r="TSX31" s="2511"/>
      <c r="TSY31" s="2511"/>
      <c r="TSZ31" s="2511"/>
      <c r="TTA31" s="2511"/>
      <c r="TTB31" s="2511"/>
      <c r="TTC31" s="2511"/>
      <c r="TTD31" s="2511"/>
      <c r="TTE31" s="2511"/>
      <c r="TTF31" s="2511"/>
      <c r="TTG31" s="2511"/>
      <c r="TTH31" s="2511"/>
      <c r="TTI31" s="2511"/>
      <c r="TTJ31" s="2511"/>
      <c r="TTK31" s="2511"/>
      <c r="TTL31" s="2511"/>
      <c r="TTM31" s="2511"/>
      <c r="TTN31" s="2511"/>
      <c r="TTO31" s="2511"/>
      <c r="TTP31" s="2511"/>
      <c r="TTQ31" s="2511"/>
      <c r="TTR31" s="2511"/>
      <c r="TTS31" s="2511"/>
      <c r="TTT31" s="2511"/>
      <c r="TTU31" s="2511"/>
      <c r="TTV31" s="2511"/>
      <c r="TTW31" s="2511"/>
      <c r="TTX31" s="2511"/>
      <c r="TTY31" s="2511"/>
      <c r="TTZ31" s="2511"/>
      <c r="TUA31" s="2511"/>
      <c r="TUB31" s="2511"/>
      <c r="TUC31" s="2511"/>
      <c r="TUD31" s="2511"/>
      <c r="TUE31" s="2511"/>
      <c r="TUF31" s="2511"/>
      <c r="TUG31" s="2511"/>
      <c r="TUH31" s="2511"/>
      <c r="TUI31" s="2511"/>
      <c r="TUJ31" s="2511"/>
      <c r="TUK31" s="2511"/>
      <c r="TUL31" s="2511"/>
      <c r="TUM31" s="2511"/>
      <c r="TUN31" s="2511"/>
      <c r="TUO31" s="2511"/>
      <c r="TUP31" s="2511"/>
      <c r="TUQ31" s="2511"/>
      <c r="TUR31" s="2511"/>
      <c r="TUS31" s="2511"/>
      <c r="TUT31" s="2511"/>
      <c r="TUU31" s="2511"/>
      <c r="TUV31" s="2511"/>
      <c r="TUW31" s="2511"/>
      <c r="TUX31" s="2511"/>
      <c r="TUY31" s="2511"/>
      <c r="TUZ31" s="2511"/>
      <c r="TVA31" s="2511"/>
      <c r="TVB31" s="2511"/>
      <c r="TVC31" s="2511"/>
      <c r="TVD31" s="2511"/>
      <c r="TVE31" s="2511"/>
      <c r="TVF31" s="2511"/>
      <c r="TVG31" s="2511"/>
      <c r="TVH31" s="2511"/>
      <c r="TVI31" s="2511"/>
      <c r="TVJ31" s="2511"/>
      <c r="TVK31" s="2511"/>
      <c r="TVL31" s="2511"/>
      <c r="TVM31" s="2511"/>
      <c r="TVN31" s="2511"/>
      <c r="TVO31" s="2511"/>
      <c r="TVP31" s="2511"/>
      <c r="TVQ31" s="2511"/>
      <c r="TVR31" s="2511"/>
      <c r="TVS31" s="2511"/>
      <c r="TVT31" s="2511"/>
      <c r="TVU31" s="2511"/>
      <c r="TVV31" s="2511"/>
      <c r="TVW31" s="2511"/>
      <c r="TVX31" s="2511"/>
      <c r="TVY31" s="2511"/>
      <c r="TVZ31" s="2511"/>
      <c r="TWA31" s="2511"/>
      <c r="TWB31" s="2511"/>
      <c r="TWC31" s="2511"/>
      <c r="TWD31" s="2511"/>
      <c r="TWE31" s="2511"/>
      <c r="TWF31" s="2511"/>
      <c r="TWG31" s="2511"/>
      <c r="TWH31" s="2511"/>
      <c r="TWI31" s="2511"/>
      <c r="TWJ31" s="2511"/>
      <c r="TWK31" s="2511"/>
      <c r="TWL31" s="2511"/>
      <c r="TWM31" s="2511"/>
      <c r="TWN31" s="2511"/>
      <c r="TWO31" s="2511"/>
      <c r="TWP31" s="2511"/>
      <c r="TWQ31" s="2511"/>
      <c r="TWR31" s="2511"/>
      <c r="TWS31" s="2511"/>
      <c r="TWT31" s="2511"/>
      <c r="TWU31" s="2511"/>
      <c r="TWV31" s="2511"/>
      <c r="TWW31" s="2511"/>
      <c r="TWX31" s="2511"/>
      <c r="TWY31" s="2511"/>
      <c r="TWZ31" s="2511"/>
      <c r="TXA31" s="2511"/>
      <c r="TXB31" s="2511"/>
      <c r="TXC31" s="2511"/>
      <c r="TXD31" s="2511"/>
      <c r="TXE31" s="2511"/>
      <c r="TXF31" s="2511"/>
      <c r="TXG31" s="2511"/>
      <c r="TXH31" s="2511"/>
      <c r="TXI31" s="2511"/>
      <c r="TXJ31" s="2511"/>
      <c r="TXK31" s="2511"/>
      <c r="TXL31" s="2511"/>
      <c r="TXM31" s="2511"/>
      <c r="TXN31" s="2511"/>
      <c r="TXO31" s="2511"/>
      <c r="TXP31" s="2511"/>
      <c r="TXQ31" s="2511"/>
      <c r="TXR31" s="2511"/>
      <c r="TXS31" s="2511"/>
      <c r="TXT31" s="2511"/>
      <c r="TXU31" s="2511"/>
      <c r="TXV31" s="2511"/>
      <c r="TXW31" s="2511"/>
      <c r="TXX31" s="2511"/>
      <c r="TXY31" s="2511"/>
      <c r="TXZ31" s="2511"/>
      <c r="TYA31" s="2511"/>
      <c r="TYB31" s="2511"/>
      <c r="TYC31" s="2511"/>
      <c r="TYD31" s="2511"/>
      <c r="TYE31" s="2511"/>
      <c r="TYF31" s="2511"/>
      <c r="TYG31" s="2511"/>
      <c r="TYH31" s="2511"/>
      <c r="TYI31" s="2511"/>
      <c r="TYJ31" s="2511"/>
      <c r="TYK31" s="2511"/>
      <c r="TYL31" s="2511"/>
      <c r="TYM31" s="2511"/>
      <c r="TYN31" s="2511"/>
      <c r="TYO31" s="2511"/>
      <c r="TYP31" s="2511"/>
      <c r="TYQ31" s="2511"/>
      <c r="TYR31" s="2511"/>
      <c r="TYS31" s="2511"/>
      <c r="TYT31" s="2511"/>
      <c r="TYU31" s="2511"/>
      <c r="TYV31" s="2511"/>
      <c r="TYW31" s="2511"/>
      <c r="TYX31" s="2511"/>
      <c r="TYY31" s="2511"/>
      <c r="TYZ31" s="2511"/>
      <c r="TZA31" s="2511"/>
      <c r="TZB31" s="2511"/>
      <c r="TZC31" s="2511"/>
      <c r="TZD31" s="2511"/>
      <c r="TZE31" s="2511"/>
      <c r="TZF31" s="2511"/>
      <c r="TZG31" s="2511"/>
      <c r="TZH31" s="2511"/>
      <c r="TZI31" s="2511"/>
      <c r="TZJ31" s="2511"/>
      <c r="TZK31" s="2511"/>
      <c r="TZL31" s="2511"/>
      <c r="TZM31" s="2511"/>
      <c r="TZN31" s="2511"/>
      <c r="TZO31" s="2511"/>
      <c r="TZP31" s="2511"/>
      <c r="TZQ31" s="2511"/>
      <c r="TZR31" s="2511"/>
      <c r="TZS31" s="2511"/>
      <c r="TZT31" s="2511"/>
      <c r="TZU31" s="2511"/>
      <c r="TZV31" s="2511"/>
      <c r="TZW31" s="2511"/>
      <c r="TZX31" s="2511"/>
      <c r="TZY31" s="2511"/>
      <c r="TZZ31" s="2511"/>
      <c r="UAA31" s="2511"/>
      <c r="UAB31" s="2511"/>
      <c r="UAC31" s="2511"/>
      <c r="UAD31" s="2511"/>
      <c r="UAE31" s="2511"/>
      <c r="UAF31" s="2511"/>
      <c r="UAG31" s="2511"/>
      <c r="UAH31" s="2511"/>
      <c r="UAI31" s="2511"/>
      <c r="UAJ31" s="2511"/>
      <c r="UAK31" s="2511"/>
      <c r="UAL31" s="2511"/>
      <c r="UAM31" s="2511"/>
      <c r="UAN31" s="2511"/>
      <c r="UAO31" s="2511"/>
      <c r="UAP31" s="2511"/>
      <c r="UAQ31" s="2511"/>
      <c r="UAR31" s="2511"/>
      <c r="UAS31" s="2511"/>
      <c r="UAT31" s="2511"/>
      <c r="UAU31" s="2511"/>
      <c r="UAV31" s="2511"/>
      <c r="UAW31" s="2511"/>
      <c r="UAX31" s="2511"/>
      <c r="UAY31" s="2511"/>
      <c r="UAZ31" s="2511"/>
      <c r="UBA31" s="2511"/>
      <c r="UBB31" s="2511"/>
      <c r="UBC31" s="2511"/>
      <c r="UBD31" s="2511"/>
      <c r="UBE31" s="2511"/>
      <c r="UBF31" s="2511"/>
      <c r="UBG31" s="2511"/>
      <c r="UBH31" s="2511"/>
      <c r="UBI31" s="2511"/>
      <c r="UBJ31" s="2511"/>
      <c r="UBK31" s="2511"/>
      <c r="UBL31" s="2511"/>
      <c r="UBM31" s="2511"/>
      <c r="UBN31" s="2511"/>
      <c r="UBO31" s="2511"/>
      <c r="UBP31" s="2511"/>
      <c r="UBQ31" s="2511"/>
      <c r="UBR31" s="2511"/>
      <c r="UBS31" s="2511"/>
      <c r="UBT31" s="2511"/>
      <c r="UBU31" s="2511"/>
      <c r="UBV31" s="2511"/>
      <c r="UBW31" s="2511"/>
      <c r="UBX31" s="2511"/>
      <c r="UBY31" s="2511"/>
      <c r="UBZ31" s="2511"/>
      <c r="UCA31" s="2511"/>
      <c r="UCB31" s="2511"/>
      <c r="UCC31" s="2511"/>
      <c r="UCD31" s="2511"/>
      <c r="UCE31" s="2511"/>
      <c r="UCF31" s="2511"/>
      <c r="UCG31" s="2511"/>
      <c r="UCH31" s="2511"/>
      <c r="UCI31" s="2511"/>
      <c r="UCJ31" s="2511"/>
      <c r="UCK31" s="2511"/>
      <c r="UCL31" s="2511"/>
      <c r="UCM31" s="2511"/>
      <c r="UCN31" s="2511"/>
      <c r="UCO31" s="2511"/>
      <c r="UCP31" s="2511"/>
      <c r="UCQ31" s="2511"/>
      <c r="UCR31" s="2511"/>
      <c r="UCS31" s="2511"/>
      <c r="UCT31" s="2511"/>
      <c r="UCU31" s="2511"/>
      <c r="UCV31" s="2511"/>
      <c r="UCW31" s="2511"/>
      <c r="UCX31" s="2511"/>
      <c r="UCY31" s="2511"/>
      <c r="UCZ31" s="2511"/>
      <c r="UDA31" s="2511"/>
      <c r="UDB31" s="2511"/>
      <c r="UDC31" s="2511"/>
      <c r="UDD31" s="2511"/>
      <c r="UDE31" s="2511"/>
      <c r="UDF31" s="2511"/>
      <c r="UDG31" s="2511"/>
      <c r="UDH31" s="2511"/>
      <c r="UDI31" s="2511"/>
      <c r="UDJ31" s="2511"/>
      <c r="UDK31" s="2511"/>
      <c r="UDL31" s="2511"/>
      <c r="UDM31" s="2511"/>
      <c r="UDN31" s="2511"/>
      <c r="UDO31" s="2511"/>
      <c r="UDP31" s="2511"/>
      <c r="UDQ31" s="2511"/>
      <c r="UDR31" s="2511"/>
      <c r="UDS31" s="2511"/>
      <c r="UDT31" s="2511"/>
      <c r="UDU31" s="2511"/>
      <c r="UDV31" s="2511"/>
      <c r="UDW31" s="2511"/>
      <c r="UDX31" s="2511"/>
      <c r="UDY31" s="2511"/>
      <c r="UDZ31" s="2511"/>
      <c r="UEA31" s="2511"/>
      <c r="UEB31" s="2511"/>
      <c r="UEC31" s="2511"/>
      <c r="UED31" s="2511"/>
      <c r="UEE31" s="2511"/>
      <c r="UEF31" s="2511"/>
      <c r="UEG31" s="2511"/>
      <c r="UEH31" s="2511"/>
      <c r="UEI31" s="2511"/>
      <c r="UEJ31" s="2511"/>
      <c r="UEK31" s="2511"/>
      <c r="UEL31" s="2511"/>
      <c r="UEM31" s="2511"/>
      <c r="UEN31" s="2511"/>
      <c r="UEO31" s="2511"/>
      <c r="UEP31" s="2511"/>
      <c r="UEQ31" s="2511"/>
      <c r="UER31" s="2511"/>
      <c r="UES31" s="2511"/>
      <c r="UET31" s="2511"/>
      <c r="UEU31" s="2511"/>
      <c r="UEV31" s="2511"/>
      <c r="UEW31" s="2511"/>
      <c r="UEX31" s="2511"/>
      <c r="UEY31" s="2511"/>
      <c r="UEZ31" s="2511"/>
      <c r="UFA31" s="2511"/>
      <c r="UFB31" s="2511"/>
      <c r="UFC31" s="2511"/>
      <c r="UFD31" s="2511"/>
      <c r="UFE31" s="2511"/>
      <c r="UFF31" s="2511"/>
      <c r="UFG31" s="2511"/>
      <c r="UFH31" s="2511"/>
      <c r="UFI31" s="2511"/>
      <c r="UFJ31" s="2511"/>
      <c r="UFK31" s="2511"/>
      <c r="UFL31" s="2511"/>
      <c r="UFM31" s="2511"/>
      <c r="UFN31" s="2511"/>
      <c r="UFO31" s="2511"/>
      <c r="UFP31" s="2511"/>
      <c r="UFQ31" s="2511"/>
      <c r="UFR31" s="2511"/>
      <c r="UFS31" s="2511"/>
      <c r="UFT31" s="2511"/>
      <c r="UFU31" s="2511"/>
      <c r="UFV31" s="2511"/>
      <c r="UFW31" s="2511"/>
      <c r="UFX31" s="2511"/>
      <c r="UFY31" s="2511"/>
      <c r="UFZ31" s="2511"/>
      <c r="UGA31" s="2511"/>
      <c r="UGB31" s="2511"/>
      <c r="UGC31" s="2511"/>
      <c r="UGD31" s="2511"/>
      <c r="UGE31" s="2511"/>
      <c r="UGF31" s="2511"/>
      <c r="UGG31" s="2511"/>
      <c r="UGH31" s="2511"/>
      <c r="UGI31" s="2511"/>
      <c r="UGJ31" s="2511"/>
      <c r="UGK31" s="2511"/>
      <c r="UGL31" s="2511"/>
      <c r="UGM31" s="2511"/>
      <c r="UGN31" s="2511"/>
      <c r="UGO31" s="2511"/>
      <c r="UGP31" s="2511"/>
      <c r="UGQ31" s="2511"/>
      <c r="UGR31" s="2511"/>
      <c r="UGS31" s="2511"/>
      <c r="UGT31" s="2511"/>
      <c r="UGU31" s="2511"/>
      <c r="UGV31" s="2511"/>
      <c r="UGW31" s="2511"/>
      <c r="UGX31" s="2511"/>
      <c r="UGY31" s="2511"/>
      <c r="UGZ31" s="2511"/>
      <c r="UHA31" s="2511"/>
      <c r="UHB31" s="2511"/>
      <c r="UHC31" s="2511"/>
      <c r="UHD31" s="2511"/>
      <c r="UHE31" s="2511"/>
      <c r="UHF31" s="2511"/>
      <c r="UHG31" s="2511"/>
      <c r="UHH31" s="2511"/>
      <c r="UHI31" s="2511"/>
      <c r="UHJ31" s="2511"/>
      <c r="UHK31" s="2511"/>
      <c r="UHL31" s="2511"/>
      <c r="UHM31" s="2511"/>
      <c r="UHN31" s="2511"/>
      <c r="UHO31" s="2511"/>
      <c r="UHP31" s="2511"/>
      <c r="UHQ31" s="2511"/>
      <c r="UHR31" s="2511"/>
      <c r="UHS31" s="2511"/>
      <c r="UHT31" s="2511"/>
      <c r="UHU31" s="2511"/>
      <c r="UHV31" s="2511"/>
      <c r="UHW31" s="2511"/>
      <c r="UHX31" s="2511"/>
      <c r="UHY31" s="2511"/>
      <c r="UHZ31" s="2511"/>
      <c r="UIA31" s="2511"/>
      <c r="UIB31" s="2511"/>
      <c r="UIC31" s="2511"/>
      <c r="UID31" s="2511"/>
      <c r="UIE31" s="2511"/>
      <c r="UIF31" s="2511"/>
      <c r="UIG31" s="2511"/>
      <c r="UIH31" s="2511"/>
      <c r="UII31" s="2511"/>
      <c r="UIJ31" s="2511"/>
      <c r="UIK31" s="2511"/>
      <c r="UIL31" s="2511"/>
      <c r="UIM31" s="2511"/>
      <c r="UIN31" s="2511"/>
      <c r="UIO31" s="2511"/>
      <c r="UIP31" s="2511"/>
      <c r="UIQ31" s="2511"/>
      <c r="UIR31" s="2511"/>
      <c r="UIS31" s="2511"/>
      <c r="UIT31" s="2511"/>
      <c r="UIU31" s="2511"/>
      <c r="UIV31" s="2511"/>
      <c r="UIW31" s="2511"/>
      <c r="UIX31" s="2511"/>
      <c r="UIY31" s="2511"/>
      <c r="UIZ31" s="2511"/>
      <c r="UJA31" s="2511"/>
      <c r="UJB31" s="2511"/>
      <c r="UJC31" s="2511"/>
      <c r="UJD31" s="2511"/>
      <c r="UJE31" s="2511"/>
      <c r="UJF31" s="2511"/>
      <c r="UJG31" s="2511"/>
      <c r="UJH31" s="2511"/>
      <c r="UJI31" s="2511"/>
      <c r="UJJ31" s="2511"/>
      <c r="UJK31" s="2511"/>
      <c r="UJL31" s="2511"/>
      <c r="UJM31" s="2511"/>
      <c r="UJN31" s="2511"/>
      <c r="UJO31" s="2511"/>
      <c r="UJP31" s="2511"/>
      <c r="UJQ31" s="2511"/>
      <c r="UJR31" s="2511"/>
      <c r="UJS31" s="2511"/>
      <c r="UJT31" s="2511"/>
      <c r="UJU31" s="2511"/>
      <c r="UJV31" s="2511"/>
      <c r="UJW31" s="2511"/>
      <c r="UJX31" s="2511"/>
      <c r="UJY31" s="2511"/>
      <c r="UJZ31" s="2511"/>
      <c r="UKA31" s="2511"/>
      <c r="UKB31" s="2511"/>
      <c r="UKC31" s="2511"/>
      <c r="UKD31" s="2511"/>
      <c r="UKE31" s="2511"/>
      <c r="UKF31" s="2511"/>
      <c r="UKG31" s="2511"/>
      <c r="UKH31" s="2511"/>
      <c r="UKI31" s="2511"/>
      <c r="UKJ31" s="2511"/>
      <c r="UKK31" s="2511"/>
      <c r="UKL31" s="2511"/>
      <c r="UKM31" s="2511"/>
      <c r="UKN31" s="2511"/>
      <c r="UKO31" s="2511"/>
      <c r="UKP31" s="2511"/>
      <c r="UKQ31" s="2511"/>
      <c r="UKR31" s="2511"/>
      <c r="UKS31" s="2511"/>
      <c r="UKT31" s="2511"/>
      <c r="UKU31" s="2511"/>
      <c r="UKV31" s="2511"/>
      <c r="UKW31" s="2511"/>
      <c r="UKX31" s="2511"/>
      <c r="UKY31" s="2511"/>
      <c r="UKZ31" s="2511"/>
      <c r="ULA31" s="2511"/>
      <c r="ULB31" s="2511"/>
      <c r="ULC31" s="2511"/>
      <c r="ULD31" s="2511"/>
      <c r="ULE31" s="2511"/>
      <c r="ULF31" s="2511"/>
      <c r="ULG31" s="2511"/>
      <c r="ULH31" s="2511"/>
      <c r="ULI31" s="2511"/>
      <c r="ULJ31" s="2511"/>
      <c r="ULK31" s="2511"/>
      <c r="ULL31" s="2511"/>
      <c r="ULM31" s="2511"/>
      <c r="ULN31" s="2511"/>
      <c r="ULO31" s="2511"/>
      <c r="ULP31" s="2511"/>
      <c r="ULQ31" s="2511"/>
      <c r="ULR31" s="2511"/>
      <c r="ULS31" s="2511"/>
      <c r="ULT31" s="2511"/>
      <c r="ULU31" s="2511"/>
      <c r="ULV31" s="2511"/>
      <c r="ULW31" s="2511"/>
      <c r="ULX31" s="2511"/>
      <c r="ULY31" s="2511"/>
      <c r="ULZ31" s="2511"/>
      <c r="UMA31" s="2511"/>
      <c r="UMB31" s="2511"/>
      <c r="UMC31" s="2511"/>
      <c r="UMD31" s="2511"/>
      <c r="UME31" s="2511"/>
      <c r="UMF31" s="2511"/>
      <c r="UMG31" s="2511"/>
      <c r="UMH31" s="2511"/>
      <c r="UMI31" s="2511"/>
      <c r="UMJ31" s="2511"/>
      <c r="UMK31" s="2511"/>
      <c r="UML31" s="2511"/>
      <c r="UMM31" s="2511"/>
      <c r="UMN31" s="2511"/>
      <c r="UMO31" s="2511"/>
      <c r="UMP31" s="2511"/>
      <c r="UMQ31" s="2511"/>
      <c r="UMR31" s="2511"/>
      <c r="UMS31" s="2511"/>
      <c r="UMT31" s="2511"/>
      <c r="UMU31" s="2511"/>
      <c r="UMV31" s="2511"/>
      <c r="UMW31" s="2511"/>
      <c r="UMX31" s="2511"/>
      <c r="UMY31" s="2511"/>
      <c r="UMZ31" s="2511"/>
      <c r="UNA31" s="2511"/>
      <c r="UNB31" s="2511"/>
      <c r="UNC31" s="2511"/>
      <c r="UND31" s="2511"/>
      <c r="UNE31" s="2511"/>
      <c r="UNF31" s="2511"/>
      <c r="UNG31" s="2511"/>
      <c r="UNH31" s="2511"/>
      <c r="UNI31" s="2511"/>
      <c r="UNJ31" s="2511"/>
      <c r="UNK31" s="2511"/>
      <c r="UNL31" s="2511"/>
      <c r="UNM31" s="2511"/>
      <c r="UNN31" s="2511"/>
      <c r="UNO31" s="2511"/>
      <c r="UNP31" s="2511"/>
      <c r="UNQ31" s="2511"/>
      <c r="UNR31" s="2511"/>
      <c r="UNS31" s="2511"/>
      <c r="UNT31" s="2511"/>
      <c r="UNU31" s="2511"/>
      <c r="UNV31" s="2511"/>
      <c r="UNW31" s="2511"/>
      <c r="UNX31" s="2511"/>
      <c r="UNY31" s="2511"/>
      <c r="UNZ31" s="2511"/>
      <c r="UOA31" s="2511"/>
      <c r="UOB31" s="2511"/>
      <c r="UOC31" s="2511"/>
      <c r="UOD31" s="2511"/>
      <c r="UOE31" s="2511"/>
      <c r="UOF31" s="2511"/>
      <c r="UOG31" s="2511"/>
      <c r="UOH31" s="2511"/>
      <c r="UOI31" s="2511"/>
      <c r="UOJ31" s="2511"/>
      <c r="UOK31" s="2511"/>
      <c r="UOL31" s="2511"/>
      <c r="UOM31" s="2511"/>
      <c r="UON31" s="2511"/>
      <c r="UOO31" s="2511"/>
      <c r="UOP31" s="2511"/>
      <c r="UOQ31" s="2511"/>
      <c r="UOR31" s="2511"/>
      <c r="UOS31" s="2511"/>
      <c r="UOT31" s="2511"/>
      <c r="UOU31" s="2511"/>
      <c r="UOV31" s="2511"/>
      <c r="UOW31" s="2511"/>
      <c r="UOX31" s="2511"/>
      <c r="UOY31" s="2511"/>
      <c r="UOZ31" s="2511"/>
      <c r="UPA31" s="2511"/>
      <c r="UPB31" s="2511"/>
      <c r="UPC31" s="2511"/>
      <c r="UPD31" s="2511"/>
      <c r="UPE31" s="2511"/>
      <c r="UPF31" s="2511"/>
      <c r="UPG31" s="2511"/>
      <c r="UPH31" s="2511"/>
      <c r="UPI31" s="2511"/>
      <c r="UPJ31" s="2511"/>
      <c r="UPK31" s="2511"/>
      <c r="UPL31" s="2511"/>
      <c r="UPM31" s="2511"/>
      <c r="UPN31" s="2511"/>
      <c r="UPO31" s="2511"/>
      <c r="UPP31" s="2511"/>
      <c r="UPQ31" s="2511"/>
      <c r="UPR31" s="2511"/>
      <c r="UPS31" s="2511"/>
      <c r="UPT31" s="2511"/>
      <c r="UPU31" s="2511"/>
      <c r="UPV31" s="2511"/>
      <c r="UPW31" s="2511"/>
      <c r="UPX31" s="2511"/>
      <c r="UPY31" s="2511"/>
      <c r="UPZ31" s="2511"/>
      <c r="UQA31" s="2511"/>
      <c r="UQB31" s="2511"/>
      <c r="UQC31" s="2511"/>
      <c r="UQD31" s="2511"/>
      <c r="UQE31" s="2511"/>
      <c r="UQF31" s="2511"/>
      <c r="UQG31" s="2511"/>
      <c r="UQH31" s="2511"/>
      <c r="UQI31" s="2511"/>
      <c r="UQJ31" s="2511"/>
      <c r="UQK31" s="2511"/>
      <c r="UQL31" s="2511"/>
      <c r="UQM31" s="2511"/>
      <c r="UQN31" s="2511"/>
      <c r="UQO31" s="2511"/>
      <c r="UQP31" s="2511"/>
      <c r="UQQ31" s="2511"/>
      <c r="UQR31" s="2511"/>
      <c r="UQS31" s="2511"/>
      <c r="UQT31" s="2511"/>
      <c r="UQU31" s="2511"/>
      <c r="UQV31" s="2511"/>
      <c r="UQW31" s="2511"/>
      <c r="UQX31" s="2511"/>
      <c r="UQY31" s="2511"/>
      <c r="UQZ31" s="2511"/>
      <c r="URA31" s="2511"/>
      <c r="URB31" s="2511"/>
      <c r="URC31" s="2511"/>
      <c r="URD31" s="2511"/>
      <c r="URE31" s="2511"/>
      <c r="URF31" s="2511"/>
      <c r="URG31" s="2511"/>
      <c r="URH31" s="2511"/>
      <c r="URI31" s="2511"/>
      <c r="URJ31" s="2511"/>
      <c r="URK31" s="2511"/>
      <c r="URL31" s="2511"/>
      <c r="URM31" s="2511"/>
      <c r="URN31" s="2511"/>
      <c r="URO31" s="2511"/>
      <c r="URP31" s="2511"/>
      <c r="URQ31" s="2511"/>
      <c r="URR31" s="2511"/>
      <c r="URS31" s="2511"/>
      <c r="URT31" s="2511"/>
      <c r="URU31" s="2511"/>
      <c r="URV31" s="2511"/>
      <c r="URW31" s="2511"/>
      <c r="URX31" s="2511"/>
      <c r="URY31" s="2511"/>
      <c r="URZ31" s="2511"/>
      <c r="USA31" s="2511"/>
      <c r="USB31" s="2511"/>
      <c r="USC31" s="2511"/>
      <c r="USD31" s="2511"/>
      <c r="USE31" s="2511"/>
      <c r="USF31" s="2511"/>
      <c r="USG31" s="2511"/>
      <c r="USH31" s="2511"/>
      <c r="USI31" s="2511"/>
      <c r="USJ31" s="2511"/>
      <c r="USK31" s="2511"/>
      <c r="USL31" s="2511"/>
      <c r="USM31" s="2511"/>
      <c r="USN31" s="2511"/>
      <c r="USO31" s="2511"/>
      <c r="USP31" s="2511"/>
      <c r="USQ31" s="2511"/>
      <c r="USR31" s="2511"/>
      <c r="USS31" s="2511"/>
      <c r="UST31" s="2511"/>
      <c r="USU31" s="2511"/>
      <c r="USV31" s="2511"/>
      <c r="USW31" s="2511"/>
      <c r="USX31" s="2511"/>
      <c r="USY31" s="2511"/>
      <c r="USZ31" s="2511"/>
      <c r="UTA31" s="2511"/>
      <c r="UTB31" s="2511"/>
      <c r="UTC31" s="2511"/>
      <c r="UTD31" s="2511"/>
      <c r="UTE31" s="2511"/>
      <c r="UTF31" s="2511"/>
      <c r="UTG31" s="2511"/>
      <c r="UTH31" s="2511"/>
      <c r="UTI31" s="2511"/>
      <c r="UTJ31" s="2511"/>
      <c r="UTK31" s="2511"/>
      <c r="UTL31" s="2511"/>
      <c r="UTM31" s="2511"/>
      <c r="UTN31" s="2511"/>
      <c r="UTO31" s="2511"/>
      <c r="UTP31" s="2511"/>
      <c r="UTQ31" s="2511"/>
      <c r="UTR31" s="2511"/>
      <c r="UTS31" s="2511"/>
      <c r="UTT31" s="2511"/>
      <c r="UTU31" s="2511"/>
      <c r="UTV31" s="2511"/>
      <c r="UTW31" s="2511"/>
      <c r="UTX31" s="2511"/>
      <c r="UTY31" s="2511"/>
      <c r="UTZ31" s="2511"/>
      <c r="UUA31" s="2511"/>
      <c r="UUB31" s="2511"/>
      <c r="UUC31" s="2511"/>
      <c r="UUD31" s="2511"/>
      <c r="UUE31" s="2511"/>
      <c r="UUF31" s="2511"/>
      <c r="UUG31" s="2511"/>
      <c r="UUH31" s="2511"/>
      <c r="UUI31" s="2511"/>
      <c r="UUJ31" s="2511"/>
      <c r="UUK31" s="2511"/>
      <c r="UUL31" s="2511"/>
      <c r="UUM31" s="2511"/>
      <c r="UUN31" s="2511"/>
      <c r="UUO31" s="2511"/>
      <c r="UUP31" s="2511"/>
      <c r="UUQ31" s="2511"/>
      <c r="UUR31" s="2511"/>
      <c r="UUS31" s="2511"/>
      <c r="UUT31" s="2511"/>
      <c r="UUU31" s="2511"/>
      <c r="UUV31" s="2511"/>
      <c r="UUW31" s="2511"/>
      <c r="UUX31" s="2511"/>
      <c r="UUY31" s="2511"/>
      <c r="UUZ31" s="2511"/>
      <c r="UVA31" s="2511"/>
      <c r="UVB31" s="2511"/>
      <c r="UVC31" s="2511"/>
      <c r="UVD31" s="2511"/>
      <c r="UVE31" s="2511"/>
      <c r="UVF31" s="2511"/>
      <c r="UVG31" s="2511"/>
      <c r="UVH31" s="2511"/>
      <c r="UVI31" s="2511"/>
      <c r="UVJ31" s="2511"/>
      <c r="UVK31" s="2511"/>
      <c r="UVL31" s="2511"/>
      <c r="UVM31" s="2511"/>
      <c r="UVN31" s="2511"/>
      <c r="UVO31" s="2511"/>
      <c r="UVP31" s="2511"/>
      <c r="UVQ31" s="2511"/>
      <c r="UVR31" s="2511"/>
      <c r="UVS31" s="2511"/>
      <c r="UVT31" s="2511"/>
      <c r="UVU31" s="2511"/>
      <c r="UVV31" s="2511"/>
      <c r="UVW31" s="2511"/>
      <c r="UVX31" s="2511"/>
      <c r="UVY31" s="2511"/>
      <c r="UVZ31" s="2511"/>
      <c r="UWA31" s="2511"/>
      <c r="UWB31" s="2511"/>
      <c r="UWC31" s="2511"/>
      <c r="UWD31" s="2511"/>
      <c r="UWE31" s="2511"/>
      <c r="UWF31" s="2511"/>
      <c r="UWG31" s="2511"/>
      <c r="UWH31" s="2511"/>
      <c r="UWI31" s="2511"/>
      <c r="UWJ31" s="2511"/>
      <c r="UWK31" s="2511"/>
      <c r="UWL31" s="2511"/>
      <c r="UWM31" s="2511"/>
      <c r="UWN31" s="2511"/>
      <c r="UWO31" s="2511"/>
      <c r="UWP31" s="2511"/>
      <c r="UWQ31" s="2511"/>
      <c r="UWR31" s="2511"/>
      <c r="UWS31" s="2511"/>
      <c r="UWT31" s="2511"/>
      <c r="UWU31" s="2511"/>
      <c r="UWV31" s="2511"/>
      <c r="UWW31" s="2511"/>
      <c r="UWX31" s="2511"/>
      <c r="UWY31" s="2511"/>
      <c r="UWZ31" s="2511"/>
      <c r="UXA31" s="2511"/>
      <c r="UXB31" s="2511"/>
      <c r="UXC31" s="2511"/>
      <c r="UXD31" s="2511"/>
      <c r="UXE31" s="2511"/>
      <c r="UXF31" s="2511"/>
      <c r="UXG31" s="2511"/>
      <c r="UXH31" s="2511"/>
      <c r="UXI31" s="2511"/>
      <c r="UXJ31" s="2511"/>
      <c r="UXK31" s="2511"/>
      <c r="UXL31" s="2511"/>
      <c r="UXM31" s="2511"/>
      <c r="UXN31" s="2511"/>
      <c r="UXO31" s="2511"/>
      <c r="UXP31" s="2511"/>
      <c r="UXQ31" s="2511"/>
      <c r="UXR31" s="2511"/>
      <c r="UXS31" s="2511"/>
      <c r="UXT31" s="2511"/>
      <c r="UXU31" s="2511"/>
      <c r="UXV31" s="2511"/>
      <c r="UXW31" s="2511"/>
      <c r="UXX31" s="2511"/>
      <c r="UXY31" s="2511"/>
      <c r="UXZ31" s="2511"/>
      <c r="UYA31" s="2511"/>
      <c r="UYB31" s="2511"/>
      <c r="UYC31" s="2511"/>
      <c r="UYD31" s="2511"/>
      <c r="UYE31" s="2511"/>
      <c r="UYF31" s="2511"/>
      <c r="UYG31" s="2511"/>
      <c r="UYH31" s="2511"/>
      <c r="UYI31" s="2511"/>
      <c r="UYJ31" s="2511"/>
      <c r="UYK31" s="2511"/>
      <c r="UYL31" s="2511"/>
      <c r="UYM31" s="2511"/>
      <c r="UYN31" s="2511"/>
      <c r="UYO31" s="2511"/>
      <c r="UYP31" s="2511"/>
      <c r="UYQ31" s="2511"/>
      <c r="UYR31" s="2511"/>
      <c r="UYS31" s="2511"/>
      <c r="UYT31" s="2511"/>
      <c r="UYU31" s="2511"/>
      <c r="UYV31" s="2511"/>
      <c r="UYW31" s="2511"/>
      <c r="UYX31" s="2511"/>
      <c r="UYY31" s="2511"/>
      <c r="UYZ31" s="2511"/>
      <c r="UZA31" s="2511"/>
      <c r="UZB31" s="2511"/>
      <c r="UZC31" s="2511"/>
      <c r="UZD31" s="2511"/>
      <c r="UZE31" s="2511"/>
      <c r="UZF31" s="2511"/>
      <c r="UZG31" s="2511"/>
      <c r="UZH31" s="2511"/>
      <c r="UZI31" s="2511"/>
      <c r="UZJ31" s="2511"/>
      <c r="UZK31" s="2511"/>
      <c r="UZL31" s="2511"/>
      <c r="UZM31" s="2511"/>
      <c r="UZN31" s="2511"/>
      <c r="UZO31" s="2511"/>
      <c r="UZP31" s="2511"/>
      <c r="UZQ31" s="2511"/>
      <c r="UZR31" s="2511"/>
      <c r="UZS31" s="2511"/>
      <c r="UZT31" s="2511"/>
      <c r="UZU31" s="2511"/>
      <c r="UZV31" s="2511"/>
      <c r="UZW31" s="2511"/>
      <c r="UZX31" s="2511"/>
      <c r="UZY31" s="2511"/>
      <c r="UZZ31" s="2511"/>
      <c r="VAA31" s="2511"/>
      <c r="VAB31" s="2511"/>
      <c r="VAC31" s="2511"/>
      <c r="VAD31" s="2511"/>
      <c r="VAE31" s="2511"/>
      <c r="VAF31" s="2511"/>
      <c r="VAG31" s="2511"/>
      <c r="VAH31" s="2511"/>
      <c r="VAI31" s="2511"/>
      <c r="VAJ31" s="2511"/>
      <c r="VAK31" s="2511"/>
      <c r="VAL31" s="2511"/>
      <c r="VAM31" s="2511"/>
      <c r="VAN31" s="2511"/>
      <c r="VAO31" s="2511"/>
      <c r="VAP31" s="2511"/>
      <c r="VAQ31" s="2511"/>
      <c r="VAR31" s="2511"/>
      <c r="VAS31" s="2511"/>
      <c r="VAT31" s="2511"/>
      <c r="VAU31" s="2511"/>
      <c r="VAV31" s="2511"/>
      <c r="VAW31" s="2511"/>
      <c r="VAX31" s="2511"/>
      <c r="VAY31" s="2511"/>
      <c r="VAZ31" s="2511"/>
      <c r="VBA31" s="2511"/>
      <c r="VBB31" s="2511"/>
      <c r="VBC31" s="2511"/>
      <c r="VBD31" s="2511"/>
      <c r="VBE31" s="2511"/>
      <c r="VBF31" s="2511"/>
      <c r="VBG31" s="2511"/>
      <c r="VBH31" s="2511"/>
      <c r="VBI31" s="2511"/>
      <c r="VBJ31" s="2511"/>
      <c r="VBK31" s="2511"/>
      <c r="VBL31" s="2511"/>
      <c r="VBM31" s="2511"/>
      <c r="VBN31" s="2511"/>
      <c r="VBO31" s="2511"/>
      <c r="VBP31" s="2511"/>
      <c r="VBQ31" s="2511"/>
      <c r="VBR31" s="2511"/>
      <c r="VBS31" s="2511"/>
      <c r="VBT31" s="2511"/>
      <c r="VBU31" s="2511"/>
      <c r="VBV31" s="2511"/>
      <c r="VBW31" s="2511"/>
      <c r="VBX31" s="2511"/>
      <c r="VBY31" s="2511"/>
      <c r="VBZ31" s="2511"/>
      <c r="VCA31" s="2511"/>
      <c r="VCB31" s="2511"/>
      <c r="VCC31" s="2511"/>
      <c r="VCD31" s="2511"/>
      <c r="VCE31" s="2511"/>
      <c r="VCF31" s="2511"/>
      <c r="VCG31" s="2511"/>
      <c r="VCH31" s="2511"/>
      <c r="VCI31" s="2511"/>
      <c r="VCJ31" s="2511"/>
      <c r="VCK31" s="2511"/>
      <c r="VCL31" s="2511"/>
      <c r="VCM31" s="2511"/>
      <c r="VCN31" s="2511"/>
      <c r="VCO31" s="2511"/>
      <c r="VCP31" s="2511"/>
      <c r="VCQ31" s="2511"/>
      <c r="VCR31" s="2511"/>
      <c r="VCS31" s="2511"/>
      <c r="VCT31" s="2511"/>
      <c r="VCU31" s="2511"/>
      <c r="VCV31" s="2511"/>
      <c r="VCW31" s="2511"/>
      <c r="VCX31" s="2511"/>
      <c r="VCY31" s="2511"/>
      <c r="VCZ31" s="2511"/>
      <c r="VDA31" s="2511"/>
      <c r="VDB31" s="2511"/>
      <c r="VDC31" s="2511"/>
      <c r="VDD31" s="2511"/>
      <c r="VDE31" s="2511"/>
      <c r="VDF31" s="2511"/>
      <c r="VDG31" s="2511"/>
      <c r="VDH31" s="2511"/>
      <c r="VDI31" s="2511"/>
      <c r="VDJ31" s="2511"/>
      <c r="VDK31" s="2511"/>
      <c r="VDL31" s="2511"/>
      <c r="VDM31" s="2511"/>
      <c r="VDN31" s="2511"/>
      <c r="VDO31" s="2511"/>
      <c r="VDP31" s="2511"/>
      <c r="VDQ31" s="2511"/>
      <c r="VDR31" s="2511"/>
      <c r="VDS31" s="2511"/>
      <c r="VDT31" s="2511"/>
      <c r="VDU31" s="2511"/>
      <c r="VDV31" s="2511"/>
      <c r="VDW31" s="2511"/>
      <c r="VDX31" s="2511"/>
      <c r="VDY31" s="2511"/>
      <c r="VDZ31" s="2511"/>
      <c r="VEA31" s="2511"/>
      <c r="VEB31" s="2511"/>
      <c r="VEC31" s="2511"/>
      <c r="VED31" s="2511"/>
      <c r="VEE31" s="2511"/>
      <c r="VEF31" s="2511"/>
      <c r="VEG31" s="2511"/>
      <c r="VEH31" s="2511"/>
      <c r="VEI31" s="2511"/>
      <c r="VEJ31" s="2511"/>
      <c r="VEK31" s="2511"/>
      <c r="VEL31" s="2511"/>
      <c r="VEM31" s="2511"/>
      <c r="VEN31" s="2511"/>
      <c r="VEO31" s="2511"/>
      <c r="VEP31" s="2511"/>
      <c r="VEQ31" s="2511"/>
      <c r="VER31" s="2511"/>
      <c r="VES31" s="2511"/>
      <c r="VET31" s="2511"/>
      <c r="VEU31" s="2511"/>
      <c r="VEV31" s="2511"/>
      <c r="VEW31" s="2511"/>
      <c r="VEX31" s="2511"/>
      <c r="VEY31" s="2511"/>
      <c r="VEZ31" s="2511"/>
      <c r="VFA31" s="2511"/>
      <c r="VFB31" s="2511"/>
      <c r="VFC31" s="2511"/>
      <c r="VFD31" s="2511"/>
      <c r="VFE31" s="2511"/>
      <c r="VFF31" s="2511"/>
      <c r="VFG31" s="2511"/>
      <c r="VFH31" s="2511"/>
      <c r="VFI31" s="2511"/>
      <c r="VFJ31" s="2511"/>
      <c r="VFK31" s="2511"/>
      <c r="VFL31" s="2511"/>
      <c r="VFM31" s="2511"/>
      <c r="VFN31" s="2511"/>
      <c r="VFO31" s="2511"/>
      <c r="VFP31" s="2511"/>
      <c r="VFQ31" s="2511"/>
      <c r="VFR31" s="2511"/>
      <c r="VFS31" s="2511"/>
      <c r="VFT31" s="2511"/>
      <c r="VFU31" s="2511"/>
      <c r="VFV31" s="2511"/>
      <c r="VFW31" s="2511"/>
      <c r="VFX31" s="2511"/>
      <c r="VFY31" s="2511"/>
      <c r="VFZ31" s="2511"/>
      <c r="VGA31" s="2511"/>
      <c r="VGB31" s="2511"/>
      <c r="VGC31" s="2511"/>
      <c r="VGD31" s="2511"/>
      <c r="VGE31" s="2511"/>
      <c r="VGF31" s="2511"/>
      <c r="VGG31" s="2511"/>
      <c r="VGH31" s="2511"/>
      <c r="VGI31" s="2511"/>
      <c r="VGJ31" s="2511"/>
      <c r="VGK31" s="2511"/>
      <c r="VGL31" s="2511"/>
      <c r="VGM31" s="2511"/>
      <c r="VGN31" s="2511"/>
      <c r="VGO31" s="2511"/>
      <c r="VGP31" s="2511"/>
      <c r="VGQ31" s="2511"/>
      <c r="VGR31" s="2511"/>
      <c r="VGS31" s="2511"/>
      <c r="VGT31" s="2511"/>
      <c r="VGU31" s="2511"/>
      <c r="VGV31" s="2511"/>
      <c r="VGW31" s="2511"/>
      <c r="VGX31" s="2511"/>
      <c r="VGY31" s="2511"/>
      <c r="VGZ31" s="2511"/>
      <c r="VHA31" s="2511"/>
      <c r="VHB31" s="2511"/>
      <c r="VHC31" s="2511"/>
      <c r="VHD31" s="2511"/>
      <c r="VHE31" s="2511"/>
      <c r="VHF31" s="2511"/>
      <c r="VHG31" s="2511"/>
      <c r="VHH31" s="2511"/>
      <c r="VHI31" s="2511"/>
      <c r="VHJ31" s="2511"/>
      <c r="VHK31" s="2511"/>
      <c r="VHL31" s="2511"/>
      <c r="VHM31" s="2511"/>
      <c r="VHN31" s="2511"/>
      <c r="VHO31" s="2511"/>
      <c r="VHP31" s="2511"/>
      <c r="VHQ31" s="2511"/>
      <c r="VHR31" s="2511"/>
      <c r="VHS31" s="2511"/>
      <c r="VHT31" s="2511"/>
      <c r="VHU31" s="2511"/>
      <c r="VHV31" s="2511"/>
      <c r="VHW31" s="2511"/>
      <c r="VHX31" s="2511"/>
      <c r="VHY31" s="2511"/>
      <c r="VHZ31" s="2511"/>
      <c r="VIA31" s="2511"/>
      <c r="VIB31" s="2511"/>
      <c r="VIC31" s="2511"/>
      <c r="VID31" s="2511"/>
      <c r="VIE31" s="2511"/>
      <c r="VIF31" s="2511"/>
      <c r="VIG31" s="2511"/>
      <c r="VIH31" s="2511"/>
      <c r="VII31" s="2511"/>
      <c r="VIJ31" s="2511"/>
      <c r="VIK31" s="2511"/>
      <c r="VIL31" s="2511"/>
      <c r="VIM31" s="2511"/>
      <c r="VIN31" s="2511"/>
      <c r="VIO31" s="2511"/>
      <c r="VIP31" s="2511"/>
      <c r="VIQ31" s="2511"/>
      <c r="VIR31" s="2511"/>
      <c r="VIS31" s="2511"/>
      <c r="VIT31" s="2511"/>
      <c r="VIU31" s="2511"/>
      <c r="VIV31" s="2511"/>
      <c r="VIW31" s="2511"/>
      <c r="VIX31" s="2511"/>
      <c r="VIY31" s="2511"/>
      <c r="VIZ31" s="2511"/>
      <c r="VJA31" s="2511"/>
      <c r="VJB31" s="2511"/>
      <c r="VJC31" s="2511"/>
      <c r="VJD31" s="2511"/>
      <c r="VJE31" s="2511"/>
      <c r="VJF31" s="2511"/>
      <c r="VJG31" s="2511"/>
      <c r="VJH31" s="2511"/>
      <c r="VJI31" s="2511"/>
      <c r="VJJ31" s="2511"/>
      <c r="VJK31" s="2511"/>
      <c r="VJL31" s="2511"/>
      <c r="VJM31" s="2511"/>
      <c r="VJN31" s="2511"/>
      <c r="VJO31" s="2511"/>
      <c r="VJP31" s="2511"/>
      <c r="VJQ31" s="2511"/>
      <c r="VJR31" s="2511"/>
      <c r="VJS31" s="2511"/>
      <c r="VJT31" s="2511"/>
      <c r="VJU31" s="2511"/>
      <c r="VJV31" s="2511"/>
      <c r="VJW31" s="2511"/>
      <c r="VJX31" s="2511"/>
      <c r="VJY31" s="2511"/>
      <c r="VJZ31" s="2511"/>
      <c r="VKA31" s="2511"/>
      <c r="VKB31" s="2511"/>
      <c r="VKC31" s="2511"/>
      <c r="VKD31" s="2511"/>
      <c r="VKE31" s="2511"/>
      <c r="VKF31" s="2511"/>
      <c r="VKG31" s="2511"/>
      <c r="VKH31" s="2511"/>
      <c r="VKI31" s="2511"/>
      <c r="VKJ31" s="2511"/>
      <c r="VKK31" s="2511"/>
      <c r="VKL31" s="2511"/>
      <c r="VKM31" s="2511"/>
      <c r="VKN31" s="2511"/>
      <c r="VKO31" s="2511"/>
      <c r="VKP31" s="2511"/>
      <c r="VKQ31" s="2511"/>
      <c r="VKR31" s="2511"/>
      <c r="VKS31" s="2511"/>
      <c r="VKT31" s="2511"/>
      <c r="VKU31" s="2511"/>
      <c r="VKV31" s="2511"/>
      <c r="VKW31" s="2511"/>
      <c r="VKX31" s="2511"/>
      <c r="VKY31" s="2511"/>
      <c r="VKZ31" s="2511"/>
      <c r="VLA31" s="2511"/>
      <c r="VLB31" s="2511"/>
      <c r="VLC31" s="2511"/>
      <c r="VLD31" s="2511"/>
      <c r="VLE31" s="2511"/>
      <c r="VLF31" s="2511"/>
      <c r="VLG31" s="2511"/>
      <c r="VLH31" s="2511"/>
      <c r="VLI31" s="2511"/>
      <c r="VLJ31" s="2511"/>
      <c r="VLK31" s="2511"/>
      <c r="VLL31" s="2511"/>
      <c r="VLM31" s="2511"/>
      <c r="VLN31" s="2511"/>
      <c r="VLO31" s="2511"/>
      <c r="VLP31" s="2511"/>
      <c r="VLQ31" s="2511"/>
      <c r="VLR31" s="2511"/>
      <c r="VLS31" s="2511"/>
      <c r="VLT31" s="2511"/>
      <c r="VLU31" s="2511"/>
      <c r="VLV31" s="2511"/>
      <c r="VLW31" s="2511"/>
      <c r="VLX31" s="2511"/>
      <c r="VLY31" s="2511"/>
      <c r="VLZ31" s="2511"/>
      <c r="VMA31" s="2511"/>
      <c r="VMB31" s="2511"/>
      <c r="VMC31" s="2511"/>
      <c r="VMD31" s="2511"/>
      <c r="VME31" s="2511"/>
      <c r="VMF31" s="2511"/>
      <c r="VMG31" s="2511"/>
      <c r="VMH31" s="2511"/>
      <c r="VMI31" s="2511"/>
      <c r="VMJ31" s="2511"/>
      <c r="VMK31" s="2511"/>
      <c r="VML31" s="2511"/>
      <c r="VMM31" s="2511"/>
      <c r="VMN31" s="2511"/>
      <c r="VMO31" s="2511"/>
      <c r="VMP31" s="2511"/>
      <c r="VMQ31" s="2511"/>
      <c r="VMR31" s="2511"/>
      <c r="VMS31" s="2511"/>
      <c r="VMT31" s="2511"/>
      <c r="VMU31" s="2511"/>
      <c r="VMV31" s="2511"/>
      <c r="VMW31" s="2511"/>
      <c r="VMX31" s="2511"/>
      <c r="VMY31" s="2511"/>
      <c r="VMZ31" s="2511"/>
      <c r="VNA31" s="2511"/>
      <c r="VNB31" s="2511"/>
      <c r="VNC31" s="2511"/>
      <c r="VND31" s="2511"/>
      <c r="VNE31" s="2511"/>
      <c r="VNF31" s="2511"/>
      <c r="VNG31" s="2511"/>
      <c r="VNH31" s="2511"/>
      <c r="VNI31" s="2511"/>
      <c r="VNJ31" s="2511"/>
      <c r="VNK31" s="2511"/>
      <c r="VNL31" s="2511"/>
      <c r="VNM31" s="2511"/>
      <c r="VNN31" s="2511"/>
      <c r="VNO31" s="2511"/>
      <c r="VNP31" s="2511"/>
      <c r="VNQ31" s="2511"/>
      <c r="VNR31" s="2511"/>
      <c r="VNS31" s="2511"/>
      <c r="VNT31" s="2511"/>
      <c r="VNU31" s="2511"/>
      <c r="VNV31" s="2511"/>
      <c r="VNW31" s="2511"/>
      <c r="VNX31" s="2511"/>
      <c r="VNY31" s="2511"/>
      <c r="VNZ31" s="2511"/>
      <c r="VOA31" s="2511"/>
      <c r="VOB31" s="2511"/>
      <c r="VOC31" s="2511"/>
      <c r="VOD31" s="2511"/>
      <c r="VOE31" s="2511"/>
      <c r="VOF31" s="2511"/>
      <c r="VOG31" s="2511"/>
      <c r="VOH31" s="2511"/>
      <c r="VOI31" s="2511"/>
      <c r="VOJ31" s="2511"/>
      <c r="VOK31" s="2511"/>
      <c r="VOL31" s="2511"/>
      <c r="VOM31" s="2511"/>
      <c r="VON31" s="2511"/>
      <c r="VOO31" s="2511"/>
      <c r="VOP31" s="2511"/>
      <c r="VOQ31" s="2511"/>
      <c r="VOR31" s="2511"/>
      <c r="VOS31" s="2511"/>
      <c r="VOT31" s="2511"/>
      <c r="VOU31" s="2511"/>
      <c r="VOV31" s="2511"/>
      <c r="VOW31" s="2511"/>
      <c r="VOX31" s="2511"/>
      <c r="VOY31" s="2511"/>
      <c r="VOZ31" s="2511"/>
      <c r="VPA31" s="2511"/>
      <c r="VPB31" s="2511"/>
      <c r="VPC31" s="2511"/>
      <c r="VPD31" s="2511"/>
      <c r="VPE31" s="2511"/>
      <c r="VPF31" s="2511"/>
      <c r="VPG31" s="2511"/>
      <c r="VPH31" s="2511"/>
      <c r="VPI31" s="2511"/>
      <c r="VPJ31" s="2511"/>
      <c r="VPK31" s="2511"/>
      <c r="VPL31" s="2511"/>
      <c r="VPM31" s="2511"/>
      <c r="VPN31" s="2511"/>
      <c r="VPO31" s="2511"/>
      <c r="VPP31" s="2511"/>
      <c r="VPQ31" s="2511"/>
      <c r="VPR31" s="2511"/>
      <c r="VPS31" s="2511"/>
      <c r="VPT31" s="2511"/>
      <c r="VPU31" s="2511"/>
      <c r="VPV31" s="2511"/>
      <c r="VPW31" s="2511"/>
      <c r="VPX31" s="2511"/>
      <c r="VPY31" s="2511"/>
      <c r="VPZ31" s="2511"/>
      <c r="VQA31" s="2511"/>
      <c r="VQB31" s="2511"/>
      <c r="VQC31" s="2511"/>
      <c r="VQD31" s="2511"/>
      <c r="VQE31" s="2511"/>
      <c r="VQF31" s="2511"/>
      <c r="VQG31" s="2511"/>
      <c r="VQH31" s="2511"/>
      <c r="VQI31" s="2511"/>
      <c r="VQJ31" s="2511"/>
      <c r="VQK31" s="2511"/>
      <c r="VQL31" s="2511"/>
      <c r="VQM31" s="2511"/>
      <c r="VQN31" s="2511"/>
      <c r="VQO31" s="2511"/>
      <c r="VQP31" s="2511"/>
      <c r="VQQ31" s="2511"/>
      <c r="VQR31" s="2511"/>
      <c r="VQS31" s="2511"/>
      <c r="VQT31" s="2511"/>
      <c r="VQU31" s="2511"/>
      <c r="VQV31" s="2511"/>
      <c r="VQW31" s="2511"/>
      <c r="VQX31" s="2511"/>
      <c r="VQY31" s="2511"/>
      <c r="VQZ31" s="2511"/>
      <c r="VRA31" s="2511"/>
      <c r="VRB31" s="2511"/>
      <c r="VRC31" s="2511"/>
      <c r="VRD31" s="2511"/>
      <c r="VRE31" s="2511"/>
      <c r="VRF31" s="2511"/>
      <c r="VRG31" s="2511"/>
      <c r="VRH31" s="2511"/>
      <c r="VRI31" s="2511"/>
      <c r="VRJ31" s="2511"/>
      <c r="VRK31" s="2511"/>
      <c r="VRL31" s="2511"/>
      <c r="VRM31" s="2511"/>
      <c r="VRN31" s="2511"/>
      <c r="VRO31" s="2511"/>
      <c r="VRP31" s="2511"/>
      <c r="VRQ31" s="2511"/>
      <c r="VRR31" s="2511"/>
      <c r="VRS31" s="2511"/>
      <c r="VRT31" s="2511"/>
      <c r="VRU31" s="2511"/>
      <c r="VRV31" s="2511"/>
      <c r="VRW31" s="2511"/>
      <c r="VRX31" s="2511"/>
      <c r="VRY31" s="2511"/>
      <c r="VRZ31" s="2511"/>
      <c r="VSA31" s="2511"/>
      <c r="VSB31" s="2511"/>
      <c r="VSC31" s="2511"/>
      <c r="VSD31" s="2511"/>
      <c r="VSE31" s="2511"/>
      <c r="VSF31" s="2511"/>
      <c r="VSG31" s="2511"/>
      <c r="VSH31" s="2511"/>
      <c r="VSI31" s="2511"/>
      <c r="VSJ31" s="2511"/>
      <c r="VSK31" s="2511"/>
      <c r="VSL31" s="2511"/>
      <c r="VSM31" s="2511"/>
      <c r="VSN31" s="2511"/>
      <c r="VSO31" s="2511"/>
      <c r="VSP31" s="2511"/>
      <c r="VSQ31" s="2511"/>
      <c r="VSR31" s="2511"/>
      <c r="VSS31" s="2511"/>
      <c r="VST31" s="2511"/>
      <c r="VSU31" s="2511"/>
      <c r="VSV31" s="2511"/>
      <c r="VSW31" s="2511"/>
      <c r="VSX31" s="2511"/>
      <c r="VSY31" s="2511"/>
      <c r="VSZ31" s="2511"/>
      <c r="VTA31" s="2511"/>
      <c r="VTB31" s="2511"/>
      <c r="VTC31" s="2511"/>
      <c r="VTD31" s="2511"/>
      <c r="VTE31" s="2511"/>
      <c r="VTF31" s="2511"/>
      <c r="VTG31" s="2511"/>
      <c r="VTH31" s="2511"/>
      <c r="VTI31" s="2511"/>
      <c r="VTJ31" s="2511"/>
      <c r="VTK31" s="2511"/>
      <c r="VTL31" s="2511"/>
      <c r="VTM31" s="2511"/>
      <c r="VTN31" s="2511"/>
      <c r="VTO31" s="2511"/>
      <c r="VTP31" s="2511"/>
      <c r="VTQ31" s="2511"/>
      <c r="VTR31" s="2511"/>
      <c r="VTS31" s="2511"/>
      <c r="VTT31" s="2511"/>
      <c r="VTU31" s="2511"/>
      <c r="VTV31" s="2511"/>
      <c r="VTW31" s="2511"/>
      <c r="VTX31" s="2511"/>
      <c r="VTY31" s="2511"/>
      <c r="VTZ31" s="2511"/>
      <c r="VUA31" s="2511"/>
      <c r="VUB31" s="2511"/>
      <c r="VUC31" s="2511"/>
      <c r="VUD31" s="2511"/>
      <c r="VUE31" s="2511"/>
      <c r="VUF31" s="2511"/>
      <c r="VUG31" s="2511"/>
      <c r="VUH31" s="2511"/>
      <c r="VUI31" s="2511"/>
      <c r="VUJ31" s="2511"/>
      <c r="VUK31" s="2511"/>
      <c r="VUL31" s="2511"/>
      <c r="VUM31" s="2511"/>
      <c r="VUN31" s="2511"/>
      <c r="VUO31" s="2511"/>
      <c r="VUP31" s="2511"/>
      <c r="VUQ31" s="2511"/>
      <c r="VUR31" s="2511"/>
      <c r="VUS31" s="2511"/>
      <c r="VUT31" s="2511"/>
      <c r="VUU31" s="2511"/>
      <c r="VUV31" s="2511"/>
      <c r="VUW31" s="2511"/>
      <c r="VUX31" s="2511"/>
      <c r="VUY31" s="2511"/>
      <c r="VUZ31" s="2511"/>
      <c r="VVA31" s="2511"/>
      <c r="VVB31" s="2511"/>
      <c r="VVC31" s="2511"/>
      <c r="VVD31" s="2511"/>
      <c r="VVE31" s="2511"/>
      <c r="VVF31" s="2511"/>
      <c r="VVG31" s="2511"/>
      <c r="VVH31" s="2511"/>
      <c r="VVI31" s="2511"/>
      <c r="VVJ31" s="2511"/>
      <c r="VVK31" s="2511"/>
      <c r="VVL31" s="2511"/>
      <c r="VVM31" s="2511"/>
      <c r="VVN31" s="2511"/>
      <c r="VVO31" s="2511"/>
      <c r="VVP31" s="2511"/>
      <c r="VVQ31" s="2511"/>
      <c r="VVR31" s="2511"/>
      <c r="VVS31" s="2511"/>
      <c r="VVT31" s="2511"/>
      <c r="VVU31" s="2511"/>
      <c r="VVV31" s="2511"/>
      <c r="VVW31" s="2511"/>
      <c r="VVX31" s="2511"/>
      <c r="VVY31" s="2511"/>
      <c r="VVZ31" s="2511"/>
      <c r="VWA31" s="2511"/>
      <c r="VWB31" s="2511"/>
      <c r="VWC31" s="2511"/>
      <c r="VWD31" s="2511"/>
      <c r="VWE31" s="2511"/>
      <c r="VWF31" s="2511"/>
      <c r="VWG31" s="2511"/>
      <c r="VWH31" s="2511"/>
      <c r="VWI31" s="2511"/>
      <c r="VWJ31" s="2511"/>
      <c r="VWK31" s="2511"/>
      <c r="VWL31" s="2511"/>
      <c r="VWM31" s="2511"/>
      <c r="VWN31" s="2511"/>
      <c r="VWO31" s="2511"/>
      <c r="VWP31" s="2511"/>
      <c r="VWQ31" s="2511"/>
      <c r="VWR31" s="2511"/>
      <c r="VWS31" s="2511"/>
      <c r="VWT31" s="2511"/>
      <c r="VWU31" s="2511"/>
      <c r="VWV31" s="2511"/>
      <c r="VWW31" s="2511"/>
      <c r="VWX31" s="2511"/>
      <c r="VWY31" s="2511"/>
      <c r="VWZ31" s="2511"/>
      <c r="VXA31" s="2511"/>
      <c r="VXB31" s="2511"/>
      <c r="VXC31" s="2511"/>
      <c r="VXD31" s="2511"/>
      <c r="VXE31" s="2511"/>
      <c r="VXF31" s="2511"/>
      <c r="VXG31" s="2511"/>
      <c r="VXH31" s="2511"/>
      <c r="VXI31" s="2511"/>
      <c r="VXJ31" s="2511"/>
      <c r="VXK31" s="2511"/>
      <c r="VXL31" s="2511"/>
      <c r="VXM31" s="2511"/>
      <c r="VXN31" s="2511"/>
      <c r="VXO31" s="2511"/>
      <c r="VXP31" s="2511"/>
      <c r="VXQ31" s="2511"/>
      <c r="VXR31" s="2511"/>
      <c r="VXS31" s="2511"/>
      <c r="VXT31" s="2511"/>
      <c r="VXU31" s="2511"/>
      <c r="VXV31" s="2511"/>
      <c r="VXW31" s="2511"/>
      <c r="VXX31" s="2511"/>
      <c r="VXY31" s="2511"/>
      <c r="VXZ31" s="2511"/>
      <c r="VYA31" s="2511"/>
      <c r="VYB31" s="2511"/>
      <c r="VYC31" s="2511"/>
      <c r="VYD31" s="2511"/>
      <c r="VYE31" s="2511"/>
      <c r="VYF31" s="2511"/>
      <c r="VYG31" s="2511"/>
      <c r="VYH31" s="2511"/>
      <c r="VYI31" s="2511"/>
      <c r="VYJ31" s="2511"/>
      <c r="VYK31" s="2511"/>
      <c r="VYL31" s="2511"/>
      <c r="VYM31" s="2511"/>
      <c r="VYN31" s="2511"/>
      <c r="VYO31" s="2511"/>
      <c r="VYP31" s="2511"/>
      <c r="VYQ31" s="2511"/>
      <c r="VYR31" s="2511"/>
      <c r="VYS31" s="2511"/>
      <c r="VYT31" s="2511"/>
      <c r="VYU31" s="2511"/>
      <c r="VYV31" s="2511"/>
      <c r="VYW31" s="2511"/>
      <c r="VYX31" s="2511"/>
      <c r="VYY31" s="2511"/>
      <c r="VYZ31" s="2511"/>
      <c r="VZA31" s="2511"/>
      <c r="VZB31" s="2511"/>
      <c r="VZC31" s="2511"/>
      <c r="VZD31" s="2511"/>
      <c r="VZE31" s="2511"/>
      <c r="VZF31" s="2511"/>
      <c r="VZG31" s="2511"/>
      <c r="VZH31" s="2511"/>
      <c r="VZI31" s="2511"/>
      <c r="VZJ31" s="2511"/>
      <c r="VZK31" s="2511"/>
      <c r="VZL31" s="2511"/>
      <c r="VZM31" s="2511"/>
      <c r="VZN31" s="2511"/>
      <c r="VZO31" s="2511"/>
      <c r="VZP31" s="2511"/>
      <c r="VZQ31" s="2511"/>
      <c r="VZR31" s="2511"/>
      <c r="VZS31" s="2511"/>
      <c r="VZT31" s="2511"/>
      <c r="VZU31" s="2511"/>
      <c r="VZV31" s="2511"/>
      <c r="VZW31" s="2511"/>
      <c r="VZX31" s="2511"/>
      <c r="VZY31" s="2511"/>
      <c r="VZZ31" s="2511"/>
      <c r="WAA31" s="2511"/>
      <c r="WAB31" s="2511"/>
      <c r="WAC31" s="2511"/>
      <c r="WAD31" s="2511"/>
      <c r="WAE31" s="2511"/>
      <c r="WAF31" s="2511"/>
      <c r="WAG31" s="2511"/>
      <c r="WAH31" s="2511"/>
      <c r="WAI31" s="2511"/>
      <c r="WAJ31" s="2511"/>
      <c r="WAK31" s="2511"/>
      <c r="WAL31" s="2511"/>
      <c r="WAM31" s="2511"/>
      <c r="WAN31" s="2511"/>
      <c r="WAO31" s="2511"/>
      <c r="WAP31" s="2511"/>
      <c r="WAQ31" s="2511"/>
      <c r="WAR31" s="2511"/>
      <c r="WAS31" s="2511"/>
      <c r="WAT31" s="2511"/>
      <c r="WAU31" s="2511"/>
      <c r="WAV31" s="2511"/>
      <c r="WAW31" s="2511"/>
      <c r="WAX31" s="2511"/>
      <c r="WAY31" s="2511"/>
      <c r="WAZ31" s="2511"/>
      <c r="WBA31" s="2511"/>
      <c r="WBB31" s="2511"/>
      <c r="WBC31" s="2511"/>
      <c r="WBD31" s="2511"/>
      <c r="WBE31" s="2511"/>
      <c r="WBF31" s="2511"/>
      <c r="WBG31" s="2511"/>
      <c r="WBH31" s="2511"/>
      <c r="WBI31" s="2511"/>
      <c r="WBJ31" s="2511"/>
      <c r="WBK31" s="2511"/>
      <c r="WBL31" s="2511"/>
      <c r="WBM31" s="2511"/>
      <c r="WBN31" s="2511"/>
      <c r="WBO31" s="2511"/>
      <c r="WBP31" s="2511"/>
      <c r="WBQ31" s="2511"/>
      <c r="WBR31" s="2511"/>
      <c r="WBS31" s="2511"/>
      <c r="WBT31" s="2511"/>
      <c r="WBU31" s="2511"/>
      <c r="WBV31" s="2511"/>
      <c r="WBW31" s="2511"/>
      <c r="WBX31" s="2511"/>
      <c r="WBY31" s="2511"/>
      <c r="WBZ31" s="2511"/>
      <c r="WCA31" s="2511"/>
      <c r="WCB31" s="2511"/>
      <c r="WCC31" s="2511"/>
      <c r="WCD31" s="2511"/>
      <c r="WCE31" s="2511"/>
      <c r="WCF31" s="2511"/>
      <c r="WCG31" s="2511"/>
      <c r="WCH31" s="2511"/>
      <c r="WCI31" s="2511"/>
      <c r="WCJ31" s="2511"/>
      <c r="WCK31" s="2511"/>
      <c r="WCL31" s="2511"/>
      <c r="WCM31" s="2511"/>
      <c r="WCN31" s="2511"/>
      <c r="WCO31" s="2511"/>
      <c r="WCP31" s="2511"/>
      <c r="WCQ31" s="2511"/>
      <c r="WCR31" s="2511"/>
      <c r="WCS31" s="2511"/>
      <c r="WCT31" s="2511"/>
      <c r="WCU31" s="2511"/>
      <c r="WCV31" s="2511"/>
      <c r="WCW31" s="2511"/>
      <c r="WCX31" s="2511"/>
      <c r="WCY31" s="2511"/>
      <c r="WCZ31" s="2511"/>
      <c r="WDA31" s="2511"/>
      <c r="WDB31" s="2511"/>
      <c r="WDC31" s="2511"/>
      <c r="WDD31" s="2511"/>
      <c r="WDE31" s="2511"/>
      <c r="WDF31" s="2511"/>
      <c r="WDG31" s="2511"/>
      <c r="WDH31" s="2511"/>
      <c r="WDI31" s="2511"/>
      <c r="WDJ31" s="2511"/>
      <c r="WDK31" s="2511"/>
      <c r="WDL31" s="2511"/>
      <c r="WDM31" s="2511"/>
      <c r="WDN31" s="2511"/>
      <c r="WDO31" s="2511"/>
      <c r="WDP31" s="2511"/>
      <c r="WDQ31" s="2511"/>
      <c r="WDR31" s="2511"/>
      <c r="WDS31" s="2511"/>
      <c r="WDT31" s="2511"/>
      <c r="WDU31" s="2511"/>
      <c r="WDV31" s="2511"/>
      <c r="WDW31" s="2511"/>
      <c r="WDX31" s="2511"/>
      <c r="WDY31" s="2511"/>
      <c r="WDZ31" s="2511"/>
      <c r="WEA31" s="2511"/>
      <c r="WEB31" s="2511"/>
      <c r="WEC31" s="2511"/>
      <c r="WED31" s="2511"/>
      <c r="WEE31" s="2511"/>
      <c r="WEF31" s="2511"/>
      <c r="WEG31" s="2511"/>
      <c r="WEH31" s="2511"/>
      <c r="WEI31" s="2511"/>
      <c r="WEJ31" s="2511"/>
      <c r="WEK31" s="2511"/>
      <c r="WEL31" s="2511"/>
      <c r="WEM31" s="2511"/>
      <c r="WEN31" s="2511"/>
      <c r="WEO31" s="2511"/>
      <c r="WEP31" s="2511"/>
      <c r="WEQ31" s="2511"/>
      <c r="WER31" s="2511"/>
      <c r="WES31" s="2511"/>
      <c r="WET31" s="2511"/>
      <c r="WEU31" s="2511"/>
      <c r="WEV31" s="2511"/>
      <c r="WEW31" s="2511"/>
      <c r="WEX31" s="2511"/>
      <c r="WEY31" s="2511"/>
      <c r="WEZ31" s="2511"/>
      <c r="WFA31" s="2511"/>
      <c r="WFB31" s="2511"/>
      <c r="WFC31" s="2511"/>
      <c r="WFD31" s="2511"/>
      <c r="WFE31" s="2511"/>
      <c r="WFF31" s="2511"/>
      <c r="WFG31" s="2511"/>
      <c r="WFH31" s="2511"/>
      <c r="WFI31" s="2511"/>
      <c r="WFJ31" s="2511"/>
      <c r="WFK31" s="2511"/>
      <c r="WFL31" s="2511"/>
      <c r="WFM31" s="2511"/>
      <c r="WFN31" s="2511"/>
      <c r="WFO31" s="2511"/>
      <c r="WFP31" s="2511"/>
      <c r="WFQ31" s="2511"/>
      <c r="WFR31" s="2511"/>
      <c r="WFS31" s="2511"/>
      <c r="WFT31" s="2511"/>
      <c r="WFU31" s="2511"/>
      <c r="WFV31" s="2511"/>
      <c r="WFW31" s="2511"/>
      <c r="WFX31" s="2511"/>
      <c r="WFY31" s="2511"/>
      <c r="WFZ31" s="2511"/>
      <c r="WGA31" s="2511"/>
      <c r="WGB31" s="2511"/>
      <c r="WGC31" s="2511"/>
      <c r="WGD31" s="2511"/>
      <c r="WGE31" s="2511"/>
      <c r="WGF31" s="2511"/>
      <c r="WGG31" s="2511"/>
      <c r="WGH31" s="2511"/>
      <c r="WGI31" s="2511"/>
      <c r="WGJ31" s="2511"/>
      <c r="WGK31" s="2511"/>
      <c r="WGL31" s="2511"/>
      <c r="WGM31" s="2511"/>
      <c r="WGN31" s="2511"/>
      <c r="WGO31" s="2511"/>
      <c r="WGP31" s="2511"/>
      <c r="WGQ31" s="2511"/>
      <c r="WGR31" s="2511"/>
      <c r="WGS31" s="2511"/>
      <c r="WGT31" s="2511"/>
      <c r="WGU31" s="2511"/>
      <c r="WGV31" s="2511"/>
      <c r="WGW31" s="2511"/>
      <c r="WGX31" s="2511"/>
      <c r="WGY31" s="2511"/>
      <c r="WGZ31" s="2511"/>
      <c r="WHA31" s="2511"/>
      <c r="WHB31" s="2511"/>
      <c r="WHC31" s="2511"/>
      <c r="WHD31" s="2511"/>
      <c r="WHE31" s="2511"/>
      <c r="WHF31" s="2511"/>
      <c r="WHG31" s="2511"/>
      <c r="WHH31" s="2511"/>
      <c r="WHI31" s="2511"/>
      <c r="WHJ31" s="2511"/>
      <c r="WHK31" s="2511"/>
      <c r="WHL31" s="2511"/>
      <c r="WHM31" s="2511"/>
      <c r="WHN31" s="2511"/>
      <c r="WHO31" s="2511"/>
      <c r="WHP31" s="2511"/>
      <c r="WHQ31" s="2511"/>
      <c r="WHR31" s="2511"/>
      <c r="WHS31" s="2511"/>
      <c r="WHT31" s="2511"/>
      <c r="WHU31" s="2511"/>
      <c r="WHV31" s="2511"/>
      <c r="WHW31" s="2511"/>
      <c r="WHX31" s="2511"/>
      <c r="WHY31" s="2511"/>
      <c r="WHZ31" s="2511"/>
      <c r="WIA31" s="2511"/>
      <c r="WIB31" s="2511"/>
      <c r="WIC31" s="2511"/>
      <c r="WID31" s="2511"/>
      <c r="WIE31" s="2511"/>
      <c r="WIF31" s="2511"/>
      <c r="WIG31" s="2511"/>
      <c r="WIH31" s="2511"/>
      <c r="WII31" s="2511"/>
      <c r="WIJ31" s="2511"/>
      <c r="WIK31" s="2511"/>
      <c r="WIL31" s="2511"/>
      <c r="WIM31" s="2511"/>
      <c r="WIN31" s="2511"/>
      <c r="WIO31" s="2511"/>
      <c r="WIP31" s="2511"/>
      <c r="WIQ31" s="2511"/>
      <c r="WIR31" s="2511"/>
      <c r="WIS31" s="2511"/>
      <c r="WIT31" s="2511"/>
      <c r="WIU31" s="2511"/>
      <c r="WIV31" s="2511"/>
      <c r="WIW31" s="2511"/>
      <c r="WIX31" s="2511"/>
      <c r="WIY31" s="2511"/>
      <c r="WIZ31" s="2511"/>
      <c r="WJA31" s="2511"/>
      <c r="WJB31" s="2511"/>
      <c r="WJC31" s="2511"/>
      <c r="WJD31" s="2511"/>
      <c r="WJE31" s="2511"/>
      <c r="WJF31" s="2511"/>
      <c r="WJG31" s="2511"/>
      <c r="WJH31" s="2511"/>
      <c r="WJI31" s="2511"/>
      <c r="WJJ31" s="2511"/>
      <c r="WJK31" s="2511"/>
      <c r="WJL31" s="2511"/>
      <c r="WJM31" s="2511"/>
      <c r="WJN31" s="2511"/>
      <c r="WJO31" s="2511"/>
      <c r="WJP31" s="2511"/>
      <c r="WJQ31" s="2511"/>
      <c r="WJR31" s="2511"/>
      <c r="WJS31" s="2511"/>
      <c r="WJT31" s="2511"/>
      <c r="WJU31" s="2511"/>
      <c r="WJV31" s="2511"/>
      <c r="WJW31" s="2511"/>
      <c r="WJX31" s="2511"/>
      <c r="WJY31" s="2511"/>
      <c r="WJZ31" s="2511"/>
      <c r="WKA31" s="2511"/>
      <c r="WKB31" s="2511"/>
      <c r="WKC31" s="2511"/>
      <c r="WKD31" s="2511"/>
      <c r="WKE31" s="2511"/>
      <c r="WKF31" s="2511"/>
      <c r="WKG31" s="2511"/>
      <c r="WKH31" s="2511"/>
      <c r="WKI31" s="2511"/>
      <c r="WKJ31" s="2511"/>
      <c r="WKK31" s="2511"/>
      <c r="WKL31" s="2511"/>
      <c r="WKM31" s="2511"/>
      <c r="WKN31" s="2511"/>
      <c r="WKO31" s="2511"/>
      <c r="WKP31" s="2511"/>
      <c r="WKQ31" s="2511"/>
      <c r="WKR31" s="2511"/>
      <c r="WKS31" s="2511"/>
      <c r="WKT31" s="2511"/>
      <c r="WKU31" s="2511"/>
      <c r="WKV31" s="2511"/>
      <c r="WKW31" s="2511"/>
      <c r="WKX31" s="2511"/>
      <c r="WKY31" s="2511"/>
      <c r="WKZ31" s="2511"/>
      <c r="WLA31" s="2511"/>
      <c r="WLB31" s="2511"/>
      <c r="WLC31" s="2511"/>
      <c r="WLD31" s="2511"/>
      <c r="WLE31" s="2511"/>
      <c r="WLF31" s="2511"/>
      <c r="WLG31" s="2511"/>
      <c r="WLH31" s="2511"/>
      <c r="WLI31" s="2511"/>
      <c r="WLJ31" s="2511"/>
      <c r="WLK31" s="2511"/>
      <c r="WLL31" s="2511"/>
      <c r="WLM31" s="2511"/>
      <c r="WLN31" s="2511"/>
      <c r="WLO31" s="2511"/>
      <c r="WLP31" s="2511"/>
      <c r="WLQ31" s="2511"/>
      <c r="WLR31" s="2511"/>
      <c r="WLS31" s="2511"/>
      <c r="WLT31" s="2511"/>
      <c r="WLU31" s="2511"/>
      <c r="WLV31" s="2511"/>
      <c r="WLW31" s="2511"/>
      <c r="WLX31" s="2511"/>
      <c r="WLY31" s="2511"/>
      <c r="WLZ31" s="2511"/>
      <c r="WMA31" s="2511"/>
      <c r="WMB31" s="2511"/>
      <c r="WMC31" s="2511"/>
      <c r="WMD31" s="2511"/>
      <c r="WME31" s="2511"/>
      <c r="WMF31" s="2511"/>
      <c r="WMG31" s="2511"/>
      <c r="WMH31" s="2511"/>
      <c r="WMI31" s="2511"/>
      <c r="WMJ31" s="2511"/>
      <c r="WMK31" s="2511"/>
      <c r="WML31" s="2511"/>
      <c r="WMM31" s="2511"/>
      <c r="WMN31" s="2511"/>
      <c r="WMO31" s="2511"/>
      <c r="WMP31" s="2511"/>
      <c r="WMQ31" s="2511"/>
      <c r="WMR31" s="2511"/>
      <c r="WMS31" s="2511"/>
      <c r="WMT31" s="2511"/>
      <c r="WMU31" s="2511"/>
      <c r="WMV31" s="2511"/>
      <c r="WMW31" s="2511"/>
      <c r="WMX31" s="2511"/>
      <c r="WMY31" s="2511"/>
      <c r="WMZ31" s="2511"/>
      <c r="WNA31" s="2511"/>
      <c r="WNB31" s="2511"/>
      <c r="WNC31" s="2511"/>
      <c r="WND31" s="2511"/>
      <c r="WNE31" s="2511"/>
      <c r="WNF31" s="2511"/>
      <c r="WNG31" s="2511"/>
      <c r="WNH31" s="2511"/>
      <c r="WNI31" s="2511"/>
      <c r="WNJ31" s="2511"/>
      <c r="WNK31" s="2511"/>
      <c r="WNL31" s="2511"/>
      <c r="WNM31" s="2511"/>
      <c r="WNN31" s="2511"/>
      <c r="WNO31" s="2511"/>
      <c r="WNP31" s="2511"/>
      <c r="WNQ31" s="2511"/>
      <c r="WNR31" s="2511"/>
      <c r="WNS31" s="2511"/>
      <c r="WNT31" s="2511"/>
      <c r="WNU31" s="2511"/>
      <c r="WNV31" s="2511"/>
      <c r="WNW31" s="2511"/>
      <c r="WNX31" s="2511"/>
      <c r="WNY31" s="2511"/>
      <c r="WNZ31" s="2511"/>
      <c r="WOA31" s="2511"/>
      <c r="WOB31" s="2511"/>
      <c r="WOC31" s="2511"/>
      <c r="WOD31" s="2511"/>
      <c r="WOE31" s="2511"/>
      <c r="WOF31" s="2511"/>
      <c r="WOG31" s="2511"/>
      <c r="WOH31" s="2511"/>
      <c r="WOI31" s="2511"/>
      <c r="WOJ31" s="2511"/>
      <c r="WOK31" s="2511"/>
      <c r="WOL31" s="2511"/>
      <c r="WOM31" s="2511"/>
      <c r="WON31" s="2511"/>
      <c r="WOO31" s="2511"/>
      <c r="WOP31" s="2511"/>
      <c r="WOQ31" s="2511"/>
      <c r="WOR31" s="2511"/>
      <c r="WOS31" s="2511"/>
      <c r="WOT31" s="2511"/>
      <c r="WOU31" s="2511"/>
      <c r="WOV31" s="2511"/>
      <c r="WOW31" s="2511"/>
      <c r="WOX31" s="2511"/>
      <c r="WOY31" s="2511"/>
      <c r="WOZ31" s="2511"/>
      <c r="WPA31" s="2511"/>
      <c r="WPB31" s="2511"/>
      <c r="WPC31" s="2511"/>
      <c r="WPD31" s="2511"/>
      <c r="WPE31" s="2511"/>
      <c r="WPF31" s="2511"/>
      <c r="WPG31" s="2511"/>
      <c r="WPH31" s="2511"/>
      <c r="WPI31" s="2511"/>
      <c r="WPJ31" s="2511"/>
      <c r="WPK31" s="2511"/>
      <c r="WPL31" s="2511"/>
      <c r="WPM31" s="2511"/>
      <c r="WPN31" s="2511"/>
      <c r="WPO31" s="2511"/>
      <c r="WPP31" s="2511"/>
      <c r="WPQ31" s="2511"/>
      <c r="WPR31" s="2511"/>
      <c r="WPS31" s="2511"/>
      <c r="WPT31" s="2511"/>
      <c r="WPU31" s="2511"/>
      <c r="WPV31" s="2511"/>
      <c r="WPW31" s="2511"/>
      <c r="WPX31" s="2511"/>
      <c r="WPY31" s="2511"/>
      <c r="WPZ31" s="2511"/>
      <c r="WQA31" s="2511"/>
      <c r="WQB31" s="2511"/>
      <c r="WQC31" s="2511"/>
      <c r="WQD31" s="2511"/>
      <c r="WQE31" s="2511"/>
      <c r="WQF31" s="2511"/>
      <c r="WQG31" s="2511"/>
      <c r="WQH31" s="2511"/>
      <c r="WQI31" s="2511"/>
      <c r="WQJ31" s="2511"/>
      <c r="WQK31" s="2511"/>
      <c r="WQL31" s="2511"/>
      <c r="WQM31" s="2511"/>
      <c r="WQN31" s="2511"/>
      <c r="WQO31" s="2511"/>
      <c r="WQP31" s="2511"/>
      <c r="WQQ31" s="2511"/>
      <c r="WQR31" s="2511"/>
      <c r="WQS31" s="2511"/>
      <c r="WQT31" s="2511"/>
      <c r="WQU31" s="2511"/>
      <c r="WQV31" s="2511"/>
      <c r="WQW31" s="2511"/>
      <c r="WQX31" s="2511"/>
      <c r="WQY31" s="2511"/>
      <c r="WQZ31" s="2511"/>
      <c r="WRA31" s="2511"/>
      <c r="WRB31" s="2511"/>
      <c r="WRC31" s="2511"/>
      <c r="WRD31" s="2511"/>
      <c r="WRE31" s="2511"/>
      <c r="WRF31" s="2511"/>
      <c r="WRG31" s="2511"/>
      <c r="WRH31" s="2511"/>
      <c r="WRI31" s="2511"/>
      <c r="WRJ31" s="2511"/>
      <c r="WRK31" s="2511"/>
      <c r="WRL31" s="2511"/>
      <c r="WRM31" s="2511"/>
      <c r="WRN31" s="2511"/>
      <c r="WRO31" s="2511"/>
      <c r="WRP31" s="2511"/>
      <c r="WRQ31" s="2511"/>
      <c r="WRR31" s="2511"/>
      <c r="WRS31" s="2511"/>
      <c r="WRT31" s="2511"/>
      <c r="WRU31" s="2511"/>
      <c r="WRV31" s="2511"/>
      <c r="WRW31" s="2511"/>
      <c r="WRX31" s="2511"/>
      <c r="WRY31" s="2511"/>
      <c r="WRZ31" s="2511"/>
      <c r="WSA31" s="2511"/>
      <c r="WSB31" s="2511"/>
      <c r="WSC31" s="2511"/>
      <c r="WSD31" s="2511"/>
      <c r="WSE31" s="2511"/>
      <c r="WSF31" s="2511"/>
      <c r="WSG31" s="2511"/>
      <c r="WSH31" s="2511"/>
      <c r="WSI31" s="2511"/>
      <c r="WSJ31" s="2511"/>
      <c r="WSK31" s="2511"/>
      <c r="WSL31" s="2511"/>
      <c r="WSM31" s="2511"/>
      <c r="WSN31" s="2511"/>
      <c r="WSO31" s="2511"/>
      <c r="WSP31" s="2511"/>
      <c r="WSQ31" s="2511"/>
      <c r="WSR31" s="2511"/>
      <c r="WSS31" s="2511"/>
      <c r="WST31" s="2511"/>
      <c r="WSU31" s="2511"/>
      <c r="WSV31" s="2511"/>
      <c r="WSW31" s="2511"/>
      <c r="WSX31" s="2511"/>
      <c r="WSY31" s="2511"/>
      <c r="WSZ31" s="2511"/>
      <c r="WTA31" s="2511"/>
      <c r="WTB31" s="2511"/>
      <c r="WTC31" s="2511"/>
      <c r="WTD31" s="2511"/>
      <c r="WTE31" s="2511"/>
      <c r="WTF31" s="2511"/>
      <c r="WTG31" s="2511"/>
      <c r="WTH31" s="2511"/>
      <c r="WTI31" s="2511"/>
      <c r="WTJ31" s="2511"/>
      <c r="WTK31" s="2511"/>
      <c r="WTL31" s="2511"/>
      <c r="WTM31" s="2511"/>
      <c r="WTN31" s="2511"/>
      <c r="WTO31" s="2511"/>
      <c r="WTP31" s="2511"/>
      <c r="WTQ31" s="2511"/>
      <c r="WTR31" s="2511"/>
      <c r="WTS31" s="2511"/>
      <c r="WTT31" s="2511"/>
      <c r="WTU31" s="2511"/>
      <c r="WTV31" s="2511"/>
      <c r="WTW31" s="2511"/>
      <c r="WTX31" s="2511"/>
      <c r="WTY31" s="2511"/>
      <c r="WTZ31" s="2511"/>
      <c r="WUA31" s="2511"/>
      <c r="WUB31" s="2511"/>
      <c r="WUC31" s="2511"/>
      <c r="WUD31" s="2511"/>
      <c r="WUE31" s="2511"/>
      <c r="WUF31" s="2511"/>
      <c r="WUG31" s="2511"/>
      <c r="WUH31" s="2511"/>
      <c r="WUI31" s="2511"/>
      <c r="WUJ31" s="2511"/>
      <c r="WUK31" s="2511"/>
      <c r="WUL31" s="2511"/>
      <c r="WUM31" s="2511"/>
      <c r="WUN31" s="2511"/>
      <c r="WUO31" s="2511"/>
      <c r="WUP31" s="2511"/>
      <c r="WUQ31" s="2511"/>
      <c r="WUR31" s="2511"/>
      <c r="WUS31" s="2511"/>
      <c r="WUT31" s="2511"/>
      <c r="WUU31" s="2511"/>
      <c r="WUV31" s="2511"/>
      <c r="WUW31" s="2511"/>
      <c r="WUX31" s="2511"/>
      <c r="WUY31" s="2511"/>
      <c r="WUZ31" s="2511"/>
      <c r="WVA31" s="2511"/>
      <c r="WVB31" s="2511"/>
      <c r="WVC31" s="2511"/>
      <c r="WVD31" s="2511"/>
      <c r="WVE31" s="2511"/>
      <c r="WVF31" s="2511"/>
      <c r="WVG31" s="2511"/>
      <c r="WVH31" s="2511"/>
      <c r="WVI31" s="2511"/>
      <c r="WVJ31" s="2511"/>
      <c r="WVK31" s="2511"/>
      <c r="WVL31" s="2511"/>
      <c r="WVM31" s="2511"/>
      <c r="WVN31" s="2511"/>
      <c r="WVO31" s="2511"/>
      <c r="WVP31" s="2511"/>
      <c r="WVQ31" s="2511"/>
      <c r="WVR31" s="2511"/>
      <c r="WVS31" s="2511"/>
      <c r="WVT31" s="2511"/>
      <c r="WVU31" s="2511"/>
      <c r="WVV31" s="2511"/>
      <c r="WVW31" s="2511"/>
      <c r="WVX31" s="2511"/>
      <c r="WVY31" s="2511"/>
      <c r="WVZ31" s="2511"/>
      <c r="WWA31" s="2511"/>
      <c r="WWB31" s="2511"/>
      <c r="WWC31" s="2511"/>
      <c r="WWD31" s="2511"/>
      <c r="WWE31" s="2511"/>
      <c r="WWF31" s="2511"/>
      <c r="WWG31" s="2511"/>
      <c r="WWH31" s="2511"/>
      <c r="WWI31" s="2511"/>
      <c r="WWJ31" s="2511"/>
      <c r="WWK31" s="2511"/>
      <c r="WWL31" s="2511"/>
      <c r="WWM31" s="2511"/>
      <c r="WWN31" s="2511"/>
      <c r="WWO31" s="2511"/>
      <c r="WWP31" s="2511"/>
      <c r="WWQ31" s="2511"/>
      <c r="WWR31" s="2511"/>
      <c r="WWS31" s="2511"/>
      <c r="WWT31" s="2511"/>
      <c r="WWU31" s="2511"/>
      <c r="WWV31" s="2511"/>
      <c r="WWW31" s="2511"/>
      <c r="WWX31" s="2511"/>
      <c r="WWY31" s="2511"/>
      <c r="WWZ31" s="2511"/>
      <c r="WXA31" s="2511"/>
      <c r="WXB31" s="2511"/>
      <c r="WXC31" s="2511"/>
      <c r="WXD31" s="2511"/>
      <c r="WXE31" s="2511"/>
      <c r="WXF31" s="2511"/>
      <c r="WXG31" s="2511"/>
      <c r="WXH31" s="2511"/>
      <c r="WXI31" s="2511"/>
      <c r="WXJ31" s="2511"/>
      <c r="WXK31" s="2511"/>
      <c r="WXL31" s="2511"/>
      <c r="WXM31" s="2511"/>
      <c r="WXN31" s="2511"/>
      <c r="WXO31" s="2511"/>
      <c r="WXP31" s="2511"/>
      <c r="WXQ31" s="2511"/>
      <c r="WXR31" s="2511"/>
      <c r="WXS31" s="2511"/>
      <c r="WXT31" s="2511"/>
      <c r="WXU31" s="2511"/>
      <c r="WXV31" s="2511"/>
      <c r="WXW31" s="2511"/>
      <c r="WXX31" s="2511"/>
      <c r="WXY31" s="2511"/>
      <c r="WXZ31" s="2511"/>
      <c r="WYA31" s="2511"/>
      <c r="WYB31" s="2511"/>
      <c r="WYC31" s="2511"/>
      <c r="WYD31" s="2511"/>
      <c r="WYE31" s="2511"/>
      <c r="WYF31" s="2511"/>
      <c r="WYG31" s="2511"/>
      <c r="WYH31" s="2511"/>
      <c r="WYI31" s="2511"/>
      <c r="WYJ31" s="2511"/>
      <c r="WYK31" s="2511"/>
      <c r="WYL31" s="2511"/>
      <c r="WYM31" s="2511"/>
      <c r="WYN31" s="2511"/>
      <c r="WYO31" s="2511"/>
      <c r="WYP31" s="2511"/>
      <c r="WYQ31" s="2511"/>
      <c r="WYR31" s="2511"/>
      <c r="WYS31" s="2511"/>
      <c r="WYT31" s="2511"/>
      <c r="WYU31" s="2511"/>
      <c r="WYV31" s="2511"/>
      <c r="WYW31" s="2511"/>
      <c r="WYX31" s="2511"/>
      <c r="WYY31" s="2511"/>
      <c r="WYZ31" s="2511"/>
      <c r="WZA31" s="2511"/>
      <c r="WZB31" s="2511"/>
      <c r="WZC31" s="2511"/>
      <c r="WZD31" s="2511"/>
      <c r="WZE31" s="2511"/>
      <c r="WZF31" s="2511"/>
      <c r="WZG31" s="2511"/>
      <c r="WZH31" s="2511"/>
      <c r="WZI31" s="2511"/>
      <c r="WZJ31" s="2511"/>
      <c r="WZK31" s="2511"/>
      <c r="WZL31" s="2511"/>
      <c r="WZM31" s="2511"/>
      <c r="WZN31" s="2511"/>
      <c r="WZO31" s="2511"/>
      <c r="WZP31" s="2511"/>
      <c r="WZQ31" s="2511"/>
      <c r="WZR31" s="2511"/>
      <c r="WZS31" s="2511"/>
      <c r="WZT31" s="2511"/>
      <c r="WZU31" s="2511"/>
      <c r="WZV31" s="2511"/>
      <c r="WZW31" s="2511"/>
      <c r="WZX31" s="2511"/>
      <c r="WZY31" s="2511"/>
      <c r="WZZ31" s="2511"/>
      <c r="XAA31" s="2511"/>
      <c r="XAB31" s="2511"/>
      <c r="XAC31" s="2511"/>
      <c r="XAD31" s="2511"/>
      <c r="XAE31" s="2511"/>
      <c r="XAF31" s="2511"/>
      <c r="XAG31" s="2511"/>
      <c r="XAH31" s="2511"/>
      <c r="XAI31" s="2511"/>
      <c r="XAJ31" s="2511"/>
      <c r="XAK31" s="2511"/>
      <c r="XAL31" s="2511"/>
      <c r="XAM31" s="2511"/>
      <c r="XAN31" s="2511"/>
      <c r="XAO31" s="2511"/>
      <c r="XAP31" s="2511"/>
      <c r="XAQ31" s="2511"/>
      <c r="XAR31" s="2511"/>
      <c r="XAS31" s="2511"/>
      <c r="XAT31" s="2511"/>
      <c r="XAU31" s="2511"/>
      <c r="XAV31" s="2511"/>
      <c r="XAW31" s="2511"/>
      <c r="XAX31" s="2511"/>
      <c r="XAY31" s="2511"/>
      <c r="XAZ31" s="2511"/>
      <c r="XBA31" s="2511"/>
      <c r="XBB31" s="2511"/>
      <c r="XBC31" s="2511"/>
      <c r="XBD31" s="2511"/>
      <c r="XBE31" s="2511"/>
      <c r="XBF31" s="2511"/>
      <c r="XBG31" s="2511"/>
      <c r="XBH31" s="2511"/>
      <c r="XBI31" s="2511"/>
      <c r="XBJ31" s="2511"/>
      <c r="XBK31" s="2511"/>
      <c r="XBL31" s="2511"/>
      <c r="XBM31" s="2511"/>
      <c r="XBN31" s="2511"/>
      <c r="XBO31" s="2511"/>
      <c r="XBP31" s="2511"/>
      <c r="XBQ31" s="2511"/>
      <c r="XBR31" s="2511"/>
      <c r="XBS31" s="2511"/>
      <c r="XBT31" s="2511"/>
      <c r="XBU31" s="2511"/>
      <c r="XBV31" s="2511"/>
      <c r="XBW31" s="2511"/>
      <c r="XBX31" s="2511"/>
      <c r="XBY31" s="2511"/>
      <c r="XBZ31" s="2511"/>
      <c r="XCA31" s="2511"/>
      <c r="XCB31" s="2511"/>
      <c r="XCC31" s="2511"/>
      <c r="XCD31" s="2511"/>
      <c r="XCE31" s="2511"/>
      <c r="XCF31" s="2511"/>
      <c r="XCG31" s="2511"/>
      <c r="XCH31" s="2511"/>
      <c r="XCI31" s="2511"/>
      <c r="XCJ31" s="2511"/>
      <c r="XCK31" s="2511"/>
      <c r="XCL31" s="2511"/>
      <c r="XCM31" s="2511"/>
      <c r="XCN31" s="2511"/>
      <c r="XCO31" s="2511"/>
      <c r="XCP31" s="2511"/>
      <c r="XCQ31" s="2511"/>
      <c r="XCR31" s="2511"/>
      <c r="XCS31" s="2511"/>
      <c r="XCT31" s="2511"/>
      <c r="XCU31" s="2511"/>
      <c r="XCV31" s="2511"/>
      <c r="XCW31" s="2511"/>
      <c r="XCX31" s="2511"/>
      <c r="XCY31" s="2511"/>
      <c r="XCZ31" s="2511"/>
      <c r="XDA31" s="2511"/>
      <c r="XDB31" s="2511"/>
      <c r="XDC31" s="2511"/>
      <c r="XDD31" s="2511"/>
      <c r="XDE31" s="2511"/>
      <c r="XDF31" s="2511"/>
      <c r="XDG31" s="2511"/>
      <c r="XDH31" s="2511"/>
      <c r="XDI31" s="2511"/>
      <c r="XDJ31" s="2511"/>
      <c r="XDK31" s="2511"/>
      <c r="XDL31" s="2511"/>
      <c r="XDM31" s="2511"/>
      <c r="XDN31" s="2511"/>
      <c r="XDO31" s="2511"/>
      <c r="XDP31" s="2511"/>
      <c r="XDQ31" s="2511"/>
      <c r="XDR31" s="2511"/>
      <c r="XDS31" s="2511"/>
      <c r="XDT31" s="2511"/>
      <c r="XDU31" s="2511"/>
      <c r="XDV31" s="2511"/>
      <c r="XDW31" s="2511"/>
      <c r="XDX31" s="2511"/>
      <c r="XDY31" s="2511"/>
      <c r="XDZ31" s="2511"/>
      <c r="XEA31" s="2511"/>
      <c r="XEB31" s="2511"/>
      <c r="XEC31" s="2511"/>
      <c r="XED31" s="2511"/>
      <c r="XEE31" s="2511"/>
      <c r="XEF31" s="2511"/>
      <c r="XEG31" s="2511"/>
      <c r="XEH31" s="2511"/>
      <c r="XEI31" s="2511"/>
      <c r="XEJ31" s="2511"/>
      <c r="XEK31" s="2511"/>
      <c r="XEL31" s="2511"/>
      <c r="XEM31" s="2511"/>
      <c r="XEN31" s="2511"/>
      <c r="XEO31" s="2511"/>
      <c r="XEP31" s="2511"/>
      <c r="XEQ31" s="2511"/>
      <c r="XER31" s="2511"/>
      <c r="XES31" s="2511"/>
      <c r="XET31" s="2511"/>
      <c r="XEU31" s="2511"/>
      <c r="XEV31" s="2511"/>
      <c r="XEW31" s="2511"/>
      <c r="XEX31" s="2511"/>
      <c r="XEY31" s="2511"/>
      <c r="XEZ31" s="2511"/>
      <c r="XFA31" s="2511"/>
      <c r="XFB31" s="2511"/>
      <c r="XFC31" s="2511"/>
      <c r="XFD31" s="2511"/>
    </row>
    <row r="32" spans="1:16384" s="723" customFormat="1" ht="45" customHeight="1">
      <c r="A32" s="2511" t="s">
        <v>1335</v>
      </c>
      <c r="B32" s="2511"/>
      <c r="C32" s="2511"/>
      <c r="D32" s="2511"/>
      <c r="E32" s="2511"/>
      <c r="F32" s="2511"/>
      <c r="G32" s="2511"/>
      <c r="H32" s="2511"/>
      <c r="I32" s="2511"/>
      <c r="J32" s="2511"/>
      <c r="K32" s="2511"/>
      <c r="L32" s="2511"/>
      <c r="M32" s="2511"/>
      <c r="N32" s="2511"/>
      <c r="O32" s="2511"/>
      <c r="P32" s="2511"/>
      <c r="Q32" s="2511"/>
      <c r="R32" s="2511"/>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2511"/>
      <c r="BA32" s="2511"/>
      <c r="BB32" s="2511"/>
      <c r="BC32" s="2511"/>
      <c r="BD32" s="2511"/>
      <c r="BE32" s="2511"/>
      <c r="BF32" s="2511"/>
      <c r="BG32" s="2511"/>
      <c r="BH32" s="2511"/>
      <c r="BI32" s="2511"/>
      <c r="BJ32" s="2511"/>
      <c r="BK32" s="2511"/>
      <c r="BL32" s="2511"/>
      <c r="BM32" s="2511"/>
      <c r="BN32" s="2511"/>
      <c r="BO32" s="2511"/>
      <c r="BP32" s="2511"/>
      <c r="BQ32" s="2511"/>
      <c r="BR32" s="2511"/>
      <c r="BS32" s="2511"/>
      <c r="BT32" s="2511"/>
      <c r="BU32" s="2511"/>
      <c r="BV32" s="2511"/>
      <c r="BW32" s="2511"/>
      <c r="BX32" s="2511"/>
      <c r="BY32" s="2511"/>
      <c r="BZ32" s="2511"/>
      <c r="CA32" s="2511"/>
      <c r="CB32" s="2511"/>
      <c r="CC32" s="2511"/>
      <c r="CD32" s="2511"/>
      <c r="CE32" s="2511"/>
      <c r="CF32" s="2511"/>
      <c r="CG32" s="2511"/>
      <c r="CH32" s="2511"/>
      <c r="CI32" s="2511"/>
      <c r="CJ32" s="2511"/>
      <c r="CK32" s="2511"/>
      <c r="CL32" s="2511"/>
      <c r="CM32" s="2511"/>
      <c r="CN32" s="2511"/>
      <c r="CO32" s="2511"/>
      <c r="CP32" s="2511"/>
      <c r="CQ32" s="2511"/>
      <c r="CR32" s="2511"/>
      <c r="CS32" s="2511"/>
      <c r="CT32" s="2511"/>
      <c r="CU32" s="2511"/>
      <c r="CV32" s="2511"/>
      <c r="CW32" s="2511"/>
      <c r="CX32" s="2511"/>
      <c r="CY32" s="2511"/>
      <c r="CZ32" s="2511"/>
      <c r="DA32" s="2511"/>
      <c r="DB32" s="2511"/>
      <c r="DC32" s="2511"/>
      <c r="DD32" s="2511"/>
      <c r="DE32" s="2511"/>
      <c r="DF32" s="2511"/>
      <c r="DG32" s="2511"/>
      <c r="DH32" s="2511"/>
      <c r="DI32" s="2511"/>
      <c r="DJ32" s="2511"/>
      <c r="DK32" s="2511"/>
      <c r="DL32" s="2511"/>
      <c r="DM32" s="2511"/>
      <c r="DN32" s="2511"/>
      <c r="DO32" s="2511"/>
      <c r="DP32" s="2511"/>
      <c r="DQ32" s="2511"/>
      <c r="DR32" s="2511"/>
      <c r="DS32" s="2511"/>
      <c r="DT32" s="2511"/>
      <c r="DU32" s="2511"/>
      <c r="DV32" s="2511"/>
      <c r="DW32" s="2511"/>
      <c r="DX32" s="2511"/>
      <c r="DY32" s="2511"/>
      <c r="DZ32" s="2511"/>
      <c r="EA32" s="2511"/>
      <c r="EB32" s="2511"/>
      <c r="EC32" s="2511"/>
      <c r="ED32" s="2511"/>
      <c r="EE32" s="2511"/>
      <c r="EF32" s="2511"/>
      <c r="EG32" s="2511"/>
      <c r="EH32" s="2511"/>
      <c r="EI32" s="2511"/>
      <c r="EJ32" s="2511"/>
      <c r="EK32" s="2511"/>
      <c r="EL32" s="2511"/>
      <c r="EM32" s="2511"/>
      <c r="EN32" s="2511"/>
      <c r="EO32" s="2511"/>
      <c r="EP32" s="2511"/>
      <c r="EQ32" s="2511"/>
      <c r="ER32" s="2511"/>
      <c r="ES32" s="2511"/>
      <c r="ET32" s="2511"/>
      <c r="EU32" s="2511"/>
      <c r="EV32" s="2511"/>
      <c r="EW32" s="2511"/>
      <c r="EX32" s="2511"/>
      <c r="EY32" s="2511"/>
      <c r="EZ32" s="2511"/>
      <c r="FA32" s="2511"/>
      <c r="FB32" s="2511"/>
      <c r="FC32" s="2511"/>
      <c r="FD32" s="2511"/>
      <c r="FE32" s="2511"/>
      <c r="FF32" s="2511"/>
      <c r="FG32" s="2511"/>
      <c r="FH32" s="2511"/>
      <c r="FI32" s="2511"/>
      <c r="FJ32" s="2511"/>
      <c r="FK32" s="2511"/>
      <c r="FL32" s="2511"/>
      <c r="FM32" s="2511"/>
      <c r="FN32" s="2511"/>
      <c r="FO32" s="2511"/>
      <c r="FP32" s="2511"/>
      <c r="FQ32" s="2511"/>
      <c r="FR32" s="2511"/>
      <c r="FS32" s="2511"/>
      <c r="FT32" s="2511"/>
      <c r="FU32" s="2511"/>
      <c r="FV32" s="2511"/>
      <c r="FW32" s="2511"/>
      <c r="FX32" s="2511"/>
      <c r="FY32" s="2511"/>
      <c r="FZ32" s="2511"/>
      <c r="GA32" s="2511"/>
      <c r="GB32" s="2511"/>
      <c r="GC32" s="2511"/>
      <c r="GD32" s="2511"/>
      <c r="GE32" s="2511"/>
      <c r="GF32" s="2511"/>
      <c r="GG32" s="2511"/>
      <c r="GH32" s="2511"/>
      <c r="GI32" s="2511"/>
      <c r="GJ32" s="2511"/>
      <c r="GK32" s="2511"/>
      <c r="GL32" s="2511"/>
      <c r="GM32" s="2511"/>
      <c r="GN32" s="2511"/>
      <c r="GO32" s="2511"/>
      <c r="GP32" s="2511"/>
      <c r="GQ32" s="2511"/>
      <c r="GR32" s="2511"/>
      <c r="GS32" s="2511"/>
      <c r="GT32" s="2511"/>
      <c r="GU32" s="2511"/>
      <c r="GV32" s="2511"/>
      <c r="GW32" s="2511"/>
      <c r="GX32" s="2511"/>
      <c r="GY32" s="2511"/>
      <c r="GZ32" s="2511"/>
      <c r="HA32" s="2511"/>
      <c r="HB32" s="2511"/>
      <c r="HC32" s="2511"/>
      <c r="HD32" s="2511"/>
      <c r="HE32" s="2511"/>
      <c r="HF32" s="2511"/>
      <c r="HG32" s="2511"/>
      <c r="HH32" s="2511"/>
      <c r="HI32" s="2511"/>
      <c r="HJ32" s="2511"/>
      <c r="HK32" s="2511"/>
      <c r="HL32" s="2511"/>
      <c r="HM32" s="2511"/>
      <c r="HN32" s="2511"/>
      <c r="HO32" s="2511"/>
      <c r="HP32" s="2511"/>
      <c r="HQ32" s="2511"/>
      <c r="HR32" s="2511"/>
      <c r="HS32" s="2511"/>
      <c r="HT32" s="2511"/>
      <c r="HU32" s="2511"/>
      <c r="HV32" s="2511"/>
      <c r="HW32" s="2511"/>
      <c r="HX32" s="2511"/>
      <c r="HY32" s="2511"/>
      <c r="HZ32" s="2511"/>
      <c r="IA32" s="2511"/>
      <c r="IB32" s="2511"/>
      <c r="IC32" s="2511"/>
      <c r="ID32" s="2511"/>
      <c r="IE32" s="2511"/>
      <c r="IF32" s="2511"/>
      <c r="IG32" s="2511"/>
      <c r="IH32" s="2511"/>
      <c r="II32" s="2511"/>
      <c r="IJ32" s="2511"/>
      <c r="IK32" s="2511"/>
      <c r="IL32" s="2511"/>
      <c r="IM32" s="2511"/>
      <c r="IN32" s="2511"/>
      <c r="IO32" s="2511"/>
      <c r="IP32" s="2511"/>
      <c r="IQ32" s="2511"/>
      <c r="IR32" s="2511"/>
      <c r="IS32" s="2511"/>
      <c r="IT32" s="2511"/>
      <c r="IU32" s="2511"/>
      <c r="IV32" s="2511"/>
      <c r="IW32" s="2511"/>
      <c r="IX32" s="2511"/>
      <c r="IY32" s="2511"/>
      <c r="IZ32" s="2511"/>
      <c r="JA32" s="2511"/>
      <c r="JB32" s="2511"/>
      <c r="JC32" s="2511"/>
      <c r="JD32" s="2511"/>
      <c r="JE32" s="2511"/>
      <c r="JF32" s="2511"/>
      <c r="JG32" s="2511"/>
      <c r="JH32" s="2511"/>
      <c r="JI32" s="2511"/>
      <c r="JJ32" s="2511"/>
      <c r="JK32" s="2511"/>
      <c r="JL32" s="2511"/>
      <c r="JM32" s="2511"/>
      <c r="JN32" s="2511"/>
      <c r="JO32" s="2511"/>
      <c r="JP32" s="2511"/>
      <c r="JQ32" s="2511"/>
      <c r="JR32" s="2511"/>
      <c r="JS32" s="2511"/>
      <c r="JT32" s="2511"/>
      <c r="JU32" s="2511"/>
      <c r="JV32" s="2511"/>
      <c r="JW32" s="2511"/>
      <c r="JX32" s="2511"/>
      <c r="JY32" s="2511"/>
      <c r="JZ32" s="2511"/>
      <c r="KA32" s="2511"/>
      <c r="KB32" s="2511"/>
      <c r="KC32" s="2511"/>
      <c r="KD32" s="2511"/>
      <c r="KE32" s="2511"/>
      <c r="KF32" s="2511"/>
      <c r="KG32" s="2511"/>
      <c r="KH32" s="2511"/>
      <c r="KI32" s="2511"/>
      <c r="KJ32" s="2511"/>
      <c r="KK32" s="2511"/>
      <c r="KL32" s="2511"/>
      <c r="KM32" s="2511"/>
      <c r="KN32" s="2511"/>
      <c r="KO32" s="2511"/>
      <c r="KP32" s="2511"/>
      <c r="KQ32" s="2511"/>
      <c r="KR32" s="2511"/>
      <c r="KS32" s="2511"/>
      <c r="KT32" s="2511"/>
      <c r="KU32" s="2511"/>
      <c r="KV32" s="2511"/>
      <c r="KW32" s="2511"/>
      <c r="KX32" s="2511"/>
      <c r="KY32" s="2511"/>
      <c r="KZ32" s="2511"/>
      <c r="LA32" s="2511"/>
      <c r="LB32" s="2511"/>
      <c r="LC32" s="2511"/>
      <c r="LD32" s="2511"/>
      <c r="LE32" s="2511"/>
      <c r="LF32" s="2511"/>
      <c r="LG32" s="2511"/>
      <c r="LH32" s="2511"/>
      <c r="LI32" s="2511"/>
      <c r="LJ32" s="2511"/>
      <c r="LK32" s="2511"/>
      <c r="LL32" s="2511"/>
      <c r="LM32" s="2511"/>
      <c r="LN32" s="2511"/>
      <c r="LO32" s="2511"/>
      <c r="LP32" s="2511"/>
      <c r="LQ32" s="2511"/>
      <c r="LR32" s="2511"/>
      <c r="LS32" s="2511"/>
      <c r="LT32" s="2511"/>
      <c r="LU32" s="2511"/>
      <c r="LV32" s="2511"/>
      <c r="LW32" s="2511"/>
      <c r="LX32" s="2511"/>
      <c r="LY32" s="2511"/>
      <c r="LZ32" s="2511"/>
      <c r="MA32" s="2511"/>
      <c r="MB32" s="2511"/>
      <c r="MC32" s="2511"/>
      <c r="MD32" s="2511"/>
      <c r="ME32" s="2511"/>
      <c r="MF32" s="2511"/>
      <c r="MG32" s="2511"/>
      <c r="MH32" s="2511"/>
      <c r="MI32" s="2511"/>
      <c r="MJ32" s="2511"/>
      <c r="MK32" s="2511"/>
      <c r="ML32" s="2511"/>
      <c r="MM32" s="2511"/>
      <c r="MN32" s="2511"/>
      <c r="MO32" s="2511"/>
      <c r="MP32" s="2511"/>
      <c r="MQ32" s="2511"/>
      <c r="MR32" s="2511"/>
      <c r="MS32" s="2511"/>
      <c r="MT32" s="2511"/>
      <c r="MU32" s="2511"/>
      <c r="MV32" s="2511"/>
      <c r="MW32" s="2511"/>
      <c r="MX32" s="2511"/>
      <c r="MY32" s="2511"/>
      <c r="MZ32" s="2511"/>
      <c r="NA32" s="2511"/>
      <c r="NB32" s="2511"/>
      <c r="NC32" s="2511"/>
      <c r="ND32" s="2511"/>
      <c r="NE32" s="2511"/>
      <c r="NF32" s="2511"/>
      <c r="NG32" s="2511"/>
      <c r="NH32" s="2511"/>
      <c r="NI32" s="2511"/>
      <c r="NJ32" s="2511"/>
      <c r="NK32" s="2511"/>
      <c r="NL32" s="2511"/>
      <c r="NM32" s="2511"/>
      <c r="NN32" s="2511"/>
      <c r="NO32" s="2511"/>
      <c r="NP32" s="2511"/>
      <c r="NQ32" s="2511"/>
      <c r="NR32" s="2511"/>
      <c r="NS32" s="2511"/>
      <c r="NT32" s="2511"/>
      <c r="NU32" s="2511"/>
      <c r="NV32" s="2511"/>
      <c r="NW32" s="2511"/>
      <c r="NX32" s="2511"/>
      <c r="NY32" s="2511"/>
      <c r="NZ32" s="2511"/>
      <c r="OA32" s="2511"/>
      <c r="OB32" s="2511"/>
      <c r="OC32" s="2511"/>
      <c r="OD32" s="2511"/>
      <c r="OE32" s="2511"/>
      <c r="OF32" s="2511"/>
      <c r="OG32" s="2511"/>
      <c r="OH32" s="2511"/>
      <c r="OI32" s="2511"/>
      <c r="OJ32" s="2511"/>
      <c r="OK32" s="2511"/>
      <c r="OL32" s="2511"/>
      <c r="OM32" s="2511"/>
      <c r="ON32" s="2511"/>
      <c r="OO32" s="2511"/>
      <c r="OP32" s="2511"/>
      <c r="OQ32" s="2511"/>
      <c r="OR32" s="2511"/>
      <c r="OS32" s="2511"/>
      <c r="OT32" s="2511"/>
      <c r="OU32" s="2511"/>
      <c r="OV32" s="2511"/>
      <c r="OW32" s="2511"/>
      <c r="OX32" s="2511"/>
      <c r="OY32" s="2511"/>
      <c r="OZ32" s="2511"/>
      <c r="PA32" s="2511"/>
      <c r="PB32" s="2511"/>
      <c r="PC32" s="2511"/>
      <c r="PD32" s="2511"/>
      <c r="PE32" s="2511"/>
      <c r="PF32" s="2511"/>
      <c r="PG32" s="2511"/>
      <c r="PH32" s="2511"/>
      <c r="PI32" s="2511"/>
      <c r="PJ32" s="2511"/>
      <c r="PK32" s="2511"/>
      <c r="PL32" s="2511"/>
      <c r="PM32" s="2511"/>
      <c r="PN32" s="2511"/>
      <c r="PO32" s="2511"/>
      <c r="PP32" s="2511"/>
      <c r="PQ32" s="2511"/>
      <c r="PR32" s="2511"/>
      <c r="PS32" s="2511"/>
      <c r="PT32" s="2511"/>
      <c r="PU32" s="2511"/>
      <c r="PV32" s="2511"/>
      <c r="PW32" s="2511"/>
      <c r="PX32" s="2511"/>
      <c r="PY32" s="2511"/>
      <c r="PZ32" s="2511"/>
      <c r="QA32" s="2511"/>
      <c r="QB32" s="2511"/>
      <c r="QC32" s="2511"/>
      <c r="QD32" s="2511"/>
      <c r="QE32" s="2511"/>
      <c r="QF32" s="2511"/>
      <c r="QG32" s="2511"/>
      <c r="QH32" s="2511"/>
      <c r="QI32" s="2511"/>
      <c r="QJ32" s="2511"/>
      <c r="QK32" s="2511"/>
      <c r="QL32" s="2511"/>
      <c r="QM32" s="2511"/>
      <c r="QN32" s="2511"/>
      <c r="QO32" s="2511"/>
      <c r="QP32" s="2511"/>
      <c r="QQ32" s="2511"/>
      <c r="QR32" s="2511"/>
      <c r="QS32" s="2511"/>
      <c r="QT32" s="2511"/>
      <c r="QU32" s="2511"/>
      <c r="QV32" s="2511"/>
      <c r="QW32" s="2511"/>
      <c r="QX32" s="2511"/>
      <c r="QY32" s="2511"/>
      <c r="QZ32" s="2511"/>
      <c r="RA32" s="2511"/>
      <c r="RB32" s="2511"/>
      <c r="RC32" s="2511"/>
      <c r="RD32" s="2511"/>
      <c r="RE32" s="2511"/>
      <c r="RF32" s="2511"/>
      <c r="RG32" s="2511"/>
      <c r="RH32" s="2511"/>
      <c r="RI32" s="2511"/>
      <c r="RJ32" s="2511"/>
      <c r="RK32" s="2511"/>
      <c r="RL32" s="2511"/>
      <c r="RM32" s="2511"/>
      <c r="RN32" s="2511"/>
      <c r="RO32" s="2511"/>
      <c r="RP32" s="2511"/>
      <c r="RQ32" s="2511"/>
      <c r="RR32" s="2511"/>
      <c r="RS32" s="2511"/>
      <c r="RT32" s="2511"/>
      <c r="RU32" s="2511"/>
      <c r="RV32" s="2511"/>
      <c r="RW32" s="2511"/>
      <c r="RX32" s="2511"/>
      <c r="RY32" s="2511"/>
      <c r="RZ32" s="2511"/>
      <c r="SA32" s="2511"/>
      <c r="SB32" s="2511"/>
      <c r="SC32" s="2511"/>
      <c r="SD32" s="2511"/>
      <c r="SE32" s="2511"/>
      <c r="SF32" s="2511"/>
      <c r="SG32" s="2511"/>
      <c r="SH32" s="2511"/>
      <c r="SI32" s="2511"/>
      <c r="SJ32" s="2511"/>
      <c r="SK32" s="2511"/>
      <c r="SL32" s="2511"/>
      <c r="SM32" s="2511"/>
      <c r="SN32" s="2511"/>
      <c r="SO32" s="2511"/>
      <c r="SP32" s="2511"/>
      <c r="SQ32" s="2511"/>
      <c r="SR32" s="2511"/>
      <c r="SS32" s="2511"/>
      <c r="ST32" s="2511"/>
      <c r="SU32" s="2511"/>
      <c r="SV32" s="2511"/>
      <c r="SW32" s="2511"/>
      <c r="SX32" s="2511"/>
      <c r="SY32" s="2511"/>
      <c r="SZ32" s="2511"/>
      <c r="TA32" s="2511"/>
      <c r="TB32" s="2511"/>
      <c r="TC32" s="2511"/>
      <c r="TD32" s="2511"/>
      <c r="TE32" s="2511"/>
      <c r="TF32" s="2511"/>
      <c r="TG32" s="2511"/>
      <c r="TH32" s="2511"/>
      <c r="TI32" s="2511"/>
      <c r="TJ32" s="2511"/>
      <c r="TK32" s="2511"/>
      <c r="TL32" s="2511"/>
      <c r="TM32" s="2511"/>
      <c r="TN32" s="2511"/>
      <c r="TO32" s="2511"/>
      <c r="TP32" s="2511"/>
      <c r="TQ32" s="2511"/>
      <c r="TR32" s="2511"/>
      <c r="TS32" s="2511"/>
      <c r="TT32" s="2511"/>
      <c r="TU32" s="2511"/>
      <c r="TV32" s="2511"/>
      <c r="TW32" s="2511"/>
      <c r="TX32" s="2511"/>
      <c r="TY32" s="2511"/>
      <c r="TZ32" s="2511"/>
      <c r="UA32" s="2511"/>
      <c r="UB32" s="2511"/>
      <c r="UC32" s="2511"/>
      <c r="UD32" s="2511"/>
      <c r="UE32" s="2511"/>
      <c r="UF32" s="2511"/>
      <c r="UG32" s="2511"/>
      <c r="UH32" s="2511"/>
      <c r="UI32" s="2511"/>
      <c r="UJ32" s="2511"/>
      <c r="UK32" s="2511"/>
      <c r="UL32" s="2511"/>
      <c r="UM32" s="2511"/>
      <c r="UN32" s="2511"/>
      <c r="UO32" s="2511"/>
      <c r="UP32" s="2511"/>
      <c r="UQ32" s="2511"/>
      <c r="UR32" s="2511"/>
      <c r="US32" s="2511"/>
      <c r="UT32" s="2511"/>
      <c r="UU32" s="2511"/>
      <c r="UV32" s="2511"/>
      <c r="UW32" s="2511"/>
      <c r="UX32" s="2511"/>
      <c r="UY32" s="2511"/>
      <c r="UZ32" s="2511"/>
      <c r="VA32" s="2511"/>
      <c r="VB32" s="2511"/>
      <c r="VC32" s="2511"/>
      <c r="VD32" s="2511"/>
      <c r="VE32" s="2511"/>
      <c r="VF32" s="2511"/>
      <c r="VG32" s="2511"/>
      <c r="VH32" s="2511"/>
      <c r="VI32" s="2511"/>
      <c r="VJ32" s="2511"/>
      <c r="VK32" s="2511"/>
      <c r="VL32" s="2511"/>
      <c r="VM32" s="2511"/>
      <c r="VN32" s="2511"/>
      <c r="VO32" s="2511"/>
      <c r="VP32" s="2511"/>
      <c r="VQ32" s="2511"/>
      <c r="VR32" s="2511"/>
      <c r="VS32" s="2511"/>
      <c r="VT32" s="2511"/>
      <c r="VU32" s="2511"/>
      <c r="VV32" s="2511"/>
      <c r="VW32" s="2511"/>
      <c r="VX32" s="2511"/>
      <c r="VY32" s="2511"/>
      <c r="VZ32" s="2511"/>
      <c r="WA32" s="2511"/>
      <c r="WB32" s="2511"/>
      <c r="WC32" s="2511"/>
      <c r="WD32" s="2511"/>
      <c r="WE32" s="2511"/>
      <c r="WF32" s="2511"/>
      <c r="WG32" s="2511"/>
      <c r="WH32" s="2511"/>
      <c r="WI32" s="2511"/>
      <c r="WJ32" s="2511"/>
      <c r="WK32" s="2511"/>
      <c r="WL32" s="2511"/>
      <c r="WM32" s="2511"/>
      <c r="WN32" s="2511"/>
      <c r="WO32" s="2511"/>
      <c r="WP32" s="2511"/>
      <c r="WQ32" s="2511"/>
      <c r="WR32" s="2511"/>
      <c r="WS32" s="2511"/>
      <c r="WT32" s="2511"/>
      <c r="WU32" s="2511"/>
      <c r="WV32" s="2511"/>
      <c r="WW32" s="2511"/>
      <c r="WX32" s="2511"/>
      <c r="WY32" s="2511"/>
      <c r="WZ32" s="2511"/>
      <c r="XA32" s="2511"/>
      <c r="XB32" s="2511"/>
      <c r="XC32" s="2511"/>
      <c r="XD32" s="2511"/>
      <c r="XE32" s="2511"/>
      <c r="XF32" s="2511"/>
      <c r="XG32" s="2511"/>
      <c r="XH32" s="2511"/>
      <c r="XI32" s="2511"/>
      <c r="XJ32" s="2511"/>
      <c r="XK32" s="2511"/>
      <c r="XL32" s="2511"/>
      <c r="XM32" s="2511"/>
      <c r="XN32" s="2511"/>
      <c r="XO32" s="2511"/>
      <c r="XP32" s="2511"/>
      <c r="XQ32" s="2511"/>
      <c r="XR32" s="2511"/>
      <c r="XS32" s="2511"/>
      <c r="XT32" s="2511"/>
      <c r="XU32" s="2511"/>
      <c r="XV32" s="2511"/>
      <c r="XW32" s="2511"/>
      <c r="XX32" s="2511"/>
      <c r="XY32" s="2511"/>
      <c r="XZ32" s="2511"/>
      <c r="YA32" s="2511"/>
      <c r="YB32" s="2511"/>
      <c r="YC32" s="2511"/>
      <c r="YD32" s="2511"/>
      <c r="YE32" s="2511"/>
      <c r="YF32" s="2511"/>
      <c r="YG32" s="2511"/>
      <c r="YH32" s="2511"/>
      <c r="YI32" s="2511"/>
      <c r="YJ32" s="2511"/>
      <c r="YK32" s="2511"/>
      <c r="YL32" s="2511"/>
      <c r="YM32" s="2511"/>
      <c r="YN32" s="2511"/>
      <c r="YO32" s="2511"/>
      <c r="YP32" s="2511"/>
      <c r="YQ32" s="2511"/>
      <c r="YR32" s="2511"/>
      <c r="YS32" s="2511"/>
      <c r="YT32" s="2511"/>
      <c r="YU32" s="2511"/>
      <c r="YV32" s="2511"/>
      <c r="YW32" s="2511"/>
      <c r="YX32" s="2511"/>
      <c r="YY32" s="2511"/>
      <c r="YZ32" s="2511"/>
      <c r="ZA32" s="2511"/>
      <c r="ZB32" s="2511"/>
      <c r="ZC32" s="2511"/>
      <c r="ZD32" s="2511"/>
      <c r="ZE32" s="2511"/>
      <c r="ZF32" s="2511"/>
      <c r="ZG32" s="2511"/>
      <c r="ZH32" s="2511"/>
      <c r="ZI32" s="2511"/>
      <c r="ZJ32" s="2511"/>
      <c r="ZK32" s="2511"/>
      <c r="ZL32" s="2511"/>
      <c r="ZM32" s="2511"/>
      <c r="ZN32" s="2511"/>
      <c r="ZO32" s="2511"/>
      <c r="ZP32" s="2511"/>
      <c r="ZQ32" s="2511"/>
      <c r="ZR32" s="2511"/>
      <c r="ZS32" s="2511"/>
      <c r="ZT32" s="2511"/>
      <c r="ZU32" s="2511"/>
      <c r="ZV32" s="2511"/>
      <c r="ZW32" s="2511"/>
      <c r="ZX32" s="2511"/>
      <c r="ZY32" s="2511"/>
      <c r="ZZ32" s="2511"/>
      <c r="AAA32" s="2511"/>
      <c r="AAB32" s="2511"/>
      <c r="AAC32" s="2511"/>
      <c r="AAD32" s="2511"/>
      <c r="AAE32" s="2511"/>
      <c r="AAF32" s="2511"/>
      <c r="AAG32" s="2511"/>
      <c r="AAH32" s="2511"/>
      <c r="AAI32" s="2511"/>
      <c r="AAJ32" s="2511"/>
      <c r="AAK32" s="2511"/>
      <c r="AAL32" s="2511"/>
      <c r="AAM32" s="2511"/>
      <c r="AAN32" s="2511"/>
      <c r="AAO32" s="2511"/>
      <c r="AAP32" s="2511"/>
      <c r="AAQ32" s="2511"/>
      <c r="AAR32" s="2511"/>
      <c r="AAS32" s="2511"/>
      <c r="AAT32" s="2511"/>
      <c r="AAU32" s="2511"/>
      <c r="AAV32" s="2511"/>
      <c r="AAW32" s="2511"/>
      <c r="AAX32" s="2511"/>
      <c r="AAY32" s="2511"/>
      <c r="AAZ32" s="2511"/>
      <c r="ABA32" s="2511"/>
      <c r="ABB32" s="2511"/>
      <c r="ABC32" s="2511"/>
      <c r="ABD32" s="2511"/>
      <c r="ABE32" s="2511"/>
      <c r="ABF32" s="2511"/>
      <c r="ABG32" s="2511"/>
      <c r="ABH32" s="2511"/>
      <c r="ABI32" s="2511"/>
      <c r="ABJ32" s="2511"/>
      <c r="ABK32" s="2511"/>
      <c r="ABL32" s="2511"/>
      <c r="ABM32" s="2511"/>
      <c r="ABN32" s="2511"/>
      <c r="ABO32" s="2511"/>
      <c r="ABP32" s="2511"/>
      <c r="ABQ32" s="2511"/>
      <c r="ABR32" s="2511"/>
      <c r="ABS32" s="2511"/>
      <c r="ABT32" s="2511"/>
      <c r="ABU32" s="2511"/>
      <c r="ABV32" s="2511"/>
      <c r="ABW32" s="2511"/>
      <c r="ABX32" s="2511"/>
      <c r="ABY32" s="2511"/>
      <c r="ABZ32" s="2511"/>
      <c r="ACA32" s="2511"/>
      <c r="ACB32" s="2511"/>
      <c r="ACC32" s="2511"/>
      <c r="ACD32" s="2511"/>
      <c r="ACE32" s="2511"/>
      <c r="ACF32" s="2511"/>
      <c r="ACG32" s="2511"/>
      <c r="ACH32" s="2511"/>
      <c r="ACI32" s="2511"/>
      <c r="ACJ32" s="2511"/>
      <c r="ACK32" s="2511"/>
      <c r="ACL32" s="2511"/>
      <c r="ACM32" s="2511"/>
      <c r="ACN32" s="2511"/>
      <c r="ACO32" s="2511"/>
      <c r="ACP32" s="2511"/>
      <c r="ACQ32" s="2511"/>
      <c r="ACR32" s="2511"/>
      <c r="ACS32" s="2511"/>
      <c r="ACT32" s="2511"/>
      <c r="ACU32" s="2511"/>
      <c r="ACV32" s="2511"/>
      <c r="ACW32" s="2511"/>
      <c r="ACX32" s="2511"/>
      <c r="ACY32" s="2511"/>
      <c r="ACZ32" s="2511"/>
      <c r="ADA32" s="2511"/>
      <c r="ADB32" s="2511"/>
      <c r="ADC32" s="2511"/>
      <c r="ADD32" s="2511"/>
      <c r="ADE32" s="2511"/>
      <c r="ADF32" s="2511"/>
      <c r="ADG32" s="2511"/>
      <c r="ADH32" s="2511"/>
      <c r="ADI32" s="2511"/>
      <c r="ADJ32" s="2511"/>
      <c r="ADK32" s="2511"/>
      <c r="ADL32" s="2511"/>
      <c r="ADM32" s="2511"/>
      <c r="ADN32" s="2511"/>
      <c r="ADO32" s="2511"/>
      <c r="ADP32" s="2511"/>
      <c r="ADQ32" s="2511"/>
      <c r="ADR32" s="2511"/>
      <c r="ADS32" s="2511"/>
      <c r="ADT32" s="2511"/>
      <c r="ADU32" s="2511"/>
      <c r="ADV32" s="2511"/>
      <c r="ADW32" s="2511"/>
      <c r="ADX32" s="2511"/>
      <c r="ADY32" s="2511"/>
      <c r="ADZ32" s="2511"/>
      <c r="AEA32" s="2511"/>
      <c r="AEB32" s="2511"/>
      <c r="AEC32" s="2511"/>
      <c r="AED32" s="2511"/>
      <c r="AEE32" s="2511"/>
      <c r="AEF32" s="2511"/>
      <c r="AEG32" s="2511"/>
      <c r="AEH32" s="2511"/>
      <c r="AEI32" s="2511"/>
      <c r="AEJ32" s="2511"/>
      <c r="AEK32" s="2511"/>
      <c r="AEL32" s="2511"/>
      <c r="AEM32" s="2511"/>
      <c r="AEN32" s="2511"/>
      <c r="AEO32" s="2511"/>
      <c r="AEP32" s="2511"/>
      <c r="AEQ32" s="2511"/>
      <c r="AER32" s="2511"/>
      <c r="AES32" s="2511"/>
      <c r="AET32" s="2511"/>
      <c r="AEU32" s="2511"/>
      <c r="AEV32" s="2511"/>
      <c r="AEW32" s="2511"/>
      <c r="AEX32" s="2511"/>
      <c r="AEY32" s="2511"/>
      <c r="AEZ32" s="2511"/>
      <c r="AFA32" s="2511"/>
      <c r="AFB32" s="2511"/>
      <c r="AFC32" s="2511"/>
      <c r="AFD32" s="2511"/>
      <c r="AFE32" s="2511"/>
      <c r="AFF32" s="2511"/>
      <c r="AFG32" s="2511"/>
      <c r="AFH32" s="2511"/>
      <c r="AFI32" s="2511"/>
      <c r="AFJ32" s="2511"/>
      <c r="AFK32" s="2511"/>
      <c r="AFL32" s="2511"/>
      <c r="AFM32" s="2511"/>
      <c r="AFN32" s="2511"/>
      <c r="AFO32" s="2511"/>
      <c r="AFP32" s="2511"/>
      <c r="AFQ32" s="2511"/>
      <c r="AFR32" s="2511"/>
      <c r="AFS32" s="2511"/>
      <c r="AFT32" s="2511"/>
      <c r="AFU32" s="2511"/>
      <c r="AFV32" s="2511"/>
      <c r="AFW32" s="2511"/>
      <c r="AFX32" s="2511"/>
      <c r="AFY32" s="2511"/>
      <c r="AFZ32" s="2511"/>
      <c r="AGA32" s="2511"/>
      <c r="AGB32" s="2511"/>
      <c r="AGC32" s="2511"/>
      <c r="AGD32" s="2511"/>
      <c r="AGE32" s="2511"/>
      <c r="AGF32" s="2511"/>
      <c r="AGG32" s="2511"/>
      <c r="AGH32" s="2511"/>
      <c r="AGI32" s="2511"/>
      <c r="AGJ32" s="2511"/>
      <c r="AGK32" s="2511"/>
      <c r="AGL32" s="2511"/>
      <c r="AGM32" s="2511"/>
      <c r="AGN32" s="2511"/>
      <c r="AGO32" s="2511"/>
      <c r="AGP32" s="2511"/>
      <c r="AGQ32" s="2511"/>
      <c r="AGR32" s="2511"/>
      <c r="AGS32" s="2511"/>
      <c r="AGT32" s="2511"/>
      <c r="AGU32" s="2511"/>
      <c r="AGV32" s="2511"/>
      <c r="AGW32" s="2511"/>
      <c r="AGX32" s="2511"/>
      <c r="AGY32" s="2511"/>
      <c r="AGZ32" s="2511"/>
      <c r="AHA32" s="2511"/>
      <c r="AHB32" s="2511"/>
      <c r="AHC32" s="2511"/>
      <c r="AHD32" s="2511"/>
      <c r="AHE32" s="2511"/>
      <c r="AHF32" s="2511"/>
      <c r="AHG32" s="2511"/>
      <c r="AHH32" s="2511"/>
      <c r="AHI32" s="2511"/>
      <c r="AHJ32" s="2511"/>
      <c r="AHK32" s="2511"/>
      <c r="AHL32" s="2511"/>
      <c r="AHM32" s="2511"/>
      <c r="AHN32" s="2511"/>
      <c r="AHO32" s="2511"/>
      <c r="AHP32" s="2511"/>
      <c r="AHQ32" s="2511"/>
      <c r="AHR32" s="2511"/>
      <c r="AHS32" s="2511"/>
      <c r="AHT32" s="2511"/>
      <c r="AHU32" s="2511"/>
      <c r="AHV32" s="2511"/>
      <c r="AHW32" s="2511"/>
      <c r="AHX32" s="2511"/>
      <c r="AHY32" s="2511"/>
      <c r="AHZ32" s="2511"/>
      <c r="AIA32" s="2511"/>
      <c r="AIB32" s="2511"/>
      <c r="AIC32" s="2511"/>
      <c r="AID32" s="2511"/>
      <c r="AIE32" s="2511"/>
      <c r="AIF32" s="2511"/>
      <c r="AIG32" s="2511"/>
      <c r="AIH32" s="2511"/>
      <c r="AII32" s="2511"/>
      <c r="AIJ32" s="2511"/>
      <c r="AIK32" s="2511"/>
      <c r="AIL32" s="2511"/>
      <c r="AIM32" s="2511"/>
      <c r="AIN32" s="2511"/>
      <c r="AIO32" s="2511"/>
      <c r="AIP32" s="2511"/>
      <c r="AIQ32" s="2511"/>
      <c r="AIR32" s="2511"/>
      <c r="AIS32" s="2511"/>
      <c r="AIT32" s="2511"/>
      <c r="AIU32" s="2511"/>
      <c r="AIV32" s="2511"/>
      <c r="AIW32" s="2511"/>
      <c r="AIX32" s="2511"/>
      <c r="AIY32" s="2511"/>
      <c r="AIZ32" s="2511"/>
      <c r="AJA32" s="2511"/>
      <c r="AJB32" s="2511"/>
      <c r="AJC32" s="2511"/>
      <c r="AJD32" s="2511"/>
      <c r="AJE32" s="2511"/>
      <c r="AJF32" s="2511"/>
      <c r="AJG32" s="2511"/>
      <c r="AJH32" s="2511"/>
      <c r="AJI32" s="2511"/>
      <c r="AJJ32" s="2511"/>
      <c r="AJK32" s="2511"/>
      <c r="AJL32" s="2511"/>
      <c r="AJM32" s="2511"/>
      <c r="AJN32" s="2511"/>
      <c r="AJO32" s="2511"/>
      <c r="AJP32" s="2511"/>
      <c r="AJQ32" s="2511"/>
      <c r="AJR32" s="2511"/>
      <c r="AJS32" s="2511"/>
      <c r="AJT32" s="2511"/>
      <c r="AJU32" s="2511"/>
      <c r="AJV32" s="2511"/>
      <c r="AJW32" s="2511"/>
      <c r="AJX32" s="2511"/>
      <c r="AJY32" s="2511"/>
      <c r="AJZ32" s="2511"/>
      <c r="AKA32" s="2511"/>
      <c r="AKB32" s="2511"/>
      <c r="AKC32" s="2511"/>
      <c r="AKD32" s="2511"/>
      <c r="AKE32" s="2511"/>
      <c r="AKF32" s="2511"/>
      <c r="AKG32" s="2511"/>
      <c r="AKH32" s="2511"/>
      <c r="AKI32" s="2511"/>
      <c r="AKJ32" s="2511"/>
      <c r="AKK32" s="2511"/>
      <c r="AKL32" s="2511"/>
      <c r="AKM32" s="2511"/>
      <c r="AKN32" s="2511"/>
      <c r="AKO32" s="2511"/>
      <c r="AKP32" s="2511"/>
      <c r="AKQ32" s="2511"/>
      <c r="AKR32" s="2511"/>
      <c r="AKS32" s="2511"/>
      <c r="AKT32" s="2511"/>
      <c r="AKU32" s="2511"/>
      <c r="AKV32" s="2511"/>
      <c r="AKW32" s="2511"/>
      <c r="AKX32" s="2511"/>
      <c r="AKY32" s="2511"/>
      <c r="AKZ32" s="2511"/>
      <c r="ALA32" s="2511"/>
      <c r="ALB32" s="2511"/>
      <c r="ALC32" s="2511"/>
      <c r="ALD32" s="2511"/>
      <c r="ALE32" s="2511"/>
      <c r="ALF32" s="2511"/>
      <c r="ALG32" s="2511"/>
      <c r="ALH32" s="2511"/>
      <c r="ALI32" s="2511"/>
      <c r="ALJ32" s="2511"/>
      <c r="ALK32" s="2511"/>
      <c r="ALL32" s="2511"/>
      <c r="ALM32" s="2511"/>
      <c r="ALN32" s="2511"/>
      <c r="ALO32" s="2511"/>
      <c r="ALP32" s="2511"/>
      <c r="ALQ32" s="2511"/>
      <c r="ALR32" s="2511"/>
      <c r="ALS32" s="2511"/>
      <c r="ALT32" s="2511"/>
      <c r="ALU32" s="2511"/>
      <c r="ALV32" s="2511"/>
      <c r="ALW32" s="2511"/>
      <c r="ALX32" s="2511"/>
      <c r="ALY32" s="2511"/>
      <c r="ALZ32" s="2511"/>
      <c r="AMA32" s="2511"/>
      <c r="AMB32" s="2511"/>
      <c r="AMC32" s="2511"/>
      <c r="AMD32" s="2511"/>
      <c r="AME32" s="2511"/>
      <c r="AMF32" s="2511"/>
      <c r="AMG32" s="2511"/>
      <c r="AMH32" s="2511"/>
      <c r="AMI32" s="2511"/>
      <c r="AMJ32" s="2511"/>
      <c r="AMK32" s="2511"/>
      <c r="AML32" s="2511"/>
      <c r="AMM32" s="2511"/>
      <c r="AMN32" s="2511"/>
      <c r="AMO32" s="2511"/>
      <c r="AMP32" s="2511"/>
      <c r="AMQ32" s="2511"/>
      <c r="AMR32" s="2511"/>
      <c r="AMS32" s="2511"/>
      <c r="AMT32" s="2511"/>
      <c r="AMU32" s="2511"/>
      <c r="AMV32" s="2511"/>
      <c r="AMW32" s="2511"/>
      <c r="AMX32" s="2511"/>
      <c r="AMY32" s="2511"/>
      <c r="AMZ32" s="2511"/>
      <c r="ANA32" s="2511"/>
      <c r="ANB32" s="2511"/>
      <c r="ANC32" s="2511"/>
      <c r="AND32" s="2511"/>
      <c r="ANE32" s="2511"/>
      <c r="ANF32" s="2511"/>
      <c r="ANG32" s="2511"/>
      <c r="ANH32" s="2511"/>
      <c r="ANI32" s="2511"/>
      <c r="ANJ32" s="2511"/>
      <c r="ANK32" s="2511"/>
      <c r="ANL32" s="2511"/>
      <c r="ANM32" s="2511"/>
      <c r="ANN32" s="2511"/>
      <c r="ANO32" s="2511"/>
      <c r="ANP32" s="2511"/>
      <c r="ANQ32" s="2511"/>
      <c r="ANR32" s="2511"/>
      <c r="ANS32" s="2511"/>
      <c r="ANT32" s="2511"/>
      <c r="ANU32" s="2511"/>
      <c r="ANV32" s="2511"/>
      <c r="ANW32" s="2511"/>
      <c r="ANX32" s="2511"/>
      <c r="ANY32" s="2511"/>
      <c r="ANZ32" s="2511"/>
      <c r="AOA32" s="2511"/>
      <c r="AOB32" s="2511"/>
      <c r="AOC32" s="2511"/>
      <c r="AOD32" s="2511"/>
      <c r="AOE32" s="2511"/>
      <c r="AOF32" s="2511"/>
      <c r="AOG32" s="2511"/>
      <c r="AOH32" s="2511"/>
      <c r="AOI32" s="2511"/>
      <c r="AOJ32" s="2511"/>
      <c r="AOK32" s="2511"/>
      <c r="AOL32" s="2511"/>
      <c r="AOM32" s="2511"/>
      <c r="AON32" s="2511"/>
      <c r="AOO32" s="2511"/>
      <c r="AOP32" s="2511"/>
      <c r="AOQ32" s="2511"/>
      <c r="AOR32" s="2511"/>
      <c r="AOS32" s="2511"/>
      <c r="AOT32" s="2511"/>
      <c r="AOU32" s="2511"/>
      <c r="AOV32" s="2511"/>
      <c r="AOW32" s="2511"/>
      <c r="AOX32" s="2511"/>
      <c r="AOY32" s="2511"/>
      <c r="AOZ32" s="2511"/>
      <c r="APA32" s="2511"/>
      <c r="APB32" s="2511"/>
      <c r="APC32" s="2511"/>
      <c r="APD32" s="2511"/>
      <c r="APE32" s="2511"/>
      <c r="APF32" s="2511"/>
      <c r="APG32" s="2511"/>
      <c r="APH32" s="2511"/>
      <c r="API32" s="2511"/>
      <c r="APJ32" s="2511"/>
      <c r="APK32" s="2511"/>
      <c r="APL32" s="2511"/>
      <c r="APM32" s="2511"/>
      <c r="APN32" s="2511"/>
      <c r="APO32" s="2511"/>
      <c r="APP32" s="2511"/>
      <c r="APQ32" s="2511"/>
      <c r="APR32" s="2511"/>
      <c r="APS32" s="2511"/>
      <c r="APT32" s="2511"/>
      <c r="APU32" s="2511"/>
      <c r="APV32" s="2511"/>
      <c r="APW32" s="2511"/>
      <c r="APX32" s="2511"/>
      <c r="APY32" s="2511"/>
      <c r="APZ32" s="2511"/>
      <c r="AQA32" s="2511"/>
      <c r="AQB32" s="2511"/>
      <c r="AQC32" s="2511"/>
      <c r="AQD32" s="2511"/>
      <c r="AQE32" s="2511"/>
      <c r="AQF32" s="2511"/>
      <c r="AQG32" s="2511"/>
      <c r="AQH32" s="2511"/>
      <c r="AQI32" s="2511"/>
      <c r="AQJ32" s="2511"/>
      <c r="AQK32" s="2511"/>
      <c r="AQL32" s="2511"/>
      <c r="AQM32" s="2511"/>
      <c r="AQN32" s="2511"/>
      <c r="AQO32" s="2511"/>
      <c r="AQP32" s="2511"/>
      <c r="AQQ32" s="2511"/>
      <c r="AQR32" s="2511"/>
      <c r="AQS32" s="2511"/>
      <c r="AQT32" s="2511"/>
      <c r="AQU32" s="2511"/>
      <c r="AQV32" s="2511"/>
      <c r="AQW32" s="2511"/>
      <c r="AQX32" s="2511"/>
      <c r="AQY32" s="2511"/>
      <c r="AQZ32" s="2511"/>
      <c r="ARA32" s="2511"/>
      <c r="ARB32" s="2511"/>
      <c r="ARC32" s="2511"/>
      <c r="ARD32" s="2511"/>
      <c r="ARE32" s="2511"/>
      <c r="ARF32" s="2511"/>
      <c r="ARG32" s="2511"/>
      <c r="ARH32" s="2511"/>
      <c r="ARI32" s="2511"/>
      <c r="ARJ32" s="2511"/>
      <c r="ARK32" s="2511"/>
      <c r="ARL32" s="2511"/>
      <c r="ARM32" s="2511"/>
      <c r="ARN32" s="2511"/>
      <c r="ARO32" s="2511"/>
      <c r="ARP32" s="2511"/>
      <c r="ARQ32" s="2511"/>
      <c r="ARR32" s="2511"/>
      <c r="ARS32" s="2511"/>
      <c r="ART32" s="2511"/>
      <c r="ARU32" s="2511"/>
      <c r="ARV32" s="2511"/>
      <c r="ARW32" s="2511"/>
      <c r="ARX32" s="2511"/>
      <c r="ARY32" s="2511"/>
      <c r="ARZ32" s="2511"/>
      <c r="ASA32" s="2511"/>
      <c r="ASB32" s="2511"/>
      <c r="ASC32" s="2511"/>
      <c r="ASD32" s="2511"/>
      <c r="ASE32" s="2511"/>
      <c r="ASF32" s="2511"/>
      <c r="ASG32" s="2511"/>
      <c r="ASH32" s="2511"/>
      <c r="ASI32" s="2511"/>
      <c r="ASJ32" s="2511"/>
      <c r="ASK32" s="2511"/>
      <c r="ASL32" s="2511"/>
      <c r="ASM32" s="2511"/>
      <c r="ASN32" s="2511"/>
      <c r="ASO32" s="2511"/>
      <c r="ASP32" s="2511"/>
      <c r="ASQ32" s="2511"/>
      <c r="ASR32" s="2511"/>
      <c r="ASS32" s="2511"/>
      <c r="AST32" s="2511"/>
      <c r="ASU32" s="2511"/>
      <c r="ASV32" s="2511"/>
      <c r="ASW32" s="2511"/>
      <c r="ASX32" s="2511"/>
      <c r="ASY32" s="2511"/>
      <c r="ASZ32" s="2511"/>
      <c r="ATA32" s="2511"/>
      <c r="ATB32" s="2511"/>
      <c r="ATC32" s="2511"/>
      <c r="ATD32" s="2511"/>
      <c r="ATE32" s="2511"/>
      <c r="ATF32" s="2511"/>
      <c r="ATG32" s="2511"/>
      <c r="ATH32" s="2511"/>
      <c r="ATI32" s="2511"/>
      <c r="ATJ32" s="2511"/>
      <c r="ATK32" s="2511"/>
      <c r="ATL32" s="2511"/>
      <c r="ATM32" s="2511"/>
      <c r="ATN32" s="2511"/>
      <c r="ATO32" s="2511"/>
      <c r="ATP32" s="2511"/>
      <c r="ATQ32" s="2511"/>
      <c r="ATR32" s="2511"/>
      <c r="ATS32" s="2511"/>
      <c r="ATT32" s="2511"/>
      <c r="ATU32" s="2511"/>
      <c r="ATV32" s="2511"/>
      <c r="ATW32" s="2511"/>
      <c r="ATX32" s="2511"/>
      <c r="ATY32" s="2511"/>
      <c r="ATZ32" s="2511"/>
      <c r="AUA32" s="2511"/>
      <c r="AUB32" s="2511"/>
      <c r="AUC32" s="2511"/>
      <c r="AUD32" s="2511"/>
      <c r="AUE32" s="2511"/>
      <c r="AUF32" s="2511"/>
      <c r="AUG32" s="2511"/>
      <c r="AUH32" s="2511"/>
      <c r="AUI32" s="2511"/>
      <c r="AUJ32" s="2511"/>
      <c r="AUK32" s="2511"/>
      <c r="AUL32" s="2511"/>
      <c r="AUM32" s="2511"/>
      <c r="AUN32" s="2511"/>
      <c r="AUO32" s="2511"/>
      <c r="AUP32" s="2511"/>
      <c r="AUQ32" s="2511"/>
      <c r="AUR32" s="2511"/>
      <c r="AUS32" s="2511"/>
      <c r="AUT32" s="2511"/>
      <c r="AUU32" s="2511"/>
      <c r="AUV32" s="2511"/>
      <c r="AUW32" s="2511"/>
      <c r="AUX32" s="2511"/>
      <c r="AUY32" s="2511"/>
      <c r="AUZ32" s="2511"/>
      <c r="AVA32" s="2511"/>
      <c r="AVB32" s="2511"/>
      <c r="AVC32" s="2511"/>
      <c r="AVD32" s="2511"/>
      <c r="AVE32" s="2511"/>
      <c r="AVF32" s="2511"/>
      <c r="AVG32" s="2511"/>
      <c r="AVH32" s="2511"/>
      <c r="AVI32" s="2511"/>
      <c r="AVJ32" s="2511"/>
      <c r="AVK32" s="2511"/>
      <c r="AVL32" s="2511"/>
      <c r="AVM32" s="2511"/>
      <c r="AVN32" s="2511"/>
      <c r="AVO32" s="2511"/>
      <c r="AVP32" s="2511"/>
      <c r="AVQ32" s="2511"/>
      <c r="AVR32" s="2511"/>
      <c r="AVS32" s="2511"/>
      <c r="AVT32" s="2511"/>
      <c r="AVU32" s="2511"/>
      <c r="AVV32" s="2511"/>
      <c r="AVW32" s="2511"/>
      <c r="AVX32" s="2511"/>
      <c r="AVY32" s="2511"/>
      <c r="AVZ32" s="2511"/>
      <c r="AWA32" s="2511"/>
      <c r="AWB32" s="2511"/>
      <c r="AWC32" s="2511"/>
      <c r="AWD32" s="2511"/>
      <c r="AWE32" s="2511"/>
      <c r="AWF32" s="2511"/>
      <c r="AWG32" s="2511"/>
      <c r="AWH32" s="2511"/>
      <c r="AWI32" s="2511"/>
      <c r="AWJ32" s="2511"/>
      <c r="AWK32" s="2511"/>
      <c r="AWL32" s="2511"/>
      <c r="AWM32" s="2511"/>
      <c r="AWN32" s="2511"/>
      <c r="AWO32" s="2511"/>
      <c r="AWP32" s="2511"/>
      <c r="AWQ32" s="2511"/>
      <c r="AWR32" s="2511"/>
      <c r="AWS32" s="2511"/>
      <c r="AWT32" s="2511"/>
      <c r="AWU32" s="2511"/>
      <c r="AWV32" s="2511"/>
      <c r="AWW32" s="2511"/>
      <c r="AWX32" s="2511"/>
      <c r="AWY32" s="2511"/>
      <c r="AWZ32" s="2511"/>
      <c r="AXA32" s="2511"/>
      <c r="AXB32" s="2511"/>
      <c r="AXC32" s="2511"/>
      <c r="AXD32" s="2511"/>
      <c r="AXE32" s="2511"/>
      <c r="AXF32" s="2511"/>
      <c r="AXG32" s="2511"/>
      <c r="AXH32" s="2511"/>
      <c r="AXI32" s="2511"/>
      <c r="AXJ32" s="2511"/>
      <c r="AXK32" s="2511"/>
      <c r="AXL32" s="2511"/>
      <c r="AXM32" s="2511"/>
      <c r="AXN32" s="2511"/>
      <c r="AXO32" s="2511"/>
      <c r="AXP32" s="2511"/>
      <c r="AXQ32" s="2511"/>
      <c r="AXR32" s="2511"/>
      <c r="AXS32" s="2511"/>
      <c r="AXT32" s="2511"/>
      <c r="AXU32" s="2511"/>
      <c r="AXV32" s="2511"/>
      <c r="AXW32" s="2511"/>
      <c r="AXX32" s="2511"/>
      <c r="AXY32" s="2511"/>
      <c r="AXZ32" s="2511"/>
      <c r="AYA32" s="2511"/>
      <c r="AYB32" s="2511"/>
      <c r="AYC32" s="2511"/>
      <c r="AYD32" s="2511"/>
      <c r="AYE32" s="2511"/>
      <c r="AYF32" s="2511"/>
      <c r="AYG32" s="2511"/>
      <c r="AYH32" s="2511"/>
      <c r="AYI32" s="2511"/>
      <c r="AYJ32" s="2511"/>
      <c r="AYK32" s="2511"/>
      <c r="AYL32" s="2511"/>
      <c r="AYM32" s="2511"/>
      <c r="AYN32" s="2511"/>
      <c r="AYO32" s="2511"/>
      <c r="AYP32" s="2511"/>
      <c r="AYQ32" s="2511"/>
      <c r="AYR32" s="2511"/>
      <c r="AYS32" s="2511"/>
      <c r="AYT32" s="2511"/>
      <c r="AYU32" s="2511"/>
      <c r="AYV32" s="2511"/>
      <c r="AYW32" s="2511"/>
      <c r="AYX32" s="2511"/>
      <c r="AYY32" s="2511"/>
      <c r="AYZ32" s="2511"/>
      <c r="AZA32" s="2511"/>
      <c r="AZB32" s="2511"/>
      <c r="AZC32" s="2511"/>
      <c r="AZD32" s="2511"/>
      <c r="AZE32" s="2511"/>
      <c r="AZF32" s="2511"/>
      <c r="AZG32" s="2511"/>
      <c r="AZH32" s="2511"/>
      <c r="AZI32" s="2511"/>
      <c r="AZJ32" s="2511"/>
      <c r="AZK32" s="2511"/>
      <c r="AZL32" s="2511"/>
      <c r="AZM32" s="2511"/>
      <c r="AZN32" s="2511"/>
      <c r="AZO32" s="2511"/>
      <c r="AZP32" s="2511"/>
      <c r="AZQ32" s="2511"/>
      <c r="AZR32" s="2511"/>
      <c r="AZS32" s="2511"/>
      <c r="AZT32" s="2511"/>
      <c r="AZU32" s="2511"/>
      <c r="AZV32" s="2511"/>
      <c r="AZW32" s="2511"/>
      <c r="AZX32" s="2511"/>
      <c r="AZY32" s="2511"/>
      <c r="AZZ32" s="2511"/>
      <c r="BAA32" s="2511"/>
      <c r="BAB32" s="2511"/>
      <c r="BAC32" s="2511"/>
      <c r="BAD32" s="2511"/>
      <c r="BAE32" s="2511"/>
      <c r="BAF32" s="2511"/>
      <c r="BAG32" s="2511"/>
      <c r="BAH32" s="2511"/>
      <c r="BAI32" s="2511"/>
      <c r="BAJ32" s="2511"/>
      <c r="BAK32" s="2511"/>
      <c r="BAL32" s="2511"/>
      <c r="BAM32" s="2511"/>
      <c r="BAN32" s="2511"/>
      <c r="BAO32" s="2511"/>
      <c r="BAP32" s="2511"/>
      <c r="BAQ32" s="2511"/>
      <c r="BAR32" s="2511"/>
      <c r="BAS32" s="2511"/>
      <c r="BAT32" s="2511"/>
      <c r="BAU32" s="2511"/>
      <c r="BAV32" s="2511"/>
      <c r="BAW32" s="2511"/>
      <c r="BAX32" s="2511"/>
      <c r="BAY32" s="2511"/>
      <c r="BAZ32" s="2511"/>
      <c r="BBA32" s="2511"/>
      <c r="BBB32" s="2511"/>
      <c r="BBC32" s="2511"/>
      <c r="BBD32" s="2511"/>
      <c r="BBE32" s="2511"/>
      <c r="BBF32" s="2511"/>
      <c r="BBG32" s="2511"/>
      <c r="BBH32" s="2511"/>
      <c r="BBI32" s="2511"/>
      <c r="BBJ32" s="2511"/>
      <c r="BBK32" s="2511"/>
      <c r="BBL32" s="2511"/>
      <c r="BBM32" s="2511"/>
      <c r="BBN32" s="2511"/>
      <c r="BBO32" s="2511"/>
      <c r="BBP32" s="2511"/>
      <c r="BBQ32" s="2511"/>
      <c r="BBR32" s="2511"/>
      <c r="BBS32" s="2511"/>
      <c r="BBT32" s="2511"/>
      <c r="BBU32" s="2511"/>
      <c r="BBV32" s="2511"/>
      <c r="BBW32" s="2511"/>
      <c r="BBX32" s="2511"/>
      <c r="BBY32" s="2511"/>
      <c r="BBZ32" s="2511"/>
      <c r="BCA32" s="2511"/>
      <c r="BCB32" s="2511"/>
      <c r="BCC32" s="2511"/>
      <c r="BCD32" s="2511"/>
      <c r="BCE32" s="2511"/>
      <c r="BCF32" s="2511"/>
      <c r="BCG32" s="2511"/>
      <c r="BCH32" s="2511"/>
      <c r="BCI32" s="2511"/>
      <c r="BCJ32" s="2511"/>
      <c r="BCK32" s="2511"/>
      <c r="BCL32" s="2511"/>
      <c r="BCM32" s="2511"/>
      <c r="BCN32" s="2511"/>
      <c r="BCO32" s="2511"/>
      <c r="BCP32" s="2511"/>
      <c r="BCQ32" s="2511"/>
      <c r="BCR32" s="2511"/>
      <c r="BCS32" s="2511"/>
      <c r="BCT32" s="2511"/>
      <c r="BCU32" s="2511"/>
      <c r="BCV32" s="2511"/>
      <c r="BCW32" s="2511"/>
      <c r="BCX32" s="2511"/>
      <c r="BCY32" s="2511"/>
      <c r="BCZ32" s="2511"/>
      <c r="BDA32" s="2511"/>
      <c r="BDB32" s="2511"/>
      <c r="BDC32" s="2511"/>
      <c r="BDD32" s="2511"/>
      <c r="BDE32" s="2511"/>
      <c r="BDF32" s="2511"/>
      <c r="BDG32" s="2511"/>
      <c r="BDH32" s="2511"/>
      <c r="BDI32" s="2511"/>
      <c r="BDJ32" s="2511"/>
      <c r="BDK32" s="2511"/>
      <c r="BDL32" s="2511"/>
      <c r="BDM32" s="2511"/>
      <c r="BDN32" s="2511"/>
      <c r="BDO32" s="2511"/>
      <c r="BDP32" s="2511"/>
      <c r="BDQ32" s="2511"/>
      <c r="BDR32" s="2511"/>
      <c r="BDS32" s="2511"/>
      <c r="BDT32" s="2511"/>
      <c r="BDU32" s="2511"/>
      <c r="BDV32" s="2511"/>
      <c r="BDW32" s="2511"/>
      <c r="BDX32" s="2511"/>
      <c r="BDY32" s="2511"/>
      <c r="BDZ32" s="2511"/>
      <c r="BEA32" s="2511"/>
      <c r="BEB32" s="2511"/>
      <c r="BEC32" s="2511"/>
      <c r="BED32" s="2511"/>
      <c r="BEE32" s="2511"/>
      <c r="BEF32" s="2511"/>
      <c r="BEG32" s="2511"/>
      <c r="BEH32" s="2511"/>
      <c r="BEI32" s="2511"/>
      <c r="BEJ32" s="2511"/>
      <c r="BEK32" s="2511"/>
      <c r="BEL32" s="2511"/>
      <c r="BEM32" s="2511"/>
      <c r="BEN32" s="2511"/>
      <c r="BEO32" s="2511"/>
      <c r="BEP32" s="2511"/>
      <c r="BEQ32" s="2511"/>
      <c r="BER32" s="2511"/>
      <c r="BES32" s="2511"/>
      <c r="BET32" s="2511"/>
      <c r="BEU32" s="2511"/>
      <c r="BEV32" s="2511"/>
      <c r="BEW32" s="2511"/>
      <c r="BEX32" s="2511"/>
      <c r="BEY32" s="2511"/>
      <c r="BEZ32" s="2511"/>
      <c r="BFA32" s="2511"/>
      <c r="BFB32" s="2511"/>
      <c r="BFC32" s="2511"/>
      <c r="BFD32" s="2511"/>
      <c r="BFE32" s="2511"/>
      <c r="BFF32" s="2511"/>
      <c r="BFG32" s="2511"/>
      <c r="BFH32" s="2511"/>
      <c r="BFI32" s="2511"/>
      <c r="BFJ32" s="2511"/>
      <c r="BFK32" s="2511"/>
      <c r="BFL32" s="2511"/>
      <c r="BFM32" s="2511"/>
      <c r="BFN32" s="2511"/>
      <c r="BFO32" s="2511"/>
      <c r="BFP32" s="2511"/>
      <c r="BFQ32" s="2511"/>
      <c r="BFR32" s="2511"/>
      <c r="BFS32" s="2511"/>
      <c r="BFT32" s="2511"/>
      <c r="BFU32" s="2511"/>
      <c r="BFV32" s="2511"/>
      <c r="BFW32" s="2511"/>
      <c r="BFX32" s="2511"/>
      <c r="BFY32" s="2511"/>
      <c r="BFZ32" s="2511"/>
      <c r="BGA32" s="2511"/>
      <c r="BGB32" s="2511"/>
      <c r="BGC32" s="2511"/>
      <c r="BGD32" s="2511"/>
      <c r="BGE32" s="2511"/>
      <c r="BGF32" s="2511"/>
      <c r="BGG32" s="2511"/>
      <c r="BGH32" s="2511"/>
      <c r="BGI32" s="2511"/>
      <c r="BGJ32" s="2511"/>
      <c r="BGK32" s="2511"/>
      <c r="BGL32" s="2511"/>
      <c r="BGM32" s="2511"/>
      <c r="BGN32" s="2511"/>
      <c r="BGO32" s="2511"/>
      <c r="BGP32" s="2511"/>
      <c r="BGQ32" s="2511"/>
      <c r="BGR32" s="2511"/>
      <c r="BGS32" s="2511"/>
      <c r="BGT32" s="2511"/>
      <c r="BGU32" s="2511"/>
      <c r="BGV32" s="2511"/>
      <c r="BGW32" s="2511"/>
      <c r="BGX32" s="2511"/>
      <c r="BGY32" s="2511"/>
      <c r="BGZ32" s="2511"/>
      <c r="BHA32" s="2511"/>
      <c r="BHB32" s="2511"/>
      <c r="BHC32" s="2511"/>
      <c r="BHD32" s="2511"/>
      <c r="BHE32" s="2511"/>
      <c r="BHF32" s="2511"/>
      <c r="BHG32" s="2511"/>
      <c r="BHH32" s="2511"/>
      <c r="BHI32" s="2511"/>
      <c r="BHJ32" s="2511"/>
      <c r="BHK32" s="2511"/>
      <c r="BHL32" s="2511"/>
      <c r="BHM32" s="2511"/>
      <c r="BHN32" s="2511"/>
      <c r="BHO32" s="2511"/>
      <c r="BHP32" s="2511"/>
      <c r="BHQ32" s="2511"/>
      <c r="BHR32" s="2511"/>
      <c r="BHS32" s="2511"/>
      <c r="BHT32" s="2511"/>
      <c r="BHU32" s="2511"/>
      <c r="BHV32" s="2511"/>
      <c r="BHW32" s="2511"/>
      <c r="BHX32" s="2511"/>
      <c r="BHY32" s="2511"/>
      <c r="BHZ32" s="2511"/>
      <c r="BIA32" s="2511"/>
      <c r="BIB32" s="2511"/>
      <c r="BIC32" s="2511"/>
      <c r="BID32" s="2511"/>
      <c r="BIE32" s="2511"/>
      <c r="BIF32" s="2511"/>
      <c r="BIG32" s="2511"/>
      <c r="BIH32" s="2511"/>
      <c r="BII32" s="2511"/>
      <c r="BIJ32" s="2511"/>
      <c r="BIK32" s="2511"/>
      <c r="BIL32" s="2511"/>
      <c r="BIM32" s="2511"/>
      <c r="BIN32" s="2511"/>
      <c r="BIO32" s="2511"/>
      <c r="BIP32" s="2511"/>
      <c r="BIQ32" s="2511"/>
      <c r="BIR32" s="2511"/>
      <c r="BIS32" s="2511"/>
      <c r="BIT32" s="2511"/>
      <c r="BIU32" s="2511"/>
      <c r="BIV32" s="2511"/>
      <c r="BIW32" s="2511"/>
      <c r="BIX32" s="2511"/>
      <c r="BIY32" s="2511"/>
      <c r="BIZ32" s="2511"/>
      <c r="BJA32" s="2511"/>
      <c r="BJB32" s="2511"/>
      <c r="BJC32" s="2511"/>
      <c r="BJD32" s="2511"/>
      <c r="BJE32" s="2511"/>
      <c r="BJF32" s="2511"/>
      <c r="BJG32" s="2511"/>
      <c r="BJH32" s="2511"/>
      <c r="BJI32" s="2511"/>
      <c r="BJJ32" s="2511"/>
      <c r="BJK32" s="2511"/>
      <c r="BJL32" s="2511"/>
      <c r="BJM32" s="2511"/>
      <c r="BJN32" s="2511"/>
      <c r="BJO32" s="2511"/>
      <c r="BJP32" s="2511"/>
      <c r="BJQ32" s="2511"/>
      <c r="BJR32" s="2511"/>
      <c r="BJS32" s="2511"/>
      <c r="BJT32" s="2511"/>
      <c r="BJU32" s="2511"/>
      <c r="BJV32" s="2511"/>
      <c r="BJW32" s="2511"/>
      <c r="BJX32" s="2511"/>
      <c r="BJY32" s="2511"/>
      <c r="BJZ32" s="2511"/>
      <c r="BKA32" s="2511"/>
      <c r="BKB32" s="2511"/>
      <c r="BKC32" s="2511"/>
      <c r="BKD32" s="2511"/>
      <c r="BKE32" s="2511"/>
      <c r="BKF32" s="2511"/>
      <c r="BKG32" s="2511"/>
      <c r="BKH32" s="2511"/>
      <c r="BKI32" s="2511"/>
      <c r="BKJ32" s="2511"/>
      <c r="BKK32" s="2511"/>
      <c r="BKL32" s="2511"/>
      <c r="BKM32" s="2511"/>
      <c r="BKN32" s="2511"/>
      <c r="BKO32" s="2511"/>
      <c r="BKP32" s="2511"/>
      <c r="BKQ32" s="2511"/>
      <c r="BKR32" s="2511"/>
      <c r="BKS32" s="2511"/>
      <c r="BKT32" s="2511"/>
      <c r="BKU32" s="2511"/>
      <c r="BKV32" s="2511"/>
      <c r="BKW32" s="2511"/>
      <c r="BKX32" s="2511"/>
      <c r="BKY32" s="2511"/>
      <c r="BKZ32" s="2511"/>
      <c r="BLA32" s="2511"/>
      <c r="BLB32" s="2511"/>
      <c r="BLC32" s="2511"/>
      <c r="BLD32" s="2511"/>
      <c r="BLE32" s="2511"/>
      <c r="BLF32" s="2511"/>
      <c r="BLG32" s="2511"/>
      <c r="BLH32" s="2511"/>
      <c r="BLI32" s="2511"/>
      <c r="BLJ32" s="2511"/>
      <c r="BLK32" s="2511"/>
      <c r="BLL32" s="2511"/>
      <c r="BLM32" s="2511"/>
      <c r="BLN32" s="2511"/>
      <c r="BLO32" s="2511"/>
      <c r="BLP32" s="2511"/>
      <c r="BLQ32" s="2511"/>
      <c r="BLR32" s="2511"/>
      <c r="BLS32" s="2511"/>
      <c r="BLT32" s="2511"/>
      <c r="BLU32" s="2511"/>
      <c r="BLV32" s="2511"/>
      <c r="BLW32" s="2511"/>
      <c r="BLX32" s="2511"/>
      <c r="BLY32" s="2511"/>
      <c r="BLZ32" s="2511"/>
      <c r="BMA32" s="2511"/>
      <c r="BMB32" s="2511"/>
      <c r="BMC32" s="2511"/>
      <c r="BMD32" s="2511"/>
      <c r="BME32" s="2511"/>
      <c r="BMF32" s="2511"/>
      <c r="BMG32" s="2511"/>
      <c r="BMH32" s="2511"/>
      <c r="BMI32" s="2511"/>
      <c r="BMJ32" s="2511"/>
      <c r="BMK32" s="2511"/>
      <c r="BML32" s="2511"/>
      <c r="BMM32" s="2511"/>
      <c r="BMN32" s="2511"/>
      <c r="BMO32" s="2511"/>
      <c r="BMP32" s="2511"/>
      <c r="BMQ32" s="2511"/>
      <c r="BMR32" s="2511"/>
      <c r="BMS32" s="2511"/>
      <c r="BMT32" s="2511"/>
      <c r="BMU32" s="2511"/>
      <c r="BMV32" s="2511"/>
      <c r="BMW32" s="2511"/>
      <c r="BMX32" s="2511"/>
      <c r="BMY32" s="2511"/>
      <c r="BMZ32" s="2511"/>
      <c r="BNA32" s="2511"/>
      <c r="BNB32" s="2511"/>
      <c r="BNC32" s="2511"/>
      <c r="BND32" s="2511"/>
      <c r="BNE32" s="2511"/>
      <c r="BNF32" s="2511"/>
      <c r="BNG32" s="2511"/>
      <c r="BNH32" s="2511"/>
      <c r="BNI32" s="2511"/>
      <c r="BNJ32" s="2511"/>
      <c r="BNK32" s="2511"/>
      <c r="BNL32" s="2511"/>
      <c r="BNM32" s="2511"/>
      <c r="BNN32" s="2511"/>
      <c r="BNO32" s="2511"/>
      <c r="BNP32" s="2511"/>
      <c r="BNQ32" s="2511"/>
      <c r="BNR32" s="2511"/>
      <c r="BNS32" s="2511"/>
      <c r="BNT32" s="2511"/>
      <c r="BNU32" s="2511"/>
      <c r="BNV32" s="2511"/>
      <c r="BNW32" s="2511"/>
      <c r="BNX32" s="2511"/>
      <c r="BNY32" s="2511"/>
      <c r="BNZ32" s="2511"/>
      <c r="BOA32" s="2511"/>
      <c r="BOB32" s="2511"/>
      <c r="BOC32" s="2511"/>
      <c r="BOD32" s="2511"/>
      <c r="BOE32" s="2511"/>
      <c r="BOF32" s="2511"/>
      <c r="BOG32" s="2511"/>
      <c r="BOH32" s="2511"/>
      <c r="BOI32" s="2511"/>
      <c r="BOJ32" s="2511"/>
      <c r="BOK32" s="2511"/>
      <c r="BOL32" s="2511"/>
      <c r="BOM32" s="2511"/>
      <c r="BON32" s="2511"/>
      <c r="BOO32" s="2511"/>
      <c r="BOP32" s="2511"/>
      <c r="BOQ32" s="2511"/>
      <c r="BOR32" s="2511"/>
      <c r="BOS32" s="2511"/>
      <c r="BOT32" s="2511"/>
      <c r="BOU32" s="2511"/>
      <c r="BOV32" s="2511"/>
      <c r="BOW32" s="2511"/>
      <c r="BOX32" s="2511"/>
      <c r="BOY32" s="2511"/>
      <c r="BOZ32" s="2511"/>
      <c r="BPA32" s="2511"/>
      <c r="BPB32" s="2511"/>
      <c r="BPC32" s="2511"/>
      <c r="BPD32" s="2511"/>
      <c r="BPE32" s="2511"/>
      <c r="BPF32" s="2511"/>
      <c r="BPG32" s="2511"/>
      <c r="BPH32" s="2511"/>
      <c r="BPI32" s="2511"/>
      <c r="BPJ32" s="2511"/>
      <c r="BPK32" s="2511"/>
      <c r="BPL32" s="2511"/>
      <c r="BPM32" s="2511"/>
      <c r="BPN32" s="2511"/>
      <c r="BPO32" s="2511"/>
      <c r="BPP32" s="2511"/>
      <c r="BPQ32" s="2511"/>
      <c r="BPR32" s="2511"/>
      <c r="BPS32" s="2511"/>
      <c r="BPT32" s="2511"/>
      <c r="BPU32" s="2511"/>
      <c r="BPV32" s="2511"/>
      <c r="BPW32" s="2511"/>
      <c r="BPX32" s="2511"/>
      <c r="BPY32" s="2511"/>
      <c r="BPZ32" s="2511"/>
      <c r="BQA32" s="2511"/>
      <c r="BQB32" s="2511"/>
      <c r="BQC32" s="2511"/>
      <c r="BQD32" s="2511"/>
      <c r="BQE32" s="2511"/>
      <c r="BQF32" s="2511"/>
      <c r="BQG32" s="2511"/>
      <c r="BQH32" s="2511"/>
      <c r="BQI32" s="2511"/>
      <c r="BQJ32" s="2511"/>
      <c r="BQK32" s="2511"/>
      <c r="BQL32" s="2511"/>
      <c r="BQM32" s="2511"/>
      <c r="BQN32" s="2511"/>
      <c r="BQO32" s="2511"/>
      <c r="BQP32" s="2511"/>
      <c r="BQQ32" s="2511"/>
      <c r="BQR32" s="2511"/>
      <c r="BQS32" s="2511"/>
      <c r="BQT32" s="2511"/>
      <c r="BQU32" s="2511"/>
      <c r="BQV32" s="2511"/>
      <c r="BQW32" s="2511"/>
      <c r="BQX32" s="2511"/>
      <c r="BQY32" s="2511"/>
      <c r="BQZ32" s="2511"/>
      <c r="BRA32" s="2511"/>
      <c r="BRB32" s="2511"/>
      <c r="BRC32" s="2511"/>
      <c r="BRD32" s="2511"/>
      <c r="BRE32" s="2511"/>
      <c r="BRF32" s="2511"/>
      <c r="BRG32" s="2511"/>
      <c r="BRH32" s="2511"/>
      <c r="BRI32" s="2511"/>
      <c r="BRJ32" s="2511"/>
      <c r="BRK32" s="2511"/>
      <c r="BRL32" s="2511"/>
      <c r="BRM32" s="2511"/>
      <c r="BRN32" s="2511"/>
      <c r="BRO32" s="2511"/>
      <c r="BRP32" s="2511"/>
      <c r="BRQ32" s="2511"/>
      <c r="BRR32" s="2511"/>
      <c r="BRS32" s="2511"/>
      <c r="BRT32" s="2511"/>
      <c r="BRU32" s="2511"/>
      <c r="BRV32" s="2511"/>
      <c r="BRW32" s="2511"/>
      <c r="BRX32" s="2511"/>
      <c r="BRY32" s="2511"/>
      <c r="BRZ32" s="2511"/>
      <c r="BSA32" s="2511"/>
      <c r="BSB32" s="2511"/>
      <c r="BSC32" s="2511"/>
      <c r="BSD32" s="2511"/>
      <c r="BSE32" s="2511"/>
      <c r="BSF32" s="2511"/>
      <c r="BSG32" s="2511"/>
      <c r="BSH32" s="2511"/>
      <c r="BSI32" s="2511"/>
      <c r="BSJ32" s="2511"/>
      <c r="BSK32" s="2511"/>
      <c r="BSL32" s="2511"/>
      <c r="BSM32" s="2511"/>
      <c r="BSN32" s="2511"/>
      <c r="BSO32" s="2511"/>
      <c r="BSP32" s="2511"/>
      <c r="BSQ32" s="2511"/>
      <c r="BSR32" s="2511"/>
      <c r="BSS32" s="2511"/>
      <c r="BST32" s="2511"/>
      <c r="BSU32" s="2511"/>
      <c r="BSV32" s="2511"/>
      <c r="BSW32" s="2511"/>
      <c r="BSX32" s="2511"/>
      <c r="BSY32" s="2511"/>
      <c r="BSZ32" s="2511"/>
      <c r="BTA32" s="2511"/>
      <c r="BTB32" s="2511"/>
      <c r="BTC32" s="2511"/>
      <c r="BTD32" s="2511"/>
      <c r="BTE32" s="2511"/>
      <c r="BTF32" s="2511"/>
      <c r="BTG32" s="2511"/>
      <c r="BTH32" s="2511"/>
      <c r="BTI32" s="2511"/>
      <c r="BTJ32" s="2511"/>
      <c r="BTK32" s="2511"/>
      <c r="BTL32" s="2511"/>
      <c r="BTM32" s="2511"/>
      <c r="BTN32" s="2511"/>
      <c r="BTO32" s="2511"/>
      <c r="BTP32" s="2511"/>
      <c r="BTQ32" s="2511"/>
      <c r="BTR32" s="2511"/>
      <c r="BTS32" s="2511"/>
      <c r="BTT32" s="2511"/>
      <c r="BTU32" s="2511"/>
      <c r="BTV32" s="2511"/>
      <c r="BTW32" s="2511"/>
      <c r="BTX32" s="2511"/>
      <c r="BTY32" s="2511"/>
      <c r="BTZ32" s="2511"/>
      <c r="BUA32" s="2511"/>
      <c r="BUB32" s="2511"/>
      <c r="BUC32" s="2511"/>
      <c r="BUD32" s="2511"/>
      <c r="BUE32" s="2511"/>
      <c r="BUF32" s="2511"/>
      <c r="BUG32" s="2511"/>
      <c r="BUH32" s="2511"/>
      <c r="BUI32" s="2511"/>
      <c r="BUJ32" s="2511"/>
      <c r="BUK32" s="2511"/>
      <c r="BUL32" s="2511"/>
      <c r="BUM32" s="2511"/>
      <c r="BUN32" s="2511"/>
      <c r="BUO32" s="2511"/>
      <c r="BUP32" s="2511"/>
      <c r="BUQ32" s="2511"/>
      <c r="BUR32" s="2511"/>
      <c r="BUS32" s="2511"/>
      <c r="BUT32" s="2511"/>
      <c r="BUU32" s="2511"/>
      <c r="BUV32" s="2511"/>
      <c r="BUW32" s="2511"/>
      <c r="BUX32" s="2511"/>
      <c r="BUY32" s="2511"/>
      <c r="BUZ32" s="2511"/>
      <c r="BVA32" s="2511"/>
      <c r="BVB32" s="2511"/>
      <c r="BVC32" s="2511"/>
      <c r="BVD32" s="2511"/>
      <c r="BVE32" s="2511"/>
      <c r="BVF32" s="2511"/>
      <c r="BVG32" s="2511"/>
      <c r="BVH32" s="2511"/>
      <c r="BVI32" s="2511"/>
      <c r="BVJ32" s="2511"/>
      <c r="BVK32" s="2511"/>
      <c r="BVL32" s="2511"/>
      <c r="BVM32" s="2511"/>
      <c r="BVN32" s="2511"/>
      <c r="BVO32" s="2511"/>
      <c r="BVP32" s="2511"/>
      <c r="BVQ32" s="2511"/>
      <c r="BVR32" s="2511"/>
      <c r="BVS32" s="2511"/>
      <c r="BVT32" s="2511"/>
      <c r="BVU32" s="2511"/>
      <c r="BVV32" s="2511"/>
      <c r="BVW32" s="2511"/>
      <c r="BVX32" s="2511"/>
      <c r="BVY32" s="2511"/>
      <c r="BVZ32" s="2511"/>
      <c r="BWA32" s="2511"/>
      <c r="BWB32" s="2511"/>
      <c r="BWC32" s="2511"/>
      <c r="BWD32" s="2511"/>
      <c r="BWE32" s="2511"/>
      <c r="BWF32" s="2511"/>
      <c r="BWG32" s="2511"/>
      <c r="BWH32" s="2511"/>
      <c r="BWI32" s="2511"/>
      <c r="BWJ32" s="2511"/>
      <c r="BWK32" s="2511"/>
      <c r="BWL32" s="2511"/>
      <c r="BWM32" s="2511"/>
      <c r="BWN32" s="2511"/>
      <c r="BWO32" s="2511"/>
      <c r="BWP32" s="2511"/>
      <c r="BWQ32" s="2511"/>
      <c r="BWR32" s="2511"/>
      <c r="BWS32" s="2511"/>
      <c r="BWT32" s="2511"/>
      <c r="BWU32" s="2511"/>
      <c r="BWV32" s="2511"/>
      <c r="BWW32" s="2511"/>
      <c r="BWX32" s="2511"/>
      <c r="BWY32" s="2511"/>
      <c r="BWZ32" s="2511"/>
      <c r="BXA32" s="2511"/>
      <c r="BXB32" s="2511"/>
      <c r="BXC32" s="2511"/>
      <c r="BXD32" s="2511"/>
      <c r="BXE32" s="2511"/>
      <c r="BXF32" s="2511"/>
      <c r="BXG32" s="2511"/>
      <c r="BXH32" s="2511"/>
      <c r="BXI32" s="2511"/>
      <c r="BXJ32" s="2511"/>
      <c r="BXK32" s="2511"/>
      <c r="BXL32" s="2511"/>
      <c r="BXM32" s="2511"/>
      <c r="BXN32" s="2511"/>
      <c r="BXO32" s="2511"/>
      <c r="BXP32" s="2511"/>
      <c r="BXQ32" s="2511"/>
      <c r="BXR32" s="2511"/>
      <c r="BXS32" s="2511"/>
      <c r="BXT32" s="2511"/>
      <c r="BXU32" s="2511"/>
      <c r="BXV32" s="2511"/>
      <c r="BXW32" s="2511"/>
      <c r="BXX32" s="2511"/>
      <c r="BXY32" s="2511"/>
      <c r="BXZ32" s="2511"/>
      <c r="BYA32" s="2511"/>
      <c r="BYB32" s="2511"/>
      <c r="BYC32" s="2511"/>
      <c r="BYD32" s="2511"/>
      <c r="BYE32" s="2511"/>
      <c r="BYF32" s="2511"/>
      <c r="BYG32" s="2511"/>
      <c r="BYH32" s="2511"/>
      <c r="BYI32" s="2511"/>
      <c r="BYJ32" s="2511"/>
      <c r="BYK32" s="2511"/>
      <c r="BYL32" s="2511"/>
      <c r="BYM32" s="2511"/>
      <c r="BYN32" s="2511"/>
      <c r="BYO32" s="2511"/>
      <c r="BYP32" s="2511"/>
      <c r="BYQ32" s="2511"/>
      <c r="BYR32" s="2511"/>
      <c r="BYS32" s="2511"/>
      <c r="BYT32" s="2511"/>
      <c r="BYU32" s="2511"/>
      <c r="BYV32" s="2511"/>
      <c r="BYW32" s="2511"/>
      <c r="BYX32" s="2511"/>
      <c r="BYY32" s="2511"/>
      <c r="BYZ32" s="2511"/>
      <c r="BZA32" s="2511"/>
      <c r="BZB32" s="2511"/>
      <c r="BZC32" s="2511"/>
      <c r="BZD32" s="2511"/>
      <c r="BZE32" s="2511"/>
      <c r="BZF32" s="2511"/>
      <c r="BZG32" s="2511"/>
      <c r="BZH32" s="2511"/>
      <c r="BZI32" s="2511"/>
      <c r="BZJ32" s="2511"/>
      <c r="BZK32" s="2511"/>
      <c r="BZL32" s="2511"/>
      <c r="BZM32" s="2511"/>
      <c r="BZN32" s="2511"/>
      <c r="BZO32" s="2511"/>
      <c r="BZP32" s="2511"/>
      <c r="BZQ32" s="2511"/>
      <c r="BZR32" s="2511"/>
      <c r="BZS32" s="2511"/>
      <c r="BZT32" s="2511"/>
      <c r="BZU32" s="2511"/>
      <c r="BZV32" s="2511"/>
      <c r="BZW32" s="2511"/>
      <c r="BZX32" s="2511"/>
      <c r="BZY32" s="2511"/>
      <c r="BZZ32" s="2511"/>
      <c r="CAA32" s="2511"/>
      <c r="CAB32" s="2511"/>
      <c r="CAC32" s="2511"/>
      <c r="CAD32" s="2511"/>
      <c r="CAE32" s="2511"/>
      <c r="CAF32" s="2511"/>
      <c r="CAG32" s="2511"/>
      <c r="CAH32" s="2511"/>
      <c r="CAI32" s="2511"/>
      <c r="CAJ32" s="2511"/>
      <c r="CAK32" s="2511"/>
      <c r="CAL32" s="2511"/>
      <c r="CAM32" s="2511"/>
      <c r="CAN32" s="2511"/>
      <c r="CAO32" s="2511"/>
      <c r="CAP32" s="2511"/>
      <c r="CAQ32" s="2511"/>
      <c r="CAR32" s="2511"/>
      <c r="CAS32" s="2511"/>
      <c r="CAT32" s="2511"/>
      <c r="CAU32" s="2511"/>
      <c r="CAV32" s="2511"/>
      <c r="CAW32" s="2511"/>
      <c r="CAX32" s="2511"/>
      <c r="CAY32" s="2511"/>
      <c r="CAZ32" s="2511"/>
      <c r="CBA32" s="2511"/>
      <c r="CBB32" s="2511"/>
      <c r="CBC32" s="2511"/>
      <c r="CBD32" s="2511"/>
      <c r="CBE32" s="2511"/>
      <c r="CBF32" s="2511"/>
      <c r="CBG32" s="2511"/>
      <c r="CBH32" s="2511"/>
      <c r="CBI32" s="2511"/>
      <c r="CBJ32" s="2511"/>
      <c r="CBK32" s="2511"/>
      <c r="CBL32" s="2511"/>
      <c r="CBM32" s="2511"/>
      <c r="CBN32" s="2511"/>
      <c r="CBO32" s="2511"/>
      <c r="CBP32" s="2511"/>
      <c r="CBQ32" s="2511"/>
      <c r="CBR32" s="2511"/>
      <c r="CBS32" s="2511"/>
      <c r="CBT32" s="2511"/>
      <c r="CBU32" s="2511"/>
      <c r="CBV32" s="2511"/>
      <c r="CBW32" s="2511"/>
      <c r="CBX32" s="2511"/>
      <c r="CBY32" s="2511"/>
      <c r="CBZ32" s="2511"/>
      <c r="CCA32" s="2511"/>
      <c r="CCB32" s="2511"/>
      <c r="CCC32" s="2511"/>
      <c r="CCD32" s="2511"/>
      <c r="CCE32" s="2511"/>
      <c r="CCF32" s="2511"/>
      <c r="CCG32" s="2511"/>
      <c r="CCH32" s="2511"/>
      <c r="CCI32" s="2511"/>
      <c r="CCJ32" s="2511"/>
      <c r="CCK32" s="2511"/>
      <c r="CCL32" s="2511"/>
      <c r="CCM32" s="2511"/>
      <c r="CCN32" s="2511"/>
      <c r="CCO32" s="2511"/>
      <c r="CCP32" s="2511"/>
      <c r="CCQ32" s="2511"/>
      <c r="CCR32" s="2511"/>
      <c r="CCS32" s="2511"/>
      <c r="CCT32" s="2511"/>
      <c r="CCU32" s="2511"/>
      <c r="CCV32" s="2511"/>
      <c r="CCW32" s="2511"/>
      <c r="CCX32" s="2511"/>
      <c r="CCY32" s="2511"/>
      <c r="CCZ32" s="2511"/>
      <c r="CDA32" s="2511"/>
      <c r="CDB32" s="2511"/>
      <c r="CDC32" s="2511"/>
      <c r="CDD32" s="2511"/>
      <c r="CDE32" s="2511"/>
      <c r="CDF32" s="2511"/>
      <c r="CDG32" s="2511"/>
      <c r="CDH32" s="2511"/>
      <c r="CDI32" s="2511"/>
      <c r="CDJ32" s="2511"/>
      <c r="CDK32" s="2511"/>
      <c r="CDL32" s="2511"/>
      <c r="CDM32" s="2511"/>
      <c r="CDN32" s="2511"/>
      <c r="CDO32" s="2511"/>
      <c r="CDP32" s="2511"/>
      <c r="CDQ32" s="2511"/>
      <c r="CDR32" s="2511"/>
      <c r="CDS32" s="2511"/>
      <c r="CDT32" s="2511"/>
      <c r="CDU32" s="2511"/>
      <c r="CDV32" s="2511"/>
      <c r="CDW32" s="2511"/>
      <c r="CDX32" s="2511"/>
      <c r="CDY32" s="2511"/>
      <c r="CDZ32" s="2511"/>
      <c r="CEA32" s="2511"/>
      <c r="CEB32" s="2511"/>
      <c r="CEC32" s="2511"/>
      <c r="CED32" s="2511"/>
      <c r="CEE32" s="2511"/>
      <c r="CEF32" s="2511"/>
      <c r="CEG32" s="2511"/>
      <c r="CEH32" s="2511"/>
      <c r="CEI32" s="2511"/>
      <c r="CEJ32" s="2511"/>
      <c r="CEK32" s="2511"/>
      <c r="CEL32" s="2511"/>
      <c r="CEM32" s="2511"/>
      <c r="CEN32" s="2511"/>
      <c r="CEO32" s="2511"/>
      <c r="CEP32" s="2511"/>
      <c r="CEQ32" s="2511"/>
      <c r="CER32" s="2511"/>
      <c r="CES32" s="2511"/>
      <c r="CET32" s="2511"/>
      <c r="CEU32" s="2511"/>
      <c r="CEV32" s="2511"/>
      <c r="CEW32" s="2511"/>
      <c r="CEX32" s="2511"/>
      <c r="CEY32" s="2511"/>
      <c r="CEZ32" s="2511"/>
      <c r="CFA32" s="2511"/>
      <c r="CFB32" s="2511"/>
      <c r="CFC32" s="2511"/>
      <c r="CFD32" s="2511"/>
      <c r="CFE32" s="2511"/>
      <c r="CFF32" s="2511"/>
      <c r="CFG32" s="2511"/>
      <c r="CFH32" s="2511"/>
      <c r="CFI32" s="2511"/>
      <c r="CFJ32" s="2511"/>
      <c r="CFK32" s="2511"/>
      <c r="CFL32" s="2511"/>
      <c r="CFM32" s="2511"/>
      <c r="CFN32" s="2511"/>
      <c r="CFO32" s="2511"/>
      <c r="CFP32" s="2511"/>
      <c r="CFQ32" s="2511"/>
      <c r="CFR32" s="2511"/>
      <c r="CFS32" s="2511"/>
      <c r="CFT32" s="2511"/>
      <c r="CFU32" s="2511"/>
      <c r="CFV32" s="2511"/>
      <c r="CFW32" s="2511"/>
      <c r="CFX32" s="2511"/>
      <c r="CFY32" s="2511"/>
      <c r="CFZ32" s="2511"/>
      <c r="CGA32" s="2511"/>
      <c r="CGB32" s="2511"/>
      <c r="CGC32" s="2511"/>
      <c r="CGD32" s="2511"/>
      <c r="CGE32" s="2511"/>
      <c r="CGF32" s="2511"/>
      <c r="CGG32" s="2511"/>
      <c r="CGH32" s="2511"/>
      <c r="CGI32" s="2511"/>
      <c r="CGJ32" s="2511"/>
      <c r="CGK32" s="2511"/>
      <c r="CGL32" s="2511"/>
      <c r="CGM32" s="2511"/>
      <c r="CGN32" s="2511"/>
      <c r="CGO32" s="2511"/>
      <c r="CGP32" s="2511"/>
      <c r="CGQ32" s="2511"/>
      <c r="CGR32" s="2511"/>
      <c r="CGS32" s="2511"/>
      <c r="CGT32" s="2511"/>
      <c r="CGU32" s="2511"/>
      <c r="CGV32" s="2511"/>
      <c r="CGW32" s="2511"/>
      <c r="CGX32" s="2511"/>
      <c r="CGY32" s="2511"/>
      <c r="CGZ32" s="2511"/>
      <c r="CHA32" s="2511"/>
      <c r="CHB32" s="2511"/>
      <c r="CHC32" s="2511"/>
      <c r="CHD32" s="2511"/>
      <c r="CHE32" s="2511"/>
      <c r="CHF32" s="2511"/>
      <c r="CHG32" s="2511"/>
      <c r="CHH32" s="2511"/>
      <c r="CHI32" s="2511"/>
      <c r="CHJ32" s="2511"/>
      <c r="CHK32" s="2511"/>
      <c r="CHL32" s="2511"/>
      <c r="CHM32" s="2511"/>
      <c r="CHN32" s="2511"/>
      <c r="CHO32" s="2511"/>
      <c r="CHP32" s="2511"/>
      <c r="CHQ32" s="2511"/>
      <c r="CHR32" s="2511"/>
      <c r="CHS32" s="2511"/>
      <c r="CHT32" s="2511"/>
      <c r="CHU32" s="2511"/>
      <c r="CHV32" s="2511"/>
      <c r="CHW32" s="2511"/>
      <c r="CHX32" s="2511"/>
      <c r="CHY32" s="2511"/>
      <c r="CHZ32" s="2511"/>
      <c r="CIA32" s="2511"/>
      <c r="CIB32" s="2511"/>
      <c r="CIC32" s="2511"/>
      <c r="CID32" s="2511"/>
      <c r="CIE32" s="2511"/>
      <c r="CIF32" s="2511"/>
      <c r="CIG32" s="2511"/>
      <c r="CIH32" s="2511"/>
      <c r="CII32" s="2511"/>
      <c r="CIJ32" s="2511"/>
      <c r="CIK32" s="2511"/>
      <c r="CIL32" s="2511"/>
      <c r="CIM32" s="2511"/>
      <c r="CIN32" s="2511"/>
      <c r="CIO32" s="2511"/>
      <c r="CIP32" s="2511"/>
      <c r="CIQ32" s="2511"/>
      <c r="CIR32" s="2511"/>
      <c r="CIS32" s="2511"/>
      <c r="CIT32" s="2511"/>
      <c r="CIU32" s="2511"/>
      <c r="CIV32" s="2511"/>
      <c r="CIW32" s="2511"/>
      <c r="CIX32" s="2511"/>
      <c r="CIY32" s="2511"/>
      <c r="CIZ32" s="2511"/>
      <c r="CJA32" s="2511"/>
      <c r="CJB32" s="2511"/>
      <c r="CJC32" s="2511"/>
      <c r="CJD32" s="2511"/>
      <c r="CJE32" s="2511"/>
      <c r="CJF32" s="2511"/>
      <c r="CJG32" s="2511"/>
      <c r="CJH32" s="2511"/>
      <c r="CJI32" s="2511"/>
      <c r="CJJ32" s="2511"/>
      <c r="CJK32" s="2511"/>
      <c r="CJL32" s="2511"/>
      <c r="CJM32" s="2511"/>
      <c r="CJN32" s="2511"/>
      <c r="CJO32" s="2511"/>
      <c r="CJP32" s="2511"/>
      <c r="CJQ32" s="2511"/>
      <c r="CJR32" s="2511"/>
      <c r="CJS32" s="2511"/>
      <c r="CJT32" s="2511"/>
      <c r="CJU32" s="2511"/>
      <c r="CJV32" s="2511"/>
      <c r="CJW32" s="2511"/>
      <c r="CJX32" s="2511"/>
      <c r="CJY32" s="2511"/>
      <c r="CJZ32" s="2511"/>
      <c r="CKA32" s="2511"/>
      <c r="CKB32" s="2511"/>
      <c r="CKC32" s="2511"/>
      <c r="CKD32" s="2511"/>
      <c r="CKE32" s="2511"/>
      <c r="CKF32" s="2511"/>
      <c r="CKG32" s="2511"/>
      <c r="CKH32" s="2511"/>
      <c r="CKI32" s="2511"/>
      <c r="CKJ32" s="2511"/>
      <c r="CKK32" s="2511"/>
      <c r="CKL32" s="2511"/>
      <c r="CKM32" s="2511"/>
      <c r="CKN32" s="2511"/>
      <c r="CKO32" s="2511"/>
      <c r="CKP32" s="2511"/>
      <c r="CKQ32" s="2511"/>
      <c r="CKR32" s="2511"/>
      <c r="CKS32" s="2511"/>
      <c r="CKT32" s="2511"/>
      <c r="CKU32" s="2511"/>
      <c r="CKV32" s="2511"/>
      <c r="CKW32" s="2511"/>
      <c r="CKX32" s="2511"/>
      <c r="CKY32" s="2511"/>
      <c r="CKZ32" s="2511"/>
      <c r="CLA32" s="2511"/>
      <c r="CLB32" s="2511"/>
      <c r="CLC32" s="2511"/>
      <c r="CLD32" s="2511"/>
      <c r="CLE32" s="2511"/>
      <c r="CLF32" s="2511"/>
      <c r="CLG32" s="2511"/>
      <c r="CLH32" s="2511"/>
      <c r="CLI32" s="2511"/>
      <c r="CLJ32" s="2511"/>
      <c r="CLK32" s="2511"/>
      <c r="CLL32" s="2511"/>
      <c r="CLM32" s="2511"/>
      <c r="CLN32" s="2511"/>
      <c r="CLO32" s="2511"/>
      <c r="CLP32" s="2511"/>
      <c r="CLQ32" s="2511"/>
      <c r="CLR32" s="2511"/>
      <c r="CLS32" s="2511"/>
      <c r="CLT32" s="2511"/>
      <c r="CLU32" s="2511"/>
      <c r="CLV32" s="2511"/>
      <c r="CLW32" s="2511"/>
      <c r="CLX32" s="2511"/>
      <c r="CLY32" s="2511"/>
      <c r="CLZ32" s="2511"/>
      <c r="CMA32" s="2511"/>
      <c r="CMB32" s="2511"/>
      <c r="CMC32" s="2511"/>
      <c r="CMD32" s="2511"/>
      <c r="CME32" s="2511"/>
      <c r="CMF32" s="2511"/>
      <c r="CMG32" s="2511"/>
      <c r="CMH32" s="2511"/>
      <c r="CMI32" s="2511"/>
      <c r="CMJ32" s="2511"/>
      <c r="CMK32" s="2511"/>
      <c r="CML32" s="2511"/>
      <c r="CMM32" s="2511"/>
      <c r="CMN32" s="2511"/>
      <c r="CMO32" s="2511"/>
      <c r="CMP32" s="2511"/>
      <c r="CMQ32" s="2511"/>
      <c r="CMR32" s="2511"/>
      <c r="CMS32" s="2511"/>
      <c r="CMT32" s="2511"/>
      <c r="CMU32" s="2511"/>
      <c r="CMV32" s="2511"/>
      <c r="CMW32" s="2511"/>
      <c r="CMX32" s="2511"/>
      <c r="CMY32" s="2511"/>
      <c r="CMZ32" s="2511"/>
      <c r="CNA32" s="2511"/>
      <c r="CNB32" s="2511"/>
      <c r="CNC32" s="2511"/>
      <c r="CND32" s="2511"/>
      <c r="CNE32" s="2511"/>
      <c r="CNF32" s="2511"/>
      <c r="CNG32" s="2511"/>
      <c r="CNH32" s="2511"/>
      <c r="CNI32" s="2511"/>
      <c r="CNJ32" s="2511"/>
      <c r="CNK32" s="2511"/>
      <c r="CNL32" s="2511"/>
      <c r="CNM32" s="2511"/>
      <c r="CNN32" s="2511"/>
      <c r="CNO32" s="2511"/>
      <c r="CNP32" s="2511"/>
      <c r="CNQ32" s="2511"/>
      <c r="CNR32" s="2511"/>
      <c r="CNS32" s="2511"/>
      <c r="CNT32" s="2511"/>
      <c r="CNU32" s="2511"/>
      <c r="CNV32" s="2511"/>
      <c r="CNW32" s="2511"/>
      <c r="CNX32" s="2511"/>
      <c r="CNY32" s="2511"/>
      <c r="CNZ32" s="2511"/>
      <c r="COA32" s="2511"/>
      <c r="COB32" s="2511"/>
      <c r="COC32" s="2511"/>
      <c r="COD32" s="2511"/>
      <c r="COE32" s="2511"/>
      <c r="COF32" s="2511"/>
      <c r="COG32" s="2511"/>
      <c r="COH32" s="2511"/>
      <c r="COI32" s="2511"/>
      <c r="COJ32" s="2511"/>
      <c r="COK32" s="2511"/>
      <c r="COL32" s="2511"/>
      <c r="COM32" s="2511"/>
      <c r="CON32" s="2511"/>
      <c r="COO32" s="2511"/>
      <c r="COP32" s="2511"/>
      <c r="COQ32" s="2511"/>
      <c r="COR32" s="2511"/>
      <c r="COS32" s="2511"/>
      <c r="COT32" s="2511"/>
      <c r="COU32" s="2511"/>
      <c r="COV32" s="2511"/>
      <c r="COW32" s="2511"/>
      <c r="COX32" s="2511"/>
      <c r="COY32" s="2511"/>
      <c r="COZ32" s="2511"/>
      <c r="CPA32" s="2511"/>
      <c r="CPB32" s="2511"/>
      <c r="CPC32" s="2511"/>
      <c r="CPD32" s="2511"/>
      <c r="CPE32" s="2511"/>
      <c r="CPF32" s="2511"/>
      <c r="CPG32" s="2511"/>
      <c r="CPH32" s="2511"/>
      <c r="CPI32" s="2511"/>
      <c r="CPJ32" s="2511"/>
      <c r="CPK32" s="2511"/>
      <c r="CPL32" s="2511"/>
      <c r="CPM32" s="2511"/>
      <c r="CPN32" s="2511"/>
      <c r="CPO32" s="2511"/>
      <c r="CPP32" s="2511"/>
      <c r="CPQ32" s="2511"/>
      <c r="CPR32" s="2511"/>
      <c r="CPS32" s="2511"/>
      <c r="CPT32" s="2511"/>
      <c r="CPU32" s="2511"/>
      <c r="CPV32" s="2511"/>
      <c r="CPW32" s="2511"/>
      <c r="CPX32" s="2511"/>
      <c r="CPY32" s="2511"/>
      <c r="CPZ32" s="2511"/>
      <c r="CQA32" s="2511"/>
      <c r="CQB32" s="2511"/>
      <c r="CQC32" s="2511"/>
      <c r="CQD32" s="2511"/>
      <c r="CQE32" s="2511"/>
      <c r="CQF32" s="2511"/>
      <c r="CQG32" s="2511"/>
      <c r="CQH32" s="2511"/>
      <c r="CQI32" s="2511"/>
      <c r="CQJ32" s="2511"/>
      <c r="CQK32" s="2511"/>
      <c r="CQL32" s="2511"/>
      <c r="CQM32" s="2511"/>
      <c r="CQN32" s="2511"/>
      <c r="CQO32" s="2511"/>
      <c r="CQP32" s="2511"/>
      <c r="CQQ32" s="2511"/>
      <c r="CQR32" s="2511"/>
      <c r="CQS32" s="2511"/>
      <c r="CQT32" s="2511"/>
      <c r="CQU32" s="2511"/>
      <c r="CQV32" s="2511"/>
      <c r="CQW32" s="2511"/>
      <c r="CQX32" s="2511"/>
      <c r="CQY32" s="2511"/>
      <c r="CQZ32" s="2511"/>
      <c r="CRA32" s="2511"/>
      <c r="CRB32" s="2511"/>
      <c r="CRC32" s="2511"/>
      <c r="CRD32" s="2511"/>
      <c r="CRE32" s="2511"/>
      <c r="CRF32" s="2511"/>
      <c r="CRG32" s="2511"/>
      <c r="CRH32" s="2511"/>
      <c r="CRI32" s="2511"/>
      <c r="CRJ32" s="2511"/>
      <c r="CRK32" s="2511"/>
      <c r="CRL32" s="2511"/>
      <c r="CRM32" s="2511"/>
      <c r="CRN32" s="2511"/>
      <c r="CRO32" s="2511"/>
      <c r="CRP32" s="2511"/>
      <c r="CRQ32" s="2511"/>
      <c r="CRR32" s="2511"/>
      <c r="CRS32" s="2511"/>
      <c r="CRT32" s="2511"/>
      <c r="CRU32" s="2511"/>
      <c r="CRV32" s="2511"/>
      <c r="CRW32" s="2511"/>
      <c r="CRX32" s="2511"/>
      <c r="CRY32" s="2511"/>
      <c r="CRZ32" s="2511"/>
      <c r="CSA32" s="2511"/>
      <c r="CSB32" s="2511"/>
      <c r="CSC32" s="2511"/>
      <c r="CSD32" s="2511"/>
      <c r="CSE32" s="2511"/>
      <c r="CSF32" s="2511"/>
      <c r="CSG32" s="2511"/>
      <c r="CSH32" s="2511"/>
      <c r="CSI32" s="2511"/>
      <c r="CSJ32" s="2511"/>
      <c r="CSK32" s="2511"/>
      <c r="CSL32" s="2511"/>
      <c r="CSM32" s="2511"/>
      <c r="CSN32" s="2511"/>
      <c r="CSO32" s="2511"/>
      <c r="CSP32" s="2511"/>
      <c r="CSQ32" s="2511"/>
      <c r="CSR32" s="2511"/>
      <c r="CSS32" s="2511"/>
      <c r="CST32" s="2511"/>
      <c r="CSU32" s="2511"/>
      <c r="CSV32" s="2511"/>
      <c r="CSW32" s="2511"/>
      <c r="CSX32" s="2511"/>
      <c r="CSY32" s="2511"/>
      <c r="CSZ32" s="2511"/>
      <c r="CTA32" s="2511"/>
      <c r="CTB32" s="2511"/>
      <c r="CTC32" s="2511"/>
      <c r="CTD32" s="2511"/>
      <c r="CTE32" s="2511"/>
      <c r="CTF32" s="2511"/>
      <c r="CTG32" s="2511"/>
      <c r="CTH32" s="2511"/>
      <c r="CTI32" s="2511"/>
      <c r="CTJ32" s="2511"/>
      <c r="CTK32" s="2511"/>
      <c r="CTL32" s="2511"/>
      <c r="CTM32" s="2511"/>
      <c r="CTN32" s="2511"/>
      <c r="CTO32" s="2511"/>
      <c r="CTP32" s="2511"/>
      <c r="CTQ32" s="2511"/>
      <c r="CTR32" s="2511"/>
      <c r="CTS32" s="2511"/>
      <c r="CTT32" s="2511"/>
      <c r="CTU32" s="2511"/>
      <c r="CTV32" s="2511"/>
      <c r="CTW32" s="2511"/>
      <c r="CTX32" s="2511"/>
      <c r="CTY32" s="2511"/>
      <c r="CTZ32" s="2511"/>
      <c r="CUA32" s="2511"/>
      <c r="CUB32" s="2511"/>
      <c r="CUC32" s="2511"/>
      <c r="CUD32" s="2511"/>
      <c r="CUE32" s="2511"/>
      <c r="CUF32" s="2511"/>
      <c r="CUG32" s="2511"/>
      <c r="CUH32" s="2511"/>
      <c r="CUI32" s="2511"/>
      <c r="CUJ32" s="2511"/>
      <c r="CUK32" s="2511"/>
      <c r="CUL32" s="2511"/>
      <c r="CUM32" s="2511"/>
      <c r="CUN32" s="2511"/>
      <c r="CUO32" s="2511"/>
      <c r="CUP32" s="2511"/>
      <c r="CUQ32" s="2511"/>
      <c r="CUR32" s="2511"/>
      <c r="CUS32" s="2511"/>
      <c r="CUT32" s="2511"/>
      <c r="CUU32" s="2511"/>
      <c r="CUV32" s="2511"/>
      <c r="CUW32" s="2511"/>
      <c r="CUX32" s="2511"/>
      <c r="CUY32" s="2511"/>
      <c r="CUZ32" s="2511"/>
      <c r="CVA32" s="2511"/>
      <c r="CVB32" s="2511"/>
      <c r="CVC32" s="2511"/>
      <c r="CVD32" s="2511"/>
      <c r="CVE32" s="2511"/>
      <c r="CVF32" s="2511"/>
      <c r="CVG32" s="2511"/>
      <c r="CVH32" s="2511"/>
      <c r="CVI32" s="2511"/>
      <c r="CVJ32" s="2511"/>
      <c r="CVK32" s="2511"/>
      <c r="CVL32" s="2511"/>
      <c r="CVM32" s="2511"/>
      <c r="CVN32" s="2511"/>
      <c r="CVO32" s="2511"/>
      <c r="CVP32" s="2511"/>
      <c r="CVQ32" s="2511"/>
      <c r="CVR32" s="2511"/>
      <c r="CVS32" s="2511"/>
      <c r="CVT32" s="2511"/>
      <c r="CVU32" s="2511"/>
      <c r="CVV32" s="2511"/>
      <c r="CVW32" s="2511"/>
      <c r="CVX32" s="2511"/>
      <c r="CVY32" s="2511"/>
      <c r="CVZ32" s="2511"/>
      <c r="CWA32" s="2511"/>
      <c r="CWB32" s="2511"/>
      <c r="CWC32" s="2511"/>
      <c r="CWD32" s="2511"/>
      <c r="CWE32" s="2511"/>
      <c r="CWF32" s="2511"/>
      <c r="CWG32" s="2511"/>
      <c r="CWH32" s="2511"/>
      <c r="CWI32" s="2511"/>
      <c r="CWJ32" s="2511"/>
      <c r="CWK32" s="2511"/>
      <c r="CWL32" s="2511"/>
      <c r="CWM32" s="2511"/>
      <c r="CWN32" s="2511"/>
      <c r="CWO32" s="2511"/>
      <c r="CWP32" s="2511"/>
      <c r="CWQ32" s="2511"/>
      <c r="CWR32" s="2511"/>
      <c r="CWS32" s="2511"/>
      <c r="CWT32" s="2511"/>
      <c r="CWU32" s="2511"/>
      <c r="CWV32" s="2511"/>
      <c r="CWW32" s="2511"/>
      <c r="CWX32" s="2511"/>
      <c r="CWY32" s="2511"/>
      <c r="CWZ32" s="2511"/>
      <c r="CXA32" s="2511"/>
      <c r="CXB32" s="2511"/>
      <c r="CXC32" s="2511"/>
      <c r="CXD32" s="2511"/>
      <c r="CXE32" s="2511"/>
      <c r="CXF32" s="2511"/>
      <c r="CXG32" s="2511"/>
      <c r="CXH32" s="2511"/>
      <c r="CXI32" s="2511"/>
      <c r="CXJ32" s="2511"/>
      <c r="CXK32" s="2511"/>
      <c r="CXL32" s="2511"/>
      <c r="CXM32" s="2511"/>
      <c r="CXN32" s="2511"/>
      <c r="CXO32" s="2511"/>
      <c r="CXP32" s="2511"/>
      <c r="CXQ32" s="2511"/>
      <c r="CXR32" s="2511"/>
      <c r="CXS32" s="2511"/>
      <c r="CXT32" s="2511"/>
      <c r="CXU32" s="2511"/>
      <c r="CXV32" s="2511"/>
      <c r="CXW32" s="2511"/>
      <c r="CXX32" s="2511"/>
      <c r="CXY32" s="2511"/>
      <c r="CXZ32" s="2511"/>
      <c r="CYA32" s="2511"/>
      <c r="CYB32" s="2511"/>
      <c r="CYC32" s="2511"/>
      <c r="CYD32" s="2511"/>
      <c r="CYE32" s="2511"/>
      <c r="CYF32" s="2511"/>
      <c r="CYG32" s="2511"/>
      <c r="CYH32" s="2511"/>
      <c r="CYI32" s="2511"/>
      <c r="CYJ32" s="2511"/>
      <c r="CYK32" s="2511"/>
      <c r="CYL32" s="2511"/>
      <c r="CYM32" s="2511"/>
      <c r="CYN32" s="2511"/>
      <c r="CYO32" s="2511"/>
      <c r="CYP32" s="2511"/>
      <c r="CYQ32" s="2511"/>
      <c r="CYR32" s="2511"/>
      <c r="CYS32" s="2511"/>
      <c r="CYT32" s="2511"/>
      <c r="CYU32" s="2511"/>
      <c r="CYV32" s="2511"/>
      <c r="CYW32" s="2511"/>
      <c r="CYX32" s="2511"/>
      <c r="CYY32" s="2511"/>
      <c r="CYZ32" s="2511"/>
      <c r="CZA32" s="2511"/>
      <c r="CZB32" s="2511"/>
      <c r="CZC32" s="2511"/>
      <c r="CZD32" s="2511"/>
      <c r="CZE32" s="2511"/>
      <c r="CZF32" s="2511"/>
      <c r="CZG32" s="2511"/>
      <c r="CZH32" s="2511"/>
      <c r="CZI32" s="2511"/>
      <c r="CZJ32" s="2511"/>
      <c r="CZK32" s="2511"/>
      <c r="CZL32" s="2511"/>
      <c r="CZM32" s="2511"/>
      <c r="CZN32" s="2511"/>
      <c r="CZO32" s="2511"/>
      <c r="CZP32" s="2511"/>
      <c r="CZQ32" s="2511"/>
      <c r="CZR32" s="2511"/>
      <c r="CZS32" s="2511"/>
      <c r="CZT32" s="2511"/>
      <c r="CZU32" s="2511"/>
      <c r="CZV32" s="2511"/>
      <c r="CZW32" s="2511"/>
      <c r="CZX32" s="2511"/>
      <c r="CZY32" s="2511"/>
      <c r="CZZ32" s="2511"/>
      <c r="DAA32" s="2511"/>
      <c r="DAB32" s="2511"/>
      <c r="DAC32" s="2511"/>
      <c r="DAD32" s="2511"/>
      <c r="DAE32" s="2511"/>
      <c r="DAF32" s="2511"/>
      <c r="DAG32" s="2511"/>
      <c r="DAH32" s="2511"/>
      <c r="DAI32" s="2511"/>
      <c r="DAJ32" s="2511"/>
      <c r="DAK32" s="2511"/>
      <c r="DAL32" s="2511"/>
      <c r="DAM32" s="2511"/>
      <c r="DAN32" s="2511"/>
      <c r="DAO32" s="2511"/>
      <c r="DAP32" s="2511"/>
      <c r="DAQ32" s="2511"/>
      <c r="DAR32" s="2511"/>
      <c r="DAS32" s="2511"/>
      <c r="DAT32" s="2511"/>
      <c r="DAU32" s="2511"/>
      <c r="DAV32" s="2511"/>
      <c r="DAW32" s="2511"/>
      <c r="DAX32" s="2511"/>
      <c r="DAY32" s="2511"/>
      <c r="DAZ32" s="2511"/>
      <c r="DBA32" s="2511"/>
      <c r="DBB32" s="2511"/>
      <c r="DBC32" s="2511"/>
      <c r="DBD32" s="2511"/>
      <c r="DBE32" s="2511"/>
      <c r="DBF32" s="2511"/>
      <c r="DBG32" s="2511"/>
      <c r="DBH32" s="2511"/>
      <c r="DBI32" s="2511"/>
      <c r="DBJ32" s="2511"/>
      <c r="DBK32" s="2511"/>
      <c r="DBL32" s="2511"/>
      <c r="DBM32" s="2511"/>
      <c r="DBN32" s="2511"/>
      <c r="DBO32" s="2511"/>
      <c r="DBP32" s="2511"/>
      <c r="DBQ32" s="2511"/>
      <c r="DBR32" s="2511"/>
      <c r="DBS32" s="2511"/>
      <c r="DBT32" s="2511"/>
      <c r="DBU32" s="2511"/>
      <c r="DBV32" s="2511"/>
      <c r="DBW32" s="2511"/>
      <c r="DBX32" s="2511"/>
      <c r="DBY32" s="2511"/>
      <c r="DBZ32" s="2511"/>
      <c r="DCA32" s="2511"/>
      <c r="DCB32" s="2511"/>
      <c r="DCC32" s="2511"/>
      <c r="DCD32" s="2511"/>
      <c r="DCE32" s="2511"/>
      <c r="DCF32" s="2511"/>
      <c r="DCG32" s="2511"/>
      <c r="DCH32" s="2511"/>
      <c r="DCI32" s="2511"/>
      <c r="DCJ32" s="2511"/>
      <c r="DCK32" s="2511"/>
      <c r="DCL32" s="2511"/>
      <c r="DCM32" s="2511"/>
      <c r="DCN32" s="2511"/>
      <c r="DCO32" s="2511"/>
      <c r="DCP32" s="2511"/>
      <c r="DCQ32" s="2511"/>
      <c r="DCR32" s="2511"/>
      <c r="DCS32" s="2511"/>
      <c r="DCT32" s="2511"/>
      <c r="DCU32" s="2511"/>
      <c r="DCV32" s="2511"/>
      <c r="DCW32" s="2511"/>
      <c r="DCX32" s="2511"/>
      <c r="DCY32" s="2511"/>
      <c r="DCZ32" s="2511"/>
      <c r="DDA32" s="2511"/>
      <c r="DDB32" s="2511"/>
      <c r="DDC32" s="2511"/>
      <c r="DDD32" s="2511"/>
      <c r="DDE32" s="2511"/>
      <c r="DDF32" s="2511"/>
      <c r="DDG32" s="2511"/>
      <c r="DDH32" s="2511"/>
      <c r="DDI32" s="2511"/>
      <c r="DDJ32" s="2511"/>
      <c r="DDK32" s="2511"/>
      <c r="DDL32" s="2511"/>
      <c r="DDM32" s="2511"/>
      <c r="DDN32" s="2511"/>
      <c r="DDO32" s="2511"/>
      <c r="DDP32" s="2511"/>
      <c r="DDQ32" s="2511"/>
      <c r="DDR32" s="2511"/>
      <c r="DDS32" s="2511"/>
      <c r="DDT32" s="2511"/>
      <c r="DDU32" s="2511"/>
      <c r="DDV32" s="2511"/>
      <c r="DDW32" s="2511"/>
      <c r="DDX32" s="2511"/>
      <c r="DDY32" s="2511"/>
      <c r="DDZ32" s="2511"/>
      <c r="DEA32" s="2511"/>
      <c r="DEB32" s="2511"/>
      <c r="DEC32" s="2511"/>
      <c r="DED32" s="2511"/>
      <c r="DEE32" s="2511"/>
      <c r="DEF32" s="2511"/>
      <c r="DEG32" s="2511"/>
      <c r="DEH32" s="2511"/>
      <c r="DEI32" s="2511"/>
      <c r="DEJ32" s="2511"/>
      <c r="DEK32" s="2511"/>
      <c r="DEL32" s="2511"/>
      <c r="DEM32" s="2511"/>
      <c r="DEN32" s="2511"/>
      <c r="DEO32" s="2511"/>
      <c r="DEP32" s="2511"/>
      <c r="DEQ32" s="2511"/>
      <c r="DER32" s="2511"/>
      <c r="DES32" s="2511"/>
      <c r="DET32" s="2511"/>
      <c r="DEU32" s="2511"/>
      <c r="DEV32" s="2511"/>
      <c r="DEW32" s="2511"/>
      <c r="DEX32" s="2511"/>
      <c r="DEY32" s="2511"/>
      <c r="DEZ32" s="2511"/>
      <c r="DFA32" s="2511"/>
      <c r="DFB32" s="2511"/>
      <c r="DFC32" s="2511"/>
      <c r="DFD32" s="2511"/>
      <c r="DFE32" s="2511"/>
      <c r="DFF32" s="2511"/>
      <c r="DFG32" s="2511"/>
      <c r="DFH32" s="2511"/>
      <c r="DFI32" s="2511"/>
      <c r="DFJ32" s="2511"/>
      <c r="DFK32" s="2511"/>
      <c r="DFL32" s="2511"/>
      <c r="DFM32" s="2511"/>
      <c r="DFN32" s="2511"/>
      <c r="DFO32" s="2511"/>
      <c r="DFP32" s="2511"/>
      <c r="DFQ32" s="2511"/>
      <c r="DFR32" s="2511"/>
      <c r="DFS32" s="2511"/>
      <c r="DFT32" s="2511"/>
      <c r="DFU32" s="2511"/>
      <c r="DFV32" s="2511"/>
      <c r="DFW32" s="2511"/>
      <c r="DFX32" s="2511"/>
      <c r="DFY32" s="2511"/>
      <c r="DFZ32" s="2511"/>
      <c r="DGA32" s="2511"/>
      <c r="DGB32" s="2511"/>
      <c r="DGC32" s="2511"/>
      <c r="DGD32" s="2511"/>
      <c r="DGE32" s="2511"/>
      <c r="DGF32" s="2511"/>
      <c r="DGG32" s="2511"/>
      <c r="DGH32" s="2511"/>
      <c r="DGI32" s="2511"/>
      <c r="DGJ32" s="2511"/>
      <c r="DGK32" s="2511"/>
      <c r="DGL32" s="2511"/>
      <c r="DGM32" s="2511"/>
      <c r="DGN32" s="2511"/>
      <c r="DGO32" s="2511"/>
      <c r="DGP32" s="2511"/>
      <c r="DGQ32" s="2511"/>
      <c r="DGR32" s="2511"/>
      <c r="DGS32" s="2511"/>
      <c r="DGT32" s="2511"/>
      <c r="DGU32" s="2511"/>
      <c r="DGV32" s="2511"/>
      <c r="DGW32" s="2511"/>
      <c r="DGX32" s="2511"/>
      <c r="DGY32" s="2511"/>
      <c r="DGZ32" s="2511"/>
      <c r="DHA32" s="2511"/>
      <c r="DHB32" s="2511"/>
      <c r="DHC32" s="2511"/>
      <c r="DHD32" s="2511"/>
      <c r="DHE32" s="2511"/>
      <c r="DHF32" s="2511"/>
      <c r="DHG32" s="2511"/>
      <c r="DHH32" s="2511"/>
      <c r="DHI32" s="2511"/>
      <c r="DHJ32" s="2511"/>
      <c r="DHK32" s="2511"/>
      <c r="DHL32" s="2511"/>
      <c r="DHM32" s="2511"/>
      <c r="DHN32" s="2511"/>
      <c r="DHO32" s="2511"/>
      <c r="DHP32" s="2511"/>
      <c r="DHQ32" s="2511"/>
      <c r="DHR32" s="2511"/>
      <c r="DHS32" s="2511"/>
      <c r="DHT32" s="2511"/>
      <c r="DHU32" s="2511"/>
      <c r="DHV32" s="2511"/>
      <c r="DHW32" s="2511"/>
      <c r="DHX32" s="2511"/>
      <c r="DHY32" s="2511"/>
      <c r="DHZ32" s="2511"/>
      <c r="DIA32" s="2511"/>
      <c r="DIB32" s="2511"/>
      <c r="DIC32" s="2511"/>
      <c r="DID32" s="2511"/>
      <c r="DIE32" s="2511"/>
      <c r="DIF32" s="2511"/>
      <c r="DIG32" s="2511"/>
      <c r="DIH32" s="2511"/>
      <c r="DII32" s="2511"/>
      <c r="DIJ32" s="2511"/>
      <c r="DIK32" s="2511"/>
      <c r="DIL32" s="2511"/>
      <c r="DIM32" s="2511"/>
      <c r="DIN32" s="2511"/>
      <c r="DIO32" s="2511"/>
      <c r="DIP32" s="2511"/>
      <c r="DIQ32" s="2511"/>
      <c r="DIR32" s="2511"/>
      <c r="DIS32" s="2511"/>
      <c r="DIT32" s="2511"/>
      <c r="DIU32" s="2511"/>
      <c r="DIV32" s="2511"/>
      <c r="DIW32" s="2511"/>
      <c r="DIX32" s="2511"/>
      <c r="DIY32" s="2511"/>
      <c r="DIZ32" s="2511"/>
      <c r="DJA32" s="2511"/>
      <c r="DJB32" s="2511"/>
      <c r="DJC32" s="2511"/>
      <c r="DJD32" s="2511"/>
      <c r="DJE32" s="2511"/>
      <c r="DJF32" s="2511"/>
      <c r="DJG32" s="2511"/>
      <c r="DJH32" s="2511"/>
      <c r="DJI32" s="2511"/>
      <c r="DJJ32" s="2511"/>
      <c r="DJK32" s="2511"/>
      <c r="DJL32" s="2511"/>
      <c r="DJM32" s="2511"/>
      <c r="DJN32" s="2511"/>
      <c r="DJO32" s="2511"/>
      <c r="DJP32" s="2511"/>
      <c r="DJQ32" s="2511"/>
      <c r="DJR32" s="2511"/>
      <c r="DJS32" s="2511"/>
      <c r="DJT32" s="2511"/>
      <c r="DJU32" s="2511"/>
      <c r="DJV32" s="2511"/>
      <c r="DJW32" s="2511"/>
      <c r="DJX32" s="2511"/>
      <c r="DJY32" s="2511"/>
      <c r="DJZ32" s="2511"/>
      <c r="DKA32" s="2511"/>
      <c r="DKB32" s="2511"/>
      <c r="DKC32" s="2511"/>
      <c r="DKD32" s="2511"/>
      <c r="DKE32" s="2511"/>
      <c r="DKF32" s="2511"/>
      <c r="DKG32" s="2511"/>
      <c r="DKH32" s="2511"/>
      <c r="DKI32" s="2511"/>
      <c r="DKJ32" s="2511"/>
      <c r="DKK32" s="2511"/>
      <c r="DKL32" s="2511"/>
      <c r="DKM32" s="2511"/>
      <c r="DKN32" s="2511"/>
      <c r="DKO32" s="2511"/>
      <c r="DKP32" s="2511"/>
      <c r="DKQ32" s="2511"/>
      <c r="DKR32" s="2511"/>
      <c r="DKS32" s="2511"/>
      <c r="DKT32" s="2511"/>
      <c r="DKU32" s="2511"/>
      <c r="DKV32" s="2511"/>
      <c r="DKW32" s="2511"/>
      <c r="DKX32" s="2511"/>
      <c r="DKY32" s="2511"/>
      <c r="DKZ32" s="2511"/>
      <c r="DLA32" s="2511"/>
      <c r="DLB32" s="2511"/>
      <c r="DLC32" s="2511"/>
      <c r="DLD32" s="2511"/>
      <c r="DLE32" s="2511"/>
      <c r="DLF32" s="2511"/>
      <c r="DLG32" s="2511"/>
      <c r="DLH32" s="2511"/>
      <c r="DLI32" s="2511"/>
      <c r="DLJ32" s="2511"/>
      <c r="DLK32" s="2511"/>
      <c r="DLL32" s="2511"/>
      <c r="DLM32" s="2511"/>
      <c r="DLN32" s="2511"/>
      <c r="DLO32" s="2511"/>
      <c r="DLP32" s="2511"/>
      <c r="DLQ32" s="2511"/>
      <c r="DLR32" s="2511"/>
      <c r="DLS32" s="2511"/>
      <c r="DLT32" s="2511"/>
      <c r="DLU32" s="2511"/>
      <c r="DLV32" s="2511"/>
      <c r="DLW32" s="2511"/>
      <c r="DLX32" s="2511"/>
      <c r="DLY32" s="2511"/>
      <c r="DLZ32" s="2511"/>
      <c r="DMA32" s="2511"/>
      <c r="DMB32" s="2511"/>
      <c r="DMC32" s="2511"/>
      <c r="DMD32" s="2511"/>
      <c r="DME32" s="2511"/>
      <c r="DMF32" s="2511"/>
      <c r="DMG32" s="2511"/>
      <c r="DMH32" s="2511"/>
      <c r="DMI32" s="2511"/>
      <c r="DMJ32" s="2511"/>
      <c r="DMK32" s="2511"/>
      <c r="DML32" s="2511"/>
      <c r="DMM32" s="2511"/>
      <c r="DMN32" s="2511"/>
      <c r="DMO32" s="2511"/>
      <c r="DMP32" s="2511"/>
      <c r="DMQ32" s="2511"/>
      <c r="DMR32" s="2511"/>
      <c r="DMS32" s="2511"/>
      <c r="DMT32" s="2511"/>
      <c r="DMU32" s="2511"/>
      <c r="DMV32" s="2511"/>
      <c r="DMW32" s="2511"/>
      <c r="DMX32" s="2511"/>
      <c r="DMY32" s="2511"/>
      <c r="DMZ32" s="2511"/>
      <c r="DNA32" s="2511"/>
      <c r="DNB32" s="2511"/>
      <c r="DNC32" s="2511"/>
      <c r="DND32" s="2511"/>
      <c r="DNE32" s="2511"/>
      <c r="DNF32" s="2511"/>
      <c r="DNG32" s="2511"/>
      <c r="DNH32" s="2511"/>
      <c r="DNI32" s="2511"/>
      <c r="DNJ32" s="2511"/>
      <c r="DNK32" s="2511"/>
      <c r="DNL32" s="2511"/>
      <c r="DNM32" s="2511"/>
      <c r="DNN32" s="2511"/>
      <c r="DNO32" s="2511"/>
      <c r="DNP32" s="2511"/>
      <c r="DNQ32" s="2511"/>
      <c r="DNR32" s="2511"/>
      <c r="DNS32" s="2511"/>
      <c r="DNT32" s="2511"/>
      <c r="DNU32" s="2511"/>
      <c r="DNV32" s="2511"/>
      <c r="DNW32" s="2511"/>
      <c r="DNX32" s="2511"/>
      <c r="DNY32" s="2511"/>
      <c r="DNZ32" s="2511"/>
      <c r="DOA32" s="2511"/>
      <c r="DOB32" s="2511"/>
      <c r="DOC32" s="2511"/>
      <c r="DOD32" s="2511"/>
      <c r="DOE32" s="2511"/>
      <c r="DOF32" s="2511"/>
      <c r="DOG32" s="2511"/>
      <c r="DOH32" s="2511"/>
      <c r="DOI32" s="2511"/>
      <c r="DOJ32" s="2511"/>
      <c r="DOK32" s="2511"/>
      <c r="DOL32" s="2511"/>
      <c r="DOM32" s="2511"/>
      <c r="DON32" s="2511"/>
      <c r="DOO32" s="2511"/>
      <c r="DOP32" s="2511"/>
      <c r="DOQ32" s="2511"/>
      <c r="DOR32" s="2511"/>
      <c r="DOS32" s="2511"/>
      <c r="DOT32" s="2511"/>
      <c r="DOU32" s="2511"/>
      <c r="DOV32" s="2511"/>
      <c r="DOW32" s="2511"/>
      <c r="DOX32" s="2511"/>
      <c r="DOY32" s="2511"/>
      <c r="DOZ32" s="2511"/>
      <c r="DPA32" s="2511"/>
      <c r="DPB32" s="2511"/>
      <c r="DPC32" s="2511"/>
      <c r="DPD32" s="2511"/>
      <c r="DPE32" s="2511"/>
      <c r="DPF32" s="2511"/>
      <c r="DPG32" s="2511"/>
      <c r="DPH32" s="2511"/>
      <c r="DPI32" s="2511"/>
      <c r="DPJ32" s="2511"/>
      <c r="DPK32" s="2511"/>
      <c r="DPL32" s="2511"/>
      <c r="DPM32" s="2511"/>
      <c r="DPN32" s="2511"/>
      <c r="DPO32" s="2511"/>
      <c r="DPP32" s="2511"/>
      <c r="DPQ32" s="2511"/>
      <c r="DPR32" s="2511"/>
      <c r="DPS32" s="2511"/>
      <c r="DPT32" s="2511"/>
      <c r="DPU32" s="2511"/>
      <c r="DPV32" s="2511"/>
      <c r="DPW32" s="2511"/>
      <c r="DPX32" s="2511"/>
      <c r="DPY32" s="2511"/>
      <c r="DPZ32" s="2511"/>
      <c r="DQA32" s="2511"/>
      <c r="DQB32" s="2511"/>
      <c r="DQC32" s="2511"/>
      <c r="DQD32" s="2511"/>
      <c r="DQE32" s="2511"/>
      <c r="DQF32" s="2511"/>
      <c r="DQG32" s="2511"/>
      <c r="DQH32" s="2511"/>
      <c r="DQI32" s="2511"/>
      <c r="DQJ32" s="2511"/>
      <c r="DQK32" s="2511"/>
      <c r="DQL32" s="2511"/>
      <c r="DQM32" s="2511"/>
      <c r="DQN32" s="2511"/>
      <c r="DQO32" s="2511"/>
      <c r="DQP32" s="2511"/>
      <c r="DQQ32" s="2511"/>
      <c r="DQR32" s="2511"/>
      <c r="DQS32" s="2511"/>
      <c r="DQT32" s="2511"/>
      <c r="DQU32" s="2511"/>
      <c r="DQV32" s="2511"/>
      <c r="DQW32" s="2511"/>
      <c r="DQX32" s="2511"/>
      <c r="DQY32" s="2511"/>
      <c r="DQZ32" s="2511"/>
      <c r="DRA32" s="2511"/>
      <c r="DRB32" s="2511"/>
      <c r="DRC32" s="2511"/>
      <c r="DRD32" s="2511"/>
      <c r="DRE32" s="2511"/>
      <c r="DRF32" s="2511"/>
      <c r="DRG32" s="2511"/>
      <c r="DRH32" s="2511"/>
      <c r="DRI32" s="2511"/>
      <c r="DRJ32" s="2511"/>
      <c r="DRK32" s="2511"/>
      <c r="DRL32" s="2511"/>
      <c r="DRM32" s="2511"/>
      <c r="DRN32" s="2511"/>
      <c r="DRO32" s="2511"/>
      <c r="DRP32" s="2511"/>
      <c r="DRQ32" s="2511"/>
      <c r="DRR32" s="2511"/>
      <c r="DRS32" s="2511"/>
      <c r="DRT32" s="2511"/>
      <c r="DRU32" s="2511"/>
      <c r="DRV32" s="2511"/>
      <c r="DRW32" s="2511"/>
      <c r="DRX32" s="2511"/>
      <c r="DRY32" s="2511"/>
      <c r="DRZ32" s="2511"/>
      <c r="DSA32" s="2511"/>
      <c r="DSB32" s="2511"/>
      <c r="DSC32" s="2511"/>
      <c r="DSD32" s="2511"/>
      <c r="DSE32" s="2511"/>
      <c r="DSF32" s="2511"/>
      <c r="DSG32" s="2511"/>
      <c r="DSH32" s="2511"/>
      <c r="DSI32" s="2511"/>
      <c r="DSJ32" s="2511"/>
      <c r="DSK32" s="2511"/>
      <c r="DSL32" s="2511"/>
      <c r="DSM32" s="2511"/>
      <c r="DSN32" s="2511"/>
      <c r="DSO32" s="2511"/>
      <c r="DSP32" s="2511"/>
      <c r="DSQ32" s="2511"/>
      <c r="DSR32" s="2511"/>
      <c r="DSS32" s="2511"/>
      <c r="DST32" s="2511"/>
      <c r="DSU32" s="2511"/>
      <c r="DSV32" s="2511"/>
      <c r="DSW32" s="2511"/>
      <c r="DSX32" s="2511"/>
      <c r="DSY32" s="2511"/>
      <c r="DSZ32" s="2511"/>
      <c r="DTA32" s="2511"/>
      <c r="DTB32" s="2511"/>
      <c r="DTC32" s="2511"/>
      <c r="DTD32" s="2511"/>
      <c r="DTE32" s="2511"/>
      <c r="DTF32" s="2511"/>
      <c r="DTG32" s="2511"/>
      <c r="DTH32" s="2511"/>
      <c r="DTI32" s="2511"/>
      <c r="DTJ32" s="2511"/>
      <c r="DTK32" s="2511"/>
      <c r="DTL32" s="2511"/>
      <c r="DTM32" s="2511"/>
      <c r="DTN32" s="2511"/>
      <c r="DTO32" s="2511"/>
      <c r="DTP32" s="2511"/>
      <c r="DTQ32" s="2511"/>
      <c r="DTR32" s="2511"/>
      <c r="DTS32" s="2511"/>
      <c r="DTT32" s="2511"/>
      <c r="DTU32" s="2511"/>
      <c r="DTV32" s="2511"/>
      <c r="DTW32" s="2511"/>
      <c r="DTX32" s="2511"/>
      <c r="DTY32" s="2511"/>
      <c r="DTZ32" s="2511"/>
      <c r="DUA32" s="2511"/>
      <c r="DUB32" s="2511"/>
      <c r="DUC32" s="2511"/>
      <c r="DUD32" s="2511"/>
      <c r="DUE32" s="2511"/>
      <c r="DUF32" s="2511"/>
      <c r="DUG32" s="2511"/>
      <c r="DUH32" s="2511"/>
      <c r="DUI32" s="2511"/>
      <c r="DUJ32" s="2511"/>
      <c r="DUK32" s="2511"/>
      <c r="DUL32" s="2511"/>
      <c r="DUM32" s="2511"/>
      <c r="DUN32" s="2511"/>
      <c r="DUO32" s="2511"/>
      <c r="DUP32" s="2511"/>
      <c r="DUQ32" s="2511"/>
      <c r="DUR32" s="2511"/>
      <c r="DUS32" s="2511"/>
      <c r="DUT32" s="2511"/>
      <c r="DUU32" s="2511"/>
      <c r="DUV32" s="2511"/>
      <c r="DUW32" s="2511"/>
      <c r="DUX32" s="2511"/>
      <c r="DUY32" s="2511"/>
      <c r="DUZ32" s="2511"/>
      <c r="DVA32" s="2511"/>
      <c r="DVB32" s="2511"/>
      <c r="DVC32" s="2511"/>
      <c r="DVD32" s="2511"/>
      <c r="DVE32" s="2511"/>
      <c r="DVF32" s="2511"/>
      <c r="DVG32" s="2511"/>
      <c r="DVH32" s="2511"/>
      <c r="DVI32" s="2511"/>
      <c r="DVJ32" s="2511"/>
      <c r="DVK32" s="2511"/>
      <c r="DVL32" s="2511"/>
      <c r="DVM32" s="2511"/>
      <c r="DVN32" s="2511"/>
      <c r="DVO32" s="2511"/>
      <c r="DVP32" s="2511"/>
      <c r="DVQ32" s="2511"/>
      <c r="DVR32" s="2511"/>
      <c r="DVS32" s="2511"/>
      <c r="DVT32" s="2511"/>
      <c r="DVU32" s="2511"/>
      <c r="DVV32" s="2511"/>
      <c r="DVW32" s="2511"/>
      <c r="DVX32" s="2511"/>
      <c r="DVY32" s="2511"/>
      <c r="DVZ32" s="2511"/>
      <c r="DWA32" s="2511"/>
      <c r="DWB32" s="2511"/>
      <c r="DWC32" s="2511"/>
      <c r="DWD32" s="2511"/>
      <c r="DWE32" s="2511"/>
      <c r="DWF32" s="2511"/>
      <c r="DWG32" s="2511"/>
      <c r="DWH32" s="2511"/>
      <c r="DWI32" s="2511"/>
      <c r="DWJ32" s="2511"/>
      <c r="DWK32" s="2511"/>
      <c r="DWL32" s="2511"/>
      <c r="DWM32" s="2511"/>
      <c r="DWN32" s="2511"/>
      <c r="DWO32" s="2511"/>
      <c r="DWP32" s="2511"/>
      <c r="DWQ32" s="2511"/>
      <c r="DWR32" s="2511"/>
      <c r="DWS32" s="2511"/>
      <c r="DWT32" s="2511"/>
      <c r="DWU32" s="2511"/>
      <c r="DWV32" s="2511"/>
      <c r="DWW32" s="2511"/>
      <c r="DWX32" s="2511"/>
      <c r="DWY32" s="2511"/>
      <c r="DWZ32" s="2511"/>
      <c r="DXA32" s="2511"/>
      <c r="DXB32" s="2511"/>
      <c r="DXC32" s="2511"/>
      <c r="DXD32" s="2511"/>
      <c r="DXE32" s="2511"/>
      <c r="DXF32" s="2511"/>
      <c r="DXG32" s="2511"/>
      <c r="DXH32" s="2511"/>
      <c r="DXI32" s="2511"/>
      <c r="DXJ32" s="2511"/>
      <c r="DXK32" s="2511"/>
      <c r="DXL32" s="2511"/>
      <c r="DXM32" s="2511"/>
      <c r="DXN32" s="2511"/>
      <c r="DXO32" s="2511"/>
      <c r="DXP32" s="2511"/>
      <c r="DXQ32" s="2511"/>
      <c r="DXR32" s="2511"/>
      <c r="DXS32" s="2511"/>
      <c r="DXT32" s="2511"/>
      <c r="DXU32" s="2511"/>
      <c r="DXV32" s="2511"/>
      <c r="DXW32" s="2511"/>
      <c r="DXX32" s="2511"/>
      <c r="DXY32" s="2511"/>
      <c r="DXZ32" s="2511"/>
      <c r="DYA32" s="2511"/>
      <c r="DYB32" s="2511"/>
      <c r="DYC32" s="2511"/>
      <c r="DYD32" s="2511"/>
      <c r="DYE32" s="2511"/>
      <c r="DYF32" s="2511"/>
      <c r="DYG32" s="2511"/>
      <c r="DYH32" s="2511"/>
      <c r="DYI32" s="2511"/>
      <c r="DYJ32" s="2511"/>
      <c r="DYK32" s="2511"/>
      <c r="DYL32" s="2511"/>
      <c r="DYM32" s="2511"/>
      <c r="DYN32" s="2511"/>
      <c r="DYO32" s="2511"/>
      <c r="DYP32" s="2511"/>
      <c r="DYQ32" s="2511"/>
      <c r="DYR32" s="2511"/>
      <c r="DYS32" s="2511"/>
      <c r="DYT32" s="2511"/>
      <c r="DYU32" s="2511"/>
      <c r="DYV32" s="2511"/>
      <c r="DYW32" s="2511"/>
      <c r="DYX32" s="2511"/>
      <c r="DYY32" s="2511"/>
      <c r="DYZ32" s="2511"/>
      <c r="DZA32" s="2511"/>
      <c r="DZB32" s="2511"/>
      <c r="DZC32" s="2511"/>
      <c r="DZD32" s="2511"/>
      <c r="DZE32" s="2511"/>
      <c r="DZF32" s="2511"/>
      <c r="DZG32" s="2511"/>
      <c r="DZH32" s="2511"/>
      <c r="DZI32" s="2511"/>
      <c r="DZJ32" s="2511"/>
      <c r="DZK32" s="2511"/>
      <c r="DZL32" s="2511"/>
      <c r="DZM32" s="2511"/>
      <c r="DZN32" s="2511"/>
      <c r="DZO32" s="2511"/>
      <c r="DZP32" s="2511"/>
      <c r="DZQ32" s="2511"/>
      <c r="DZR32" s="2511"/>
      <c r="DZS32" s="2511"/>
      <c r="DZT32" s="2511"/>
      <c r="DZU32" s="2511"/>
      <c r="DZV32" s="2511"/>
      <c r="DZW32" s="2511"/>
      <c r="DZX32" s="2511"/>
      <c r="DZY32" s="2511"/>
      <c r="DZZ32" s="2511"/>
      <c r="EAA32" s="2511"/>
      <c r="EAB32" s="2511"/>
      <c r="EAC32" s="2511"/>
      <c r="EAD32" s="2511"/>
      <c r="EAE32" s="2511"/>
      <c r="EAF32" s="2511"/>
      <c r="EAG32" s="2511"/>
      <c r="EAH32" s="2511"/>
      <c r="EAI32" s="2511"/>
      <c r="EAJ32" s="2511"/>
      <c r="EAK32" s="2511"/>
      <c r="EAL32" s="2511"/>
      <c r="EAM32" s="2511"/>
      <c r="EAN32" s="2511"/>
      <c r="EAO32" s="2511"/>
      <c r="EAP32" s="2511"/>
      <c r="EAQ32" s="2511"/>
      <c r="EAR32" s="2511"/>
      <c r="EAS32" s="2511"/>
      <c r="EAT32" s="2511"/>
      <c r="EAU32" s="2511"/>
      <c r="EAV32" s="2511"/>
      <c r="EAW32" s="2511"/>
      <c r="EAX32" s="2511"/>
      <c r="EAY32" s="2511"/>
      <c r="EAZ32" s="2511"/>
      <c r="EBA32" s="2511"/>
      <c r="EBB32" s="2511"/>
      <c r="EBC32" s="2511"/>
      <c r="EBD32" s="2511"/>
      <c r="EBE32" s="2511"/>
      <c r="EBF32" s="2511"/>
      <c r="EBG32" s="2511"/>
      <c r="EBH32" s="2511"/>
      <c r="EBI32" s="2511"/>
      <c r="EBJ32" s="2511"/>
      <c r="EBK32" s="2511"/>
      <c r="EBL32" s="2511"/>
      <c r="EBM32" s="2511"/>
      <c r="EBN32" s="2511"/>
      <c r="EBO32" s="2511"/>
      <c r="EBP32" s="2511"/>
      <c r="EBQ32" s="2511"/>
      <c r="EBR32" s="2511"/>
      <c r="EBS32" s="2511"/>
      <c r="EBT32" s="2511"/>
      <c r="EBU32" s="2511"/>
      <c r="EBV32" s="2511"/>
      <c r="EBW32" s="2511"/>
      <c r="EBX32" s="2511"/>
      <c r="EBY32" s="2511"/>
      <c r="EBZ32" s="2511"/>
      <c r="ECA32" s="2511"/>
      <c r="ECB32" s="2511"/>
      <c r="ECC32" s="2511"/>
      <c r="ECD32" s="2511"/>
      <c r="ECE32" s="2511"/>
      <c r="ECF32" s="2511"/>
      <c r="ECG32" s="2511"/>
      <c r="ECH32" s="2511"/>
      <c r="ECI32" s="2511"/>
      <c r="ECJ32" s="2511"/>
      <c r="ECK32" s="2511"/>
      <c r="ECL32" s="2511"/>
      <c r="ECM32" s="2511"/>
      <c r="ECN32" s="2511"/>
      <c r="ECO32" s="2511"/>
      <c r="ECP32" s="2511"/>
      <c r="ECQ32" s="2511"/>
      <c r="ECR32" s="2511"/>
      <c r="ECS32" s="2511"/>
      <c r="ECT32" s="2511"/>
      <c r="ECU32" s="2511"/>
      <c r="ECV32" s="2511"/>
      <c r="ECW32" s="2511"/>
      <c r="ECX32" s="2511"/>
      <c r="ECY32" s="2511"/>
      <c r="ECZ32" s="2511"/>
      <c r="EDA32" s="2511"/>
      <c r="EDB32" s="2511"/>
      <c r="EDC32" s="2511"/>
      <c r="EDD32" s="2511"/>
      <c r="EDE32" s="2511"/>
      <c r="EDF32" s="2511"/>
      <c r="EDG32" s="2511"/>
      <c r="EDH32" s="2511"/>
      <c r="EDI32" s="2511"/>
      <c r="EDJ32" s="2511"/>
      <c r="EDK32" s="2511"/>
      <c r="EDL32" s="2511"/>
      <c r="EDM32" s="2511"/>
      <c r="EDN32" s="2511"/>
      <c r="EDO32" s="2511"/>
      <c r="EDP32" s="2511"/>
      <c r="EDQ32" s="2511"/>
      <c r="EDR32" s="2511"/>
      <c r="EDS32" s="2511"/>
      <c r="EDT32" s="2511"/>
      <c r="EDU32" s="2511"/>
      <c r="EDV32" s="2511"/>
      <c r="EDW32" s="2511"/>
      <c r="EDX32" s="2511"/>
      <c r="EDY32" s="2511"/>
      <c r="EDZ32" s="2511"/>
      <c r="EEA32" s="2511"/>
      <c r="EEB32" s="2511"/>
      <c r="EEC32" s="2511"/>
      <c r="EED32" s="2511"/>
      <c r="EEE32" s="2511"/>
      <c r="EEF32" s="2511"/>
      <c r="EEG32" s="2511"/>
      <c r="EEH32" s="2511"/>
      <c r="EEI32" s="2511"/>
      <c r="EEJ32" s="2511"/>
      <c r="EEK32" s="2511"/>
      <c r="EEL32" s="2511"/>
      <c r="EEM32" s="2511"/>
      <c r="EEN32" s="2511"/>
      <c r="EEO32" s="2511"/>
      <c r="EEP32" s="2511"/>
      <c r="EEQ32" s="2511"/>
      <c r="EER32" s="2511"/>
      <c r="EES32" s="2511"/>
      <c r="EET32" s="2511"/>
      <c r="EEU32" s="2511"/>
      <c r="EEV32" s="2511"/>
      <c r="EEW32" s="2511"/>
      <c r="EEX32" s="2511"/>
      <c r="EEY32" s="2511"/>
      <c r="EEZ32" s="2511"/>
      <c r="EFA32" s="2511"/>
      <c r="EFB32" s="2511"/>
      <c r="EFC32" s="2511"/>
      <c r="EFD32" s="2511"/>
      <c r="EFE32" s="2511"/>
      <c r="EFF32" s="2511"/>
      <c r="EFG32" s="2511"/>
      <c r="EFH32" s="2511"/>
      <c r="EFI32" s="2511"/>
      <c r="EFJ32" s="2511"/>
      <c r="EFK32" s="2511"/>
      <c r="EFL32" s="2511"/>
      <c r="EFM32" s="2511"/>
      <c r="EFN32" s="2511"/>
      <c r="EFO32" s="2511"/>
      <c r="EFP32" s="2511"/>
      <c r="EFQ32" s="2511"/>
      <c r="EFR32" s="2511"/>
      <c r="EFS32" s="2511"/>
      <c r="EFT32" s="2511"/>
      <c r="EFU32" s="2511"/>
      <c r="EFV32" s="2511"/>
      <c r="EFW32" s="2511"/>
      <c r="EFX32" s="2511"/>
      <c r="EFY32" s="2511"/>
      <c r="EFZ32" s="2511"/>
      <c r="EGA32" s="2511"/>
      <c r="EGB32" s="2511"/>
      <c r="EGC32" s="2511"/>
      <c r="EGD32" s="2511"/>
      <c r="EGE32" s="2511"/>
      <c r="EGF32" s="2511"/>
      <c r="EGG32" s="2511"/>
      <c r="EGH32" s="2511"/>
      <c r="EGI32" s="2511"/>
      <c r="EGJ32" s="2511"/>
      <c r="EGK32" s="2511"/>
      <c r="EGL32" s="2511"/>
      <c r="EGM32" s="2511"/>
      <c r="EGN32" s="2511"/>
      <c r="EGO32" s="2511"/>
      <c r="EGP32" s="2511"/>
      <c r="EGQ32" s="2511"/>
      <c r="EGR32" s="2511"/>
      <c r="EGS32" s="2511"/>
      <c r="EGT32" s="2511"/>
      <c r="EGU32" s="2511"/>
      <c r="EGV32" s="2511"/>
      <c r="EGW32" s="2511"/>
      <c r="EGX32" s="2511"/>
      <c r="EGY32" s="2511"/>
      <c r="EGZ32" s="2511"/>
      <c r="EHA32" s="2511"/>
      <c r="EHB32" s="2511"/>
      <c r="EHC32" s="2511"/>
      <c r="EHD32" s="2511"/>
      <c r="EHE32" s="2511"/>
      <c r="EHF32" s="2511"/>
      <c r="EHG32" s="2511"/>
      <c r="EHH32" s="2511"/>
      <c r="EHI32" s="2511"/>
      <c r="EHJ32" s="2511"/>
      <c r="EHK32" s="2511"/>
      <c r="EHL32" s="2511"/>
      <c r="EHM32" s="2511"/>
      <c r="EHN32" s="2511"/>
      <c r="EHO32" s="2511"/>
      <c r="EHP32" s="2511"/>
      <c r="EHQ32" s="2511"/>
      <c r="EHR32" s="2511"/>
      <c r="EHS32" s="2511"/>
      <c r="EHT32" s="2511"/>
      <c r="EHU32" s="2511"/>
      <c r="EHV32" s="2511"/>
      <c r="EHW32" s="2511"/>
      <c r="EHX32" s="2511"/>
      <c r="EHY32" s="2511"/>
      <c r="EHZ32" s="2511"/>
      <c r="EIA32" s="2511"/>
      <c r="EIB32" s="2511"/>
      <c r="EIC32" s="2511"/>
      <c r="EID32" s="2511"/>
      <c r="EIE32" s="2511"/>
      <c r="EIF32" s="2511"/>
      <c r="EIG32" s="2511"/>
      <c r="EIH32" s="2511"/>
      <c r="EII32" s="2511"/>
      <c r="EIJ32" s="2511"/>
      <c r="EIK32" s="2511"/>
      <c r="EIL32" s="2511"/>
      <c r="EIM32" s="2511"/>
      <c r="EIN32" s="2511"/>
      <c r="EIO32" s="2511"/>
      <c r="EIP32" s="2511"/>
      <c r="EIQ32" s="2511"/>
      <c r="EIR32" s="2511"/>
      <c r="EIS32" s="2511"/>
      <c r="EIT32" s="2511"/>
      <c r="EIU32" s="2511"/>
      <c r="EIV32" s="2511"/>
      <c r="EIW32" s="2511"/>
      <c r="EIX32" s="2511"/>
      <c r="EIY32" s="2511"/>
      <c r="EIZ32" s="2511"/>
      <c r="EJA32" s="2511"/>
      <c r="EJB32" s="2511"/>
      <c r="EJC32" s="2511"/>
      <c r="EJD32" s="2511"/>
      <c r="EJE32" s="2511"/>
      <c r="EJF32" s="2511"/>
      <c r="EJG32" s="2511"/>
      <c r="EJH32" s="2511"/>
      <c r="EJI32" s="2511"/>
      <c r="EJJ32" s="2511"/>
      <c r="EJK32" s="2511"/>
      <c r="EJL32" s="2511"/>
      <c r="EJM32" s="2511"/>
      <c r="EJN32" s="2511"/>
      <c r="EJO32" s="2511"/>
      <c r="EJP32" s="2511"/>
      <c r="EJQ32" s="2511"/>
      <c r="EJR32" s="2511"/>
      <c r="EJS32" s="2511"/>
      <c r="EJT32" s="2511"/>
      <c r="EJU32" s="2511"/>
      <c r="EJV32" s="2511"/>
      <c r="EJW32" s="2511"/>
      <c r="EJX32" s="2511"/>
      <c r="EJY32" s="2511"/>
      <c r="EJZ32" s="2511"/>
      <c r="EKA32" s="2511"/>
      <c r="EKB32" s="2511"/>
      <c r="EKC32" s="2511"/>
      <c r="EKD32" s="2511"/>
      <c r="EKE32" s="2511"/>
      <c r="EKF32" s="2511"/>
      <c r="EKG32" s="2511"/>
      <c r="EKH32" s="2511"/>
      <c r="EKI32" s="2511"/>
      <c r="EKJ32" s="2511"/>
      <c r="EKK32" s="2511"/>
      <c r="EKL32" s="2511"/>
      <c r="EKM32" s="2511"/>
      <c r="EKN32" s="2511"/>
      <c r="EKO32" s="2511"/>
      <c r="EKP32" s="2511"/>
      <c r="EKQ32" s="2511"/>
      <c r="EKR32" s="2511"/>
      <c r="EKS32" s="2511"/>
      <c r="EKT32" s="2511"/>
      <c r="EKU32" s="2511"/>
      <c r="EKV32" s="2511"/>
      <c r="EKW32" s="2511"/>
      <c r="EKX32" s="2511"/>
      <c r="EKY32" s="2511"/>
      <c r="EKZ32" s="2511"/>
      <c r="ELA32" s="2511"/>
      <c r="ELB32" s="2511"/>
      <c r="ELC32" s="2511"/>
      <c r="ELD32" s="2511"/>
      <c r="ELE32" s="2511"/>
      <c r="ELF32" s="2511"/>
      <c r="ELG32" s="2511"/>
      <c r="ELH32" s="2511"/>
      <c r="ELI32" s="2511"/>
      <c r="ELJ32" s="2511"/>
      <c r="ELK32" s="2511"/>
      <c r="ELL32" s="2511"/>
      <c r="ELM32" s="2511"/>
      <c r="ELN32" s="2511"/>
      <c r="ELO32" s="2511"/>
      <c r="ELP32" s="2511"/>
      <c r="ELQ32" s="2511"/>
      <c r="ELR32" s="2511"/>
      <c r="ELS32" s="2511"/>
      <c r="ELT32" s="2511"/>
      <c r="ELU32" s="2511"/>
      <c r="ELV32" s="2511"/>
      <c r="ELW32" s="2511"/>
      <c r="ELX32" s="2511"/>
      <c r="ELY32" s="2511"/>
      <c r="ELZ32" s="2511"/>
      <c r="EMA32" s="2511"/>
      <c r="EMB32" s="2511"/>
      <c r="EMC32" s="2511"/>
      <c r="EMD32" s="2511"/>
      <c r="EME32" s="2511"/>
      <c r="EMF32" s="2511"/>
      <c r="EMG32" s="2511"/>
      <c r="EMH32" s="2511"/>
      <c r="EMI32" s="2511"/>
      <c r="EMJ32" s="2511"/>
      <c r="EMK32" s="2511"/>
      <c r="EML32" s="2511"/>
      <c r="EMM32" s="2511"/>
      <c r="EMN32" s="2511"/>
      <c r="EMO32" s="2511"/>
      <c r="EMP32" s="2511"/>
      <c r="EMQ32" s="2511"/>
      <c r="EMR32" s="2511"/>
      <c r="EMS32" s="2511"/>
      <c r="EMT32" s="2511"/>
      <c r="EMU32" s="2511"/>
      <c r="EMV32" s="2511"/>
      <c r="EMW32" s="2511"/>
      <c r="EMX32" s="2511"/>
      <c r="EMY32" s="2511"/>
      <c r="EMZ32" s="2511"/>
      <c r="ENA32" s="2511"/>
      <c r="ENB32" s="2511"/>
      <c r="ENC32" s="2511"/>
      <c r="END32" s="2511"/>
      <c r="ENE32" s="2511"/>
      <c r="ENF32" s="2511"/>
      <c r="ENG32" s="2511"/>
      <c r="ENH32" s="2511"/>
      <c r="ENI32" s="2511"/>
      <c r="ENJ32" s="2511"/>
      <c r="ENK32" s="2511"/>
      <c r="ENL32" s="2511"/>
      <c r="ENM32" s="2511"/>
      <c r="ENN32" s="2511"/>
      <c r="ENO32" s="2511"/>
      <c r="ENP32" s="2511"/>
      <c r="ENQ32" s="2511"/>
      <c r="ENR32" s="2511"/>
      <c r="ENS32" s="2511"/>
      <c r="ENT32" s="2511"/>
      <c r="ENU32" s="2511"/>
      <c r="ENV32" s="2511"/>
      <c r="ENW32" s="2511"/>
      <c r="ENX32" s="2511"/>
      <c r="ENY32" s="2511"/>
      <c r="ENZ32" s="2511"/>
      <c r="EOA32" s="2511"/>
      <c r="EOB32" s="2511"/>
      <c r="EOC32" s="2511"/>
      <c r="EOD32" s="2511"/>
      <c r="EOE32" s="2511"/>
      <c r="EOF32" s="2511"/>
      <c r="EOG32" s="2511"/>
      <c r="EOH32" s="2511"/>
      <c r="EOI32" s="2511"/>
      <c r="EOJ32" s="2511"/>
      <c r="EOK32" s="2511"/>
      <c r="EOL32" s="2511"/>
      <c r="EOM32" s="2511"/>
      <c r="EON32" s="2511"/>
      <c r="EOO32" s="2511"/>
      <c r="EOP32" s="2511"/>
      <c r="EOQ32" s="2511"/>
      <c r="EOR32" s="2511"/>
      <c r="EOS32" s="2511"/>
      <c r="EOT32" s="2511"/>
      <c r="EOU32" s="2511"/>
      <c r="EOV32" s="2511"/>
      <c r="EOW32" s="2511"/>
      <c r="EOX32" s="2511"/>
      <c r="EOY32" s="2511"/>
      <c r="EOZ32" s="2511"/>
      <c r="EPA32" s="2511"/>
      <c r="EPB32" s="2511"/>
      <c r="EPC32" s="2511"/>
      <c r="EPD32" s="2511"/>
      <c r="EPE32" s="2511"/>
      <c r="EPF32" s="2511"/>
      <c r="EPG32" s="2511"/>
      <c r="EPH32" s="2511"/>
      <c r="EPI32" s="2511"/>
      <c r="EPJ32" s="2511"/>
      <c r="EPK32" s="2511"/>
      <c r="EPL32" s="2511"/>
      <c r="EPM32" s="2511"/>
      <c r="EPN32" s="2511"/>
      <c r="EPO32" s="2511"/>
      <c r="EPP32" s="2511"/>
      <c r="EPQ32" s="2511"/>
      <c r="EPR32" s="2511"/>
      <c r="EPS32" s="2511"/>
      <c r="EPT32" s="2511"/>
      <c r="EPU32" s="2511"/>
      <c r="EPV32" s="2511"/>
      <c r="EPW32" s="2511"/>
      <c r="EPX32" s="2511"/>
      <c r="EPY32" s="2511"/>
      <c r="EPZ32" s="2511"/>
      <c r="EQA32" s="2511"/>
      <c r="EQB32" s="2511"/>
      <c r="EQC32" s="2511"/>
      <c r="EQD32" s="2511"/>
      <c r="EQE32" s="2511"/>
      <c r="EQF32" s="2511"/>
      <c r="EQG32" s="2511"/>
      <c r="EQH32" s="2511"/>
      <c r="EQI32" s="2511"/>
      <c r="EQJ32" s="2511"/>
      <c r="EQK32" s="2511"/>
      <c r="EQL32" s="2511"/>
      <c r="EQM32" s="2511"/>
      <c r="EQN32" s="2511"/>
      <c r="EQO32" s="2511"/>
      <c r="EQP32" s="2511"/>
      <c r="EQQ32" s="2511"/>
      <c r="EQR32" s="2511"/>
      <c r="EQS32" s="2511"/>
      <c r="EQT32" s="2511"/>
      <c r="EQU32" s="2511"/>
      <c r="EQV32" s="2511"/>
      <c r="EQW32" s="2511"/>
      <c r="EQX32" s="2511"/>
      <c r="EQY32" s="2511"/>
      <c r="EQZ32" s="2511"/>
      <c r="ERA32" s="2511"/>
      <c r="ERB32" s="2511"/>
      <c r="ERC32" s="2511"/>
      <c r="ERD32" s="2511"/>
      <c r="ERE32" s="2511"/>
      <c r="ERF32" s="2511"/>
      <c r="ERG32" s="2511"/>
      <c r="ERH32" s="2511"/>
      <c r="ERI32" s="2511"/>
      <c r="ERJ32" s="2511"/>
      <c r="ERK32" s="2511"/>
      <c r="ERL32" s="2511"/>
      <c r="ERM32" s="2511"/>
      <c r="ERN32" s="2511"/>
      <c r="ERO32" s="2511"/>
      <c r="ERP32" s="2511"/>
      <c r="ERQ32" s="2511"/>
      <c r="ERR32" s="2511"/>
      <c r="ERS32" s="2511"/>
      <c r="ERT32" s="2511"/>
      <c r="ERU32" s="2511"/>
      <c r="ERV32" s="2511"/>
      <c r="ERW32" s="2511"/>
      <c r="ERX32" s="2511"/>
      <c r="ERY32" s="2511"/>
      <c r="ERZ32" s="2511"/>
      <c r="ESA32" s="2511"/>
      <c r="ESB32" s="2511"/>
      <c r="ESC32" s="2511"/>
      <c r="ESD32" s="2511"/>
      <c r="ESE32" s="2511"/>
      <c r="ESF32" s="2511"/>
      <c r="ESG32" s="2511"/>
      <c r="ESH32" s="2511"/>
      <c r="ESI32" s="2511"/>
      <c r="ESJ32" s="2511"/>
      <c r="ESK32" s="2511"/>
      <c r="ESL32" s="2511"/>
      <c r="ESM32" s="2511"/>
      <c r="ESN32" s="2511"/>
      <c r="ESO32" s="2511"/>
      <c r="ESP32" s="2511"/>
      <c r="ESQ32" s="2511"/>
      <c r="ESR32" s="2511"/>
      <c r="ESS32" s="2511"/>
      <c r="EST32" s="2511"/>
      <c r="ESU32" s="2511"/>
      <c r="ESV32" s="2511"/>
      <c r="ESW32" s="2511"/>
      <c r="ESX32" s="2511"/>
      <c r="ESY32" s="2511"/>
      <c r="ESZ32" s="2511"/>
      <c r="ETA32" s="2511"/>
      <c r="ETB32" s="2511"/>
      <c r="ETC32" s="2511"/>
      <c r="ETD32" s="2511"/>
      <c r="ETE32" s="2511"/>
      <c r="ETF32" s="2511"/>
      <c r="ETG32" s="2511"/>
      <c r="ETH32" s="2511"/>
      <c r="ETI32" s="2511"/>
      <c r="ETJ32" s="2511"/>
      <c r="ETK32" s="2511"/>
      <c r="ETL32" s="2511"/>
      <c r="ETM32" s="2511"/>
      <c r="ETN32" s="2511"/>
      <c r="ETO32" s="2511"/>
      <c r="ETP32" s="2511"/>
      <c r="ETQ32" s="2511"/>
      <c r="ETR32" s="2511"/>
      <c r="ETS32" s="2511"/>
      <c r="ETT32" s="2511"/>
      <c r="ETU32" s="2511"/>
      <c r="ETV32" s="2511"/>
      <c r="ETW32" s="2511"/>
      <c r="ETX32" s="2511"/>
      <c r="ETY32" s="2511"/>
      <c r="ETZ32" s="2511"/>
      <c r="EUA32" s="2511"/>
      <c r="EUB32" s="2511"/>
      <c r="EUC32" s="2511"/>
      <c r="EUD32" s="2511"/>
      <c r="EUE32" s="2511"/>
      <c r="EUF32" s="2511"/>
      <c r="EUG32" s="2511"/>
      <c r="EUH32" s="2511"/>
      <c r="EUI32" s="2511"/>
      <c r="EUJ32" s="2511"/>
      <c r="EUK32" s="2511"/>
      <c r="EUL32" s="2511"/>
      <c r="EUM32" s="2511"/>
      <c r="EUN32" s="2511"/>
      <c r="EUO32" s="2511"/>
      <c r="EUP32" s="2511"/>
      <c r="EUQ32" s="2511"/>
      <c r="EUR32" s="2511"/>
      <c r="EUS32" s="2511"/>
      <c r="EUT32" s="2511"/>
      <c r="EUU32" s="2511"/>
      <c r="EUV32" s="2511"/>
      <c r="EUW32" s="2511"/>
      <c r="EUX32" s="2511"/>
      <c r="EUY32" s="2511"/>
      <c r="EUZ32" s="2511"/>
      <c r="EVA32" s="2511"/>
      <c r="EVB32" s="2511"/>
      <c r="EVC32" s="2511"/>
      <c r="EVD32" s="2511"/>
      <c r="EVE32" s="2511"/>
      <c r="EVF32" s="2511"/>
      <c r="EVG32" s="2511"/>
      <c r="EVH32" s="2511"/>
      <c r="EVI32" s="2511"/>
      <c r="EVJ32" s="2511"/>
      <c r="EVK32" s="2511"/>
      <c r="EVL32" s="2511"/>
      <c r="EVM32" s="2511"/>
      <c r="EVN32" s="2511"/>
      <c r="EVO32" s="2511"/>
      <c r="EVP32" s="2511"/>
      <c r="EVQ32" s="2511"/>
      <c r="EVR32" s="2511"/>
      <c r="EVS32" s="2511"/>
      <c r="EVT32" s="2511"/>
      <c r="EVU32" s="2511"/>
      <c r="EVV32" s="2511"/>
      <c r="EVW32" s="2511"/>
      <c r="EVX32" s="2511"/>
      <c r="EVY32" s="2511"/>
      <c r="EVZ32" s="2511"/>
      <c r="EWA32" s="2511"/>
      <c r="EWB32" s="2511"/>
      <c r="EWC32" s="2511"/>
      <c r="EWD32" s="2511"/>
      <c r="EWE32" s="2511"/>
      <c r="EWF32" s="2511"/>
      <c r="EWG32" s="2511"/>
      <c r="EWH32" s="2511"/>
      <c r="EWI32" s="2511"/>
      <c r="EWJ32" s="2511"/>
      <c r="EWK32" s="2511"/>
      <c r="EWL32" s="2511"/>
      <c r="EWM32" s="2511"/>
      <c r="EWN32" s="2511"/>
      <c r="EWO32" s="2511"/>
      <c r="EWP32" s="2511"/>
      <c r="EWQ32" s="2511"/>
      <c r="EWR32" s="2511"/>
      <c r="EWS32" s="2511"/>
      <c r="EWT32" s="2511"/>
      <c r="EWU32" s="2511"/>
      <c r="EWV32" s="2511"/>
      <c r="EWW32" s="2511"/>
      <c r="EWX32" s="2511"/>
      <c r="EWY32" s="2511"/>
      <c r="EWZ32" s="2511"/>
      <c r="EXA32" s="2511"/>
      <c r="EXB32" s="2511"/>
      <c r="EXC32" s="2511"/>
      <c r="EXD32" s="2511"/>
      <c r="EXE32" s="2511"/>
      <c r="EXF32" s="2511"/>
      <c r="EXG32" s="2511"/>
      <c r="EXH32" s="2511"/>
      <c r="EXI32" s="2511"/>
      <c r="EXJ32" s="2511"/>
      <c r="EXK32" s="2511"/>
      <c r="EXL32" s="2511"/>
      <c r="EXM32" s="2511"/>
      <c r="EXN32" s="2511"/>
      <c r="EXO32" s="2511"/>
      <c r="EXP32" s="2511"/>
      <c r="EXQ32" s="2511"/>
      <c r="EXR32" s="2511"/>
      <c r="EXS32" s="2511"/>
      <c r="EXT32" s="2511"/>
      <c r="EXU32" s="2511"/>
      <c r="EXV32" s="2511"/>
      <c r="EXW32" s="2511"/>
      <c r="EXX32" s="2511"/>
      <c r="EXY32" s="2511"/>
      <c r="EXZ32" s="2511"/>
      <c r="EYA32" s="2511"/>
      <c r="EYB32" s="2511"/>
      <c r="EYC32" s="2511"/>
      <c r="EYD32" s="2511"/>
      <c r="EYE32" s="2511"/>
      <c r="EYF32" s="2511"/>
      <c r="EYG32" s="2511"/>
      <c r="EYH32" s="2511"/>
      <c r="EYI32" s="2511"/>
      <c r="EYJ32" s="2511"/>
      <c r="EYK32" s="2511"/>
      <c r="EYL32" s="2511"/>
      <c r="EYM32" s="2511"/>
      <c r="EYN32" s="2511"/>
      <c r="EYO32" s="2511"/>
      <c r="EYP32" s="2511"/>
      <c r="EYQ32" s="2511"/>
      <c r="EYR32" s="2511"/>
      <c r="EYS32" s="2511"/>
      <c r="EYT32" s="2511"/>
      <c r="EYU32" s="2511"/>
      <c r="EYV32" s="2511"/>
      <c r="EYW32" s="2511"/>
      <c r="EYX32" s="2511"/>
      <c r="EYY32" s="2511"/>
      <c r="EYZ32" s="2511"/>
      <c r="EZA32" s="2511"/>
      <c r="EZB32" s="2511"/>
      <c r="EZC32" s="2511"/>
      <c r="EZD32" s="2511"/>
      <c r="EZE32" s="2511"/>
      <c r="EZF32" s="2511"/>
      <c r="EZG32" s="2511"/>
      <c r="EZH32" s="2511"/>
      <c r="EZI32" s="2511"/>
      <c r="EZJ32" s="2511"/>
      <c r="EZK32" s="2511"/>
      <c r="EZL32" s="2511"/>
      <c r="EZM32" s="2511"/>
      <c r="EZN32" s="2511"/>
      <c r="EZO32" s="2511"/>
      <c r="EZP32" s="2511"/>
      <c r="EZQ32" s="2511"/>
      <c r="EZR32" s="2511"/>
      <c r="EZS32" s="2511"/>
      <c r="EZT32" s="2511"/>
      <c r="EZU32" s="2511"/>
      <c r="EZV32" s="2511"/>
      <c r="EZW32" s="2511"/>
      <c r="EZX32" s="2511"/>
      <c r="EZY32" s="2511"/>
      <c r="EZZ32" s="2511"/>
      <c r="FAA32" s="2511"/>
      <c r="FAB32" s="2511"/>
      <c r="FAC32" s="2511"/>
      <c r="FAD32" s="2511"/>
      <c r="FAE32" s="2511"/>
      <c r="FAF32" s="2511"/>
      <c r="FAG32" s="2511"/>
      <c r="FAH32" s="2511"/>
      <c r="FAI32" s="2511"/>
      <c r="FAJ32" s="2511"/>
      <c r="FAK32" s="2511"/>
      <c r="FAL32" s="2511"/>
      <c r="FAM32" s="2511"/>
      <c r="FAN32" s="2511"/>
      <c r="FAO32" s="2511"/>
      <c r="FAP32" s="2511"/>
      <c r="FAQ32" s="2511"/>
      <c r="FAR32" s="2511"/>
      <c r="FAS32" s="2511"/>
      <c r="FAT32" s="2511"/>
      <c r="FAU32" s="2511"/>
      <c r="FAV32" s="2511"/>
      <c r="FAW32" s="2511"/>
      <c r="FAX32" s="2511"/>
      <c r="FAY32" s="2511"/>
      <c r="FAZ32" s="2511"/>
      <c r="FBA32" s="2511"/>
      <c r="FBB32" s="2511"/>
      <c r="FBC32" s="2511"/>
      <c r="FBD32" s="2511"/>
      <c r="FBE32" s="2511"/>
      <c r="FBF32" s="2511"/>
      <c r="FBG32" s="2511"/>
      <c r="FBH32" s="2511"/>
      <c r="FBI32" s="2511"/>
      <c r="FBJ32" s="2511"/>
      <c r="FBK32" s="2511"/>
      <c r="FBL32" s="2511"/>
      <c r="FBM32" s="2511"/>
      <c r="FBN32" s="2511"/>
      <c r="FBO32" s="2511"/>
      <c r="FBP32" s="2511"/>
      <c r="FBQ32" s="2511"/>
      <c r="FBR32" s="2511"/>
      <c r="FBS32" s="2511"/>
      <c r="FBT32" s="2511"/>
      <c r="FBU32" s="2511"/>
      <c r="FBV32" s="2511"/>
      <c r="FBW32" s="2511"/>
      <c r="FBX32" s="2511"/>
      <c r="FBY32" s="2511"/>
      <c r="FBZ32" s="2511"/>
      <c r="FCA32" s="2511"/>
      <c r="FCB32" s="2511"/>
      <c r="FCC32" s="2511"/>
      <c r="FCD32" s="2511"/>
      <c r="FCE32" s="2511"/>
      <c r="FCF32" s="2511"/>
      <c r="FCG32" s="2511"/>
      <c r="FCH32" s="2511"/>
      <c r="FCI32" s="2511"/>
      <c r="FCJ32" s="2511"/>
      <c r="FCK32" s="2511"/>
      <c r="FCL32" s="2511"/>
      <c r="FCM32" s="2511"/>
      <c r="FCN32" s="2511"/>
      <c r="FCO32" s="2511"/>
      <c r="FCP32" s="2511"/>
      <c r="FCQ32" s="2511"/>
      <c r="FCR32" s="2511"/>
      <c r="FCS32" s="2511"/>
      <c r="FCT32" s="2511"/>
      <c r="FCU32" s="2511"/>
      <c r="FCV32" s="2511"/>
      <c r="FCW32" s="2511"/>
      <c r="FCX32" s="2511"/>
      <c r="FCY32" s="2511"/>
      <c r="FCZ32" s="2511"/>
      <c r="FDA32" s="2511"/>
      <c r="FDB32" s="2511"/>
      <c r="FDC32" s="2511"/>
      <c r="FDD32" s="2511"/>
      <c r="FDE32" s="2511"/>
      <c r="FDF32" s="2511"/>
      <c r="FDG32" s="2511"/>
      <c r="FDH32" s="2511"/>
      <c r="FDI32" s="2511"/>
      <c r="FDJ32" s="2511"/>
      <c r="FDK32" s="2511"/>
      <c r="FDL32" s="2511"/>
      <c r="FDM32" s="2511"/>
      <c r="FDN32" s="2511"/>
      <c r="FDO32" s="2511"/>
      <c r="FDP32" s="2511"/>
      <c r="FDQ32" s="2511"/>
      <c r="FDR32" s="2511"/>
      <c r="FDS32" s="2511"/>
      <c r="FDT32" s="2511"/>
      <c r="FDU32" s="2511"/>
      <c r="FDV32" s="2511"/>
      <c r="FDW32" s="2511"/>
      <c r="FDX32" s="2511"/>
      <c r="FDY32" s="2511"/>
      <c r="FDZ32" s="2511"/>
      <c r="FEA32" s="2511"/>
      <c r="FEB32" s="2511"/>
      <c r="FEC32" s="2511"/>
      <c r="FED32" s="2511"/>
      <c r="FEE32" s="2511"/>
      <c r="FEF32" s="2511"/>
      <c r="FEG32" s="2511"/>
      <c r="FEH32" s="2511"/>
      <c r="FEI32" s="2511"/>
      <c r="FEJ32" s="2511"/>
      <c r="FEK32" s="2511"/>
      <c r="FEL32" s="2511"/>
      <c r="FEM32" s="2511"/>
      <c r="FEN32" s="2511"/>
      <c r="FEO32" s="2511"/>
      <c r="FEP32" s="2511"/>
      <c r="FEQ32" s="2511"/>
      <c r="FER32" s="2511"/>
      <c r="FES32" s="2511"/>
      <c r="FET32" s="2511"/>
      <c r="FEU32" s="2511"/>
      <c r="FEV32" s="2511"/>
      <c r="FEW32" s="2511"/>
      <c r="FEX32" s="2511"/>
      <c r="FEY32" s="2511"/>
      <c r="FEZ32" s="2511"/>
      <c r="FFA32" s="2511"/>
      <c r="FFB32" s="2511"/>
      <c r="FFC32" s="2511"/>
      <c r="FFD32" s="2511"/>
      <c r="FFE32" s="2511"/>
      <c r="FFF32" s="2511"/>
      <c r="FFG32" s="2511"/>
      <c r="FFH32" s="2511"/>
      <c r="FFI32" s="2511"/>
      <c r="FFJ32" s="2511"/>
      <c r="FFK32" s="2511"/>
      <c r="FFL32" s="2511"/>
      <c r="FFM32" s="2511"/>
      <c r="FFN32" s="2511"/>
      <c r="FFO32" s="2511"/>
      <c r="FFP32" s="2511"/>
      <c r="FFQ32" s="2511"/>
      <c r="FFR32" s="2511"/>
      <c r="FFS32" s="2511"/>
      <c r="FFT32" s="2511"/>
      <c r="FFU32" s="2511"/>
      <c r="FFV32" s="2511"/>
      <c r="FFW32" s="2511"/>
      <c r="FFX32" s="2511"/>
      <c r="FFY32" s="2511"/>
      <c r="FFZ32" s="2511"/>
      <c r="FGA32" s="2511"/>
      <c r="FGB32" s="2511"/>
      <c r="FGC32" s="2511"/>
      <c r="FGD32" s="2511"/>
      <c r="FGE32" s="2511"/>
      <c r="FGF32" s="2511"/>
      <c r="FGG32" s="2511"/>
      <c r="FGH32" s="2511"/>
      <c r="FGI32" s="2511"/>
      <c r="FGJ32" s="2511"/>
      <c r="FGK32" s="2511"/>
      <c r="FGL32" s="2511"/>
      <c r="FGM32" s="2511"/>
      <c r="FGN32" s="2511"/>
      <c r="FGO32" s="2511"/>
      <c r="FGP32" s="2511"/>
      <c r="FGQ32" s="2511"/>
      <c r="FGR32" s="2511"/>
      <c r="FGS32" s="2511"/>
      <c r="FGT32" s="2511"/>
      <c r="FGU32" s="2511"/>
      <c r="FGV32" s="2511"/>
      <c r="FGW32" s="2511"/>
      <c r="FGX32" s="2511"/>
      <c r="FGY32" s="2511"/>
      <c r="FGZ32" s="2511"/>
      <c r="FHA32" s="2511"/>
      <c r="FHB32" s="2511"/>
      <c r="FHC32" s="2511"/>
      <c r="FHD32" s="2511"/>
      <c r="FHE32" s="2511"/>
      <c r="FHF32" s="2511"/>
      <c r="FHG32" s="2511"/>
      <c r="FHH32" s="2511"/>
      <c r="FHI32" s="2511"/>
      <c r="FHJ32" s="2511"/>
      <c r="FHK32" s="2511"/>
      <c r="FHL32" s="2511"/>
      <c r="FHM32" s="2511"/>
      <c r="FHN32" s="2511"/>
      <c r="FHO32" s="2511"/>
      <c r="FHP32" s="2511"/>
      <c r="FHQ32" s="2511"/>
      <c r="FHR32" s="2511"/>
      <c r="FHS32" s="2511"/>
      <c r="FHT32" s="2511"/>
      <c r="FHU32" s="2511"/>
      <c r="FHV32" s="2511"/>
      <c r="FHW32" s="2511"/>
      <c r="FHX32" s="2511"/>
      <c r="FHY32" s="2511"/>
      <c r="FHZ32" s="2511"/>
      <c r="FIA32" s="2511"/>
      <c r="FIB32" s="2511"/>
      <c r="FIC32" s="2511"/>
      <c r="FID32" s="2511"/>
      <c r="FIE32" s="2511"/>
      <c r="FIF32" s="2511"/>
      <c r="FIG32" s="2511"/>
      <c r="FIH32" s="2511"/>
      <c r="FII32" s="2511"/>
      <c r="FIJ32" s="2511"/>
      <c r="FIK32" s="2511"/>
      <c r="FIL32" s="2511"/>
      <c r="FIM32" s="2511"/>
      <c r="FIN32" s="2511"/>
      <c r="FIO32" s="2511"/>
      <c r="FIP32" s="2511"/>
      <c r="FIQ32" s="2511"/>
      <c r="FIR32" s="2511"/>
      <c r="FIS32" s="2511"/>
      <c r="FIT32" s="2511"/>
      <c r="FIU32" s="2511"/>
      <c r="FIV32" s="2511"/>
      <c r="FIW32" s="2511"/>
      <c r="FIX32" s="2511"/>
      <c r="FIY32" s="2511"/>
      <c r="FIZ32" s="2511"/>
      <c r="FJA32" s="2511"/>
      <c r="FJB32" s="2511"/>
      <c r="FJC32" s="2511"/>
      <c r="FJD32" s="2511"/>
      <c r="FJE32" s="2511"/>
      <c r="FJF32" s="2511"/>
      <c r="FJG32" s="2511"/>
      <c r="FJH32" s="2511"/>
      <c r="FJI32" s="2511"/>
      <c r="FJJ32" s="2511"/>
      <c r="FJK32" s="2511"/>
      <c r="FJL32" s="2511"/>
      <c r="FJM32" s="2511"/>
      <c r="FJN32" s="2511"/>
      <c r="FJO32" s="2511"/>
      <c r="FJP32" s="2511"/>
      <c r="FJQ32" s="2511"/>
      <c r="FJR32" s="2511"/>
      <c r="FJS32" s="2511"/>
      <c r="FJT32" s="2511"/>
      <c r="FJU32" s="2511"/>
      <c r="FJV32" s="2511"/>
      <c r="FJW32" s="2511"/>
      <c r="FJX32" s="2511"/>
      <c r="FJY32" s="2511"/>
      <c r="FJZ32" s="2511"/>
      <c r="FKA32" s="2511"/>
      <c r="FKB32" s="2511"/>
      <c r="FKC32" s="2511"/>
      <c r="FKD32" s="2511"/>
      <c r="FKE32" s="2511"/>
      <c r="FKF32" s="2511"/>
      <c r="FKG32" s="2511"/>
      <c r="FKH32" s="2511"/>
      <c r="FKI32" s="2511"/>
      <c r="FKJ32" s="2511"/>
      <c r="FKK32" s="2511"/>
      <c r="FKL32" s="2511"/>
      <c r="FKM32" s="2511"/>
      <c r="FKN32" s="2511"/>
      <c r="FKO32" s="2511"/>
      <c r="FKP32" s="2511"/>
      <c r="FKQ32" s="2511"/>
      <c r="FKR32" s="2511"/>
      <c r="FKS32" s="2511"/>
      <c r="FKT32" s="2511"/>
      <c r="FKU32" s="2511"/>
      <c r="FKV32" s="2511"/>
      <c r="FKW32" s="2511"/>
      <c r="FKX32" s="2511"/>
      <c r="FKY32" s="2511"/>
      <c r="FKZ32" s="2511"/>
      <c r="FLA32" s="2511"/>
      <c r="FLB32" s="2511"/>
      <c r="FLC32" s="2511"/>
      <c r="FLD32" s="2511"/>
      <c r="FLE32" s="2511"/>
      <c r="FLF32" s="2511"/>
      <c r="FLG32" s="2511"/>
      <c r="FLH32" s="2511"/>
      <c r="FLI32" s="2511"/>
      <c r="FLJ32" s="2511"/>
      <c r="FLK32" s="2511"/>
      <c r="FLL32" s="2511"/>
      <c r="FLM32" s="2511"/>
      <c r="FLN32" s="2511"/>
      <c r="FLO32" s="2511"/>
      <c r="FLP32" s="2511"/>
      <c r="FLQ32" s="2511"/>
      <c r="FLR32" s="2511"/>
      <c r="FLS32" s="2511"/>
      <c r="FLT32" s="2511"/>
      <c r="FLU32" s="2511"/>
      <c r="FLV32" s="2511"/>
      <c r="FLW32" s="2511"/>
      <c r="FLX32" s="2511"/>
      <c r="FLY32" s="2511"/>
      <c r="FLZ32" s="2511"/>
      <c r="FMA32" s="2511"/>
      <c r="FMB32" s="2511"/>
      <c r="FMC32" s="2511"/>
      <c r="FMD32" s="2511"/>
      <c r="FME32" s="2511"/>
      <c r="FMF32" s="2511"/>
      <c r="FMG32" s="2511"/>
      <c r="FMH32" s="2511"/>
      <c r="FMI32" s="2511"/>
      <c r="FMJ32" s="2511"/>
      <c r="FMK32" s="2511"/>
      <c r="FML32" s="2511"/>
      <c r="FMM32" s="2511"/>
      <c r="FMN32" s="2511"/>
      <c r="FMO32" s="2511"/>
      <c r="FMP32" s="2511"/>
      <c r="FMQ32" s="2511"/>
      <c r="FMR32" s="2511"/>
      <c r="FMS32" s="2511"/>
      <c r="FMT32" s="2511"/>
      <c r="FMU32" s="2511"/>
      <c r="FMV32" s="2511"/>
      <c r="FMW32" s="2511"/>
      <c r="FMX32" s="2511"/>
      <c r="FMY32" s="2511"/>
      <c r="FMZ32" s="2511"/>
      <c r="FNA32" s="2511"/>
      <c r="FNB32" s="2511"/>
      <c r="FNC32" s="2511"/>
      <c r="FND32" s="2511"/>
      <c r="FNE32" s="2511"/>
      <c r="FNF32" s="2511"/>
      <c r="FNG32" s="2511"/>
      <c r="FNH32" s="2511"/>
      <c r="FNI32" s="2511"/>
      <c r="FNJ32" s="2511"/>
      <c r="FNK32" s="2511"/>
      <c r="FNL32" s="2511"/>
      <c r="FNM32" s="2511"/>
      <c r="FNN32" s="2511"/>
      <c r="FNO32" s="2511"/>
      <c r="FNP32" s="2511"/>
      <c r="FNQ32" s="2511"/>
      <c r="FNR32" s="2511"/>
      <c r="FNS32" s="2511"/>
      <c r="FNT32" s="2511"/>
      <c r="FNU32" s="2511"/>
      <c r="FNV32" s="2511"/>
      <c r="FNW32" s="2511"/>
      <c r="FNX32" s="2511"/>
      <c r="FNY32" s="2511"/>
      <c r="FNZ32" s="2511"/>
      <c r="FOA32" s="2511"/>
      <c r="FOB32" s="2511"/>
      <c r="FOC32" s="2511"/>
      <c r="FOD32" s="2511"/>
      <c r="FOE32" s="2511"/>
      <c r="FOF32" s="2511"/>
      <c r="FOG32" s="2511"/>
      <c r="FOH32" s="2511"/>
      <c r="FOI32" s="2511"/>
      <c r="FOJ32" s="2511"/>
      <c r="FOK32" s="2511"/>
      <c r="FOL32" s="2511"/>
      <c r="FOM32" s="2511"/>
      <c r="FON32" s="2511"/>
      <c r="FOO32" s="2511"/>
      <c r="FOP32" s="2511"/>
      <c r="FOQ32" s="2511"/>
      <c r="FOR32" s="2511"/>
      <c r="FOS32" s="2511"/>
      <c r="FOT32" s="2511"/>
      <c r="FOU32" s="2511"/>
      <c r="FOV32" s="2511"/>
      <c r="FOW32" s="2511"/>
      <c r="FOX32" s="2511"/>
      <c r="FOY32" s="2511"/>
      <c r="FOZ32" s="2511"/>
      <c r="FPA32" s="2511"/>
      <c r="FPB32" s="2511"/>
      <c r="FPC32" s="2511"/>
      <c r="FPD32" s="2511"/>
      <c r="FPE32" s="2511"/>
      <c r="FPF32" s="2511"/>
      <c r="FPG32" s="2511"/>
      <c r="FPH32" s="2511"/>
      <c r="FPI32" s="2511"/>
      <c r="FPJ32" s="2511"/>
      <c r="FPK32" s="2511"/>
      <c r="FPL32" s="2511"/>
      <c r="FPM32" s="2511"/>
      <c r="FPN32" s="2511"/>
      <c r="FPO32" s="2511"/>
      <c r="FPP32" s="2511"/>
      <c r="FPQ32" s="2511"/>
      <c r="FPR32" s="2511"/>
      <c r="FPS32" s="2511"/>
      <c r="FPT32" s="2511"/>
      <c r="FPU32" s="2511"/>
      <c r="FPV32" s="2511"/>
      <c r="FPW32" s="2511"/>
      <c r="FPX32" s="2511"/>
      <c r="FPY32" s="2511"/>
      <c r="FPZ32" s="2511"/>
      <c r="FQA32" s="2511"/>
      <c r="FQB32" s="2511"/>
      <c r="FQC32" s="2511"/>
      <c r="FQD32" s="2511"/>
      <c r="FQE32" s="2511"/>
      <c r="FQF32" s="2511"/>
      <c r="FQG32" s="2511"/>
      <c r="FQH32" s="2511"/>
      <c r="FQI32" s="2511"/>
      <c r="FQJ32" s="2511"/>
      <c r="FQK32" s="2511"/>
      <c r="FQL32" s="2511"/>
      <c r="FQM32" s="2511"/>
      <c r="FQN32" s="2511"/>
      <c r="FQO32" s="2511"/>
      <c r="FQP32" s="2511"/>
      <c r="FQQ32" s="2511"/>
      <c r="FQR32" s="2511"/>
      <c r="FQS32" s="2511"/>
      <c r="FQT32" s="2511"/>
      <c r="FQU32" s="2511"/>
      <c r="FQV32" s="2511"/>
      <c r="FQW32" s="2511"/>
      <c r="FQX32" s="2511"/>
      <c r="FQY32" s="2511"/>
      <c r="FQZ32" s="2511"/>
      <c r="FRA32" s="2511"/>
      <c r="FRB32" s="2511"/>
      <c r="FRC32" s="2511"/>
      <c r="FRD32" s="2511"/>
      <c r="FRE32" s="2511"/>
      <c r="FRF32" s="2511"/>
      <c r="FRG32" s="2511"/>
      <c r="FRH32" s="2511"/>
      <c r="FRI32" s="2511"/>
      <c r="FRJ32" s="2511"/>
      <c r="FRK32" s="2511"/>
      <c r="FRL32" s="2511"/>
      <c r="FRM32" s="2511"/>
      <c r="FRN32" s="2511"/>
      <c r="FRO32" s="2511"/>
      <c r="FRP32" s="2511"/>
      <c r="FRQ32" s="2511"/>
      <c r="FRR32" s="2511"/>
      <c r="FRS32" s="2511"/>
      <c r="FRT32" s="2511"/>
      <c r="FRU32" s="2511"/>
      <c r="FRV32" s="2511"/>
      <c r="FRW32" s="2511"/>
      <c r="FRX32" s="2511"/>
      <c r="FRY32" s="2511"/>
      <c r="FRZ32" s="2511"/>
      <c r="FSA32" s="2511"/>
      <c r="FSB32" s="2511"/>
      <c r="FSC32" s="2511"/>
      <c r="FSD32" s="2511"/>
      <c r="FSE32" s="2511"/>
      <c r="FSF32" s="2511"/>
      <c r="FSG32" s="2511"/>
      <c r="FSH32" s="2511"/>
      <c r="FSI32" s="2511"/>
      <c r="FSJ32" s="2511"/>
      <c r="FSK32" s="2511"/>
      <c r="FSL32" s="2511"/>
      <c r="FSM32" s="2511"/>
      <c r="FSN32" s="2511"/>
      <c r="FSO32" s="2511"/>
      <c r="FSP32" s="2511"/>
      <c r="FSQ32" s="2511"/>
      <c r="FSR32" s="2511"/>
      <c r="FSS32" s="2511"/>
      <c r="FST32" s="2511"/>
      <c r="FSU32" s="2511"/>
      <c r="FSV32" s="2511"/>
      <c r="FSW32" s="2511"/>
      <c r="FSX32" s="2511"/>
      <c r="FSY32" s="2511"/>
      <c r="FSZ32" s="2511"/>
      <c r="FTA32" s="2511"/>
      <c r="FTB32" s="2511"/>
      <c r="FTC32" s="2511"/>
      <c r="FTD32" s="2511"/>
      <c r="FTE32" s="2511"/>
      <c r="FTF32" s="2511"/>
      <c r="FTG32" s="2511"/>
      <c r="FTH32" s="2511"/>
      <c r="FTI32" s="2511"/>
      <c r="FTJ32" s="2511"/>
      <c r="FTK32" s="2511"/>
      <c r="FTL32" s="2511"/>
      <c r="FTM32" s="2511"/>
      <c r="FTN32" s="2511"/>
      <c r="FTO32" s="2511"/>
      <c r="FTP32" s="2511"/>
      <c r="FTQ32" s="2511"/>
      <c r="FTR32" s="2511"/>
      <c r="FTS32" s="2511"/>
      <c r="FTT32" s="2511"/>
      <c r="FTU32" s="2511"/>
      <c r="FTV32" s="2511"/>
      <c r="FTW32" s="2511"/>
      <c r="FTX32" s="2511"/>
      <c r="FTY32" s="2511"/>
      <c r="FTZ32" s="2511"/>
      <c r="FUA32" s="2511"/>
      <c r="FUB32" s="2511"/>
      <c r="FUC32" s="2511"/>
      <c r="FUD32" s="2511"/>
      <c r="FUE32" s="2511"/>
      <c r="FUF32" s="2511"/>
      <c r="FUG32" s="2511"/>
      <c r="FUH32" s="2511"/>
      <c r="FUI32" s="2511"/>
      <c r="FUJ32" s="2511"/>
      <c r="FUK32" s="2511"/>
      <c r="FUL32" s="2511"/>
      <c r="FUM32" s="2511"/>
      <c r="FUN32" s="2511"/>
      <c r="FUO32" s="2511"/>
      <c r="FUP32" s="2511"/>
      <c r="FUQ32" s="2511"/>
      <c r="FUR32" s="2511"/>
      <c r="FUS32" s="2511"/>
      <c r="FUT32" s="2511"/>
      <c r="FUU32" s="2511"/>
      <c r="FUV32" s="2511"/>
      <c r="FUW32" s="2511"/>
      <c r="FUX32" s="2511"/>
      <c r="FUY32" s="2511"/>
      <c r="FUZ32" s="2511"/>
      <c r="FVA32" s="2511"/>
      <c r="FVB32" s="2511"/>
      <c r="FVC32" s="2511"/>
      <c r="FVD32" s="2511"/>
      <c r="FVE32" s="2511"/>
      <c r="FVF32" s="2511"/>
      <c r="FVG32" s="2511"/>
      <c r="FVH32" s="2511"/>
      <c r="FVI32" s="2511"/>
      <c r="FVJ32" s="2511"/>
      <c r="FVK32" s="2511"/>
      <c r="FVL32" s="2511"/>
      <c r="FVM32" s="2511"/>
      <c r="FVN32" s="2511"/>
      <c r="FVO32" s="2511"/>
      <c r="FVP32" s="2511"/>
      <c r="FVQ32" s="2511"/>
      <c r="FVR32" s="2511"/>
      <c r="FVS32" s="2511"/>
      <c r="FVT32" s="2511"/>
      <c r="FVU32" s="2511"/>
      <c r="FVV32" s="2511"/>
      <c r="FVW32" s="2511"/>
      <c r="FVX32" s="2511"/>
      <c r="FVY32" s="2511"/>
      <c r="FVZ32" s="2511"/>
      <c r="FWA32" s="2511"/>
      <c r="FWB32" s="2511"/>
      <c r="FWC32" s="2511"/>
      <c r="FWD32" s="2511"/>
      <c r="FWE32" s="2511"/>
      <c r="FWF32" s="2511"/>
      <c r="FWG32" s="2511"/>
      <c r="FWH32" s="2511"/>
      <c r="FWI32" s="2511"/>
      <c r="FWJ32" s="2511"/>
      <c r="FWK32" s="2511"/>
      <c r="FWL32" s="2511"/>
      <c r="FWM32" s="2511"/>
      <c r="FWN32" s="2511"/>
      <c r="FWO32" s="2511"/>
      <c r="FWP32" s="2511"/>
      <c r="FWQ32" s="2511"/>
      <c r="FWR32" s="2511"/>
      <c r="FWS32" s="2511"/>
      <c r="FWT32" s="2511"/>
      <c r="FWU32" s="2511"/>
      <c r="FWV32" s="2511"/>
      <c r="FWW32" s="2511"/>
      <c r="FWX32" s="2511"/>
      <c r="FWY32" s="2511"/>
      <c r="FWZ32" s="2511"/>
      <c r="FXA32" s="2511"/>
      <c r="FXB32" s="2511"/>
      <c r="FXC32" s="2511"/>
      <c r="FXD32" s="2511"/>
      <c r="FXE32" s="2511"/>
      <c r="FXF32" s="2511"/>
      <c r="FXG32" s="2511"/>
      <c r="FXH32" s="2511"/>
      <c r="FXI32" s="2511"/>
      <c r="FXJ32" s="2511"/>
      <c r="FXK32" s="2511"/>
      <c r="FXL32" s="2511"/>
      <c r="FXM32" s="2511"/>
      <c r="FXN32" s="2511"/>
      <c r="FXO32" s="2511"/>
      <c r="FXP32" s="2511"/>
      <c r="FXQ32" s="2511"/>
      <c r="FXR32" s="2511"/>
      <c r="FXS32" s="2511"/>
      <c r="FXT32" s="2511"/>
      <c r="FXU32" s="2511"/>
      <c r="FXV32" s="2511"/>
      <c r="FXW32" s="2511"/>
      <c r="FXX32" s="2511"/>
      <c r="FXY32" s="2511"/>
      <c r="FXZ32" s="2511"/>
      <c r="FYA32" s="2511"/>
      <c r="FYB32" s="2511"/>
      <c r="FYC32" s="2511"/>
      <c r="FYD32" s="2511"/>
      <c r="FYE32" s="2511"/>
      <c r="FYF32" s="2511"/>
      <c r="FYG32" s="2511"/>
      <c r="FYH32" s="2511"/>
      <c r="FYI32" s="2511"/>
      <c r="FYJ32" s="2511"/>
      <c r="FYK32" s="2511"/>
      <c r="FYL32" s="2511"/>
      <c r="FYM32" s="2511"/>
      <c r="FYN32" s="2511"/>
      <c r="FYO32" s="2511"/>
      <c r="FYP32" s="2511"/>
      <c r="FYQ32" s="2511"/>
      <c r="FYR32" s="2511"/>
      <c r="FYS32" s="2511"/>
      <c r="FYT32" s="2511"/>
      <c r="FYU32" s="2511"/>
      <c r="FYV32" s="2511"/>
      <c r="FYW32" s="2511"/>
      <c r="FYX32" s="2511"/>
      <c r="FYY32" s="2511"/>
      <c r="FYZ32" s="2511"/>
      <c r="FZA32" s="2511"/>
      <c r="FZB32" s="2511"/>
      <c r="FZC32" s="2511"/>
      <c r="FZD32" s="2511"/>
      <c r="FZE32" s="2511"/>
      <c r="FZF32" s="2511"/>
      <c r="FZG32" s="2511"/>
      <c r="FZH32" s="2511"/>
      <c r="FZI32" s="2511"/>
      <c r="FZJ32" s="2511"/>
      <c r="FZK32" s="2511"/>
      <c r="FZL32" s="2511"/>
      <c r="FZM32" s="2511"/>
      <c r="FZN32" s="2511"/>
      <c r="FZO32" s="2511"/>
      <c r="FZP32" s="2511"/>
      <c r="FZQ32" s="2511"/>
      <c r="FZR32" s="2511"/>
      <c r="FZS32" s="2511"/>
      <c r="FZT32" s="2511"/>
      <c r="FZU32" s="2511"/>
      <c r="FZV32" s="2511"/>
      <c r="FZW32" s="2511"/>
      <c r="FZX32" s="2511"/>
      <c r="FZY32" s="2511"/>
      <c r="FZZ32" s="2511"/>
      <c r="GAA32" s="2511"/>
      <c r="GAB32" s="2511"/>
      <c r="GAC32" s="2511"/>
      <c r="GAD32" s="2511"/>
      <c r="GAE32" s="2511"/>
      <c r="GAF32" s="2511"/>
      <c r="GAG32" s="2511"/>
      <c r="GAH32" s="2511"/>
      <c r="GAI32" s="2511"/>
      <c r="GAJ32" s="2511"/>
      <c r="GAK32" s="2511"/>
      <c r="GAL32" s="2511"/>
      <c r="GAM32" s="2511"/>
      <c r="GAN32" s="2511"/>
      <c r="GAO32" s="2511"/>
      <c r="GAP32" s="2511"/>
      <c r="GAQ32" s="2511"/>
      <c r="GAR32" s="2511"/>
      <c r="GAS32" s="2511"/>
      <c r="GAT32" s="2511"/>
      <c r="GAU32" s="2511"/>
      <c r="GAV32" s="2511"/>
      <c r="GAW32" s="2511"/>
      <c r="GAX32" s="2511"/>
      <c r="GAY32" s="2511"/>
      <c r="GAZ32" s="2511"/>
      <c r="GBA32" s="2511"/>
      <c r="GBB32" s="2511"/>
      <c r="GBC32" s="2511"/>
      <c r="GBD32" s="2511"/>
      <c r="GBE32" s="2511"/>
      <c r="GBF32" s="2511"/>
      <c r="GBG32" s="2511"/>
      <c r="GBH32" s="2511"/>
      <c r="GBI32" s="2511"/>
      <c r="GBJ32" s="2511"/>
      <c r="GBK32" s="2511"/>
      <c r="GBL32" s="2511"/>
      <c r="GBM32" s="2511"/>
      <c r="GBN32" s="2511"/>
      <c r="GBO32" s="2511"/>
      <c r="GBP32" s="2511"/>
      <c r="GBQ32" s="2511"/>
      <c r="GBR32" s="2511"/>
      <c r="GBS32" s="2511"/>
      <c r="GBT32" s="2511"/>
      <c r="GBU32" s="2511"/>
      <c r="GBV32" s="2511"/>
      <c r="GBW32" s="2511"/>
      <c r="GBX32" s="2511"/>
      <c r="GBY32" s="2511"/>
      <c r="GBZ32" s="2511"/>
      <c r="GCA32" s="2511"/>
      <c r="GCB32" s="2511"/>
      <c r="GCC32" s="2511"/>
      <c r="GCD32" s="2511"/>
      <c r="GCE32" s="2511"/>
      <c r="GCF32" s="2511"/>
      <c r="GCG32" s="2511"/>
      <c r="GCH32" s="2511"/>
      <c r="GCI32" s="2511"/>
      <c r="GCJ32" s="2511"/>
      <c r="GCK32" s="2511"/>
      <c r="GCL32" s="2511"/>
      <c r="GCM32" s="2511"/>
      <c r="GCN32" s="2511"/>
      <c r="GCO32" s="2511"/>
      <c r="GCP32" s="2511"/>
      <c r="GCQ32" s="2511"/>
      <c r="GCR32" s="2511"/>
      <c r="GCS32" s="2511"/>
      <c r="GCT32" s="2511"/>
      <c r="GCU32" s="2511"/>
      <c r="GCV32" s="2511"/>
      <c r="GCW32" s="2511"/>
      <c r="GCX32" s="2511"/>
      <c r="GCY32" s="2511"/>
      <c r="GCZ32" s="2511"/>
      <c r="GDA32" s="2511"/>
      <c r="GDB32" s="2511"/>
      <c r="GDC32" s="2511"/>
      <c r="GDD32" s="2511"/>
      <c r="GDE32" s="2511"/>
      <c r="GDF32" s="2511"/>
      <c r="GDG32" s="2511"/>
      <c r="GDH32" s="2511"/>
      <c r="GDI32" s="2511"/>
      <c r="GDJ32" s="2511"/>
      <c r="GDK32" s="2511"/>
      <c r="GDL32" s="2511"/>
      <c r="GDM32" s="2511"/>
      <c r="GDN32" s="2511"/>
      <c r="GDO32" s="2511"/>
      <c r="GDP32" s="2511"/>
      <c r="GDQ32" s="2511"/>
      <c r="GDR32" s="2511"/>
      <c r="GDS32" s="2511"/>
      <c r="GDT32" s="2511"/>
      <c r="GDU32" s="2511"/>
      <c r="GDV32" s="2511"/>
      <c r="GDW32" s="2511"/>
      <c r="GDX32" s="2511"/>
      <c r="GDY32" s="2511"/>
      <c r="GDZ32" s="2511"/>
      <c r="GEA32" s="2511"/>
      <c r="GEB32" s="2511"/>
      <c r="GEC32" s="2511"/>
      <c r="GED32" s="2511"/>
      <c r="GEE32" s="2511"/>
      <c r="GEF32" s="2511"/>
      <c r="GEG32" s="2511"/>
      <c r="GEH32" s="2511"/>
      <c r="GEI32" s="2511"/>
      <c r="GEJ32" s="2511"/>
      <c r="GEK32" s="2511"/>
      <c r="GEL32" s="2511"/>
      <c r="GEM32" s="2511"/>
      <c r="GEN32" s="2511"/>
      <c r="GEO32" s="2511"/>
      <c r="GEP32" s="2511"/>
      <c r="GEQ32" s="2511"/>
      <c r="GER32" s="2511"/>
      <c r="GES32" s="2511"/>
      <c r="GET32" s="2511"/>
      <c r="GEU32" s="2511"/>
      <c r="GEV32" s="2511"/>
      <c r="GEW32" s="2511"/>
      <c r="GEX32" s="2511"/>
      <c r="GEY32" s="2511"/>
      <c r="GEZ32" s="2511"/>
      <c r="GFA32" s="2511"/>
      <c r="GFB32" s="2511"/>
      <c r="GFC32" s="2511"/>
      <c r="GFD32" s="2511"/>
      <c r="GFE32" s="2511"/>
      <c r="GFF32" s="2511"/>
      <c r="GFG32" s="2511"/>
      <c r="GFH32" s="2511"/>
      <c r="GFI32" s="2511"/>
      <c r="GFJ32" s="2511"/>
      <c r="GFK32" s="2511"/>
      <c r="GFL32" s="2511"/>
      <c r="GFM32" s="2511"/>
      <c r="GFN32" s="2511"/>
      <c r="GFO32" s="2511"/>
      <c r="GFP32" s="2511"/>
      <c r="GFQ32" s="2511"/>
      <c r="GFR32" s="2511"/>
      <c r="GFS32" s="2511"/>
      <c r="GFT32" s="2511"/>
      <c r="GFU32" s="2511"/>
      <c r="GFV32" s="2511"/>
      <c r="GFW32" s="2511"/>
      <c r="GFX32" s="2511"/>
      <c r="GFY32" s="2511"/>
      <c r="GFZ32" s="2511"/>
      <c r="GGA32" s="2511"/>
      <c r="GGB32" s="2511"/>
      <c r="GGC32" s="2511"/>
      <c r="GGD32" s="2511"/>
      <c r="GGE32" s="2511"/>
      <c r="GGF32" s="2511"/>
      <c r="GGG32" s="2511"/>
      <c r="GGH32" s="2511"/>
      <c r="GGI32" s="2511"/>
      <c r="GGJ32" s="2511"/>
      <c r="GGK32" s="2511"/>
      <c r="GGL32" s="2511"/>
      <c r="GGM32" s="2511"/>
      <c r="GGN32" s="2511"/>
      <c r="GGO32" s="2511"/>
      <c r="GGP32" s="2511"/>
      <c r="GGQ32" s="2511"/>
      <c r="GGR32" s="2511"/>
      <c r="GGS32" s="2511"/>
      <c r="GGT32" s="2511"/>
      <c r="GGU32" s="2511"/>
      <c r="GGV32" s="2511"/>
      <c r="GGW32" s="2511"/>
      <c r="GGX32" s="2511"/>
      <c r="GGY32" s="2511"/>
      <c r="GGZ32" s="2511"/>
      <c r="GHA32" s="2511"/>
      <c r="GHB32" s="2511"/>
      <c r="GHC32" s="2511"/>
      <c r="GHD32" s="2511"/>
      <c r="GHE32" s="2511"/>
      <c r="GHF32" s="2511"/>
      <c r="GHG32" s="2511"/>
      <c r="GHH32" s="2511"/>
      <c r="GHI32" s="2511"/>
      <c r="GHJ32" s="2511"/>
      <c r="GHK32" s="2511"/>
      <c r="GHL32" s="2511"/>
      <c r="GHM32" s="2511"/>
      <c r="GHN32" s="2511"/>
      <c r="GHO32" s="2511"/>
      <c r="GHP32" s="2511"/>
      <c r="GHQ32" s="2511"/>
      <c r="GHR32" s="2511"/>
      <c r="GHS32" s="2511"/>
      <c r="GHT32" s="2511"/>
      <c r="GHU32" s="2511"/>
      <c r="GHV32" s="2511"/>
      <c r="GHW32" s="2511"/>
      <c r="GHX32" s="2511"/>
      <c r="GHY32" s="2511"/>
      <c r="GHZ32" s="2511"/>
      <c r="GIA32" s="2511"/>
      <c r="GIB32" s="2511"/>
      <c r="GIC32" s="2511"/>
      <c r="GID32" s="2511"/>
      <c r="GIE32" s="2511"/>
      <c r="GIF32" s="2511"/>
      <c r="GIG32" s="2511"/>
      <c r="GIH32" s="2511"/>
      <c r="GII32" s="2511"/>
      <c r="GIJ32" s="2511"/>
      <c r="GIK32" s="2511"/>
      <c r="GIL32" s="2511"/>
      <c r="GIM32" s="2511"/>
      <c r="GIN32" s="2511"/>
      <c r="GIO32" s="2511"/>
      <c r="GIP32" s="2511"/>
      <c r="GIQ32" s="2511"/>
      <c r="GIR32" s="2511"/>
      <c r="GIS32" s="2511"/>
      <c r="GIT32" s="2511"/>
      <c r="GIU32" s="2511"/>
      <c r="GIV32" s="2511"/>
      <c r="GIW32" s="2511"/>
      <c r="GIX32" s="2511"/>
      <c r="GIY32" s="2511"/>
      <c r="GIZ32" s="2511"/>
      <c r="GJA32" s="2511"/>
      <c r="GJB32" s="2511"/>
      <c r="GJC32" s="2511"/>
      <c r="GJD32" s="2511"/>
      <c r="GJE32" s="2511"/>
      <c r="GJF32" s="2511"/>
      <c r="GJG32" s="2511"/>
      <c r="GJH32" s="2511"/>
      <c r="GJI32" s="2511"/>
      <c r="GJJ32" s="2511"/>
      <c r="GJK32" s="2511"/>
      <c r="GJL32" s="2511"/>
      <c r="GJM32" s="2511"/>
      <c r="GJN32" s="2511"/>
      <c r="GJO32" s="2511"/>
      <c r="GJP32" s="2511"/>
      <c r="GJQ32" s="2511"/>
      <c r="GJR32" s="2511"/>
      <c r="GJS32" s="2511"/>
      <c r="GJT32" s="2511"/>
      <c r="GJU32" s="2511"/>
      <c r="GJV32" s="2511"/>
      <c r="GJW32" s="2511"/>
      <c r="GJX32" s="2511"/>
      <c r="GJY32" s="2511"/>
      <c r="GJZ32" s="2511"/>
      <c r="GKA32" s="2511"/>
      <c r="GKB32" s="2511"/>
      <c r="GKC32" s="2511"/>
      <c r="GKD32" s="2511"/>
      <c r="GKE32" s="2511"/>
      <c r="GKF32" s="2511"/>
      <c r="GKG32" s="2511"/>
      <c r="GKH32" s="2511"/>
      <c r="GKI32" s="2511"/>
      <c r="GKJ32" s="2511"/>
      <c r="GKK32" s="2511"/>
      <c r="GKL32" s="2511"/>
      <c r="GKM32" s="2511"/>
      <c r="GKN32" s="2511"/>
      <c r="GKO32" s="2511"/>
      <c r="GKP32" s="2511"/>
      <c r="GKQ32" s="2511"/>
      <c r="GKR32" s="2511"/>
      <c r="GKS32" s="2511"/>
      <c r="GKT32" s="2511"/>
      <c r="GKU32" s="2511"/>
      <c r="GKV32" s="2511"/>
      <c r="GKW32" s="2511"/>
      <c r="GKX32" s="2511"/>
      <c r="GKY32" s="2511"/>
      <c r="GKZ32" s="2511"/>
      <c r="GLA32" s="2511"/>
      <c r="GLB32" s="2511"/>
      <c r="GLC32" s="2511"/>
      <c r="GLD32" s="2511"/>
      <c r="GLE32" s="2511"/>
      <c r="GLF32" s="2511"/>
      <c r="GLG32" s="2511"/>
      <c r="GLH32" s="2511"/>
      <c r="GLI32" s="2511"/>
      <c r="GLJ32" s="2511"/>
      <c r="GLK32" s="2511"/>
      <c r="GLL32" s="2511"/>
      <c r="GLM32" s="2511"/>
      <c r="GLN32" s="2511"/>
      <c r="GLO32" s="2511"/>
      <c r="GLP32" s="2511"/>
      <c r="GLQ32" s="2511"/>
      <c r="GLR32" s="2511"/>
      <c r="GLS32" s="2511"/>
      <c r="GLT32" s="2511"/>
      <c r="GLU32" s="2511"/>
      <c r="GLV32" s="2511"/>
      <c r="GLW32" s="2511"/>
      <c r="GLX32" s="2511"/>
      <c r="GLY32" s="2511"/>
      <c r="GLZ32" s="2511"/>
      <c r="GMA32" s="2511"/>
      <c r="GMB32" s="2511"/>
      <c r="GMC32" s="2511"/>
      <c r="GMD32" s="2511"/>
      <c r="GME32" s="2511"/>
      <c r="GMF32" s="2511"/>
      <c r="GMG32" s="2511"/>
      <c r="GMH32" s="2511"/>
      <c r="GMI32" s="2511"/>
      <c r="GMJ32" s="2511"/>
      <c r="GMK32" s="2511"/>
      <c r="GML32" s="2511"/>
      <c r="GMM32" s="2511"/>
      <c r="GMN32" s="2511"/>
      <c r="GMO32" s="2511"/>
      <c r="GMP32" s="2511"/>
      <c r="GMQ32" s="2511"/>
      <c r="GMR32" s="2511"/>
      <c r="GMS32" s="2511"/>
      <c r="GMT32" s="2511"/>
      <c r="GMU32" s="2511"/>
      <c r="GMV32" s="2511"/>
      <c r="GMW32" s="2511"/>
      <c r="GMX32" s="2511"/>
      <c r="GMY32" s="2511"/>
      <c r="GMZ32" s="2511"/>
      <c r="GNA32" s="2511"/>
      <c r="GNB32" s="2511"/>
      <c r="GNC32" s="2511"/>
      <c r="GND32" s="2511"/>
      <c r="GNE32" s="2511"/>
      <c r="GNF32" s="2511"/>
      <c r="GNG32" s="2511"/>
      <c r="GNH32" s="2511"/>
      <c r="GNI32" s="2511"/>
      <c r="GNJ32" s="2511"/>
      <c r="GNK32" s="2511"/>
      <c r="GNL32" s="2511"/>
      <c r="GNM32" s="2511"/>
      <c r="GNN32" s="2511"/>
      <c r="GNO32" s="2511"/>
      <c r="GNP32" s="2511"/>
      <c r="GNQ32" s="2511"/>
      <c r="GNR32" s="2511"/>
      <c r="GNS32" s="2511"/>
      <c r="GNT32" s="2511"/>
      <c r="GNU32" s="2511"/>
      <c r="GNV32" s="2511"/>
      <c r="GNW32" s="2511"/>
      <c r="GNX32" s="2511"/>
      <c r="GNY32" s="2511"/>
      <c r="GNZ32" s="2511"/>
      <c r="GOA32" s="2511"/>
      <c r="GOB32" s="2511"/>
      <c r="GOC32" s="2511"/>
      <c r="GOD32" s="2511"/>
      <c r="GOE32" s="2511"/>
      <c r="GOF32" s="2511"/>
      <c r="GOG32" s="2511"/>
      <c r="GOH32" s="2511"/>
      <c r="GOI32" s="2511"/>
      <c r="GOJ32" s="2511"/>
      <c r="GOK32" s="2511"/>
      <c r="GOL32" s="2511"/>
      <c r="GOM32" s="2511"/>
      <c r="GON32" s="2511"/>
      <c r="GOO32" s="2511"/>
      <c r="GOP32" s="2511"/>
      <c r="GOQ32" s="2511"/>
      <c r="GOR32" s="2511"/>
      <c r="GOS32" s="2511"/>
      <c r="GOT32" s="2511"/>
      <c r="GOU32" s="2511"/>
      <c r="GOV32" s="2511"/>
      <c r="GOW32" s="2511"/>
      <c r="GOX32" s="2511"/>
      <c r="GOY32" s="2511"/>
      <c r="GOZ32" s="2511"/>
      <c r="GPA32" s="2511"/>
      <c r="GPB32" s="2511"/>
      <c r="GPC32" s="2511"/>
      <c r="GPD32" s="2511"/>
      <c r="GPE32" s="2511"/>
      <c r="GPF32" s="2511"/>
      <c r="GPG32" s="2511"/>
      <c r="GPH32" s="2511"/>
      <c r="GPI32" s="2511"/>
      <c r="GPJ32" s="2511"/>
      <c r="GPK32" s="2511"/>
      <c r="GPL32" s="2511"/>
      <c r="GPM32" s="2511"/>
      <c r="GPN32" s="2511"/>
      <c r="GPO32" s="2511"/>
      <c r="GPP32" s="2511"/>
      <c r="GPQ32" s="2511"/>
      <c r="GPR32" s="2511"/>
      <c r="GPS32" s="2511"/>
      <c r="GPT32" s="2511"/>
      <c r="GPU32" s="2511"/>
      <c r="GPV32" s="2511"/>
      <c r="GPW32" s="2511"/>
      <c r="GPX32" s="2511"/>
      <c r="GPY32" s="2511"/>
      <c r="GPZ32" s="2511"/>
      <c r="GQA32" s="2511"/>
      <c r="GQB32" s="2511"/>
      <c r="GQC32" s="2511"/>
      <c r="GQD32" s="2511"/>
      <c r="GQE32" s="2511"/>
      <c r="GQF32" s="2511"/>
      <c r="GQG32" s="2511"/>
      <c r="GQH32" s="2511"/>
      <c r="GQI32" s="2511"/>
      <c r="GQJ32" s="2511"/>
      <c r="GQK32" s="2511"/>
      <c r="GQL32" s="2511"/>
      <c r="GQM32" s="2511"/>
      <c r="GQN32" s="2511"/>
      <c r="GQO32" s="2511"/>
      <c r="GQP32" s="2511"/>
      <c r="GQQ32" s="2511"/>
      <c r="GQR32" s="2511"/>
      <c r="GQS32" s="2511"/>
      <c r="GQT32" s="2511"/>
      <c r="GQU32" s="2511"/>
      <c r="GQV32" s="2511"/>
      <c r="GQW32" s="2511"/>
      <c r="GQX32" s="2511"/>
      <c r="GQY32" s="2511"/>
      <c r="GQZ32" s="2511"/>
      <c r="GRA32" s="2511"/>
      <c r="GRB32" s="2511"/>
      <c r="GRC32" s="2511"/>
      <c r="GRD32" s="2511"/>
      <c r="GRE32" s="2511"/>
      <c r="GRF32" s="2511"/>
      <c r="GRG32" s="2511"/>
      <c r="GRH32" s="2511"/>
      <c r="GRI32" s="2511"/>
      <c r="GRJ32" s="2511"/>
      <c r="GRK32" s="2511"/>
      <c r="GRL32" s="2511"/>
      <c r="GRM32" s="2511"/>
      <c r="GRN32" s="2511"/>
      <c r="GRO32" s="2511"/>
      <c r="GRP32" s="2511"/>
      <c r="GRQ32" s="2511"/>
      <c r="GRR32" s="2511"/>
      <c r="GRS32" s="2511"/>
      <c r="GRT32" s="2511"/>
      <c r="GRU32" s="2511"/>
      <c r="GRV32" s="2511"/>
      <c r="GRW32" s="2511"/>
      <c r="GRX32" s="2511"/>
      <c r="GRY32" s="2511"/>
      <c r="GRZ32" s="2511"/>
      <c r="GSA32" s="2511"/>
      <c r="GSB32" s="2511"/>
      <c r="GSC32" s="2511"/>
      <c r="GSD32" s="2511"/>
      <c r="GSE32" s="2511"/>
      <c r="GSF32" s="2511"/>
      <c r="GSG32" s="2511"/>
      <c r="GSH32" s="2511"/>
      <c r="GSI32" s="2511"/>
      <c r="GSJ32" s="2511"/>
      <c r="GSK32" s="2511"/>
      <c r="GSL32" s="2511"/>
      <c r="GSM32" s="2511"/>
      <c r="GSN32" s="2511"/>
      <c r="GSO32" s="2511"/>
      <c r="GSP32" s="2511"/>
      <c r="GSQ32" s="2511"/>
      <c r="GSR32" s="2511"/>
      <c r="GSS32" s="2511"/>
      <c r="GST32" s="2511"/>
      <c r="GSU32" s="2511"/>
      <c r="GSV32" s="2511"/>
      <c r="GSW32" s="2511"/>
      <c r="GSX32" s="2511"/>
      <c r="GSY32" s="2511"/>
      <c r="GSZ32" s="2511"/>
      <c r="GTA32" s="2511"/>
      <c r="GTB32" s="2511"/>
      <c r="GTC32" s="2511"/>
      <c r="GTD32" s="2511"/>
      <c r="GTE32" s="2511"/>
      <c r="GTF32" s="2511"/>
      <c r="GTG32" s="2511"/>
      <c r="GTH32" s="2511"/>
      <c r="GTI32" s="2511"/>
      <c r="GTJ32" s="2511"/>
      <c r="GTK32" s="2511"/>
      <c r="GTL32" s="2511"/>
      <c r="GTM32" s="2511"/>
      <c r="GTN32" s="2511"/>
      <c r="GTO32" s="2511"/>
      <c r="GTP32" s="2511"/>
      <c r="GTQ32" s="2511"/>
      <c r="GTR32" s="2511"/>
      <c r="GTS32" s="2511"/>
      <c r="GTT32" s="2511"/>
      <c r="GTU32" s="2511"/>
      <c r="GTV32" s="2511"/>
      <c r="GTW32" s="2511"/>
      <c r="GTX32" s="2511"/>
      <c r="GTY32" s="2511"/>
      <c r="GTZ32" s="2511"/>
      <c r="GUA32" s="2511"/>
      <c r="GUB32" s="2511"/>
      <c r="GUC32" s="2511"/>
      <c r="GUD32" s="2511"/>
      <c r="GUE32" s="2511"/>
      <c r="GUF32" s="2511"/>
      <c r="GUG32" s="2511"/>
      <c r="GUH32" s="2511"/>
      <c r="GUI32" s="2511"/>
      <c r="GUJ32" s="2511"/>
      <c r="GUK32" s="2511"/>
      <c r="GUL32" s="2511"/>
      <c r="GUM32" s="2511"/>
      <c r="GUN32" s="2511"/>
      <c r="GUO32" s="2511"/>
      <c r="GUP32" s="2511"/>
      <c r="GUQ32" s="2511"/>
      <c r="GUR32" s="2511"/>
      <c r="GUS32" s="2511"/>
      <c r="GUT32" s="2511"/>
      <c r="GUU32" s="2511"/>
      <c r="GUV32" s="2511"/>
      <c r="GUW32" s="2511"/>
      <c r="GUX32" s="2511"/>
      <c r="GUY32" s="2511"/>
      <c r="GUZ32" s="2511"/>
      <c r="GVA32" s="2511"/>
      <c r="GVB32" s="2511"/>
      <c r="GVC32" s="2511"/>
      <c r="GVD32" s="2511"/>
      <c r="GVE32" s="2511"/>
      <c r="GVF32" s="2511"/>
      <c r="GVG32" s="2511"/>
      <c r="GVH32" s="2511"/>
      <c r="GVI32" s="2511"/>
      <c r="GVJ32" s="2511"/>
      <c r="GVK32" s="2511"/>
      <c r="GVL32" s="2511"/>
      <c r="GVM32" s="2511"/>
      <c r="GVN32" s="2511"/>
      <c r="GVO32" s="2511"/>
      <c r="GVP32" s="2511"/>
      <c r="GVQ32" s="2511"/>
      <c r="GVR32" s="2511"/>
      <c r="GVS32" s="2511"/>
      <c r="GVT32" s="2511"/>
      <c r="GVU32" s="2511"/>
      <c r="GVV32" s="2511"/>
      <c r="GVW32" s="2511"/>
      <c r="GVX32" s="2511"/>
      <c r="GVY32" s="2511"/>
      <c r="GVZ32" s="2511"/>
      <c r="GWA32" s="2511"/>
      <c r="GWB32" s="2511"/>
      <c r="GWC32" s="2511"/>
      <c r="GWD32" s="2511"/>
      <c r="GWE32" s="2511"/>
      <c r="GWF32" s="2511"/>
      <c r="GWG32" s="2511"/>
      <c r="GWH32" s="2511"/>
      <c r="GWI32" s="2511"/>
      <c r="GWJ32" s="2511"/>
      <c r="GWK32" s="2511"/>
      <c r="GWL32" s="2511"/>
      <c r="GWM32" s="2511"/>
      <c r="GWN32" s="2511"/>
      <c r="GWO32" s="2511"/>
      <c r="GWP32" s="2511"/>
      <c r="GWQ32" s="2511"/>
      <c r="GWR32" s="2511"/>
      <c r="GWS32" s="2511"/>
      <c r="GWT32" s="2511"/>
      <c r="GWU32" s="2511"/>
      <c r="GWV32" s="2511"/>
      <c r="GWW32" s="2511"/>
      <c r="GWX32" s="2511"/>
      <c r="GWY32" s="2511"/>
      <c r="GWZ32" s="2511"/>
      <c r="GXA32" s="2511"/>
      <c r="GXB32" s="2511"/>
      <c r="GXC32" s="2511"/>
      <c r="GXD32" s="2511"/>
      <c r="GXE32" s="2511"/>
      <c r="GXF32" s="2511"/>
      <c r="GXG32" s="2511"/>
      <c r="GXH32" s="2511"/>
      <c r="GXI32" s="2511"/>
      <c r="GXJ32" s="2511"/>
      <c r="GXK32" s="2511"/>
      <c r="GXL32" s="2511"/>
      <c r="GXM32" s="2511"/>
      <c r="GXN32" s="2511"/>
      <c r="GXO32" s="2511"/>
      <c r="GXP32" s="2511"/>
      <c r="GXQ32" s="2511"/>
      <c r="GXR32" s="2511"/>
      <c r="GXS32" s="2511"/>
      <c r="GXT32" s="2511"/>
      <c r="GXU32" s="2511"/>
      <c r="GXV32" s="2511"/>
      <c r="GXW32" s="2511"/>
      <c r="GXX32" s="2511"/>
      <c r="GXY32" s="2511"/>
      <c r="GXZ32" s="2511"/>
      <c r="GYA32" s="2511"/>
      <c r="GYB32" s="2511"/>
      <c r="GYC32" s="2511"/>
      <c r="GYD32" s="2511"/>
      <c r="GYE32" s="2511"/>
      <c r="GYF32" s="2511"/>
      <c r="GYG32" s="2511"/>
      <c r="GYH32" s="2511"/>
      <c r="GYI32" s="2511"/>
      <c r="GYJ32" s="2511"/>
      <c r="GYK32" s="2511"/>
      <c r="GYL32" s="2511"/>
      <c r="GYM32" s="2511"/>
      <c r="GYN32" s="2511"/>
      <c r="GYO32" s="2511"/>
      <c r="GYP32" s="2511"/>
      <c r="GYQ32" s="2511"/>
      <c r="GYR32" s="2511"/>
      <c r="GYS32" s="2511"/>
      <c r="GYT32" s="2511"/>
      <c r="GYU32" s="2511"/>
      <c r="GYV32" s="2511"/>
      <c r="GYW32" s="2511"/>
      <c r="GYX32" s="2511"/>
      <c r="GYY32" s="2511"/>
      <c r="GYZ32" s="2511"/>
      <c r="GZA32" s="2511"/>
      <c r="GZB32" s="2511"/>
      <c r="GZC32" s="2511"/>
      <c r="GZD32" s="2511"/>
      <c r="GZE32" s="2511"/>
      <c r="GZF32" s="2511"/>
      <c r="GZG32" s="2511"/>
      <c r="GZH32" s="2511"/>
      <c r="GZI32" s="2511"/>
      <c r="GZJ32" s="2511"/>
      <c r="GZK32" s="2511"/>
      <c r="GZL32" s="2511"/>
      <c r="GZM32" s="2511"/>
      <c r="GZN32" s="2511"/>
      <c r="GZO32" s="2511"/>
      <c r="GZP32" s="2511"/>
      <c r="GZQ32" s="2511"/>
      <c r="GZR32" s="2511"/>
      <c r="GZS32" s="2511"/>
      <c r="GZT32" s="2511"/>
      <c r="GZU32" s="2511"/>
      <c r="GZV32" s="2511"/>
      <c r="GZW32" s="2511"/>
      <c r="GZX32" s="2511"/>
      <c r="GZY32" s="2511"/>
      <c r="GZZ32" s="2511"/>
      <c r="HAA32" s="2511"/>
      <c r="HAB32" s="2511"/>
      <c r="HAC32" s="2511"/>
      <c r="HAD32" s="2511"/>
      <c r="HAE32" s="2511"/>
      <c r="HAF32" s="2511"/>
      <c r="HAG32" s="2511"/>
      <c r="HAH32" s="2511"/>
      <c r="HAI32" s="2511"/>
      <c r="HAJ32" s="2511"/>
      <c r="HAK32" s="2511"/>
      <c r="HAL32" s="2511"/>
      <c r="HAM32" s="2511"/>
      <c r="HAN32" s="2511"/>
      <c r="HAO32" s="2511"/>
      <c r="HAP32" s="2511"/>
      <c r="HAQ32" s="2511"/>
      <c r="HAR32" s="2511"/>
      <c r="HAS32" s="2511"/>
      <c r="HAT32" s="2511"/>
      <c r="HAU32" s="2511"/>
      <c r="HAV32" s="2511"/>
      <c r="HAW32" s="2511"/>
      <c r="HAX32" s="2511"/>
      <c r="HAY32" s="2511"/>
      <c r="HAZ32" s="2511"/>
      <c r="HBA32" s="2511"/>
      <c r="HBB32" s="2511"/>
      <c r="HBC32" s="2511"/>
      <c r="HBD32" s="2511"/>
      <c r="HBE32" s="2511"/>
      <c r="HBF32" s="2511"/>
      <c r="HBG32" s="2511"/>
      <c r="HBH32" s="2511"/>
      <c r="HBI32" s="2511"/>
      <c r="HBJ32" s="2511"/>
      <c r="HBK32" s="2511"/>
      <c r="HBL32" s="2511"/>
      <c r="HBM32" s="2511"/>
      <c r="HBN32" s="2511"/>
      <c r="HBO32" s="2511"/>
      <c r="HBP32" s="2511"/>
      <c r="HBQ32" s="2511"/>
      <c r="HBR32" s="2511"/>
      <c r="HBS32" s="2511"/>
      <c r="HBT32" s="2511"/>
      <c r="HBU32" s="2511"/>
      <c r="HBV32" s="2511"/>
      <c r="HBW32" s="2511"/>
      <c r="HBX32" s="2511"/>
      <c r="HBY32" s="2511"/>
      <c r="HBZ32" s="2511"/>
      <c r="HCA32" s="2511"/>
      <c r="HCB32" s="2511"/>
      <c r="HCC32" s="2511"/>
      <c r="HCD32" s="2511"/>
      <c r="HCE32" s="2511"/>
      <c r="HCF32" s="2511"/>
      <c r="HCG32" s="2511"/>
      <c r="HCH32" s="2511"/>
      <c r="HCI32" s="2511"/>
      <c r="HCJ32" s="2511"/>
      <c r="HCK32" s="2511"/>
      <c r="HCL32" s="2511"/>
      <c r="HCM32" s="2511"/>
      <c r="HCN32" s="2511"/>
      <c r="HCO32" s="2511"/>
      <c r="HCP32" s="2511"/>
      <c r="HCQ32" s="2511"/>
      <c r="HCR32" s="2511"/>
      <c r="HCS32" s="2511"/>
      <c r="HCT32" s="2511"/>
      <c r="HCU32" s="2511"/>
      <c r="HCV32" s="2511"/>
      <c r="HCW32" s="2511"/>
      <c r="HCX32" s="2511"/>
      <c r="HCY32" s="2511"/>
      <c r="HCZ32" s="2511"/>
      <c r="HDA32" s="2511"/>
      <c r="HDB32" s="2511"/>
      <c r="HDC32" s="2511"/>
      <c r="HDD32" s="2511"/>
      <c r="HDE32" s="2511"/>
      <c r="HDF32" s="2511"/>
      <c r="HDG32" s="2511"/>
      <c r="HDH32" s="2511"/>
      <c r="HDI32" s="2511"/>
      <c r="HDJ32" s="2511"/>
      <c r="HDK32" s="2511"/>
      <c r="HDL32" s="2511"/>
      <c r="HDM32" s="2511"/>
      <c r="HDN32" s="2511"/>
      <c r="HDO32" s="2511"/>
      <c r="HDP32" s="2511"/>
      <c r="HDQ32" s="2511"/>
      <c r="HDR32" s="2511"/>
      <c r="HDS32" s="2511"/>
      <c r="HDT32" s="2511"/>
      <c r="HDU32" s="2511"/>
      <c r="HDV32" s="2511"/>
      <c r="HDW32" s="2511"/>
      <c r="HDX32" s="2511"/>
      <c r="HDY32" s="2511"/>
      <c r="HDZ32" s="2511"/>
      <c r="HEA32" s="2511"/>
      <c r="HEB32" s="2511"/>
      <c r="HEC32" s="2511"/>
      <c r="HED32" s="2511"/>
      <c r="HEE32" s="2511"/>
      <c r="HEF32" s="2511"/>
      <c r="HEG32" s="2511"/>
      <c r="HEH32" s="2511"/>
      <c r="HEI32" s="2511"/>
      <c r="HEJ32" s="2511"/>
      <c r="HEK32" s="2511"/>
      <c r="HEL32" s="2511"/>
      <c r="HEM32" s="2511"/>
      <c r="HEN32" s="2511"/>
      <c r="HEO32" s="2511"/>
      <c r="HEP32" s="2511"/>
      <c r="HEQ32" s="2511"/>
      <c r="HER32" s="2511"/>
      <c r="HES32" s="2511"/>
      <c r="HET32" s="2511"/>
      <c r="HEU32" s="2511"/>
      <c r="HEV32" s="2511"/>
      <c r="HEW32" s="2511"/>
      <c r="HEX32" s="2511"/>
      <c r="HEY32" s="2511"/>
      <c r="HEZ32" s="2511"/>
      <c r="HFA32" s="2511"/>
      <c r="HFB32" s="2511"/>
      <c r="HFC32" s="2511"/>
      <c r="HFD32" s="2511"/>
      <c r="HFE32" s="2511"/>
      <c r="HFF32" s="2511"/>
      <c r="HFG32" s="2511"/>
      <c r="HFH32" s="2511"/>
      <c r="HFI32" s="2511"/>
      <c r="HFJ32" s="2511"/>
      <c r="HFK32" s="2511"/>
      <c r="HFL32" s="2511"/>
      <c r="HFM32" s="2511"/>
      <c r="HFN32" s="2511"/>
      <c r="HFO32" s="2511"/>
      <c r="HFP32" s="2511"/>
      <c r="HFQ32" s="2511"/>
      <c r="HFR32" s="2511"/>
      <c r="HFS32" s="2511"/>
      <c r="HFT32" s="2511"/>
      <c r="HFU32" s="2511"/>
      <c r="HFV32" s="2511"/>
      <c r="HFW32" s="2511"/>
      <c r="HFX32" s="2511"/>
      <c r="HFY32" s="2511"/>
      <c r="HFZ32" s="2511"/>
      <c r="HGA32" s="2511"/>
      <c r="HGB32" s="2511"/>
      <c r="HGC32" s="2511"/>
      <c r="HGD32" s="2511"/>
      <c r="HGE32" s="2511"/>
      <c r="HGF32" s="2511"/>
      <c r="HGG32" s="2511"/>
      <c r="HGH32" s="2511"/>
      <c r="HGI32" s="2511"/>
      <c r="HGJ32" s="2511"/>
      <c r="HGK32" s="2511"/>
      <c r="HGL32" s="2511"/>
      <c r="HGM32" s="2511"/>
      <c r="HGN32" s="2511"/>
      <c r="HGO32" s="2511"/>
      <c r="HGP32" s="2511"/>
      <c r="HGQ32" s="2511"/>
      <c r="HGR32" s="2511"/>
      <c r="HGS32" s="2511"/>
      <c r="HGT32" s="2511"/>
      <c r="HGU32" s="2511"/>
      <c r="HGV32" s="2511"/>
      <c r="HGW32" s="2511"/>
      <c r="HGX32" s="2511"/>
      <c r="HGY32" s="2511"/>
      <c r="HGZ32" s="2511"/>
      <c r="HHA32" s="2511"/>
      <c r="HHB32" s="2511"/>
      <c r="HHC32" s="2511"/>
      <c r="HHD32" s="2511"/>
      <c r="HHE32" s="2511"/>
      <c r="HHF32" s="2511"/>
      <c r="HHG32" s="2511"/>
      <c r="HHH32" s="2511"/>
      <c r="HHI32" s="2511"/>
      <c r="HHJ32" s="2511"/>
      <c r="HHK32" s="2511"/>
      <c r="HHL32" s="2511"/>
      <c r="HHM32" s="2511"/>
      <c r="HHN32" s="2511"/>
      <c r="HHO32" s="2511"/>
      <c r="HHP32" s="2511"/>
      <c r="HHQ32" s="2511"/>
      <c r="HHR32" s="2511"/>
      <c r="HHS32" s="2511"/>
      <c r="HHT32" s="2511"/>
      <c r="HHU32" s="2511"/>
      <c r="HHV32" s="2511"/>
      <c r="HHW32" s="2511"/>
      <c r="HHX32" s="2511"/>
      <c r="HHY32" s="2511"/>
      <c r="HHZ32" s="2511"/>
      <c r="HIA32" s="2511"/>
      <c r="HIB32" s="2511"/>
      <c r="HIC32" s="2511"/>
      <c r="HID32" s="2511"/>
      <c r="HIE32" s="2511"/>
      <c r="HIF32" s="2511"/>
      <c r="HIG32" s="2511"/>
      <c r="HIH32" s="2511"/>
      <c r="HII32" s="2511"/>
      <c r="HIJ32" s="2511"/>
      <c r="HIK32" s="2511"/>
      <c r="HIL32" s="2511"/>
      <c r="HIM32" s="2511"/>
      <c r="HIN32" s="2511"/>
      <c r="HIO32" s="2511"/>
      <c r="HIP32" s="2511"/>
      <c r="HIQ32" s="2511"/>
      <c r="HIR32" s="2511"/>
      <c r="HIS32" s="2511"/>
      <c r="HIT32" s="2511"/>
      <c r="HIU32" s="2511"/>
      <c r="HIV32" s="2511"/>
      <c r="HIW32" s="2511"/>
      <c r="HIX32" s="2511"/>
      <c r="HIY32" s="2511"/>
      <c r="HIZ32" s="2511"/>
      <c r="HJA32" s="2511"/>
      <c r="HJB32" s="2511"/>
      <c r="HJC32" s="2511"/>
      <c r="HJD32" s="2511"/>
      <c r="HJE32" s="2511"/>
      <c r="HJF32" s="2511"/>
      <c r="HJG32" s="2511"/>
      <c r="HJH32" s="2511"/>
      <c r="HJI32" s="2511"/>
      <c r="HJJ32" s="2511"/>
      <c r="HJK32" s="2511"/>
      <c r="HJL32" s="2511"/>
      <c r="HJM32" s="2511"/>
      <c r="HJN32" s="2511"/>
      <c r="HJO32" s="2511"/>
      <c r="HJP32" s="2511"/>
      <c r="HJQ32" s="2511"/>
      <c r="HJR32" s="2511"/>
      <c r="HJS32" s="2511"/>
      <c r="HJT32" s="2511"/>
      <c r="HJU32" s="2511"/>
      <c r="HJV32" s="2511"/>
      <c r="HJW32" s="2511"/>
      <c r="HJX32" s="2511"/>
      <c r="HJY32" s="2511"/>
      <c r="HJZ32" s="2511"/>
      <c r="HKA32" s="2511"/>
      <c r="HKB32" s="2511"/>
      <c r="HKC32" s="2511"/>
      <c r="HKD32" s="2511"/>
      <c r="HKE32" s="2511"/>
      <c r="HKF32" s="2511"/>
      <c r="HKG32" s="2511"/>
      <c r="HKH32" s="2511"/>
      <c r="HKI32" s="2511"/>
      <c r="HKJ32" s="2511"/>
      <c r="HKK32" s="2511"/>
      <c r="HKL32" s="2511"/>
      <c r="HKM32" s="2511"/>
      <c r="HKN32" s="2511"/>
      <c r="HKO32" s="2511"/>
      <c r="HKP32" s="2511"/>
      <c r="HKQ32" s="2511"/>
      <c r="HKR32" s="2511"/>
      <c r="HKS32" s="2511"/>
      <c r="HKT32" s="2511"/>
      <c r="HKU32" s="2511"/>
      <c r="HKV32" s="2511"/>
      <c r="HKW32" s="2511"/>
      <c r="HKX32" s="2511"/>
      <c r="HKY32" s="2511"/>
      <c r="HKZ32" s="2511"/>
      <c r="HLA32" s="2511"/>
      <c r="HLB32" s="2511"/>
      <c r="HLC32" s="2511"/>
      <c r="HLD32" s="2511"/>
      <c r="HLE32" s="2511"/>
      <c r="HLF32" s="2511"/>
      <c r="HLG32" s="2511"/>
      <c r="HLH32" s="2511"/>
      <c r="HLI32" s="2511"/>
      <c r="HLJ32" s="2511"/>
      <c r="HLK32" s="2511"/>
      <c r="HLL32" s="2511"/>
      <c r="HLM32" s="2511"/>
      <c r="HLN32" s="2511"/>
      <c r="HLO32" s="2511"/>
      <c r="HLP32" s="2511"/>
      <c r="HLQ32" s="2511"/>
      <c r="HLR32" s="2511"/>
      <c r="HLS32" s="2511"/>
      <c r="HLT32" s="2511"/>
      <c r="HLU32" s="2511"/>
      <c r="HLV32" s="2511"/>
      <c r="HLW32" s="2511"/>
      <c r="HLX32" s="2511"/>
      <c r="HLY32" s="2511"/>
      <c r="HLZ32" s="2511"/>
      <c r="HMA32" s="2511"/>
      <c r="HMB32" s="2511"/>
      <c r="HMC32" s="2511"/>
      <c r="HMD32" s="2511"/>
      <c r="HME32" s="2511"/>
      <c r="HMF32" s="2511"/>
      <c r="HMG32" s="2511"/>
      <c r="HMH32" s="2511"/>
      <c r="HMI32" s="2511"/>
      <c r="HMJ32" s="2511"/>
      <c r="HMK32" s="2511"/>
      <c r="HML32" s="2511"/>
      <c r="HMM32" s="2511"/>
      <c r="HMN32" s="2511"/>
      <c r="HMO32" s="2511"/>
      <c r="HMP32" s="2511"/>
      <c r="HMQ32" s="2511"/>
      <c r="HMR32" s="2511"/>
      <c r="HMS32" s="2511"/>
      <c r="HMT32" s="2511"/>
      <c r="HMU32" s="2511"/>
      <c r="HMV32" s="2511"/>
      <c r="HMW32" s="2511"/>
      <c r="HMX32" s="2511"/>
      <c r="HMY32" s="2511"/>
      <c r="HMZ32" s="2511"/>
      <c r="HNA32" s="2511"/>
      <c r="HNB32" s="2511"/>
      <c r="HNC32" s="2511"/>
      <c r="HND32" s="2511"/>
      <c r="HNE32" s="2511"/>
      <c r="HNF32" s="2511"/>
      <c r="HNG32" s="2511"/>
      <c r="HNH32" s="2511"/>
      <c r="HNI32" s="2511"/>
      <c r="HNJ32" s="2511"/>
      <c r="HNK32" s="2511"/>
      <c r="HNL32" s="2511"/>
      <c r="HNM32" s="2511"/>
      <c r="HNN32" s="2511"/>
      <c r="HNO32" s="2511"/>
      <c r="HNP32" s="2511"/>
      <c r="HNQ32" s="2511"/>
      <c r="HNR32" s="2511"/>
      <c r="HNS32" s="2511"/>
      <c r="HNT32" s="2511"/>
      <c r="HNU32" s="2511"/>
      <c r="HNV32" s="2511"/>
      <c r="HNW32" s="2511"/>
      <c r="HNX32" s="2511"/>
      <c r="HNY32" s="2511"/>
      <c r="HNZ32" s="2511"/>
      <c r="HOA32" s="2511"/>
      <c r="HOB32" s="2511"/>
      <c r="HOC32" s="2511"/>
      <c r="HOD32" s="2511"/>
      <c r="HOE32" s="2511"/>
      <c r="HOF32" s="2511"/>
      <c r="HOG32" s="2511"/>
      <c r="HOH32" s="2511"/>
      <c r="HOI32" s="2511"/>
      <c r="HOJ32" s="2511"/>
      <c r="HOK32" s="2511"/>
      <c r="HOL32" s="2511"/>
      <c r="HOM32" s="2511"/>
      <c r="HON32" s="2511"/>
      <c r="HOO32" s="2511"/>
      <c r="HOP32" s="2511"/>
      <c r="HOQ32" s="2511"/>
      <c r="HOR32" s="2511"/>
      <c r="HOS32" s="2511"/>
      <c r="HOT32" s="2511"/>
      <c r="HOU32" s="2511"/>
      <c r="HOV32" s="2511"/>
      <c r="HOW32" s="2511"/>
      <c r="HOX32" s="2511"/>
      <c r="HOY32" s="2511"/>
      <c r="HOZ32" s="2511"/>
      <c r="HPA32" s="2511"/>
      <c r="HPB32" s="2511"/>
      <c r="HPC32" s="2511"/>
      <c r="HPD32" s="2511"/>
      <c r="HPE32" s="2511"/>
      <c r="HPF32" s="2511"/>
      <c r="HPG32" s="2511"/>
      <c r="HPH32" s="2511"/>
      <c r="HPI32" s="2511"/>
      <c r="HPJ32" s="2511"/>
      <c r="HPK32" s="2511"/>
      <c r="HPL32" s="2511"/>
      <c r="HPM32" s="2511"/>
      <c r="HPN32" s="2511"/>
      <c r="HPO32" s="2511"/>
      <c r="HPP32" s="2511"/>
      <c r="HPQ32" s="2511"/>
      <c r="HPR32" s="2511"/>
      <c r="HPS32" s="2511"/>
      <c r="HPT32" s="2511"/>
      <c r="HPU32" s="2511"/>
      <c r="HPV32" s="2511"/>
      <c r="HPW32" s="2511"/>
      <c r="HPX32" s="2511"/>
      <c r="HPY32" s="2511"/>
      <c r="HPZ32" s="2511"/>
      <c r="HQA32" s="2511"/>
      <c r="HQB32" s="2511"/>
      <c r="HQC32" s="2511"/>
      <c r="HQD32" s="2511"/>
      <c r="HQE32" s="2511"/>
      <c r="HQF32" s="2511"/>
      <c r="HQG32" s="2511"/>
      <c r="HQH32" s="2511"/>
      <c r="HQI32" s="2511"/>
      <c r="HQJ32" s="2511"/>
      <c r="HQK32" s="2511"/>
      <c r="HQL32" s="2511"/>
      <c r="HQM32" s="2511"/>
      <c r="HQN32" s="2511"/>
      <c r="HQO32" s="2511"/>
      <c r="HQP32" s="2511"/>
      <c r="HQQ32" s="2511"/>
      <c r="HQR32" s="2511"/>
      <c r="HQS32" s="2511"/>
      <c r="HQT32" s="2511"/>
      <c r="HQU32" s="2511"/>
      <c r="HQV32" s="2511"/>
      <c r="HQW32" s="2511"/>
      <c r="HQX32" s="2511"/>
      <c r="HQY32" s="2511"/>
      <c r="HQZ32" s="2511"/>
      <c r="HRA32" s="2511"/>
      <c r="HRB32" s="2511"/>
      <c r="HRC32" s="2511"/>
      <c r="HRD32" s="2511"/>
      <c r="HRE32" s="2511"/>
      <c r="HRF32" s="2511"/>
      <c r="HRG32" s="2511"/>
      <c r="HRH32" s="2511"/>
      <c r="HRI32" s="2511"/>
      <c r="HRJ32" s="2511"/>
      <c r="HRK32" s="2511"/>
      <c r="HRL32" s="2511"/>
      <c r="HRM32" s="2511"/>
      <c r="HRN32" s="2511"/>
      <c r="HRO32" s="2511"/>
      <c r="HRP32" s="2511"/>
      <c r="HRQ32" s="2511"/>
      <c r="HRR32" s="2511"/>
      <c r="HRS32" s="2511"/>
      <c r="HRT32" s="2511"/>
      <c r="HRU32" s="2511"/>
      <c r="HRV32" s="2511"/>
      <c r="HRW32" s="2511"/>
      <c r="HRX32" s="2511"/>
      <c r="HRY32" s="2511"/>
      <c r="HRZ32" s="2511"/>
      <c r="HSA32" s="2511"/>
      <c r="HSB32" s="2511"/>
      <c r="HSC32" s="2511"/>
      <c r="HSD32" s="2511"/>
      <c r="HSE32" s="2511"/>
      <c r="HSF32" s="2511"/>
      <c r="HSG32" s="2511"/>
      <c r="HSH32" s="2511"/>
      <c r="HSI32" s="2511"/>
      <c r="HSJ32" s="2511"/>
      <c r="HSK32" s="2511"/>
      <c r="HSL32" s="2511"/>
      <c r="HSM32" s="2511"/>
      <c r="HSN32" s="2511"/>
      <c r="HSO32" s="2511"/>
      <c r="HSP32" s="2511"/>
      <c r="HSQ32" s="2511"/>
      <c r="HSR32" s="2511"/>
      <c r="HSS32" s="2511"/>
      <c r="HST32" s="2511"/>
      <c r="HSU32" s="2511"/>
      <c r="HSV32" s="2511"/>
      <c r="HSW32" s="2511"/>
      <c r="HSX32" s="2511"/>
      <c r="HSY32" s="2511"/>
      <c r="HSZ32" s="2511"/>
      <c r="HTA32" s="2511"/>
      <c r="HTB32" s="2511"/>
      <c r="HTC32" s="2511"/>
      <c r="HTD32" s="2511"/>
      <c r="HTE32" s="2511"/>
      <c r="HTF32" s="2511"/>
      <c r="HTG32" s="2511"/>
      <c r="HTH32" s="2511"/>
      <c r="HTI32" s="2511"/>
      <c r="HTJ32" s="2511"/>
      <c r="HTK32" s="2511"/>
      <c r="HTL32" s="2511"/>
      <c r="HTM32" s="2511"/>
      <c r="HTN32" s="2511"/>
      <c r="HTO32" s="2511"/>
      <c r="HTP32" s="2511"/>
      <c r="HTQ32" s="2511"/>
      <c r="HTR32" s="2511"/>
      <c r="HTS32" s="2511"/>
      <c r="HTT32" s="2511"/>
      <c r="HTU32" s="2511"/>
      <c r="HTV32" s="2511"/>
      <c r="HTW32" s="2511"/>
      <c r="HTX32" s="2511"/>
      <c r="HTY32" s="2511"/>
      <c r="HTZ32" s="2511"/>
      <c r="HUA32" s="2511"/>
      <c r="HUB32" s="2511"/>
      <c r="HUC32" s="2511"/>
      <c r="HUD32" s="2511"/>
      <c r="HUE32" s="2511"/>
      <c r="HUF32" s="2511"/>
      <c r="HUG32" s="2511"/>
      <c r="HUH32" s="2511"/>
      <c r="HUI32" s="2511"/>
      <c r="HUJ32" s="2511"/>
      <c r="HUK32" s="2511"/>
      <c r="HUL32" s="2511"/>
      <c r="HUM32" s="2511"/>
      <c r="HUN32" s="2511"/>
      <c r="HUO32" s="2511"/>
      <c r="HUP32" s="2511"/>
      <c r="HUQ32" s="2511"/>
      <c r="HUR32" s="2511"/>
      <c r="HUS32" s="2511"/>
      <c r="HUT32" s="2511"/>
      <c r="HUU32" s="2511"/>
      <c r="HUV32" s="2511"/>
      <c r="HUW32" s="2511"/>
      <c r="HUX32" s="2511"/>
      <c r="HUY32" s="2511"/>
      <c r="HUZ32" s="2511"/>
      <c r="HVA32" s="2511"/>
      <c r="HVB32" s="2511"/>
      <c r="HVC32" s="2511"/>
      <c r="HVD32" s="2511"/>
      <c r="HVE32" s="2511"/>
      <c r="HVF32" s="2511"/>
      <c r="HVG32" s="2511"/>
      <c r="HVH32" s="2511"/>
      <c r="HVI32" s="2511"/>
      <c r="HVJ32" s="2511"/>
      <c r="HVK32" s="2511"/>
      <c r="HVL32" s="2511"/>
      <c r="HVM32" s="2511"/>
      <c r="HVN32" s="2511"/>
      <c r="HVO32" s="2511"/>
      <c r="HVP32" s="2511"/>
      <c r="HVQ32" s="2511"/>
      <c r="HVR32" s="2511"/>
      <c r="HVS32" s="2511"/>
      <c r="HVT32" s="2511"/>
      <c r="HVU32" s="2511"/>
      <c r="HVV32" s="2511"/>
      <c r="HVW32" s="2511"/>
      <c r="HVX32" s="2511"/>
      <c r="HVY32" s="2511"/>
      <c r="HVZ32" s="2511"/>
      <c r="HWA32" s="2511"/>
      <c r="HWB32" s="2511"/>
      <c r="HWC32" s="2511"/>
      <c r="HWD32" s="2511"/>
      <c r="HWE32" s="2511"/>
      <c r="HWF32" s="2511"/>
      <c r="HWG32" s="2511"/>
      <c r="HWH32" s="2511"/>
      <c r="HWI32" s="2511"/>
      <c r="HWJ32" s="2511"/>
      <c r="HWK32" s="2511"/>
      <c r="HWL32" s="2511"/>
      <c r="HWM32" s="2511"/>
      <c r="HWN32" s="2511"/>
      <c r="HWO32" s="2511"/>
      <c r="HWP32" s="2511"/>
      <c r="HWQ32" s="2511"/>
      <c r="HWR32" s="2511"/>
      <c r="HWS32" s="2511"/>
      <c r="HWT32" s="2511"/>
      <c r="HWU32" s="2511"/>
      <c r="HWV32" s="2511"/>
      <c r="HWW32" s="2511"/>
      <c r="HWX32" s="2511"/>
      <c r="HWY32" s="2511"/>
      <c r="HWZ32" s="2511"/>
      <c r="HXA32" s="2511"/>
      <c r="HXB32" s="2511"/>
      <c r="HXC32" s="2511"/>
      <c r="HXD32" s="2511"/>
      <c r="HXE32" s="2511"/>
      <c r="HXF32" s="2511"/>
      <c r="HXG32" s="2511"/>
      <c r="HXH32" s="2511"/>
      <c r="HXI32" s="2511"/>
      <c r="HXJ32" s="2511"/>
      <c r="HXK32" s="2511"/>
      <c r="HXL32" s="2511"/>
      <c r="HXM32" s="2511"/>
      <c r="HXN32" s="2511"/>
      <c r="HXO32" s="2511"/>
      <c r="HXP32" s="2511"/>
      <c r="HXQ32" s="2511"/>
      <c r="HXR32" s="2511"/>
      <c r="HXS32" s="2511"/>
      <c r="HXT32" s="2511"/>
      <c r="HXU32" s="2511"/>
      <c r="HXV32" s="2511"/>
      <c r="HXW32" s="2511"/>
      <c r="HXX32" s="2511"/>
      <c r="HXY32" s="2511"/>
      <c r="HXZ32" s="2511"/>
      <c r="HYA32" s="2511"/>
      <c r="HYB32" s="2511"/>
      <c r="HYC32" s="2511"/>
      <c r="HYD32" s="2511"/>
      <c r="HYE32" s="2511"/>
      <c r="HYF32" s="2511"/>
      <c r="HYG32" s="2511"/>
      <c r="HYH32" s="2511"/>
      <c r="HYI32" s="2511"/>
      <c r="HYJ32" s="2511"/>
      <c r="HYK32" s="2511"/>
      <c r="HYL32" s="2511"/>
      <c r="HYM32" s="2511"/>
      <c r="HYN32" s="2511"/>
      <c r="HYO32" s="2511"/>
      <c r="HYP32" s="2511"/>
      <c r="HYQ32" s="2511"/>
      <c r="HYR32" s="2511"/>
      <c r="HYS32" s="2511"/>
      <c r="HYT32" s="2511"/>
      <c r="HYU32" s="2511"/>
      <c r="HYV32" s="2511"/>
      <c r="HYW32" s="2511"/>
      <c r="HYX32" s="2511"/>
      <c r="HYY32" s="2511"/>
      <c r="HYZ32" s="2511"/>
      <c r="HZA32" s="2511"/>
      <c r="HZB32" s="2511"/>
      <c r="HZC32" s="2511"/>
      <c r="HZD32" s="2511"/>
      <c r="HZE32" s="2511"/>
      <c r="HZF32" s="2511"/>
      <c r="HZG32" s="2511"/>
      <c r="HZH32" s="2511"/>
      <c r="HZI32" s="2511"/>
      <c r="HZJ32" s="2511"/>
      <c r="HZK32" s="2511"/>
      <c r="HZL32" s="2511"/>
      <c r="HZM32" s="2511"/>
      <c r="HZN32" s="2511"/>
      <c r="HZO32" s="2511"/>
      <c r="HZP32" s="2511"/>
      <c r="HZQ32" s="2511"/>
      <c r="HZR32" s="2511"/>
      <c r="HZS32" s="2511"/>
      <c r="HZT32" s="2511"/>
      <c r="HZU32" s="2511"/>
      <c r="HZV32" s="2511"/>
      <c r="HZW32" s="2511"/>
      <c r="HZX32" s="2511"/>
      <c r="HZY32" s="2511"/>
      <c r="HZZ32" s="2511"/>
      <c r="IAA32" s="2511"/>
      <c r="IAB32" s="2511"/>
      <c r="IAC32" s="2511"/>
      <c r="IAD32" s="2511"/>
      <c r="IAE32" s="2511"/>
      <c r="IAF32" s="2511"/>
      <c r="IAG32" s="2511"/>
      <c r="IAH32" s="2511"/>
      <c r="IAI32" s="2511"/>
      <c r="IAJ32" s="2511"/>
      <c r="IAK32" s="2511"/>
      <c r="IAL32" s="2511"/>
      <c r="IAM32" s="2511"/>
      <c r="IAN32" s="2511"/>
      <c r="IAO32" s="2511"/>
      <c r="IAP32" s="2511"/>
      <c r="IAQ32" s="2511"/>
      <c r="IAR32" s="2511"/>
      <c r="IAS32" s="2511"/>
      <c r="IAT32" s="2511"/>
      <c r="IAU32" s="2511"/>
      <c r="IAV32" s="2511"/>
      <c r="IAW32" s="2511"/>
      <c r="IAX32" s="2511"/>
      <c r="IAY32" s="2511"/>
      <c r="IAZ32" s="2511"/>
      <c r="IBA32" s="2511"/>
      <c r="IBB32" s="2511"/>
      <c r="IBC32" s="2511"/>
      <c r="IBD32" s="2511"/>
      <c r="IBE32" s="2511"/>
      <c r="IBF32" s="2511"/>
      <c r="IBG32" s="2511"/>
      <c r="IBH32" s="2511"/>
      <c r="IBI32" s="2511"/>
      <c r="IBJ32" s="2511"/>
      <c r="IBK32" s="2511"/>
      <c r="IBL32" s="2511"/>
      <c r="IBM32" s="2511"/>
      <c r="IBN32" s="2511"/>
      <c r="IBO32" s="2511"/>
      <c r="IBP32" s="2511"/>
      <c r="IBQ32" s="2511"/>
      <c r="IBR32" s="2511"/>
      <c r="IBS32" s="2511"/>
      <c r="IBT32" s="2511"/>
      <c r="IBU32" s="2511"/>
      <c r="IBV32" s="2511"/>
      <c r="IBW32" s="2511"/>
      <c r="IBX32" s="2511"/>
      <c r="IBY32" s="2511"/>
      <c r="IBZ32" s="2511"/>
      <c r="ICA32" s="2511"/>
      <c r="ICB32" s="2511"/>
      <c r="ICC32" s="2511"/>
      <c r="ICD32" s="2511"/>
      <c r="ICE32" s="2511"/>
      <c r="ICF32" s="2511"/>
      <c r="ICG32" s="2511"/>
      <c r="ICH32" s="2511"/>
      <c r="ICI32" s="2511"/>
      <c r="ICJ32" s="2511"/>
      <c r="ICK32" s="2511"/>
      <c r="ICL32" s="2511"/>
      <c r="ICM32" s="2511"/>
      <c r="ICN32" s="2511"/>
      <c r="ICO32" s="2511"/>
      <c r="ICP32" s="2511"/>
      <c r="ICQ32" s="2511"/>
      <c r="ICR32" s="2511"/>
      <c r="ICS32" s="2511"/>
      <c r="ICT32" s="2511"/>
      <c r="ICU32" s="2511"/>
      <c r="ICV32" s="2511"/>
      <c r="ICW32" s="2511"/>
      <c r="ICX32" s="2511"/>
      <c r="ICY32" s="2511"/>
      <c r="ICZ32" s="2511"/>
      <c r="IDA32" s="2511"/>
      <c r="IDB32" s="2511"/>
      <c r="IDC32" s="2511"/>
      <c r="IDD32" s="2511"/>
      <c r="IDE32" s="2511"/>
      <c r="IDF32" s="2511"/>
      <c r="IDG32" s="2511"/>
      <c r="IDH32" s="2511"/>
      <c r="IDI32" s="2511"/>
      <c r="IDJ32" s="2511"/>
      <c r="IDK32" s="2511"/>
      <c r="IDL32" s="2511"/>
      <c r="IDM32" s="2511"/>
      <c r="IDN32" s="2511"/>
      <c r="IDO32" s="2511"/>
      <c r="IDP32" s="2511"/>
      <c r="IDQ32" s="2511"/>
      <c r="IDR32" s="2511"/>
      <c r="IDS32" s="2511"/>
      <c r="IDT32" s="2511"/>
      <c r="IDU32" s="2511"/>
      <c r="IDV32" s="2511"/>
      <c r="IDW32" s="2511"/>
      <c r="IDX32" s="2511"/>
      <c r="IDY32" s="2511"/>
      <c r="IDZ32" s="2511"/>
      <c r="IEA32" s="2511"/>
      <c r="IEB32" s="2511"/>
      <c r="IEC32" s="2511"/>
      <c r="IED32" s="2511"/>
      <c r="IEE32" s="2511"/>
      <c r="IEF32" s="2511"/>
      <c r="IEG32" s="2511"/>
      <c r="IEH32" s="2511"/>
      <c r="IEI32" s="2511"/>
      <c r="IEJ32" s="2511"/>
      <c r="IEK32" s="2511"/>
      <c r="IEL32" s="2511"/>
      <c r="IEM32" s="2511"/>
      <c r="IEN32" s="2511"/>
      <c r="IEO32" s="2511"/>
      <c r="IEP32" s="2511"/>
      <c r="IEQ32" s="2511"/>
      <c r="IER32" s="2511"/>
      <c r="IES32" s="2511"/>
      <c r="IET32" s="2511"/>
      <c r="IEU32" s="2511"/>
      <c r="IEV32" s="2511"/>
      <c r="IEW32" s="2511"/>
      <c r="IEX32" s="2511"/>
      <c r="IEY32" s="2511"/>
      <c r="IEZ32" s="2511"/>
      <c r="IFA32" s="2511"/>
      <c r="IFB32" s="2511"/>
      <c r="IFC32" s="2511"/>
      <c r="IFD32" s="2511"/>
      <c r="IFE32" s="2511"/>
      <c r="IFF32" s="2511"/>
      <c r="IFG32" s="2511"/>
      <c r="IFH32" s="2511"/>
      <c r="IFI32" s="2511"/>
      <c r="IFJ32" s="2511"/>
      <c r="IFK32" s="2511"/>
      <c r="IFL32" s="2511"/>
      <c r="IFM32" s="2511"/>
      <c r="IFN32" s="2511"/>
      <c r="IFO32" s="2511"/>
      <c r="IFP32" s="2511"/>
      <c r="IFQ32" s="2511"/>
      <c r="IFR32" s="2511"/>
      <c r="IFS32" s="2511"/>
      <c r="IFT32" s="2511"/>
      <c r="IFU32" s="2511"/>
      <c r="IFV32" s="2511"/>
      <c r="IFW32" s="2511"/>
      <c r="IFX32" s="2511"/>
      <c r="IFY32" s="2511"/>
      <c r="IFZ32" s="2511"/>
      <c r="IGA32" s="2511"/>
      <c r="IGB32" s="2511"/>
      <c r="IGC32" s="2511"/>
      <c r="IGD32" s="2511"/>
      <c r="IGE32" s="2511"/>
      <c r="IGF32" s="2511"/>
      <c r="IGG32" s="2511"/>
      <c r="IGH32" s="2511"/>
      <c r="IGI32" s="2511"/>
      <c r="IGJ32" s="2511"/>
      <c r="IGK32" s="2511"/>
      <c r="IGL32" s="2511"/>
      <c r="IGM32" s="2511"/>
      <c r="IGN32" s="2511"/>
      <c r="IGO32" s="2511"/>
      <c r="IGP32" s="2511"/>
      <c r="IGQ32" s="2511"/>
      <c r="IGR32" s="2511"/>
      <c r="IGS32" s="2511"/>
      <c r="IGT32" s="2511"/>
      <c r="IGU32" s="2511"/>
      <c r="IGV32" s="2511"/>
      <c r="IGW32" s="2511"/>
      <c r="IGX32" s="2511"/>
      <c r="IGY32" s="2511"/>
      <c r="IGZ32" s="2511"/>
      <c r="IHA32" s="2511"/>
      <c r="IHB32" s="2511"/>
      <c r="IHC32" s="2511"/>
      <c r="IHD32" s="2511"/>
      <c r="IHE32" s="2511"/>
      <c r="IHF32" s="2511"/>
      <c r="IHG32" s="2511"/>
      <c r="IHH32" s="2511"/>
      <c r="IHI32" s="2511"/>
      <c r="IHJ32" s="2511"/>
      <c r="IHK32" s="2511"/>
      <c r="IHL32" s="2511"/>
      <c r="IHM32" s="2511"/>
      <c r="IHN32" s="2511"/>
      <c r="IHO32" s="2511"/>
      <c r="IHP32" s="2511"/>
      <c r="IHQ32" s="2511"/>
      <c r="IHR32" s="2511"/>
      <c r="IHS32" s="2511"/>
      <c r="IHT32" s="2511"/>
      <c r="IHU32" s="2511"/>
      <c r="IHV32" s="2511"/>
      <c r="IHW32" s="2511"/>
      <c r="IHX32" s="2511"/>
      <c r="IHY32" s="2511"/>
      <c r="IHZ32" s="2511"/>
      <c r="IIA32" s="2511"/>
      <c r="IIB32" s="2511"/>
      <c r="IIC32" s="2511"/>
      <c r="IID32" s="2511"/>
      <c r="IIE32" s="2511"/>
      <c r="IIF32" s="2511"/>
      <c r="IIG32" s="2511"/>
      <c r="IIH32" s="2511"/>
      <c r="III32" s="2511"/>
      <c r="IIJ32" s="2511"/>
      <c r="IIK32" s="2511"/>
      <c r="IIL32" s="2511"/>
      <c r="IIM32" s="2511"/>
      <c r="IIN32" s="2511"/>
      <c r="IIO32" s="2511"/>
      <c r="IIP32" s="2511"/>
      <c r="IIQ32" s="2511"/>
      <c r="IIR32" s="2511"/>
      <c r="IIS32" s="2511"/>
      <c r="IIT32" s="2511"/>
      <c r="IIU32" s="2511"/>
      <c r="IIV32" s="2511"/>
      <c r="IIW32" s="2511"/>
      <c r="IIX32" s="2511"/>
      <c r="IIY32" s="2511"/>
      <c r="IIZ32" s="2511"/>
      <c r="IJA32" s="2511"/>
      <c r="IJB32" s="2511"/>
      <c r="IJC32" s="2511"/>
      <c r="IJD32" s="2511"/>
      <c r="IJE32" s="2511"/>
      <c r="IJF32" s="2511"/>
      <c r="IJG32" s="2511"/>
      <c r="IJH32" s="2511"/>
      <c r="IJI32" s="2511"/>
      <c r="IJJ32" s="2511"/>
      <c r="IJK32" s="2511"/>
      <c r="IJL32" s="2511"/>
      <c r="IJM32" s="2511"/>
      <c r="IJN32" s="2511"/>
      <c r="IJO32" s="2511"/>
      <c r="IJP32" s="2511"/>
      <c r="IJQ32" s="2511"/>
      <c r="IJR32" s="2511"/>
      <c r="IJS32" s="2511"/>
      <c r="IJT32" s="2511"/>
      <c r="IJU32" s="2511"/>
      <c r="IJV32" s="2511"/>
      <c r="IJW32" s="2511"/>
      <c r="IJX32" s="2511"/>
      <c r="IJY32" s="2511"/>
      <c r="IJZ32" s="2511"/>
      <c r="IKA32" s="2511"/>
      <c r="IKB32" s="2511"/>
      <c r="IKC32" s="2511"/>
      <c r="IKD32" s="2511"/>
      <c r="IKE32" s="2511"/>
      <c r="IKF32" s="2511"/>
      <c r="IKG32" s="2511"/>
      <c r="IKH32" s="2511"/>
      <c r="IKI32" s="2511"/>
      <c r="IKJ32" s="2511"/>
      <c r="IKK32" s="2511"/>
      <c r="IKL32" s="2511"/>
      <c r="IKM32" s="2511"/>
      <c r="IKN32" s="2511"/>
      <c r="IKO32" s="2511"/>
      <c r="IKP32" s="2511"/>
      <c r="IKQ32" s="2511"/>
      <c r="IKR32" s="2511"/>
      <c r="IKS32" s="2511"/>
      <c r="IKT32" s="2511"/>
      <c r="IKU32" s="2511"/>
      <c r="IKV32" s="2511"/>
      <c r="IKW32" s="2511"/>
      <c r="IKX32" s="2511"/>
      <c r="IKY32" s="2511"/>
      <c r="IKZ32" s="2511"/>
      <c r="ILA32" s="2511"/>
      <c r="ILB32" s="2511"/>
      <c r="ILC32" s="2511"/>
      <c r="ILD32" s="2511"/>
      <c r="ILE32" s="2511"/>
      <c r="ILF32" s="2511"/>
      <c r="ILG32" s="2511"/>
      <c r="ILH32" s="2511"/>
      <c r="ILI32" s="2511"/>
      <c r="ILJ32" s="2511"/>
      <c r="ILK32" s="2511"/>
      <c r="ILL32" s="2511"/>
      <c r="ILM32" s="2511"/>
      <c r="ILN32" s="2511"/>
      <c r="ILO32" s="2511"/>
      <c r="ILP32" s="2511"/>
      <c r="ILQ32" s="2511"/>
      <c r="ILR32" s="2511"/>
      <c r="ILS32" s="2511"/>
      <c r="ILT32" s="2511"/>
      <c r="ILU32" s="2511"/>
      <c r="ILV32" s="2511"/>
      <c r="ILW32" s="2511"/>
      <c r="ILX32" s="2511"/>
      <c r="ILY32" s="2511"/>
      <c r="ILZ32" s="2511"/>
      <c r="IMA32" s="2511"/>
      <c r="IMB32" s="2511"/>
      <c r="IMC32" s="2511"/>
      <c r="IMD32" s="2511"/>
      <c r="IME32" s="2511"/>
      <c r="IMF32" s="2511"/>
      <c r="IMG32" s="2511"/>
      <c r="IMH32" s="2511"/>
      <c r="IMI32" s="2511"/>
      <c r="IMJ32" s="2511"/>
      <c r="IMK32" s="2511"/>
      <c r="IML32" s="2511"/>
      <c r="IMM32" s="2511"/>
      <c r="IMN32" s="2511"/>
      <c r="IMO32" s="2511"/>
      <c r="IMP32" s="2511"/>
      <c r="IMQ32" s="2511"/>
      <c r="IMR32" s="2511"/>
      <c r="IMS32" s="2511"/>
      <c r="IMT32" s="2511"/>
      <c r="IMU32" s="2511"/>
      <c r="IMV32" s="2511"/>
      <c r="IMW32" s="2511"/>
      <c r="IMX32" s="2511"/>
      <c r="IMY32" s="2511"/>
      <c r="IMZ32" s="2511"/>
      <c r="INA32" s="2511"/>
      <c r="INB32" s="2511"/>
      <c r="INC32" s="2511"/>
      <c r="IND32" s="2511"/>
      <c r="INE32" s="2511"/>
      <c r="INF32" s="2511"/>
      <c r="ING32" s="2511"/>
      <c r="INH32" s="2511"/>
      <c r="INI32" s="2511"/>
      <c r="INJ32" s="2511"/>
      <c r="INK32" s="2511"/>
      <c r="INL32" s="2511"/>
      <c r="INM32" s="2511"/>
      <c r="INN32" s="2511"/>
      <c r="INO32" s="2511"/>
      <c r="INP32" s="2511"/>
      <c r="INQ32" s="2511"/>
      <c r="INR32" s="2511"/>
      <c r="INS32" s="2511"/>
      <c r="INT32" s="2511"/>
      <c r="INU32" s="2511"/>
      <c r="INV32" s="2511"/>
      <c r="INW32" s="2511"/>
      <c r="INX32" s="2511"/>
      <c r="INY32" s="2511"/>
      <c r="INZ32" s="2511"/>
      <c r="IOA32" s="2511"/>
      <c r="IOB32" s="2511"/>
      <c r="IOC32" s="2511"/>
      <c r="IOD32" s="2511"/>
      <c r="IOE32" s="2511"/>
      <c r="IOF32" s="2511"/>
      <c r="IOG32" s="2511"/>
      <c r="IOH32" s="2511"/>
      <c r="IOI32" s="2511"/>
      <c r="IOJ32" s="2511"/>
      <c r="IOK32" s="2511"/>
      <c r="IOL32" s="2511"/>
      <c r="IOM32" s="2511"/>
      <c r="ION32" s="2511"/>
      <c r="IOO32" s="2511"/>
      <c r="IOP32" s="2511"/>
      <c r="IOQ32" s="2511"/>
      <c r="IOR32" s="2511"/>
      <c r="IOS32" s="2511"/>
      <c r="IOT32" s="2511"/>
      <c r="IOU32" s="2511"/>
      <c r="IOV32" s="2511"/>
      <c r="IOW32" s="2511"/>
      <c r="IOX32" s="2511"/>
      <c r="IOY32" s="2511"/>
      <c r="IOZ32" s="2511"/>
      <c r="IPA32" s="2511"/>
      <c r="IPB32" s="2511"/>
      <c r="IPC32" s="2511"/>
      <c r="IPD32" s="2511"/>
      <c r="IPE32" s="2511"/>
      <c r="IPF32" s="2511"/>
      <c r="IPG32" s="2511"/>
      <c r="IPH32" s="2511"/>
      <c r="IPI32" s="2511"/>
      <c r="IPJ32" s="2511"/>
      <c r="IPK32" s="2511"/>
      <c r="IPL32" s="2511"/>
      <c r="IPM32" s="2511"/>
      <c r="IPN32" s="2511"/>
      <c r="IPO32" s="2511"/>
      <c r="IPP32" s="2511"/>
      <c r="IPQ32" s="2511"/>
      <c r="IPR32" s="2511"/>
      <c r="IPS32" s="2511"/>
      <c r="IPT32" s="2511"/>
      <c r="IPU32" s="2511"/>
      <c r="IPV32" s="2511"/>
      <c r="IPW32" s="2511"/>
      <c r="IPX32" s="2511"/>
      <c r="IPY32" s="2511"/>
      <c r="IPZ32" s="2511"/>
      <c r="IQA32" s="2511"/>
      <c r="IQB32" s="2511"/>
      <c r="IQC32" s="2511"/>
      <c r="IQD32" s="2511"/>
      <c r="IQE32" s="2511"/>
      <c r="IQF32" s="2511"/>
      <c r="IQG32" s="2511"/>
      <c r="IQH32" s="2511"/>
      <c r="IQI32" s="2511"/>
      <c r="IQJ32" s="2511"/>
      <c r="IQK32" s="2511"/>
      <c r="IQL32" s="2511"/>
      <c r="IQM32" s="2511"/>
      <c r="IQN32" s="2511"/>
      <c r="IQO32" s="2511"/>
      <c r="IQP32" s="2511"/>
      <c r="IQQ32" s="2511"/>
      <c r="IQR32" s="2511"/>
      <c r="IQS32" s="2511"/>
      <c r="IQT32" s="2511"/>
      <c r="IQU32" s="2511"/>
      <c r="IQV32" s="2511"/>
      <c r="IQW32" s="2511"/>
      <c r="IQX32" s="2511"/>
      <c r="IQY32" s="2511"/>
      <c r="IQZ32" s="2511"/>
      <c r="IRA32" s="2511"/>
      <c r="IRB32" s="2511"/>
      <c r="IRC32" s="2511"/>
      <c r="IRD32" s="2511"/>
      <c r="IRE32" s="2511"/>
      <c r="IRF32" s="2511"/>
      <c r="IRG32" s="2511"/>
      <c r="IRH32" s="2511"/>
      <c r="IRI32" s="2511"/>
      <c r="IRJ32" s="2511"/>
      <c r="IRK32" s="2511"/>
      <c r="IRL32" s="2511"/>
      <c r="IRM32" s="2511"/>
      <c r="IRN32" s="2511"/>
      <c r="IRO32" s="2511"/>
      <c r="IRP32" s="2511"/>
      <c r="IRQ32" s="2511"/>
      <c r="IRR32" s="2511"/>
      <c r="IRS32" s="2511"/>
      <c r="IRT32" s="2511"/>
      <c r="IRU32" s="2511"/>
      <c r="IRV32" s="2511"/>
      <c r="IRW32" s="2511"/>
      <c r="IRX32" s="2511"/>
      <c r="IRY32" s="2511"/>
      <c r="IRZ32" s="2511"/>
      <c r="ISA32" s="2511"/>
      <c r="ISB32" s="2511"/>
      <c r="ISC32" s="2511"/>
      <c r="ISD32" s="2511"/>
      <c r="ISE32" s="2511"/>
      <c r="ISF32" s="2511"/>
      <c r="ISG32" s="2511"/>
      <c r="ISH32" s="2511"/>
      <c r="ISI32" s="2511"/>
      <c r="ISJ32" s="2511"/>
      <c r="ISK32" s="2511"/>
      <c r="ISL32" s="2511"/>
      <c r="ISM32" s="2511"/>
      <c r="ISN32" s="2511"/>
      <c r="ISO32" s="2511"/>
      <c r="ISP32" s="2511"/>
      <c r="ISQ32" s="2511"/>
      <c r="ISR32" s="2511"/>
      <c r="ISS32" s="2511"/>
      <c r="IST32" s="2511"/>
      <c r="ISU32" s="2511"/>
      <c r="ISV32" s="2511"/>
      <c r="ISW32" s="2511"/>
      <c r="ISX32" s="2511"/>
      <c r="ISY32" s="2511"/>
      <c r="ISZ32" s="2511"/>
      <c r="ITA32" s="2511"/>
      <c r="ITB32" s="2511"/>
      <c r="ITC32" s="2511"/>
      <c r="ITD32" s="2511"/>
      <c r="ITE32" s="2511"/>
      <c r="ITF32" s="2511"/>
      <c r="ITG32" s="2511"/>
      <c r="ITH32" s="2511"/>
      <c r="ITI32" s="2511"/>
      <c r="ITJ32" s="2511"/>
      <c r="ITK32" s="2511"/>
      <c r="ITL32" s="2511"/>
      <c r="ITM32" s="2511"/>
      <c r="ITN32" s="2511"/>
      <c r="ITO32" s="2511"/>
      <c r="ITP32" s="2511"/>
      <c r="ITQ32" s="2511"/>
      <c r="ITR32" s="2511"/>
      <c r="ITS32" s="2511"/>
      <c r="ITT32" s="2511"/>
      <c r="ITU32" s="2511"/>
      <c r="ITV32" s="2511"/>
      <c r="ITW32" s="2511"/>
      <c r="ITX32" s="2511"/>
      <c r="ITY32" s="2511"/>
      <c r="ITZ32" s="2511"/>
      <c r="IUA32" s="2511"/>
      <c r="IUB32" s="2511"/>
      <c r="IUC32" s="2511"/>
      <c r="IUD32" s="2511"/>
      <c r="IUE32" s="2511"/>
      <c r="IUF32" s="2511"/>
      <c r="IUG32" s="2511"/>
      <c r="IUH32" s="2511"/>
      <c r="IUI32" s="2511"/>
      <c r="IUJ32" s="2511"/>
      <c r="IUK32" s="2511"/>
      <c r="IUL32" s="2511"/>
      <c r="IUM32" s="2511"/>
      <c r="IUN32" s="2511"/>
      <c r="IUO32" s="2511"/>
      <c r="IUP32" s="2511"/>
      <c r="IUQ32" s="2511"/>
      <c r="IUR32" s="2511"/>
      <c r="IUS32" s="2511"/>
      <c r="IUT32" s="2511"/>
      <c r="IUU32" s="2511"/>
      <c r="IUV32" s="2511"/>
      <c r="IUW32" s="2511"/>
      <c r="IUX32" s="2511"/>
      <c r="IUY32" s="2511"/>
      <c r="IUZ32" s="2511"/>
      <c r="IVA32" s="2511"/>
      <c r="IVB32" s="2511"/>
      <c r="IVC32" s="2511"/>
      <c r="IVD32" s="2511"/>
      <c r="IVE32" s="2511"/>
      <c r="IVF32" s="2511"/>
      <c r="IVG32" s="2511"/>
      <c r="IVH32" s="2511"/>
      <c r="IVI32" s="2511"/>
      <c r="IVJ32" s="2511"/>
      <c r="IVK32" s="2511"/>
      <c r="IVL32" s="2511"/>
      <c r="IVM32" s="2511"/>
      <c r="IVN32" s="2511"/>
      <c r="IVO32" s="2511"/>
      <c r="IVP32" s="2511"/>
      <c r="IVQ32" s="2511"/>
      <c r="IVR32" s="2511"/>
      <c r="IVS32" s="2511"/>
      <c r="IVT32" s="2511"/>
      <c r="IVU32" s="2511"/>
      <c r="IVV32" s="2511"/>
      <c r="IVW32" s="2511"/>
      <c r="IVX32" s="2511"/>
      <c r="IVY32" s="2511"/>
      <c r="IVZ32" s="2511"/>
      <c r="IWA32" s="2511"/>
      <c r="IWB32" s="2511"/>
      <c r="IWC32" s="2511"/>
      <c r="IWD32" s="2511"/>
      <c r="IWE32" s="2511"/>
      <c r="IWF32" s="2511"/>
      <c r="IWG32" s="2511"/>
      <c r="IWH32" s="2511"/>
      <c r="IWI32" s="2511"/>
      <c r="IWJ32" s="2511"/>
      <c r="IWK32" s="2511"/>
      <c r="IWL32" s="2511"/>
      <c r="IWM32" s="2511"/>
      <c r="IWN32" s="2511"/>
      <c r="IWO32" s="2511"/>
      <c r="IWP32" s="2511"/>
      <c r="IWQ32" s="2511"/>
      <c r="IWR32" s="2511"/>
      <c r="IWS32" s="2511"/>
      <c r="IWT32" s="2511"/>
      <c r="IWU32" s="2511"/>
      <c r="IWV32" s="2511"/>
      <c r="IWW32" s="2511"/>
      <c r="IWX32" s="2511"/>
      <c r="IWY32" s="2511"/>
      <c r="IWZ32" s="2511"/>
      <c r="IXA32" s="2511"/>
      <c r="IXB32" s="2511"/>
      <c r="IXC32" s="2511"/>
      <c r="IXD32" s="2511"/>
      <c r="IXE32" s="2511"/>
      <c r="IXF32" s="2511"/>
      <c r="IXG32" s="2511"/>
      <c r="IXH32" s="2511"/>
      <c r="IXI32" s="2511"/>
      <c r="IXJ32" s="2511"/>
      <c r="IXK32" s="2511"/>
      <c r="IXL32" s="2511"/>
      <c r="IXM32" s="2511"/>
      <c r="IXN32" s="2511"/>
      <c r="IXO32" s="2511"/>
      <c r="IXP32" s="2511"/>
      <c r="IXQ32" s="2511"/>
      <c r="IXR32" s="2511"/>
      <c r="IXS32" s="2511"/>
      <c r="IXT32" s="2511"/>
      <c r="IXU32" s="2511"/>
      <c r="IXV32" s="2511"/>
      <c r="IXW32" s="2511"/>
      <c r="IXX32" s="2511"/>
      <c r="IXY32" s="2511"/>
      <c r="IXZ32" s="2511"/>
      <c r="IYA32" s="2511"/>
      <c r="IYB32" s="2511"/>
      <c r="IYC32" s="2511"/>
      <c r="IYD32" s="2511"/>
      <c r="IYE32" s="2511"/>
      <c r="IYF32" s="2511"/>
      <c r="IYG32" s="2511"/>
      <c r="IYH32" s="2511"/>
      <c r="IYI32" s="2511"/>
      <c r="IYJ32" s="2511"/>
      <c r="IYK32" s="2511"/>
      <c r="IYL32" s="2511"/>
      <c r="IYM32" s="2511"/>
      <c r="IYN32" s="2511"/>
      <c r="IYO32" s="2511"/>
      <c r="IYP32" s="2511"/>
      <c r="IYQ32" s="2511"/>
      <c r="IYR32" s="2511"/>
      <c r="IYS32" s="2511"/>
      <c r="IYT32" s="2511"/>
      <c r="IYU32" s="2511"/>
      <c r="IYV32" s="2511"/>
      <c r="IYW32" s="2511"/>
      <c r="IYX32" s="2511"/>
      <c r="IYY32" s="2511"/>
      <c r="IYZ32" s="2511"/>
      <c r="IZA32" s="2511"/>
      <c r="IZB32" s="2511"/>
      <c r="IZC32" s="2511"/>
      <c r="IZD32" s="2511"/>
      <c r="IZE32" s="2511"/>
      <c r="IZF32" s="2511"/>
      <c r="IZG32" s="2511"/>
      <c r="IZH32" s="2511"/>
      <c r="IZI32" s="2511"/>
      <c r="IZJ32" s="2511"/>
      <c r="IZK32" s="2511"/>
      <c r="IZL32" s="2511"/>
      <c r="IZM32" s="2511"/>
      <c r="IZN32" s="2511"/>
      <c r="IZO32" s="2511"/>
      <c r="IZP32" s="2511"/>
      <c r="IZQ32" s="2511"/>
      <c r="IZR32" s="2511"/>
      <c r="IZS32" s="2511"/>
      <c r="IZT32" s="2511"/>
      <c r="IZU32" s="2511"/>
      <c r="IZV32" s="2511"/>
      <c r="IZW32" s="2511"/>
      <c r="IZX32" s="2511"/>
      <c r="IZY32" s="2511"/>
      <c r="IZZ32" s="2511"/>
      <c r="JAA32" s="2511"/>
      <c r="JAB32" s="2511"/>
      <c r="JAC32" s="2511"/>
      <c r="JAD32" s="2511"/>
      <c r="JAE32" s="2511"/>
      <c r="JAF32" s="2511"/>
      <c r="JAG32" s="2511"/>
      <c r="JAH32" s="2511"/>
      <c r="JAI32" s="2511"/>
      <c r="JAJ32" s="2511"/>
      <c r="JAK32" s="2511"/>
      <c r="JAL32" s="2511"/>
      <c r="JAM32" s="2511"/>
      <c r="JAN32" s="2511"/>
      <c r="JAO32" s="2511"/>
      <c r="JAP32" s="2511"/>
      <c r="JAQ32" s="2511"/>
      <c r="JAR32" s="2511"/>
      <c r="JAS32" s="2511"/>
      <c r="JAT32" s="2511"/>
      <c r="JAU32" s="2511"/>
      <c r="JAV32" s="2511"/>
      <c r="JAW32" s="2511"/>
      <c r="JAX32" s="2511"/>
      <c r="JAY32" s="2511"/>
      <c r="JAZ32" s="2511"/>
      <c r="JBA32" s="2511"/>
      <c r="JBB32" s="2511"/>
      <c r="JBC32" s="2511"/>
      <c r="JBD32" s="2511"/>
      <c r="JBE32" s="2511"/>
      <c r="JBF32" s="2511"/>
      <c r="JBG32" s="2511"/>
      <c r="JBH32" s="2511"/>
      <c r="JBI32" s="2511"/>
      <c r="JBJ32" s="2511"/>
      <c r="JBK32" s="2511"/>
      <c r="JBL32" s="2511"/>
      <c r="JBM32" s="2511"/>
      <c r="JBN32" s="2511"/>
      <c r="JBO32" s="2511"/>
      <c r="JBP32" s="2511"/>
      <c r="JBQ32" s="2511"/>
      <c r="JBR32" s="2511"/>
      <c r="JBS32" s="2511"/>
      <c r="JBT32" s="2511"/>
      <c r="JBU32" s="2511"/>
      <c r="JBV32" s="2511"/>
      <c r="JBW32" s="2511"/>
      <c r="JBX32" s="2511"/>
      <c r="JBY32" s="2511"/>
      <c r="JBZ32" s="2511"/>
      <c r="JCA32" s="2511"/>
      <c r="JCB32" s="2511"/>
      <c r="JCC32" s="2511"/>
      <c r="JCD32" s="2511"/>
      <c r="JCE32" s="2511"/>
      <c r="JCF32" s="2511"/>
      <c r="JCG32" s="2511"/>
      <c r="JCH32" s="2511"/>
      <c r="JCI32" s="2511"/>
      <c r="JCJ32" s="2511"/>
      <c r="JCK32" s="2511"/>
      <c r="JCL32" s="2511"/>
      <c r="JCM32" s="2511"/>
      <c r="JCN32" s="2511"/>
      <c r="JCO32" s="2511"/>
      <c r="JCP32" s="2511"/>
      <c r="JCQ32" s="2511"/>
      <c r="JCR32" s="2511"/>
      <c r="JCS32" s="2511"/>
      <c r="JCT32" s="2511"/>
      <c r="JCU32" s="2511"/>
      <c r="JCV32" s="2511"/>
      <c r="JCW32" s="2511"/>
      <c r="JCX32" s="2511"/>
      <c r="JCY32" s="2511"/>
      <c r="JCZ32" s="2511"/>
      <c r="JDA32" s="2511"/>
      <c r="JDB32" s="2511"/>
      <c r="JDC32" s="2511"/>
      <c r="JDD32" s="2511"/>
      <c r="JDE32" s="2511"/>
      <c r="JDF32" s="2511"/>
      <c r="JDG32" s="2511"/>
      <c r="JDH32" s="2511"/>
      <c r="JDI32" s="2511"/>
      <c r="JDJ32" s="2511"/>
      <c r="JDK32" s="2511"/>
      <c r="JDL32" s="2511"/>
      <c r="JDM32" s="2511"/>
      <c r="JDN32" s="2511"/>
      <c r="JDO32" s="2511"/>
      <c r="JDP32" s="2511"/>
      <c r="JDQ32" s="2511"/>
      <c r="JDR32" s="2511"/>
      <c r="JDS32" s="2511"/>
      <c r="JDT32" s="2511"/>
      <c r="JDU32" s="2511"/>
      <c r="JDV32" s="2511"/>
      <c r="JDW32" s="2511"/>
      <c r="JDX32" s="2511"/>
      <c r="JDY32" s="2511"/>
      <c r="JDZ32" s="2511"/>
      <c r="JEA32" s="2511"/>
      <c r="JEB32" s="2511"/>
      <c r="JEC32" s="2511"/>
      <c r="JED32" s="2511"/>
      <c r="JEE32" s="2511"/>
      <c r="JEF32" s="2511"/>
      <c r="JEG32" s="2511"/>
      <c r="JEH32" s="2511"/>
      <c r="JEI32" s="2511"/>
      <c r="JEJ32" s="2511"/>
      <c r="JEK32" s="2511"/>
      <c r="JEL32" s="2511"/>
      <c r="JEM32" s="2511"/>
      <c r="JEN32" s="2511"/>
      <c r="JEO32" s="2511"/>
      <c r="JEP32" s="2511"/>
      <c r="JEQ32" s="2511"/>
      <c r="JER32" s="2511"/>
      <c r="JES32" s="2511"/>
      <c r="JET32" s="2511"/>
      <c r="JEU32" s="2511"/>
      <c r="JEV32" s="2511"/>
      <c r="JEW32" s="2511"/>
      <c r="JEX32" s="2511"/>
      <c r="JEY32" s="2511"/>
      <c r="JEZ32" s="2511"/>
      <c r="JFA32" s="2511"/>
      <c r="JFB32" s="2511"/>
      <c r="JFC32" s="2511"/>
      <c r="JFD32" s="2511"/>
      <c r="JFE32" s="2511"/>
      <c r="JFF32" s="2511"/>
      <c r="JFG32" s="2511"/>
      <c r="JFH32" s="2511"/>
      <c r="JFI32" s="2511"/>
      <c r="JFJ32" s="2511"/>
      <c r="JFK32" s="2511"/>
      <c r="JFL32" s="2511"/>
      <c r="JFM32" s="2511"/>
      <c r="JFN32" s="2511"/>
      <c r="JFO32" s="2511"/>
      <c r="JFP32" s="2511"/>
      <c r="JFQ32" s="2511"/>
      <c r="JFR32" s="2511"/>
      <c r="JFS32" s="2511"/>
      <c r="JFT32" s="2511"/>
      <c r="JFU32" s="2511"/>
      <c r="JFV32" s="2511"/>
      <c r="JFW32" s="2511"/>
      <c r="JFX32" s="2511"/>
      <c r="JFY32" s="2511"/>
      <c r="JFZ32" s="2511"/>
      <c r="JGA32" s="2511"/>
      <c r="JGB32" s="2511"/>
      <c r="JGC32" s="2511"/>
      <c r="JGD32" s="2511"/>
      <c r="JGE32" s="2511"/>
      <c r="JGF32" s="2511"/>
      <c r="JGG32" s="2511"/>
      <c r="JGH32" s="2511"/>
      <c r="JGI32" s="2511"/>
      <c r="JGJ32" s="2511"/>
      <c r="JGK32" s="2511"/>
      <c r="JGL32" s="2511"/>
      <c r="JGM32" s="2511"/>
      <c r="JGN32" s="2511"/>
      <c r="JGO32" s="2511"/>
      <c r="JGP32" s="2511"/>
      <c r="JGQ32" s="2511"/>
      <c r="JGR32" s="2511"/>
      <c r="JGS32" s="2511"/>
      <c r="JGT32" s="2511"/>
      <c r="JGU32" s="2511"/>
      <c r="JGV32" s="2511"/>
      <c r="JGW32" s="2511"/>
      <c r="JGX32" s="2511"/>
      <c r="JGY32" s="2511"/>
      <c r="JGZ32" s="2511"/>
      <c r="JHA32" s="2511"/>
      <c r="JHB32" s="2511"/>
      <c r="JHC32" s="2511"/>
      <c r="JHD32" s="2511"/>
      <c r="JHE32" s="2511"/>
      <c r="JHF32" s="2511"/>
      <c r="JHG32" s="2511"/>
      <c r="JHH32" s="2511"/>
      <c r="JHI32" s="2511"/>
      <c r="JHJ32" s="2511"/>
      <c r="JHK32" s="2511"/>
      <c r="JHL32" s="2511"/>
      <c r="JHM32" s="2511"/>
      <c r="JHN32" s="2511"/>
      <c r="JHO32" s="2511"/>
      <c r="JHP32" s="2511"/>
      <c r="JHQ32" s="2511"/>
      <c r="JHR32" s="2511"/>
      <c r="JHS32" s="2511"/>
      <c r="JHT32" s="2511"/>
      <c r="JHU32" s="2511"/>
      <c r="JHV32" s="2511"/>
      <c r="JHW32" s="2511"/>
      <c r="JHX32" s="2511"/>
      <c r="JHY32" s="2511"/>
      <c r="JHZ32" s="2511"/>
      <c r="JIA32" s="2511"/>
      <c r="JIB32" s="2511"/>
      <c r="JIC32" s="2511"/>
      <c r="JID32" s="2511"/>
      <c r="JIE32" s="2511"/>
      <c r="JIF32" s="2511"/>
      <c r="JIG32" s="2511"/>
      <c r="JIH32" s="2511"/>
      <c r="JII32" s="2511"/>
      <c r="JIJ32" s="2511"/>
      <c r="JIK32" s="2511"/>
      <c r="JIL32" s="2511"/>
      <c r="JIM32" s="2511"/>
      <c r="JIN32" s="2511"/>
      <c r="JIO32" s="2511"/>
      <c r="JIP32" s="2511"/>
      <c r="JIQ32" s="2511"/>
      <c r="JIR32" s="2511"/>
      <c r="JIS32" s="2511"/>
      <c r="JIT32" s="2511"/>
      <c r="JIU32" s="2511"/>
      <c r="JIV32" s="2511"/>
      <c r="JIW32" s="2511"/>
      <c r="JIX32" s="2511"/>
      <c r="JIY32" s="2511"/>
      <c r="JIZ32" s="2511"/>
      <c r="JJA32" s="2511"/>
      <c r="JJB32" s="2511"/>
      <c r="JJC32" s="2511"/>
      <c r="JJD32" s="2511"/>
      <c r="JJE32" s="2511"/>
      <c r="JJF32" s="2511"/>
      <c r="JJG32" s="2511"/>
      <c r="JJH32" s="2511"/>
      <c r="JJI32" s="2511"/>
      <c r="JJJ32" s="2511"/>
      <c r="JJK32" s="2511"/>
      <c r="JJL32" s="2511"/>
      <c r="JJM32" s="2511"/>
      <c r="JJN32" s="2511"/>
      <c r="JJO32" s="2511"/>
      <c r="JJP32" s="2511"/>
      <c r="JJQ32" s="2511"/>
      <c r="JJR32" s="2511"/>
      <c r="JJS32" s="2511"/>
      <c r="JJT32" s="2511"/>
      <c r="JJU32" s="2511"/>
      <c r="JJV32" s="2511"/>
      <c r="JJW32" s="2511"/>
      <c r="JJX32" s="2511"/>
      <c r="JJY32" s="2511"/>
      <c r="JJZ32" s="2511"/>
      <c r="JKA32" s="2511"/>
      <c r="JKB32" s="2511"/>
      <c r="JKC32" s="2511"/>
      <c r="JKD32" s="2511"/>
      <c r="JKE32" s="2511"/>
      <c r="JKF32" s="2511"/>
      <c r="JKG32" s="2511"/>
      <c r="JKH32" s="2511"/>
      <c r="JKI32" s="2511"/>
      <c r="JKJ32" s="2511"/>
      <c r="JKK32" s="2511"/>
      <c r="JKL32" s="2511"/>
      <c r="JKM32" s="2511"/>
      <c r="JKN32" s="2511"/>
      <c r="JKO32" s="2511"/>
      <c r="JKP32" s="2511"/>
      <c r="JKQ32" s="2511"/>
      <c r="JKR32" s="2511"/>
      <c r="JKS32" s="2511"/>
      <c r="JKT32" s="2511"/>
      <c r="JKU32" s="2511"/>
      <c r="JKV32" s="2511"/>
      <c r="JKW32" s="2511"/>
      <c r="JKX32" s="2511"/>
      <c r="JKY32" s="2511"/>
      <c r="JKZ32" s="2511"/>
      <c r="JLA32" s="2511"/>
      <c r="JLB32" s="2511"/>
      <c r="JLC32" s="2511"/>
      <c r="JLD32" s="2511"/>
      <c r="JLE32" s="2511"/>
      <c r="JLF32" s="2511"/>
      <c r="JLG32" s="2511"/>
      <c r="JLH32" s="2511"/>
      <c r="JLI32" s="2511"/>
      <c r="JLJ32" s="2511"/>
      <c r="JLK32" s="2511"/>
      <c r="JLL32" s="2511"/>
      <c r="JLM32" s="2511"/>
      <c r="JLN32" s="2511"/>
      <c r="JLO32" s="2511"/>
      <c r="JLP32" s="2511"/>
      <c r="JLQ32" s="2511"/>
      <c r="JLR32" s="2511"/>
      <c r="JLS32" s="2511"/>
      <c r="JLT32" s="2511"/>
      <c r="JLU32" s="2511"/>
      <c r="JLV32" s="2511"/>
      <c r="JLW32" s="2511"/>
      <c r="JLX32" s="2511"/>
      <c r="JLY32" s="2511"/>
      <c r="JLZ32" s="2511"/>
      <c r="JMA32" s="2511"/>
      <c r="JMB32" s="2511"/>
      <c r="JMC32" s="2511"/>
      <c r="JMD32" s="2511"/>
      <c r="JME32" s="2511"/>
      <c r="JMF32" s="2511"/>
      <c r="JMG32" s="2511"/>
      <c r="JMH32" s="2511"/>
      <c r="JMI32" s="2511"/>
      <c r="JMJ32" s="2511"/>
      <c r="JMK32" s="2511"/>
      <c r="JML32" s="2511"/>
      <c r="JMM32" s="2511"/>
      <c r="JMN32" s="2511"/>
      <c r="JMO32" s="2511"/>
      <c r="JMP32" s="2511"/>
      <c r="JMQ32" s="2511"/>
      <c r="JMR32" s="2511"/>
      <c r="JMS32" s="2511"/>
      <c r="JMT32" s="2511"/>
      <c r="JMU32" s="2511"/>
      <c r="JMV32" s="2511"/>
      <c r="JMW32" s="2511"/>
      <c r="JMX32" s="2511"/>
      <c r="JMY32" s="2511"/>
      <c r="JMZ32" s="2511"/>
      <c r="JNA32" s="2511"/>
      <c r="JNB32" s="2511"/>
      <c r="JNC32" s="2511"/>
      <c r="JND32" s="2511"/>
      <c r="JNE32" s="2511"/>
      <c r="JNF32" s="2511"/>
      <c r="JNG32" s="2511"/>
      <c r="JNH32" s="2511"/>
      <c r="JNI32" s="2511"/>
      <c r="JNJ32" s="2511"/>
      <c r="JNK32" s="2511"/>
      <c r="JNL32" s="2511"/>
      <c r="JNM32" s="2511"/>
      <c r="JNN32" s="2511"/>
      <c r="JNO32" s="2511"/>
      <c r="JNP32" s="2511"/>
      <c r="JNQ32" s="2511"/>
      <c r="JNR32" s="2511"/>
      <c r="JNS32" s="2511"/>
      <c r="JNT32" s="2511"/>
      <c r="JNU32" s="2511"/>
      <c r="JNV32" s="2511"/>
      <c r="JNW32" s="2511"/>
      <c r="JNX32" s="2511"/>
      <c r="JNY32" s="2511"/>
      <c r="JNZ32" s="2511"/>
      <c r="JOA32" s="2511"/>
      <c r="JOB32" s="2511"/>
      <c r="JOC32" s="2511"/>
      <c r="JOD32" s="2511"/>
      <c r="JOE32" s="2511"/>
      <c r="JOF32" s="2511"/>
      <c r="JOG32" s="2511"/>
      <c r="JOH32" s="2511"/>
      <c r="JOI32" s="2511"/>
      <c r="JOJ32" s="2511"/>
      <c r="JOK32" s="2511"/>
      <c r="JOL32" s="2511"/>
      <c r="JOM32" s="2511"/>
      <c r="JON32" s="2511"/>
      <c r="JOO32" s="2511"/>
      <c r="JOP32" s="2511"/>
      <c r="JOQ32" s="2511"/>
      <c r="JOR32" s="2511"/>
      <c r="JOS32" s="2511"/>
      <c r="JOT32" s="2511"/>
      <c r="JOU32" s="2511"/>
      <c r="JOV32" s="2511"/>
      <c r="JOW32" s="2511"/>
      <c r="JOX32" s="2511"/>
      <c r="JOY32" s="2511"/>
      <c r="JOZ32" s="2511"/>
      <c r="JPA32" s="2511"/>
      <c r="JPB32" s="2511"/>
      <c r="JPC32" s="2511"/>
      <c r="JPD32" s="2511"/>
      <c r="JPE32" s="2511"/>
      <c r="JPF32" s="2511"/>
      <c r="JPG32" s="2511"/>
      <c r="JPH32" s="2511"/>
      <c r="JPI32" s="2511"/>
      <c r="JPJ32" s="2511"/>
      <c r="JPK32" s="2511"/>
      <c r="JPL32" s="2511"/>
      <c r="JPM32" s="2511"/>
      <c r="JPN32" s="2511"/>
      <c r="JPO32" s="2511"/>
      <c r="JPP32" s="2511"/>
      <c r="JPQ32" s="2511"/>
      <c r="JPR32" s="2511"/>
      <c r="JPS32" s="2511"/>
      <c r="JPT32" s="2511"/>
      <c r="JPU32" s="2511"/>
      <c r="JPV32" s="2511"/>
      <c r="JPW32" s="2511"/>
      <c r="JPX32" s="2511"/>
      <c r="JPY32" s="2511"/>
      <c r="JPZ32" s="2511"/>
      <c r="JQA32" s="2511"/>
      <c r="JQB32" s="2511"/>
      <c r="JQC32" s="2511"/>
      <c r="JQD32" s="2511"/>
      <c r="JQE32" s="2511"/>
      <c r="JQF32" s="2511"/>
      <c r="JQG32" s="2511"/>
      <c r="JQH32" s="2511"/>
      <c r="JQI32" s="2511"/>
      <c r="JQJ32" s="2511"/>
      <c r="JQK32" s="2511"/>
      <c r="JQL32" s="2511"/>
      <c r="JQM32" s="2511"/>
      <c r="JQN32" s="2511"/>
      <c r="JQO32" s="2511"/>
      <c r="JQP32" s="2511"/>
      <c r="JQQ32" s="2511"/>
      <c r="JQR32" s="2511"/>
      <c r="JQS32" s="2511"/>
      <c r="JQT32" s="2511"/>
      <c r="JQU32" s="2511"/>
      <c r="JQV32" s="2511"/>
      <c r="JQW32" s="2511"/>
      <c r="JQX32" s="2511"/>
      <c r="JQY32" s="2511"/>
      <c r="JQZ32" s="2511"/>
      <c r="JRA32" s="2511"/>
      <c r="JRB32" s="2511"/>
      <c r="JRC32" s="2511"/>
      <c r="JRD32" s="2511"/>
      <c r="JRE32" s="2511"/>
      <c r="JRF32" s="2511"/>
      <c r="JRG32" s="2511"/>
      <c r="JRH32" s="2511"/>
      <c r="JRI32" s="2511"/>
      <c r="JRJ32" s="2511"/>
      <c r="JRK32" s="2511"/>
      <c r="JRL32" s="2511"/>
      <c r="JRM32" s="2511"/>
      <c r="JRN32" s="2511"/>
      <c r="JRO32" s="2511"/>
      <c r="JRP32" s="2511"/>
      <c r="JRQ32" s="2511"/>
      <c r="JRR32" s="2511"/>
      <c r="JRS32" s="2511"/>
      <c r="JRT32" s="2511"/>
      <c r="JRU32" s="2511"/>
      <c r="JRV32" s="2511"/>
      <c r="JRW32" s="2511"/>
      <c r="JRX32" s="2511"/>
      <c r="JRY32" s="2511"/>
      <c r="JRZ32" s="2511"/>
      <c r="JSA32" s="2511"/>
      <c r="JSB32" s="2511"/>
      <c r="JSC32" s="2511"/>
      <c r="JSD32" s="2511"/>
      <c r="JSE32" s="2511"/>
      <c r="JSF32" s="2511"/>
      <c r="JSG32" s="2511"/>
      <c r="JSH32" s="2511"/>
      <c r="JSI32" s="2511"/>
      <c r="JSJ32" s="2511"/>
      <c r="JSK32" s="2511"/>
      <c r="JSL32" s="2511"/>
      <c r="JSM32" s="2511"/>
      <c r="JSN32" s="2511"/>
      <c r="JSO32" s="2511"/>
      <c r="JSP32" s="2511"/>
      <c r="JSQ32" s="2511"/>
      <c r="JSR32" s="2511"/>
      <c r="JSS32" s="2511"/>
      <c r="JST32" s="2511"/>
      <c r="JSU32" s="2511"/>
      <c r="JSV32" s="2511"/>
      <c r="JSW32" s="2511"/>
      <c r="JSX32" s="2511"/>
      <c r="JSY32" s="2511"/>
      <c r="JSZ32" s="2511"/>
      <c r="JTA32" s="2511"/>
      <c r="JTB32" s="2511"/>
      <c r="JTC32" s="2511"/>
      <c r="JTD32" s="2511"/>
      <c r="JTE32" s="2511"/>
      <c r="JTF32" s="2511"/>
      <c r="JTG32" s="2511"/>
      <c r="JTH32" s="2511"/>
      <c r="JTI32" s="2511"/>
      <c r="JTJ32" s="2511"/>
      <c r="JTK32" s="2511"/>
      <c r="JTL32" s="2511"/>
      <c r="JTM32" s="2511"/>
      <c r="JTN32" s="2511"/>
      <c r="JTO32" s="2511"/>
      <c r="JTP32" s="2511"/>
      <c r="JTQ32" s="2511"/>
      <c r="JTR32" s="2511"/>
      <c r="JTS32" s="2511"/>
      <c r="JTT32" s="2511"/>
      <c r="JTU32" s="2511"/>
      <c r="JTV32" s="2511"/>
      <c r="JTW32" s="2511"/>
      <c r="JTX32" s="2511"/>
      <c r="JTY32" s="2511"/>
      <c r="JTZ32" s="2511"/>
      <c r="JUA32" s="2511"/>
      <c r="JUB32" s="2511"/>
      <c r="JUC32" s="2511"/>
      <c r="JUD32" s="2511"/>
      <c r="JUE32" s="2511"/>
      <c r="JUF32" s="2511"/>
      <c r="JUG32" s="2511"/>
      <c r="JUH32" s="2511"/>
      <c r="JUI32" s="2511"/>
      <c r="JUJ32" s="2511"/>
      <c r="JUK32" s="2511"/>
      <c r="JUL32" s="2511"/>
      <c r="JUM32" s="2511"/>
      <c r="JUN32" s="2511"/>
      <c r="JUO32" s="2511"/>
      <c r="JUP32" s="2511"/>
      <c r="JUQ32" s="2511"/>
      <c r="JUR32" s="2511"/>
      <c r="JUS32" s="2511"/>
      <c r="JUT32" s="2511"/>
      <c r="JUU32" s="2511"/>
      <c r="JUV32" s="2511"/>
      <c r="JUW32" s="2511"/>
      <c r="JUX32" s="2511"/>
      <c r="JUY32" s="2511"/>
      <c r="JUZ32" s="2511"/>
      <c r="JVA32" s="2511"/>
      <c r="JVB32" s="2511"/>
      <c r="JVC32" s="2511"/>
      <c r="JVD32" s="2511"/>
      <c r="JVE32" s="2511"/>
      <c r="JVF32" s="2511"/>
      <c r="JVG32" s="2511"/>
      <c r="JVH32" s="2511"/>
      <c r="JVI32" s="2511"/>
      <c r="JVJ32" s="2511"/>
      <c r="JVK32" s="2511"/>
      <c r="JVL32" s="2511"/>
      <c r="JVM32" s="2511"/>
      <c r="JVN32" s="2511"/>
      <c r="JVO32" s="2511"/>
      <c r="JVP32" s="2511"/>
      <c r="JVQ32" s="2511"/>
      <c r="JVR32" s="2511"/>
      <c r="JVS32" s="2511"/>
      <c r="JVT32" s="2511"/>
      <c r="JVU32" s="2511"/>
      <c r="JVV32" s="2511"/>
      <c r="JVW32" s="2511"/>
      <c r="JVX32" s="2511"/>
      <c r="JVY32" s="2511"/>
      <c r="JVZ32" s="2511"/>
      <c r="JWA32" s="2511"/>
      <c r="JWB32" s="2511"/>
      <c r="JWC32" s="2511"/>
      <c r="JWD32" s="2511"/>
      <c r="JWE32" s="2511"/>
      <c r="JWF32" s="2511"/>
      <c r="JWG32" s="2511"/>
      <c r="JWH32" s="2511"/>
      <c r="JWI32" s="2511"/>
      <c r="JWJ32" s="2511"/>
      <c r="JWK32" s="2511"/>
      <c r="JWL32" s="2511"/>
      <c r="JWM32" s="2511"/>
      <c r="JWN32" s="2511"/>
      <c r="JWO32" s="2511"/>
      <c r="JWP32" s="2511"/>
      <c r="JWQ32" s="2511"/>
      <c r="JWR32" s="2511"/>
      <c r="JWS32" s="2511"/>
      <c r="JWT32" s="2511"/>
      <c r="JWU32" s="2511"/>
      <c r="JWV32" s="2511"/>
      <c r="JWW32" s="2511"/>
      <c r="JWX32" s="2511"/>
      <c r="JWY32" s="2511"/>
      <c r="JWZ32" s="2511"/>
      <c r="JXA32" s="2511"/>
      <c r="JXB32" s="2511"/>
      <c r="JXC32" s="2511"/>
      <c r="JXD32" s="2511"/>
      <c r="JXE32" s="2511"/>
      <c r="JXF32" s="2511"/>
      <c r="JXG32" s="2511"/>
      <c r="JXH32" s="2511"/>
      <c r="JXI32" s="2511"/>
      <c r="JXJ32" s="2511"/>
      <c r="JXK32" s="2511"/>
      <c r="JXL32" s="2511"/>
      <c r="JXM32" s="2511"/>
      <c r="JXN32" s="2511"/>
      <c r="JXO32" s="2511"/>
      <c r="JXP32" s="2511"/>
      <c r="JXQ32" s="2511"/>
      <c r="JXR32" s="2511"/>
      <c r="JXS32" s="2511"/>
      <c r="JXT32" s="2511"/>
      <c r="JXU32" s="2511"/>
      <c r="JXV32" s="2511"/>
      <c r="JXW32" s="2511"/>
      <c r="JXX32" s="2511"/>
      <c r="JXY32" s="2511"/>
      <c r="JXZ32" s="2511"/>
      <c r="JYA32" s="2511"/>
      <c r="JYB32" s="2511"/>
      <c r="JYC32" s="2511"/>
      <c r="JYD32" s="2511"/>
      <c r="JYE32" s="2511"/>
      <c r="JYF32" s="2511"/>
      <c r="JYG32" s="2511"/>
      <c r="JYH32" s="2511"/>
      <c r="JYI32" s="2511"/>
      <c r="JYJ32" s="2511"/>
      <c r="JYK32" s="2511"/>
      <c r="JYL32" s="2511"/>
      <c r="JYM32" s="2511"/>
      <c r="JYN32" s="2511"/>
      <c r="JYO32" s="2511"/>
      <c r="JYP32" s="2511"/>
      <c r="JYQ32" s="2511"/>
      <c r="JYR32" s="2511"/>
      <c r="JYS32" s="2511"/>
      <c r="JYT32" s="2511"/>
      <c r="JYU32" s="2511"/>
      <c r="JYV32" s="2511"/>
      <c r="JYW32" s="2511"/>
      <c r="JYX32" s="2511"/>
      <c r="JYY32" s="2511"/>
      <c r="JYZ32" s="2511"/>
      <c r="JZA32" s="2511"/>
      <c r="JZB32" s="2511"/>
      <c r="JZC32" s="2511"/>
      <c r="JZD32" s="2511"/>
      <c r="JZE32" s="2511"/>
      <c r="JZF32" s="2511"/>
      <c r="JZG32" s="2511"/>
      <c r="JZH32" s="2511"/>
      <c r="JZI32" s="2511"/>
      <c r="JZJ32" s="2511"/>
      <c r="JZK32" s="2511"/>
      <c r="JZL32" s="2511"/>
      <c r="JZM32" s="2511"/>
      <c r="JZN32" s="2511"/>
      <c r="JZO32" s="2511"/>
      <c r="JZP32" s="2511"/>
      <c r="JZQ32" s="2511"/>
      <c r="JZR32" s="2511"/>
      <c r="JZS32" s="2511"/>
      <c r="JZT32" s="2511"/>
      <c r="JZU32" s="2511"/>
      <c r="JZV32" s="2511"/>
      <c r="JZW32" s="2511"/>
      <c r="JZX32" s="2511"/>
      <c r="JZY32" s="2511"/>
      <c r="JZZ32" s="2511"/>
      <c r="KAA32" s="2511"/>
      <c r="KAB32" s="2511"/>
      <c r="KAC32" s="2511"/>
      <c r="KAD32" s="2511"/>
      <c r="KAE32" s="2511"/>
      <c r="KAF32" s="2511"/>
      <c r="KAG32" s="2511"/>
      <c r="KAH32" s="2511"/>
      <c r="KAI32" s="2511"/>
      <c r="KAJ32" s="2511"/>
      <c r="KAK32" s="2511"/>
      <c r="KAL32" s="2511"/>
      <c r="KAM32" s="2511"/>
      <c r="KAN32" s="2511"/>
      <c r="KAO32" s="2511"/>
      <c r="KAP32" s="2511"/>
      <c r="KAQ32" s="2511"/>
      <c r="KAR32" s="2511"/>
      <c r="KAS32" s="2511"/>
      <c r="KAT32" s="2511"/>
      <c r="KAU32" s="2511"/>
      <c r="KAV32" s="2511"/>
      <c r="KAW32" s="2511"/>
      <c r="KAX32" s="2511"/>
      <c r="KAY32" s="2511"/>
      <c r="KAZ32" s="2511"/>
      <c r="KBA32" s="2511"/>
      <c r="KBB32" s="2511"/>
      <c r="KBC32" s="2511"/>
      <c r="KBD32" s="2511"/>
      <c r="KBE32" s="2511"/>
      <c r="KBF32" s="2511"/>
      <c r="KBG32" s="2511"/>
      <c r="KBH32" s="2511"/>
      <c r="KBI32" s="2511"/>
      <c r="KBJ32" s="2511"/>
      <c r="KBK32" s="2511"/>
      <c r="KBL32" s="2511"/>
      <c r="KBM32" s="2511"/>
      <c r="KBN32" s="2511"/>
      <c r="KBO32" s="2511"/>
      <c r="KBP32" s="2511"/>
      <c r="KBQ32" s="2511"/>
      <c r="KBR32" s="2511"/>
      <c r="KBS32" s="2511"/>
      <c r="KBT32" s="2511"/>
      <c r="KBU32" s="2511"/>
      <c r="KBV32" s="2511"/>
      <c r="KBW32" s="2511"/>
      <c r="KBX32" s="2511"/>
      <c r="KBY32" s="2511"/>
      <c r="KBZ32" s="2511"/>
      <c r="KCA32" s="2511"/>
      <c r="KCB32" s="2511"/>
      <c r="KCC32" s="2511"/>
      <c r="KCD32" s="2511"/>
      <c r="KCE32" s="2511"/>
      <c r="KCF32" s="2511"/>
      <c r="KCG32" s="2511"/>
      <c r="KCH32" s="2511"/>
      <c r="KCI32" s="2511"/>
      <c r="KCJ32" s="2511"/>
      <c r="KCK32" s="2511"/>
      <c r="KCL32" s="2511"/>
      <c r="KCM32" s="2511"/>
      <c r="KCN32" s="2511"/>
      <c r="KCO32" s="2511"/>
      <c r="KCP32" s="2511"/>
      <c r="KCQ32" s="2511"/>
      <c r="KCR32" s="2511"/>
      <c r="KCS32" s="2511"/>
      <c r="KCT32" s="2511"/>
      <c r="KCU32" s="2511"/>
      <c r="KCV32" s="2511"/>
      <c r="KCW32" s="2511"/>
      <c r="KCX32" s="2511"/>
      <c r="KCY32" s="2511"/>
      <c r="KCZ32" s="2511"/>
      <c r="KDA32" s="2511"/>
      <c r="KDB32" s="2511"/>
      <c r="KDC32" s="2511"/>
      <c r="KDD32" s="2511"/>
      <c r="KDE32" s="2511"/>
      <c r="KDF32" s="2511"/>
      <c r="KDG32" s="2511"/>
      <c r="KDH32" s="2511"/>
      <c r="KDI32" s="2511"/>
      <c r="KDJ32" s="2511"/>
      <c r="KDK32" s="2511"/>
      <c r="KDL32" s="2511"/>
      <c r="KDM32" s="2511"/>
      <c r="KDN32" s="2511"/>
      <c r="KDO32" s="2511"/>
      <c r="KDP32" s="2511"/>
      <c r="KDQ32" s="2511"/>
      <c r="KDR32" s="2511"/>
      <c r="KDS32" s="2511"/>
      <c r="KDT32" s="2511"/>
      <c r="KDU32" s="2511"/>
      <c r="KDV32" s="2511"/>
      <c r="KDW32" s="2511"/>
      <c r="KDX32" s="2511"/>
      <c r="KDY32" s="2511"/>
      <c r="KDZ32" s="2511"/>
      <c r="KEA32" s="2511"/>
      <c r="KEB32" s="2511"/>
      <c r="KEC32" s="2511"/>
      <c r="KED32" s="2511"/>
      <c r="KEE32" s="2511"/>
      <c r="KEF32" s="2511"/>
      <c r="KEG32" s="2511"/>
      <c r="KEH32" s="2511"/>
      <c r="KEI32" s="2511"/>
      <c r="KEJ32" s="2511"/>
      <c r="KEK32" s="2511"/>
      <c r="KEL32" s="2511"/>
      <c r="KEM32" s="2511"/>
      <c r="KEN32" s="2511"/>
      <c r="KEO32" s="2511"/>
      <c r="KEP32" s="2511"/>
      <c r="KEQ32" s="2511"/>
      <c r="KER32" s="2511"/>
      <c r="KES32" s="2511"/>
      <c r="KET32" s="2511"/>
      <c r="KEU32" s="2511"/>
      <c r="KEV32" s="2511"/>
      <c r="KEW32" s="2511"/>
      <c r="KEX32" s="2511"/>
      <c r="KEY32" s="2511"/>
      <c r="KEZ32" s="2511"/>
      <c r="KFA32" s="2511"/>
      <c r="KFB32" s="2511"/>
      <c r="KFC32" s="2511"/>
      <c r="KFD32" s="2511"/>
      <c r="KFE32" s="2511"/>
      <c r="KFF32" s="2511"/>
      <c r="KFG32" s="2511"/>
      <c r="KFH32" s="2511"/>
      <c r="KFI32" s="2511"/>
      <c r="KFJ32" s="2511"/>
      <c r="KFK32" s="2511"/>
      <c r="KFL32" s="2511"/>
      <c r="KFM32" s="2511"/>
      <c r="KFN32" s="2511"/>
      <c r="KFO32" s="2511"/>
      <c r="KFP32" s="2511"/>
      <c r="KFQ32" s="2511"/>
      <c r="KFR32" s="2511"/>
      <c r="KFS32" s="2511"/>
      <c r="KFT32" s="2511"/>
      <c r="KFU32" s="2511"/>
      <c r="KFV32" s="2511"/>
      <c r="KFW32" s="2511"/>
      <c r="KFX32" s="2511"/>
      <c r="KFY32" s="2511"/>
      <c r="KFZ32" s="2511"/>
      <c r="KGA32" s="2511"/>
      <c r="KGB32" s="2511"/>
      <c r="KGC32" s="2511"/>
      <c r="KGD32" s="2511"/>
      <c r="KGE32" s="2511"/>
      <c r="KGF32" s="2511"/>
      <c r="KGG32" s="2511"/>
      <c r="KGH32" s="2511"/>
      <c r="KGI32" s="2511"/>
      <c r="KGJ32" s="2511"/>
      <c r="KGK32" s="2511"/>
      <c r="KGL32" s="2511"/>
      <c r="KGM32" s="2511"/>
      <c r="KGN32" s="2511"/>
      <c r="KGO32" s="2511"/>
      <c r="KGP32" s="2511"/>
      <c r="KGQ32" s="2511"/>
      <c r="KGR32" s="2511"/>
      <c r="KGS32" s="2511"/>
      <c r="KGT32" s="2511"/>
      <c r="KGU32" s="2511"/>
      <c r="KGV32" s="2511"/>
      <c r="KGW32" s="2511"/>
      <c r="KGX32" s="2511"/>
      <c r="KGY32" s="2511"/>
      <c r="KGZ32" s="2511"/>
      <c r="KHA32" s="2511"/>
      <c r="KHB32" s="2511"/>
      <c r="KHC32" s="2511"/>
      <c r="KHD32" s="2511"/>
      <c r="KHE32" s="2511"/>
      <c r="KHF32" s="2511"/>
      <c r="KHG32" s="2511"/>
      <c r="KHH32" s="2511"/>
      <c r="KHI32" s="2511"/>
      <c r="KHJ32" s="2511"/>
      <c r="KHK32" s="2511"/>
      <c r="KHL32" s="2511"/>
      <c r="KHM32" s="2511"/>
      <c r="KHN32" s="2511"/>
      <c r="KHO32" s="2511"/>
      <c r="KHP32" s="2511"/>
      <c r="KHQ32" s="2511"/>
      <c r="KHR32" s="2511"/>
      <c r="KHS32" s="2511"/>
      <c r="KHT32" s="2511"/>
      <c r="KHU32" s="2511"/>
      <c r="KHV32" s="2511"/>
      <c r="KHW32" s="2511"/>
      <c r="KHX32" s="2511"/>
      <c r="KHY32" s="2511"/>
      <c r="KHZ32" s="2511"/>
      <c r="KIA32" s="2511"/>
      <c r="KIB32" s="2511"/>
      <c r="KIC32" s="2511"/>
      <c r="KID32" s="2511"/>
      <c r="KIE32" s="2511"/>
      <c r="KIF32" s="2511"/>
      <c r="KIG32" s="2511"/>
      <c r="KIH32" s="2511"/>
      <c r="KII32" s="2511"/>
      <c r="KIJ32" s="2511"/>
      <c r="KIK32" s="2511"/>
      <c r="KIL32" s="2511"/>
      <c r="KIM32" s="2511"/>
      <c r="KIN32" s="2511"/>
      <c r="KIO32" s="2511"/>
      <c r="KIP32" s="2511"/>
      <c r="KIQ32" s="2511"/>
      <c r="KIR32" s="2511"/>
      <c r="KIS32" s="2511"/>
      <c r="KIT32" s="2511"/>
      <c r="KIU32" s="2511"/>
      <c r="KIV32" s="2511"/>
      <c r="KIW32" s="2511"/>
      <c r="KIX32" s="2511"/>
      <c r="KIY32" s="2511"/>
      <c r="KIZ32" s="2511"/>
      <c r="KJA32" s="2511"/>
      <c r="KJB32" s="2511"/>
      <c r="KJC32" s="2511"/>
      <c r="KJD32" s="2511"/>
      <c r="KJE32" s="2511"/>
      <c r="KJF32" s="2511"/>
      <c r="KJG32" s="2511"/>
      <c r="KJH32" s="2511"/>
      <c r="KJI32" s="2511"/>
      <c r="KJJ32" s="2511"/>
      <c r="KJK32" s="2511"/>
      <c r="KJL32" s="2511"/>
      <c r="KJM32" s="2511"/>
      <c r="KJN32" s="2511"/>
      <c r="KJO32" s="2511"/>
      <c r="KJP32" s="2511"/>
      <c r="KJQ32" s="2511"/>
      <c r="KJR32" s="2511"/>
      <c r="KJS32" s="2511"/>
      <c r="KJT32" s="2511"/>
      <c r="KJU32" s="2511"/>
      <c r="KJV32" s="2511"/>
      <c r="KJW32" s="2511"/>
      <c r="KJX32" s="2511"/>
      <c r="KJY32" s="2511"/>
      <c r="KJZ32" s="2511"/>
      <c r="KKA32" s="2511"/>
      <c r="KKB32" s="2511"/>
      <c r="KKC32" s="2511"/>
      <c r="KKD32" s="2511"/>
      <c r="KKE32" s="2511"/>
      <c r="KKF32" s="2511"/>
      <c r="KKG32" s="2511"/>
      <c r="KKH32" s="2511"/>
      <c r="KKI32" s="2511"/>
      <c r="KKJ32" s="2511"/>
      <c r="KKK32" s="2511"/>
      <c r="KKL32" s="2511"/>
      <c r="KKM32" s="2511"/>
      <c r="KKN32" s="2511"/>
      <c r="KKO32" s="2511"/>
      <c r="KKP32" s="2511"/>
      <c r="KKQ32" s="2511"/>
      <c r="KKR32" s="2511"/>
      <c r="KKS32" s="2511"/>
      <c r="KKT32" s="2511"/>
      <c r="KKU32" s="2511"/>
      <c r="KKV32" s="2511"/>
      <c r="KKW32" s="2511"/>
      <c r="KKX32" s="2511"/>
      <c r="KKY32" s="2511"/>
      <c r="KKZ32" s="2511"/>
      <c r="KLA32" s="2511"/>
      <c r="KLB32" s="2511"/>
      <c r="KLC32" s="2511"/>
      <c r="KLD32" s="2511"/>
      <c r="KLE32" s="2511"/>
      <c r="KLF32" s="2511"/>
      <c r="KLG32" s="2511"/>
      <c r="KLH32" s="2511"/>
      <c r="KLI32" s="2511"/>
      <c r="KLJ32" s="2511"/>
      <c r="KLK32" s="2511"/>
      <c r="KLL32" s="2511"/>
      <c r="KLM32" s="2511"/>
      <c r="KLN32" s="2511"/>
      <c r="KLO32" s="2511"/>
      <c r="KLP32" s="2511"/>
      <c r="KLQ32" s="2511"/>
      <c r="KLR32" s="2511"/>
      <c r="KLS32" s="2511"/>
      <c r="KLT32" s="2511"/>
      <c r="KLU32" s="2511"/>
      <c r="KLV32" s="2511"/>
      <c r="KLW32" s="2511"/>
      <c r="KLX32" s="2511"/>
      <c r="KLY32" s="2511"/>
      <c r="KLZ32" s="2511"/>
      <c r="KMA32" s="2511"/>
      <c r="KMB32" s="2511"/>
      <c r="KMC32" s="2511"/>
      <c r="KMD32" s="2511"/>
      <c r="KME32" s="2511"/>
      <c r="KMF32" s="2511"/>
      <c r="KMG32" s="2511"/>
      <c r="KMH32" s="2511"/>
      <c r="KMI32" s="2511"/>
      <c r="KMJ32" s="2511"/>
      <c r="KMK32" s="2511"/>
      <c r="KML32" s="2511"/>
      <c r="KMM32" s="2511"/>
      <c r="KMN32" s="2511"/>
      <c r="KMO32" s="2511"/>
      <c r="KMP32" s="2511"/>
      <c r="KMQ32" s="2511"/>
      <c r="KMR32" s="2511"/>
      <c r="KMS32" s="2511"/>
      <c r="KMT32" s="2511"/>
      <c r="KMU32" s="2511"/>
      <c r="KMV32" s="2511"/>
      <c r="KMW32" s="2511"/>
      <c r="KMX32" s="2511"/>
      <c r="KMY32" s="2511"/>
      <c r="KMZ32" s="2511"/>
      <c r="KNA32" s="2511"/>
      <c r="KNB32" s="2511"/>
      <c r="KNC32" s="2511"/>
      <c r="KND32" s="2511"/>
      <c r="KNE32" s="2511"/>
      <c r="KNF32" s="2511"/>
      <c r="KNG32" s="2511"/>
      <c r="KNH32" s="2511"/>
      <c r="KNI32" s="2511"/>
      <c r="KNJ32" s="2511"/>
      <c r="KNK32" s="2511"/>
      <c r="KNL32" s="2511"/>
      <c r="KNM32" s="2511"/>
      <c r="KNN32" s="2511"/>
      <c r="KNO32" s="2511"/>
      <c r="KNP32" s="2511"/>
      <c r="KNQ32" s="2511"/>
      <c r="KNR32" s="2511"/>
      <c r="KNS32" s="2511"/>
      <c r="KNT32" s="2511"/>
      <c r="KNU32" s="2511"/>
      <c r="KNV32" s="2511"/>
      <c r="KNW32" s="2511"/>
      <c r="KNX32" s="2511"/>
      <c r="KNY32" s="2511"/>
      <c r="KNZ32" s="2511"/>
      <c r="KOA32" s="2511"/>
      <c r="KOB32" s="2511"/>
      <c r="KOC32" s="2511"/>
      <c r="KOD32" s="2511"/>
      <c r="KOE32" s="2511"/>
      <c r="KOF32" s="2511"/>
      <c r="KOG32" s="2511"/>
      <c r="KOH32" s="2511"/>
      <c r="KOI32" s="2511"/>
      <c r="KOJ32" s="2511"/>
      <c r="KOK32" s="2511"/>
      <c r="KOL32" s="2511"/>
      <c r="KOM32" s="2511"/>
      <c r="KON32" s="2511"/>
      <c r="KOO32" s="2511"/>
      <c r="KOP32" s="2511"/>
      <c r="KOQ32" s="2511"/>
      <c r="KOR32" s="2511"/>
      <c r="KOS32" s="2511"/>
      <c r="KOT32" s="2511"/>
      <c r="KOU32" s="2511"/>
      <c r="KOV32" s="2511"/>
      <c r="KOW32" s="2511"/>
      <c r="KOX32" s="2511"/>
      <c r="KOY32" s="2511"/>
      <c r="KOZ32" s="2511"/>
      <c r="KPA32" s="2511"/>
      <c r="KPB32" s="2511"/>
      <c r="KPC32" s="2511"/>
      <c r="KPD32" s="2511"/>
      <c r="KPE32" s="2511"/>
      <c r="KPF32" s="2511"/>
      <c r="KPG32" s="2511"/>
      <c r="KPH32" s="2511"/>
      <c r="KPI32" s="2511"/>
      <c r="KPJ32" s="2511"/>
      <c r="KPK32" s="2511"/>
      <c r="KPL32" s="2511"/>
      <c r="KPM32" s="2511"/>
      <c r="KPN32" s="2511"/>
      <c r="KPO32" s="2511"/>
      <c r="KPP32" s="2511"/>
      <c r="KPQ32" s="2511"/>
      <c r="KPR32" s="2511"/>
      <c r="KPS32" s="2511"/>
      <c r="KPT32" s="2511"/>
      <c r="KPU32" s="2511"/>
      <c r="KPV32" s="2511"/>
      <c r="KPW32" s="2511"/>
      <c r="KPX32" s="2511"/>
      <c r="KPY32" s="2511"/>
      <c r="KPZ32" s="2511"/>
      <c r="KQA32" s="2511"/>
      <c r="KQB32" s="2511"/>
      <c r="KQC32" s="2511"/>
      <c r="KQD32" s="2511"/>
      <c r="KQE32" s="2511"/>
      <c r="KQF32" s="2511"/>
      <c r="KQG32" s="2511"/>
      <c r="KQH32" s="2511"/>
      <c r="KQI32" s="2511"/>
      <c r="KQJ32" s="2511"/>
      <c r="KQK32" s="2511"/>
      <c r="KQL32" s="2511"/>
      <c r="KQM32" s="2511"/>
      <c r="KQN32" s="2511"/>
      <c r="KQO32" s="2511"/>
      <c r="KQP32" s="2511"/>
      <c r="KQQ32" s="2511"/>
      <c r="KQR32" s="2511"/>
      <c r="KQS32" s="2511"/>
      <c r="KQT32" s="2511"/>
      <c r="KQU32" s="2511"/>
      <c r="KQV32" s="2511"/>
      <c r="KQW32" s="2511"/>
      <c r="KQX32" s="2511"/>
      <c r="KQY32" s="2511"/>
      <c r="KQZ32" s="2511"/>
      <c r="KRA32" s="2511"/>
      <c r="KRB32" s="2511"/>
      <c r="KRC32" s="2511"/>
      <c r="KRD32" s="2511"/>
      <c r="KRE32" s="2511"/>
      <c r="KRF32" s="2511"/>
      <c r="KRG32" s="2511"/>
      <c r="KRH32" s="2511"/>
      <c r="KRI32" s="2511"/>
      <c r="KRJ32" s="2511"/>
      <c r="KRK32" s="2511"/>
      <c r="KRL32" s="2511"/>
      <c r="KRM32" s="2511"/>
      <c r="KRN32" s="2511"/>
      <c r="KRO32" s="2511"/>
      <c r="KRP32" s="2511"/>
      <c r="KRQ32" s="2511"/>
      <c r="KRR32" s="2511"/>
      <c r="KRS32" s="2511"/>
      <c r="KRT32" s="2511"/>
      <c r="KRU32" s="2511"/>
      <c r="KRV32" s="2511"/>
      <c r="KRW32" s="2511"/>
      <c r="KRX32" s="2511"/>
      <c r="KRY32" s="2511"/>
      <c r="KRZ32" s="2511"/>
      <c r="KSA32" s="2511"/>
      <c r="KSB32" s="2511"/>
      <c r="KSC32" s="2511"/>
      <c r="KSD32" s="2511"/>
      <c r="KSE32" s="2511"/>
      <c r="KSF32" s="2511"/>
      <c r="KSG32" s="2511"/>
      <c r="KSH32" s="2511"/>
      <c r="KSI32" s="2511"/>
      <c r="KSJ32" s="2511"/>
      <c r="KSK32" s="2511"/>
      <c r="KSL32" s="2511"/>
      <c r="KSM32" s="2511"/>
      <c r="KSN32" s="2511"/>
      <c r="KSO32" s="2511"/>
      <c r="KSP32" s="2511"/>
      <c r="KSQ32" s="2511"/>
      <c r="KSR32" s="2511"/>
      <c r="KSS32" s="2511"/>
      <c r="KST32" s="2511"/>
      <c r="KSU32" s="2511"/>
      <c r="KSV32" s="2511"/>
      <c r="KSW32" s="2511"/>
      <c r="KSX32" s="2511"/>
      <c r="KSY32" s="2511"/>
      <c r="KSZ32" s="2511"/>
      <c r="KTA32" s="2511"/>
      <c r="KTB32" s="2511"/>
      <c r="KTC32" s="2511"/>
      <c r="KTD32" s="2511"/>
      <c r="KTE32" s="2511"/>
      <c r="KTF32" s="2511"/>
      <c r="KTG32" s="2511"/>
      <c r="KTH32" s="2511"/>
      <c r="KTI32" s="2511"/>
      <c r="KTJ32" s="2511"/>
      <c r="KTK32" s="2511"/>
      <c r="KTL32" s="2511"/>
      <c r="KTM32" s="2511"/>
      <c r="KTN32" s="2511"/>
      <c r="KTO32" s="2511"/>
      <c r="KTP32" s="2511"/>
      <c r="KTQ32" s="2511"/>
      <c r="KTR32" s="2511"/>
      <c r="KTS32" s="2511"/>
      <c r="KTT32" s="2511"/>
      <c r="KTU32" s="2511"/>
      <c r="KTV32" s="2511"/>
      <c r="KTW32" s="2511"/>
      <c r="KTX32" s="2511"/>
      <c r="KTY32" s="2511"/>
      <c r="KTZ32" s="2511"/>
      <c r="KUA32" s="2511"/>
      <c r="KUB32" s="2511"/>
      <c r="KUC32" s="2511"/>
      <c r="KUD32" s="2511"/>
      <c r="KUE32" s="2511"/>
      <c r="KUF32" s="2511"/>
      <c r="KUG32" s="2511"/>
      <c r="KUH32" s="2511"/>
      <c r="KUI32" s="2511"/>
      <c r="KUJ32" s="2511"/>
      <c r="KUK32" s="2511"/>
      <c r="KUL32" s="2511"/>
      <c r="KUM32" s="2511"/>
      <c r="KUN32" s="2511"/>
      <c r="KUO32" s="2511"/>
      <c r="KUP32" s="2511"/>
      <c r="KUQ32" s="2511"/>
      <c r="KUR32" s="2511"/>
      <c r="KUS32" s="2511"/>
      <c r="KUT32" s="2511"/>
      <c r="KUU32" s="2511"/>
      <c r="KUV32" s="2511"/>
      <c r="KUW32" s="2511"/>
      <c r="KUX32" s="2511"/>
      <c r="KUY32" s="2511"/>
      <c r="KUZ32" s="2511"/>
      <c r="KVA32" s="2511"/>
      <c r="KVB32" s="2511"/>
      <c r="KVC32" s="2511"/>
      <c r="KVD32" s="2511"/>
      <c r="KVE32" s="2511"/>
      <c r="KVF32" s="2511"/>
      <c r="KVG32" s="2511"/>
      <c r="KVH32" s="2511"/>
      <c r="KVI32" s="2511"/>
      <c r="KVJ32" s="2511"/>
      <c r="KVK32" s="2511"/>
      <c r="KVL32" s="2511"/>
      <c r="KVM32" s="2511"/>
      <c r="KVN32" s="2511"/>
      <c r="KVO32" s="2511"/>
      <c r="KVP32" s="2511"/>
      <c r="KVQ32" s="2511"/>
      <c r="KVR32" s="2511"/>
      <c r="KVS32" s="2511"/>
      <c r="KVT32" s="2511"/>
      <c r="KVU32" s="2511"/>
      <c r="KVV32" s="2511"/>
      <c r="KVW32" s="2511"/>
      <c r="KVX32" s="2511"/>
      <c r="KVY32" s="2511"/>
      <c r="KVZ32" s="2511"/>
      <c r="KWA32" s="2511"/>
      <c r="KWB32" s="2511"/>
      <c r="KWC32" s="2511"/>
      <c r="KWD32" s="2511"/>
      <c r="KWE32" s="2511"/>
      <c r="KWF32" s="2511"/>
      <c r="KWG32" s="2511"/>
      <c r="KWH32" s="2511"/>
      <c r="KWI32" s="2511"/>
      <c r="KWJ32" s="2511"/>
      <c r="KWK32" s="2511"/>
      <c r="KWL32" s="2511"/>
      <c r="KWM32" s="2511"/>
      <c r="KWN32" s="2511"/>
      <c r="KWO32" s="2511"/>
      <c r="KWP32" s="2511"/>
      <c r="KWQ32" s="2511"/>
      <c r="KWR32" s="2511"/>
      <c r="KWS32" s="2511"/>
      <c r="KWT32" s="2511"/>
      <c r="KWU32" s="2511"/>
      <c r="KWV32" s="2511"/>
      <c r="KWW32" s="2511"/>
      <c r="KWX32" s="2511"/>
      <c r="KWY32" s="2511"/>
      <c r="KWZ32" s="2511"/>
      <c r="KXA32" s="2511"/>
      <c r="KXB32" s="2511"/>
      <c r="KXC32" s="2511"/>
      <c r="KXD32" s="2511"/>
      <c r="KXE32" s="2511"/>
      <c r="KXF32" s="2511"/>
      <c r="KXG32" s="2511"/>
      <c r="KXH32" s="2511"/>
      <c r="KXI32" s="2511"/>
      <c r="KXJ32" s="2511"/>
      <c r="KXK32" s="2511"/>
      <c r="KXL32" s="2511"/>
      <c r="KXM32" s="2511"/>
      <c r="KXN32" s="2511"/>
      <c r="KXO32" s="2511"/>
      <c r="KXP32" s="2511"/>
      <c r="KXQ32" s="2511"/>
      <c r="KXR32" s="2511"/>
      <c r="KXS32" s="2511"/>
      <c r="KXT32" s="2511"/>
      <c r="KXU32" s="2511"/>
      <c r="KXV32" s="2511"/>
      <c r="KXW32" s="2511"/>
      <c r="KXX32" s="2511"/>
      <c r="KXY32" s="2511"/>
      <c r="KXZ32" s="2511"/>
      <c r="KYA32" s="2511"/>
      <c r="KYB32" s="2511"/>
      <c r="KYC32" s="2511"/>
      <c r="KYD32" s="2511"/>
      <c r="KYE32" s="2511"/>
      <c r="KYF32" s="2511"/>
      <c r="KYG32" s="2511"/>
      <c r="KYH32" s="2511"/>
      <c r="KYI32" s="2511"/>
      <c r="KYJ32" s="2511"/>
      <c r="KYK32" s="2511"/>
      <c r="KYL32" s="2511"/>
      <c r="KYM32" s="2511"/>
      <c r="KYN32" s="2511"/>
      <c r="KYO32" s="2511"/>
      <c r="KYP32" s="2511"/>
      <c r="KYQ32" s="2511"/>
      <c r="KYR32" s="2511"/>
      <c r="KYS32" s="2511"/>
      <c r="KYT32" s="2511"/>
      <c r="KYU32" s="2511"/>
      <c r="KYV32" s="2511"/>
      <c r="KYW32" s="2511"/>
      <c r="KYX32" s="2511"/>
      <c r="KYY32" s="2511"/>
      <c r="KYZ32" s="2511"/>
      <c r="KZA32" s="2511"/>
      <c r="KZB32" s="2511"/>
      <c r="KZC32" s="2511"/>
      <c r="KZD32" s="2511"/>
      <c r="KZE32" s="2511"/>
      <c r="KZF32" s="2511"/>
      <c r="KZG32" s="2511"/>
      <c r="KZH32" s="2511"/>
      <c r="KZI32" s="2511"/>
      <c r="KZJ32" s="2511"/>
      <c r="KZK32" s="2511"/>
      <c r="KZL32" s="2511"/>
      <c r="KZM32" s="2511"/>
      <c r="KZN32" s="2511"/>
      <c r="KZO32" s="2511"/>
      <c r="KZP32" s="2511"/>
      <c r="KZQ32" s="2511"/>
      <c r="KZR32" s="2511"/>
      <c r="KZS32" s="2511"/>
      <c r="KZT32" s="2511"/>
      <c r="KZU32" s="2511"/>
      <c r="KZV32" s="2511"/>
      <c r="KZW32" s="2511"/>
      <c r="KZX32" s="2511"/>
      <c r="KZY32" s="2511"/>
      <c r="KZZ32" s="2511"/>
      <c r="LAA32" s="2511"/>
      <c r="LAB32" s="2511"/>
      <c r="LAC32" s="2511"/>
      <c r="LAD32" s="2511"/>
      <c r="LAE32" s="2511"/>
      <c r="LAF32" s="2511"/>
      <c r="LAG32" s="2511"/>
      <c r="LAH32" s="2511"/>
      <c r="LAI32" s="2511"/>
      <c r="LAJ32" s="2511"/>
      <c r="LAK32" s="2511"/>
      <c r="LAL32" s="2511"/>
      <c r="LAM32" s="2511"/>
      <c r="LAN32" s="2511"/>
      <c r="LAO32" s="2511"/>
      <c r="LAP32" s="2511"/>
      <c r="LAQ32" s="2511"/>
      <c r="LAR32" s="2511"/>
      <c r="LAS32" s="2511"/>
      <c r="LAT32" s="2511"/>
      <c r="LAU32" s="2511"/>
      <c r="LAV32" s="2511"/>
      <c r="LAW32" s="2511"/>
      <c r="LAX32" s="2511"/>
      <c r="LAY32" s="2511"/>
      <c r="LAZ32" s="2511"/>
      <c r="LBA32" s="2511"/>
      <c r="LBB32" s="2511"/>
      <c r="LBC32" s="2511"/>
      <c r="LBD32" s="2511"/>
      <c r="LBE32" s="2511"/>
      <c r="LBF32" s="2511"/>
      <c r="LBG32" s="2511"/>
      <c r="LBH32" s="2511"/>
      <c r="LBI32" s="2511"/>
      <c r="LBJ32" s="2511"/>
      <c r="LBK32" s="2511"/>
      <c r="LBL32" s="2511"/>
      <c r="LBM32" s="2511"/>
      <c r="LBN32" s="2511"/>
      <c r="LBO32" s="2511"/>
      <c r="LBP32" s="2511"/>
      <c r="LBQ32" s="2511"/>
      <c r="LBR32" s="2511"/>
      <c r="LBS32" s="2511"/>
      <c r="LBT32" s="2511"/>
      <c r="LBU32" s="2511"/>
      <c r="LBV32" s="2511"/>
      <c r="LBW32" s="2511"/>
      <c r="LBX32" s="2511"/>
      <c r="LBY32" s="2511"/>
      <c r="LBZ32" s="2511"/>
      <c r="LCA32" s="2511"/>
      <c r="LCB32" s="2511"/>
      <c r="LCC32" s="2511"/>
      <c r="LCD32" s="2511"/>
      <c r="LCE32" s="2511"/>
      <c r="LCF32" s="2511"/>
      <c r="LCG32" s="2511"/>
      <c r="LCH32" s="2511"/>
      <c r="LCI32" s="2511"/>
      <c r="LCJ32" s="2511"/>
      <c r="LCK32" s="2511"/>
      <c r="LCL32" s="2511"/>
      <c r="LCM32" s="2511"/>
      <c r="LCN32" s="2511"/>
      <c r="LCO32" s="2511"/>
      <c r="LCP32" s="2511"/>
      <c r="LCQ32" s="2511"/>
      <c r="LCR32" s="2511"/>
      <c r="LCS32" s="2511"/>
      <c r="LCT32" s="2511"/>
      <c r="LCU32" s="2511"/>
      <c r="LCV32" s="2511"/>
      <c r="LCW32" s="2511"/>
      <c r="LCX32" s="2511"/>
      <c r="LCY32" s="2511"/>
      <c r="LCZ32" s="2511"/>
      <c r="LDA32" s="2511"/>
      <c r="LDB32" s="2511"/>
      <c r="LDC32" s="2511"/>
      <c r="LDD32" s="2511"/>
      <c r="LDE32" s="2511"/>
      <c r="LDF32" s="2511"/>
      <c r="LDG32" s="2511"/>
      <c r="LDH32" s="2511"/>
      <c r="LDI32" s="2511"/>
      <c r="LDJ32" s="2511"/>
      <c r="LDK32" s="2511"/>
      <c r="LDL32" s="2511"/>
      <c r="LDM32" s="2511"/>
      <c r="LDN32" s="2511"/>
      <c r="LDO32" s="2511"/>
      <c r="LDP32" s="2511"/>
      <c r="LDQ32" s="2511"/>
      <c r="LDR32" s="2511"/>
      <c r="LDS32" s="2511"/>
      <c r="LDT32" s="2511"/>
      <c r="LDU32" s="2511"/>
      <c r="LDV32" s="2511"/>
      <c r="LDW32" s="2511"/>
      <c r="LDX32" s="2511"/>
      <c r="LDY32" s="2511"/>
      <c r="LDZ32" s="2511"/>
      <c r="LEA32" s="2511"/>
      <c r="LEB32" s="2511"/>
      <c r="LEC32" s="2511"/>
      <c r="LED32" s="2511"/>
      <c r="LEE32" s="2511"/>
      <c r="LEF32" s="2511"/>
      <c r="LEG32" s="2511"/>
      <c r="LEH32" s="2511"/>
      <c r="LEI32" s="2511"/>
      <c r="LEJ32" s="2511"/>
      <c r="LEK32" s="2511"/>
      <c r="LEL32" s="2511"/>
      <c r="LEM32" s="2511"/>
      <c r="LEN32" s="2511"/>
      <c r="LEO32" s="2511"/>
      <c r="LEP32" s="2511"/>
      <c r="LEQ32" s="2511"/>
      <c r="LER32" s="2511"/>
      <c r="LES32" s="2511"/>
      <c r="LET32" s="2511"/>
      <c r="LEU32" s="2511"/>
      <c r="LEV32" s="2511"/>
      <c r="LEW32" s="2511"/>
      <c r="LEX32" s="2511"/>
      <c r="LEY32" s="2511"/>
      <c r="LEZ32" s="2511"/>
      <c r="LFA32" s="2511"/>
      <c r="LFB32" s="2511"/>
      <c r="LFC32" s="2511"/>
      <c r="LFD32" s="2511"/>
      <c r="LFE32" s="2511"/>
      <c r="LFF32" s="2511"/>
      <c r="LFG32" s="2511"/>
      <c r="LFH32" s="2511"/>
      <c r="LFI32" s="2511"/>
      <c r="LFJ32" s="2511"/>
      <c r="LFK32" s="2511"/>
      <c r="LFL32" s="2511"/>
      <c r="LFM32" s="2511"/>
      <c r="LFN32" s="2511"/>
      <c r="LFO32" s="2511"/>
      <c r="LFP32" s="2511"/>
      <c r="LFQ32" s="2511"/>
      <c r="LFR32" s="2511"/>
      <c r="LFS32" s="2511"/>
      <c r="LFT32" s="2511"/>
      <c r="LFU32" s="2511"/>
      <c r="LFV32" s="2511"/>
      <c r="LFW32" s="2511"/>
      <c r="LFX32" s="2511"/>
      <c r="LFY32" s="2511"/>
      <c r="LFZ32" s="2511"/>
      <c r="LGA32" s="2511"/>
      <c r="LGB32" s="2511"/>
      <c r="LGC32" s="2511"/>
      <c r="LGD32" s="2511"/>
      <c r="LGE32" s="2511"/>
      <c r="LGF32" s="2511"/>
      <c r="LGG32" s="2511"/>
      <c r="LGH32" s="2511"/>
      <c r="LGI32" s="2511"/>
      <c r="LGJ32" s="2511"/>
      <c r="LGK32" s="2511"/>
      <c r="LGL32" s="2511"/>
      <c r="LGM32" s="2511"/>
      <c r="LGN32" s="2511"/>
      <c r="LGO32" s="2511"/>
      <c r="LGP32" s="2511"/>
      <c r="LGQ32" s="2511"/>
      <c r="LGR32" s="2511"/>
      <c r="LGS32" s="2511"/>
      <c r="LGT32" s="2511"/>
      <c r="LGU32" s="2511"/>
      <c r="LGV32" s="2511"/>
      <c r="LGW32" s="2511"/>
      <c r="LGX32" s="2511"/>
      <c r="LGY32" s="2511"/>
      <c r="LGZ32" s="2511"/>
      <c r="LHA32" s="2511"/>
      <c r="LHB32" s="2511"/>
      <c r="LHC32" s="2511"/>
      <c r="LHD32" s="2511"/>
      <c r="LHE32" s="2511"/>
      <c r="LHF32" s="2511"/>
      <c r="LHG32" s="2511"/>
      <c r="LHH32" s="2511"/>
      <c r="LHI32" s="2511"/>
      <c r="LHJ32" s="2511"/>
      <c r="LHK32" s="2511"/>
      <c r="LHL32" s="2511"/>
      <c r="LHM32" s="2511"/>
      <c r="LHN32" s="2511"/>
      <c r="LHO32" s="2511"/>
      <c r="LHP32" s="2511"/>
      <c r="LHQ32" s="2511"/>
      <c r="LHR32" s="2511"/>
      <c r="LHS32" s="2511"/>
      <c r="LHT32" s="2511"/>
      <c r="LHU32" s="2511"/>
      <c r="LHV32" s="2511"/>
      <c r="LHW32" s="2511"/>
      <c r="LHX32" s="2511"/>
      <c r="LHY32" s="2511"/>
      <c r="LHZ32" s="2511"/>
      <c r="LIA32" s="2511"/>
      <c r="LIB32" s="2511"/>
      <c r="LIC32" s="2511"/>
      <c r="LID32" s="2511"/>
      <c r="LIE32" s="2511"/>
      <c r="LIF32" s="2511"/>
      <c r="LIG32" s="2511"/>
      <c r="LIH32" s="2511"/>
      <c r="LII32" s="2511"/>
      <c r="LIJ32" s="2511"/>
      <c r="LIK32" s="2511"/>
      <c r="LIL32" s="2511"/>
      <c r="LIM32" s="2511"/>
      <c r="LIN32" s="2511"/>
      <c r="LIO32" s="2511"/>
      <c r="LIP32" s="2511"/>
      <c r="LIQ32" s="2511"/>
      <c r="LIR32" s="2511"/>
      <c r="LIS32" s="2511"/>
      <c r="LIT32" s="2511"/>
      <c r="LIU32" s="2511"/>
      <c r="LIV32" s="2511"/>
      <c r="LIW32" s="2511"/>
      <c r="LIX32" s="2511"/>
      <c r="LIY32" s="2511"/>
      <c r="LIZ32" s="2511"/>
      <c r="LJA32" s="2511"/>
      <c r="LJB32" s="2511"/>
      <c r="LJC32" s="2511"/>
      <c r="LJD32" s="2511"/>
      <c r="LJE32" s="2511"/>
      <c r="LJF32" s="2511"/>
      <c r="LJG32" s="2511"/>
      <c r="LJH32" s="2511"/>
      <c r="LJI32" s="2511"/>
      <c r="LJJ32" s="2511"/>
      <c r="LJK32" s="2511"/>
      <c r="LJL32" s="2511"/>
      <c r="LJM32" s="2511"/>
      <c r="LJN32" s="2511"/>
      <c r="LJO32" s="2511"/>
      <c r="LJP32" s="2511"/>
      <c r="LJQ32" s="2511"/>
      <c r="LJR32" s="2511"/>
      <c r="LJS32" s="2511"/>
      <c r="LJT32" s="2511"/>
      <c r="LJU32" s="2511"/>
      <c r="LJV32" s="2511"/>
      <c r="LJW32" s="2511"/>
      <c r="LJX32" s="2511"/>
      <c r="LJY32" s="2511"/>
      <c r="LJZ32" s="2511"/>
      <c r="LKA32" s="2511"/>
      <c r="LKB32" s="2511"/>
      <c r="LKC32" s="2511"/>
      <c r="LKD32" s="2511"/>
      <c r="LKE32" s="2511"/>
      <c r="LKF32" s="2511"/>
      <c r="LKG32" s="2511"/>
      <c r="LKH32" s="2511"/>
      <c r="LKI32" s="2511"/>
      <c r="LKJ32" s="2511"/>
      <c r="LKK32" s="2511"/>
      <c r="LKL32" s="2511"/>
      <c r="LKM32" s="2511"/>
      <c r="LKN32" s="2511"/>
      <c r="LKO32" s="2511"/>
      <c r="LKP32" s="2511"/>
      <c r="LKQ32" s="2511"/>
      <c r="LKR32" s="2511"/>
      <c r="LKS32" s="2511"/>
      <c r="LKT32" s="2511"/>
      <c r="LKU32" s="2511"/>
      <c r="LKV32" s="2511"/>
      <c r="LKW32" s="2511"/>
      <c r="LKX32" s="2511"/>
      <c r="LKY32" s="2511"/>
      <c r="LKZ32" s="2511"/>
      <c r="LLA32" s="2511"/>
      <c r="LLB32" s="2511"/>
      <c r="LLC32" s="2511"/>
      <c r="LLD32" s="2511"/>
      <c r="LLE32" s="2511"/>
      <c r="LLF32" s="2511"/>
      <c r="LLG32" s="2511"/>
      <c r="LLH32" s="2511"/>
      <c r="LLI32" s="2511"/>
      <c r="LLJ32" s="2511"/>
      <c r="LLK32" s="2511"/>
      <c r="LLL32" s="2511"/>
      <c r="LLM32" s="2511"/>
      <c r="LLN32" s="2511"/>
      <c r="LLO32" s="2511"/>
      <c r="LLP32" s="2511"/>
      <c r="LLQ32" s="2511"/>
      <c r="LLR32" s="2511"/>
      <c r="LLS32" s="2511"/>
      <c r="LLT32" s="2511"/>
      <c r="LLU32" s="2511"/>
      <c r="LLV32" s="2511"/>
      <c r="LLW32" s="2511"/>
      <c r="LLX32" s="2511"/>
      <c r="LLY32" s="2511"/>
      <c r="LLZ32" s="2511"/>
      <c r="LMA32" s="2511"/>
      <c r="LMB32" s="2511"/>
      <c r="LMC32" s="2511"/>
      <c r="LMD32" s="2511"/>
      <c r="LME32" s="2511"/>
      <c r="LMF32" s="2511"/>
      <c r="LMG32" s="2511"/>
      <c r="LMH32" s="2511"/>
      <c r="LMI32" s="2511"/>
      <c r="LMJ32" s="2511"/>
      <c r="LMK32" s="2511"/>
      <c r="LML32" s="2511"/>
      <c r="LMM32" s="2511"/>
      <c r="LMN32" s="2511"/>
      <c r="LMO32" s="2511"/>
      <c r="LMP32" s="2511"/>
      <c r="LMQ32" s="2511"/>
      <c r="LMR32" s="2511"/>
      <c r="LMS32" s="2511"/>
      <c r="LMT32" s="2511"/>
      <c r="LMU32" s="2511"/>
      <c r="LMV32" s="2511"/>
      <c r="LMW32" s="2511"/>
      <c r="LMX32" s="2511"/>
      <c r="LMY32" s="2511"/>
      <c r="LMZ32" s="2511"/>
      <c r="LNA32" s="2511"/>
      <c r="LNB32" s="2511"/>
      <c r="LNC32" s="2511"/>
      <c r="LND32" s="2511"/>
      <c r="LNE32" s="2511"/>
      <c r="LNF32" s="2511"/>
      <c r="LNG32" s="2511"/>
      <c r="LNH32" s="2511"/>
      <c r="LNI32" s="2511"/>
      <c r="LNJ32" s="2511"/>
      <c r="LNK32" s="2511"/>
      <c r="LNL32" s="2511"/>
      <c r="LNM32" s="2511"/>
      <c r="LNN32" s="2511"/>
      <c r="LNO32" s="2511"/>
      <c r="LNP32" s="2511"/>
      <c r="LNQ32" s="2511"/>
      <c r="LNR32" s="2511"/>
      <c r="LNS32" s="2511"/>
      <c r="LNT32" s="2511"/>
      <c r="LNU32" s="2511"/>
      <c r="LNV32" s="2511"/>
      <c r="LNW32" s="2511"/>
      <c r="LNX32" s="2511"/>
      <c r="LNY32" s="2511"/>
      <c r="LNZ32" s="2511"/>
      <c r="LOA32" s="2511"/>
      <c r="LOB32" s="2511"/>
      <c r="LOC32" s="2511"/>
      <c r="LOD32" s="2511"/>
      <c r="LOE32" s="2511"/>
      <c r="LOF32" s="2511"/>
      <c r="LOG32" s="2511"/>
      <c r="LOH32" s="2511"/>
      <c r="LOI32" s="2511"/>
      <c r="LOJ32" s="2511"/>
      <c r="LOK32" s="2511"/>
      <c r="LOL32" s="2511"/>
      <c r="LOM32" s="2511"/>
      <c r="LON32" s="2511"/>
      <c r="LOO32" s="2511"/>
      <c r="LOP32" s="2511"/>
      <c r="LOQ32" s="2511"/>
      <c r="LOR32" s="2511"/>
      <c r="LOS32" s="2511"/>
      <c r="LOT32" s="2511"/>
      <c r="LOU32" s="2511"/>
      <c r="LOV32" s="2511"/>
      <c r="LOW32" s="2511"/>
      <c r="LOX32" s="2511"/>
      <c r="LOY32" s="2511"/>
      <c r="LOZ32" s="2511"/>
      <c r="LPA32" s="2511"/>
      <c r="LPB32" s="2511"/>
      <c r="LPC32" s="2511"/>
      <c r="LPD32" s="2511"/>
      <c r="LPE32" s="2511"/>
      <c r="LPF32" s="2511"/>
      <c r="LPG32" s="2511"/>
      <c r="LPH32" s="2511"/>
      <c r="LPI32" s="2511"/>
      <c r="LPJ32" s="2511"/>
      <c r="LPK32" s="2511"/>
      <c r="LPL32" s="2511"/>
      <c r="LPM32" s="2511"/>
      <c r="LPN32" s="2511"/>
      <c r="LPO32" s="2511"/>
      <c r="LPP32" s="2511"/>
      <c r="LPQ32" s="2511"/>
      <c r="LPR32" s="2511"/>
      <c r="LPS32" s="2511"/>
      <c r="LPT32" s="2511"/>
      <c r="LPU32" s="2511"/>
      <c r="LPV32" s="2511"/>
      <c r="LPW32" s="2511"/>
      <c r="LPX32" s="2511"/>
      <c r="LPY32" s="2511"/>
      <c r="LPZ32" s="2511"/>
      <c r="LQA32" s="2511"/>
      <c r="LQB32" s="2511"/>
      <c r="LQC32" s="2511"/>
      <c r="LQD32" s="2511"/>
      <c r="LQE32" s="2511"/>
      <c r="LQF32" s="2511"/>
      <c r="LQG32" s="2511"/>
      <c r="LQH32" s="2511"/>
      <c r="LQI32" s="2511"/>
      <c r="LQJ32" s="2511"/>
      <c r="LQK32" s="2511"/>
      <c r="LQL32" s="2511"/>
      <c r="LQM32" s="2511"/>
      <c r="LQN32" s="2511"/>
      <c r="LQO32" s="2511"/>
      <c r="LQP32" s="2511"/>
      <c r="LQQ32" s="2511"/>
      <c r="LQR32" s="2511"/>
      <c r="LQS32" s="2511"/>
      <c r="LQT32" s="2511"/>
      <c r="LQU32" s="2511"/>
      <c r="LQV32" s="2511"/>
      <c r="LQW32" s="2511"/>
      <c r="LQX32" s="2511"/>
      <c r="LQY32" s="2511"/>
      <c r="LQZ32" s="2511"/>
      <c r="LRA32" s="2511"/>
      <c r="LRB32" s="2511"/>
      <c r="LRC32" s="2511"/>
      <c r="LRD32" s="2511"/>
      <c r="LRE32" s="2511"/>
      <c r="LRF32" s="2511"/>
      <c r="LRG32" s="2511"/>
      <c r="LRH32" s="2511"/>
      <c r="LRI32" s="2511"/>
      <c r="LRJ32" s="2511"/>
      <c r="LRK32" s="2511"/>
      <c r="LRL32" s="2511"/>
      <c r="LRM32" s="2511"/>
      <c r="LRN32" s="2511"/>
      <c r="LRO32" s="2511"/>
      <c r="LRP32" s="2511"/>
      <c r="LRQ32" s="2511"/>
      <c r="LRR32" s="2511"/>
      <c r="LRS32" s="2511"/>
      <c r="LRT32" s="2511"/>
      <c r="LRU32" s="2511"/>
      <c r="LRV32" s="2511"/>
      <c r="LRW32" s="2511"/>
      <c r="LRX32" s="2511"/>
      <c r="LRY32" s="2511"/>
      <c r="LRZ32" s="2511"/>
      <c r="LSA32" s="2511"/>
      <c r="LSB32" s="2511"/>
      <c r="LSC32" s="2511"/>
      <c r="LSD32" s="2511"/>
      <c r="LSE32" s="2511"/>
      <c r="LSF32" s="2511"/>
      <c r="LSG32" s="2511"/>
      <c r="LSH32" s="2511"/>
      <c r="LSI32" s="2511"/>
      <c r="LSJ32" s="2511"/>
      <c r="LSK32" s="2511"/>
      <c r="LSL32" s="2511"/>
      <c r="LSM32" s="2511"/>
      <c r="LSN32" s="2511"/>
      <c r="LSO32" s="2511"/>
      <c r="LSP32" s="2511"/>
      <c r="LSQ32" s="2511"/>
      <c r="LSR32" s="2511"/>
      <c r="LSS32" s="2511"/>
      <c r="LST32" s="2511"/>
      <c r="LSU32" s="2511"/>
      <c r="LSV32" s="2511"/>
      <c r="LSW32" s="2511"/>
      <c r="LSX32" s="2511"/>
      <c r="LSY32" s="2511"/>
      <c r="LSZ32" s="2511"/>
      <c r="LTA32" s="2511"/>
      <c r="LTB32" s="2511"/>
      <c r="LTC32" s="2511"/>
      <c r="LTD32" s="2511"/>
      <c r="LTE32" s="2511"/>
      <c r="LTF32" s="2511"/>
      <c r="LTG32" s="2511"/>
      <c r="LTH32" s="2511"/>
      <c r="LTI32" s="2511"/>
      <c r="LTJ32" s="2511"/>
      <c r="LTK32" s="2511"/>
      <c r="LTL32" s="2511"/>
      <c r="LTM32" s="2511"/>
      <c r="LTN32" s="2511"/>
      <c r="LTO32" s="2511"/>
      <c r="LTP32" s="2511"/>
      <c r="LTQ32" s="2511"/>
      <c r="LTR32" s="2511"/>
      <c r="LTS32" s="2511"/>
      <c r="LTT32" s="2511"/>
      <c r="LTU32" s="2511"/>
      <c r="LTV32" s="2511"/>
      <c r="LTW32" s="2511"/>
      <c r="LTX32" s="2511"/>
      <c r="LTY32" s="2511"/>
      <c r="LTZ32" s="2511"/>
      <c r="LUA32" s="2511"/>
      <c r="LUB32" s="2511"/>
      <c r="LUC32" s="2511"/>
      <c r="LUD32" s="2511"/>
      <c r="LUE32" s="2511"/>
      <c r="LUF32" s="2511"/>
      <c r="LUG32" s="2511"/>
      <c r="LUH32" s="2511"/>
      <c r="LUI32" s="2511"/>
      <c r="LUJ32" s="2511"/>
      <c r="LUK32" s="2511"/>
      <c r="LUL32" s="2511"/>
      <c r="LUM32" s="2511"/>
      <c r="LUN32" s="2511"/>
      <c r="LUO32" s="2511"/>
      <c r="LUP32" s="2511"/>
      <c r="LUQ32" s="2511"/>
      <c r="LUR32" s="2511"/>
      <c r="LUS32" s="2511"/>
      <c r="LUT32" s="2511"/>
      <c r="LUU32" s="2511"/>
      <c r="LUV32" s="2511"/>
      <c r="LUW32" s="2511"/>
      <c r="LUX32" s="2511"/>
      <c r="LUY32" s="2511"/>
      <c r="LUZ32" s="2511"/>
      <c r="LVA32" s="2511"/>
      <c r="LVB32" s="2511"/>
      <c r="LVC32" s="2511"/>
      <c r="LVD32" s="2511"/>
      <c r="LVE32" s="2511"/>
      <c r="LVF32" s="2511"/>
      <c r="LVG32" s="2511"/>
      <c r="LVH32" s="2511"/>
      <c r="LVI32" s="2511"/>
      <c r="LVJ32" s="2511"/>
      <c r="LVK32" s="2511"/>
      <c r="LVL32" s="2511"/>
      <c r="LVM32" s="2511"/>
      <c r="LVN32" s="2511"/>
      <c r="LVO32" s="2511"/>
      <c r="LVP32" s="2511"/>
      <c r="LVQ32" s="2511"/>
      <c r="LVR32" s="2511"/>
      <c r="LVS32" s="2511"/>
      <c r="LVT32" s="2511"/>
      <c r="LVU32" s="2511"/>
      <c r="LVV32" s="2511"/>
      <c r="LVW32" s="2511"/>
      <c r="LVX32" s="2511"/>
      <c r="LVY32" s="2511"/>
      <c r="LVZ32" s="2511"/>
      <c r="LWA32" s="2511"/>
      <c r="LWB32" s="2511"/>
      <c r="LWC32" s="2511"/>
      <c r="LWD32" s="2511"/>
      <c r="LWE32" s="2511"/>
      <c r="LWF32" s="2511"/>
      <c r="LWG32" s="2511"/>
      <c r="LWH32" s="2511"/>
      <c r="LWI32" s="2511"/>
      <c r="LWJ32" s="2511"/>
      <c r="LWK32" s="2511"/>
      <c r="LWL32" s="2511"/>
      <c r="LWM32" s="2511"/>
      <c r="LWN32" s="2511"/>
      <c r="LWO32" s="2511"/>
      <c r="LWP32" s="2511"/>
      <c r="LWQ32" s="2511"/>
      <c r="LWR32" s="2511"/>
      <c r="LWS32" s="2511"/>
      <c r="LWT32" s="2511"/>
      <c r="LWU32" s="2511"/>
      <c r="LWV32" s="2511"/>
      <c r="LWW32" s="2511"/>
      <c r="LWX32" s="2511"/>
      <c r="LWY32" s="2511"/>
      <c r="LWZ32" s="2511"/>
      <c r="LXA32" s="2511"/>
      <c r="LXB32" s="2511"/>
      <c r="LXC32" s="2511"/>
      <c r="LXD32" s="2511"/>
      <c r="LXE32" s="2511"/>
      <c r="LXF32" s="2511"/>
      <c r="LXG32" s="2511"/>
      <c r="LXH32" s="2511"/>
      <c r="LXI32" s="2511"/>
      <c r="LXJ32" s="2511"/>
      <c r="LXK32" s="2511"/>
      <c r="LXL32" s="2511"/>
      <c r="LXM32" s="2511"/>
      <c r="LXN32" s="2511"/>
      <c r="LXO32" s="2511"/>
      <c r="LXP32" s="2511"/>
      <c r="LXQ32" s="2511"/>
      <c r="LXR32" s="2511"/>
      <c r="LXS32" s="2511"/>
      <c r="LXT32" s="2511"/>
      <c r="LXU32" s="2511"/>
      <c r="LXV32" s="2511"/>
      <c r="LXW32" s="2511"/>
      <c r="LXX32" s="2511"/>
      <c r="LXY32" s="2511"/>
      <c r="LXZ32" s="2511"/>
      <c r="LYA32" s="2511"/>
      <c r="LYB32" s="2511"/>
      <c r="LYC32" s="2511"/>
      <c r="LYD32" s="2511"/>
      <c r="LYE32" s="2511"/>
      <c r="LYF32" s="2511"/>
      <c r="LYG32" s="2511"/>
      <c r="LYH32" s="2511"/>
      <c r="LYI32" s="2511"/>
      <c r="LYJ32" s="2511"/>
      <c r="LYK32" s="2511"/>
      <c r="LYL32" s="2511"/>
      <c r="LYM32" s="2511"/>
      <c r="LYN32" s="2511"/>
      <c r="LYO32" s="2511"/>
      <c r="LYP32" s="2511"/>
      <c r="LYQ32" s="2511"/>
      <c r="LYR32" s="2511"/>
      <c r="LYS32" s="2511"/>
      <c r="LYT32" s="2511"/>
      <c r="LYU32" s="2511"/>
      <c r="LYV32" s="2511"/>
      <c r="LYW32" s="2511"/>
      <c r="LYX32" s="2511"/>
      <c r="LYY32" s="2511"/>
      <c r="LYZ32" s="2511"/>
      <c r="LZA32" s="2511"/>
      <c r="LZB32" s="2511"/>
      <c r="LZC32" s="2511"/>
      <c r="LZD32" s="2511"/>
      <c r="LZE32" s="2511"/>
      <c r="LZF32" s="2511"/>
      <c r="LZG32" s="2511"/>
      <c r="LZH32" s="2511"/>
      <c r="LZI32" s="2511"/>
      <c r="LZJ32" s="2511"/>
      <c r="LZK32" s="2511"/>
      <c r="LZL32" s="2511"/>
      <c r="LZM32" s="2511"/>
      <c r="LZN32" s="2511"/>
      <c r="LZO32" s="2511"/>
      <c r="LZP32" s="2511"/>
      <c r="LZQ32" s="2511"/>
      <c r="LZR32" s="2511"/>
      <c r="LZS32" s="2511"/>
      <c r="LZT32" s="2511"/>
      <c r="LZU32" s="2511"/>
      <c r="LZV32" s="2511"/>
      <c r="LZW32" s="2511"/>
      <c r="LZX32" s="2511"/>
      <c r="LZY32" s="2511"/>
      <c r="LZZ32" s="2511"/>
      <c r="MAA32" s="2511"/>
      <c r="MAB32" s="2511"/>
      <c r="MAC32" s="2511"/>
      <c r="MAD32" s="2511"/>
      <c r="MAE32" s="2511"/>
      <c r="MAF32" s="2511"/>
      <c r="MAG32" s="2511"/>
      <c r="MAH32" s="2511"/>
      <c r="MAI32" s="2511"/>
      <c r="MAJ32" s="2511"/>
      <c r="MAK32" s="2511"/>
      <c r="MAL32" s="2511"/>
      <c r="MAM32" s="2511"/>
      <c r="MAN32" s="2511"/>
      <c r="MAO32" s="2511"/>
      <c r="MAP32" s="2511"/>
      <c r="MAQ32" s="2511"/>
      <c r="MAR32" s="2511"/>
      <c r="MAS32" s="2511"/>
      <c r="MAT32" s="2511"/>
      <c r="MAU32" s="2511"/>
      <c r="MAV32" s="2511"/>
      <c r="MAW32" s="2511"/>
      <c r="MAX32" s="2511"/>
      <c r="MAY32" s="2511"/>
      <c r="MAZ32" s="2511"/>
      <c r="MBA32" s="2511"/>
      <c r="MBB32" s="2511"/>
      <c r="MBC32" s="2511"/>
      <c r="MBD32" s="2511"/>
      <c r="MBE32" s="2511"/>
      <c r="MBF32" s="2511"/>
      <c r="MBG32" s="2511"/>
      <c r="MBH32" s="2511"/>
      <c r="MBI32" s="2511"/>
      <c r="MBJ32" s="2511"/>
      <c r="MBK32" s="2511"/>
      <c r="MBL32" s="2511"/>
      <c r="MBM32" s="2511"/>
      <c r="MBN32" s="2511"/>
      <c r="MBO32" s="2511"/>
      <c r="MBP32" s="2511"/>
      <c r="MBQ32" s="2511"/>
      <c r="MBR32" s="2511"/>
      <c r="MBS32" s="2511"/>
      <c r="MBT32" s="2511"/>
      <c r="MBU32" s="2511"/>
      <c r="MBV32" s="2511"/>
      <c r="MBW32" s="2511"/>
      <c r="MBX32" s="2511"/>
      <c r="MBY32" s="2511"/>
      <c r="MBZ32" s="2511"/>
      <c r="MCA32" s="2511"/>
      <c r="MCB32" s="2511"/>
      <c r="MCC32" s="2511"/>
      <c r="MCD32" s="2511"/>
      <c r="MCE32" s="2511"/>
      <c r="MCF32" s="2511"/>
      <c r="MCG32" s="2511"/>
      <c r="MCH32" s="2511"/>
      <c r="MCI32" s="2511"/>
      <c r="MCJ32" s="2511"/>
      <c r="MCK32" s="2511"/>
      <c r="MCL32" s="2511"/>
      <c r="MCM32" s="2511"/>
      <c r="MCN32" s="2511"/>
      <c r="MCO32" s="2511"/>
      <c r="MCP32" s="2511"/>
      <c r="MCQ32" s="2511"/>
      <c r="MCR32" s="2511"/>
      <c r="MCS32" s="2511"/>
      <c r="MCT32" s="2511"/>
      <c r="MCU32" s="2511"/>
      <c r="MCV32" s="2511"/>
      <c r="MCW32" s="2511"/>
      <c r="MCX32" s="2511"/>
      <c r="MCY32" s="2511"/>
      <c r="MCZ32" s="2511"/>
      <c r="MDA32" s="2511"/>
      <c r="MDB32" s="2511"/>
      <c r="MDC32" s="2511"/>
      <c r="MDD32" s="2511"/>
      <c r="MDE32" s="2511"/>
      <c r="MDF32" s="2511"/>
      <c r="MDG32" s="2511"/>
      <c r="MDH32" s="2511"/>
      <c r="MDI32" s="2511"/>
      <c r="MDJ32" s="2511"/>
      <c r="MDK32" s="2511"/>
      <c r="MDL32" s="2511"/>
      <c r="MDM32" s="2511"/>
      <c r="MDN32" s="2511"/>
      <c r="MDO32" s="2511"/>
      <c r="MDP32" s="2511"/>
      <c r="MDQ32" s="2511"/>
      <c r="MDR32" s="2511"/>
      <c r="MDS32" s="2511"/>
      <c r="MDT32" s="2511"/>
      <c r="MDU32" s="2511"/>
      <c r="MDV32" s="2511"/>
      <c r="MDW32" s="2511"/>
      <c r="MDX32" s="2511"/>
      <c r="MDY32" s="2511"/>
      <c r="MDZ32" s="2511"/>
      <c r="MEA32" s="2511"/>
      <c r="MEB32" s="2511"/>
      <c r="MEC32" s="2511"/>
      <c r="MED32" s="2511"/>
      <c r="MEE32" s="2511"/>
      <c r="MEF32" s="2511"/>
      <c r="MEG32" s="2511"/>
      <c r="MEH32" s="2511"/>
      <c r="MEI32" s="2511"/>
      <c r="MEJ32" s="2511"/>
      <c r="MEK32" s="2511"/>
      <c r="MEL32" s="2511"/>
      <c r="MEM32" s="2511"/>
      <c r="MEN32" s="2511"/>
      <c r="MEO32" s="2511"/>
      <c r="MEP32" s="2511"/>
      <c r="MEQ32" s="2511"/>
      <c r="MER32" s="2511"/>
      <c r="MES32" s="2511"/>
      <c r="MET32" s="2511"/>
      <c r="MEU32" s="2511"/>
      <c r="MEV32" s="2511"/>
      <c r="MEW32" s="2511"/>
      <c r="MEX32" s="2511"/>
      <c r="MEY32" s="2511"/>
      <c r="MEZ32" s="2511"/>
      <c r="MFA32" s="2511"/>
      <c r="MFB32" s="2511"/>
      <c r="MFC32" s="2511"/>
      <c r="MFD32" s="2511"/>
      <c r="MFE32" s="2511"/>
      <c r="MFF32" s="2511"/>
      <c r="MFG32" s="2511"/>
      <c r="MFH32" s="2511"/>
      <c r="MFI32" s="2511"/>
      <c r="MFJ32" s="2511"/>
      <c r="MFK32" s="2511"/>
      <c r="MFL32" s="2511"/>
      <c r="MFM32" s="2511"/>
      <c r="MFN32" s="2511"/>
      <c r="MFO32" s="2511"/>
      <c r="MFP32" s="2511"/>
      <c r="MFQ32" s="2511"/>
      <c r="MFR32" s="2511"/>
      <c r="MFS32" s="2511"/>
      <c r="MFT32" s="2511"/>
      <c r="MFU32" s="2511"/>
      <c r="MFV32" s="2511"/>
      <c r="MFW32" s="2511"/>
      <c r="MFX32" s="2511"/>
      <c r="MFY32" s="2511"/>
      <c r="MFZ32" s="2511"/>
      <c r="MGA32" s="2511"/>
      <c r="MGB32" s="2511"/>
      <c r="MGC32" s="2511"/>
      <c r="MGD32" s="2511"/>
      <c r="MGE32" s="2511"/>
      <c r="MGF32" s="2511"/>
      <c r="MGG32" s="2511"/>
      <c r="MGH32" s="2511"/>
      <c r="MGI32" s="2511"/>
      <c r="MGJ32" s="2511"/>
      <c r="MGK32" s="2511"/>
      <c r="MGL32" s="2511"/>
      <c r="MGM32" s="2511"/>
      <c r="MGN32" s="2511"/>
      <c r="MGO32" s="2511"/>
      <c r="MGP32" s="2511"/>
      <c r="MGQ32" s="2511"/>
      <c r="MGR32" s="2511"/>
      <c r="MGS32" s="2511"/>
      <c r="MGT32" s="2511"/>
      <c r="MGU32" s="2511"/>
      <c r="MGV32" s="2511"/>
      <c r="MGW32" s="2511"/>
      <c r="MGX32" s="2511"/>
      <c r="MGY32" s="2511"/>
      <c r="MGZ32" s="2511"/>
      <c r="MHA32" s="2511"/>
      <c r="MHB32" s="2511"/>
      <c r="MHC32" s="2511"/>
      <c r="MHD32" s="2511"/>
      <c r="MHE32" s="2511"/>
      <c r="MHF32" s="2511"/>
      <c r="MHG32" s="2511"/>
      <c r="MHH32" s="2511"/>
      <c r="MHI32" s="2511"/>
      <c r="MHJ32" s="2511"/>
      <c r="MHK32" s="2511"/>
      <c r="MHL32" s="2511"/>
      <c r="MHM32" s="2511"/>
      <c r="MHN32" s="2511"/>
      <c r="MHO32" s="2511"/>
      <c r="MHP32" s="2511"/>
      <c r="MHQ32" s="2511"/>
      <c r="MHR32" s="2511"/>
      <c r="MHS32" s="2511"/>
      <c r="MHT32" s="2511"/>
      <c r="MHU32" s="2511"/>
      <c r="MHV32" s="2511"/>
      <c r="MHW32" s="2511"/>
      <c r="MHX32" s="2511"/>
      <c r="MHY32" s="2511"/>
      <c r="MHZ32" s="2511"/>
      <c r="MIA32" s="2511"/>
      <c r="MIB32" s="2511"/>
      <c r="MIC32" s="2511"/>
      <c r="MID32" s="2511"/>
      <c r="MIE32" s="2511"/>
      <c r="MIF32" s="2511"/>
      <c r="MIG32" s="2511"/>
      <c r="MIH32" s="2511"/>
      <c r="MII32" s="2511"/>
      <c r="MIJ32" s="2511"/>
      <c r="MIK32" s="2511"/>
      <c r="MIL32" s="2511"/>
      <c r="MIM32" s="2511"/>
      <c r="MIN32" s="2511"/>
      <c r="MIO32" s="2511"/>
      <c r="MIP32" s="2511"/>
      <c r="MIQ32" s="2511"/>
      <c r="MIR32" s="2511"/>
      <c r="MIS32" s="2511"/>
      <c r="MIT32" s="2511"/>
      <c r="MIU32" s="2511"/>
      <c r="MIV32" s="2511"/>
      <c r="MIW32" s="2511"/>
      <c r="MIX32" s="2511"/>
      <c r="MIY32" s="2511"/>
      <c r="MIZ32" s="2511"/>
      <c r="MJA32" s="2511"/>
      <c r="MJB32" s="2511"/>
      <c r="MJC32" s="2511"/>
      <c r="MJD32" s="2511"/>
      <c r="MJE32" s="2511"/>
      <c r="MJF32" s="2511"/>
      <c r="MJG32" s="2511"/>
      <c r="MJH32" s="2511"/>
      <c r="MJI32" s="2511"/>
      <c r="MJJ32" s="2511"/>
      <c r="MJK32" s="2511"/>
      <c r="MJL32" s="2511"/>
      <c r="MJM32" s="2511"/>
      <c r="MJN32" s="2511"/>
      <c r="MJO32" s="2511"/>
      <c r="MJP32" s="2511"/>
      <c r="MJQ32" s="2511"/>
      <c r="MJR32" s="2511"/>
      <c r="MJS32" s="2511"/>
      <c r="MJT32" s="2511"/>
      <c r="MJU32" s="2511"/>
      <c r="MJV32" s="2511"/>
      <c r="MJW32" s="2511"/>
      <c r="MJX32" s="2511"/>
      <c r="MJY32" s="2511"/>
      <c r="MJZ32" s="2511"/>
      <c r="MKA32" s="2511"/>
      <c r="MKB32" s="2511"/>
      <c r="MKC32" s="2511"/>
      <c r="MKD32" s="2511"/>
      <c r="MKE32" s="2511"/>
      <c r="MKF32" s="2511"/>
      <c r="MKG32" s="2511"/>
      <c r="MKH32" s="2511"/>
      <c r="MKI32" s="2511"/>
      <c r="MKJ32" s="2511"/>
      <c r="MKK32" s="2511"/>
      <c r="MKL32" s="2511"/>
      <c r="MKM32" s="2511"/>
      <c r="MKN32" s="2511"/>
      <c r="MKO32" s="2511"/>
      <c r="MKP32" s="2511"/>
      <c r="MKQ32" s="2511"/>
      <c r="MKR32" s="2511"/>
      <c r="MKS32" s="2511"/>
      <c r="MKT32" s="2511"/>
      <c r="MKU32" s="2511"/>
      <c r="MKV32" s="2511"/>
      <c r="MKW32" s="2511"/>
      <c r="MKX32" s="2511"/>
      <c r="MKY32" s="2511"/>
      <c r="MKZ32" s="2511"/>
      <c r="MLA32" s="2511"/>
      <c r="MLB32" s="2511"/>
      <c r="MLC32" s="2511"/>
      <c r="MLD32" s="2511"/>
      <c r="MLE32" s="2511"/>
      <c r="MLF32" s="2511"/>
      <c r="MLG32" s="2511"/>
      <c r="MLH32" s="2511"/>
      <c r="MLI32" s="2511"/>
      <c r="MLJ32" s="2511"/>
      <c r="MLK32" s="2511"/>
      <c r="MLL32" s="2511"/>
      <c r="MLM32" s="2511"/>
      <c r="MLN32" s="2511"/>
      <c r="MLO32" s="2511"/>
      <c r="MLP32" s="2511"/>
      <c r="MLQ32" s="2511"/>
      <c r="MLR32" s="2511"/>
      <c r="MLS32" s="2511"/>
      <c r="MLT32" s="2511"/>
      <c r="MLU32" s="2511"/>
      <c r="MLV32" s="2511"/>
      <c r="MLW32" s="2511"/>
      <c r="MLX32" s="2511"/>
      <c r="MLY32" s="2511"/>
      <c r="MLZ32" s="2511"/>
      <c r="MMA32" s="2511"/>
      <c r="MMB32" s="2511"/>
      <c r="MMC32" s="2511"/>
      <c r="MMD32" s="2511"/>
      <c r="MME32" s="2511"/>
      <c r="MMF32" s="2511"/>
      <c r="MMG32" s="2511"/>
      <c r="MMH32" s="2511"/>
      <c r="MMI32" s="2511"/>
      <c r="MMJ32" s="2511"/>
      <c r="MMK32" s="2511"/>
      <c r="MML32" s="2511"/>
      <c r="MMM32" s="2511"/>
      <c r="MMN32" s="2511"/>
      <c r="MMO32" s="2511"/>
      <c r="MMP32" s="2511"/>
      <c r="MMQ32" s="2511"/>
      <c r="MMR32" s="2511"/>
      <c r="MMS32" s="2511"/>
      <c r="MMT32" s="2511"/>
      <c r="MMU32" s="2511"/>
      <c r="MMV32" s="2511"/>
      <c r="MMW32" s="2511"/>
      <c r="MMX32" s="2511"/>
      <c r="MMY32" s="2511"/>
      <c r="MMZ32" s="2511"/>
      <c r="MNA32" s="2511"/>
      <c r="MNB32" s="2511"/>
      <c r="MNC32" s="2511"/>
      <c r="MND32" s="2511"/>
      <c r="MNE32" s="2511"/>
      <c r="MNF32" s="2511"/>
      <c r="MNG32" s="2511"/>
      <c r="MNH32" s="2511"/>
      <c r="MNI32" s="2511"/>
      <c r="MNJ32" s="2511"/>
      <c r="MNK32" s="2511"/>
      <c r="MNL32" s="2511"/>
      <c r="MNM32" s="2511"/>
      <c r="MNN32" s="2511"/>
      <c r="MNO32" s="2511"/>
      <c r="MNP32" s="2511"/>
      <c r="MNQ32" s="2511"/>
      <c r="MNR32" s="2511"/>
      <c r="MNS32" s="2511"/>
      <c r="MNT32" s="2511"/>
      <c r="MNU32" s="2511"/>
      <c r="MNV32" s="2511"/>
      <c r="MNW32" s="2511"/>
      <c r="MNX32" s="2511"/>
      <c r="MNY32" s="2511"/>
      <c r="MNZ32" s="2511"/>
      <c r="MOA32" s="2511"/>
      <c r="MOB32" s="2511"/>
      <c r="MOC32" s="2511"/>
      <c r="MOD32" s="2511"/>
      <c r="MOE32" s="2511"/>
      <c r="MOF32" s="2511"/>
      <c r="MOG32" s="2511"/>
      <c r="MOH32" s="2511"/>
      <c r="MOI32" s="2511"/>
      <c r="MOJ32" s="2511"/>
      <c r="MOK32" s="2511"/>
      <c r="MOL32" s="2511"/>
      <c r="MOM32" s="2511"/>
      <c r="MON32" s="2511"/>
      <c r="MOO32" s="2511"/>
      <c r="MOP32" s="2511"/>
      <c r="MOQ32" s="2511"/>
      <c r="MOR32" s="2511"/>
      <c r="MOS32" s="2511"/>
      <c r="MOT32" s="2511"/>
      <c r="MOU32" s="2511"/>
      <c r="MOV32" s="2511"/>
      <c r="MOW32" s="2511"/>
      <c r="MOX32" s="2511"/>
      <c r="MOY32" s="2511"/>
      <c r="MOZ32" s="2511"/>
      <c r="MPA32" s="2511"/>
      <c r="MPB32" s="2511"/>
      <c r="MPC32" s="2511"/>
      <c r="MPD32" s="2511"/>
      <c r="MPE32" s="2511"/>
      <c r="MPF32" s="2511"/>
      <c r="MPG32" s="2511"/>
      <c r="MPH32" s="2511"/>
      <c r="MPI32" s="2511"/>
      <c r="MPJ32" s="2511"/>
      <c r="MPK32" s="2511"/>
      <c r="MPL32" s="2511"/>
      <c r="MPM32" s="2511"/>
      <c r="MPN32" s="2511"/>
      <c r="MPO32" s="2511"/>
      <c r="MPP32" s="2511"/>
      <c r="MPQ32" s="2511"/>
      <c r="MPR32" s="2511"/>
      <c r="MPS32" s="2511"/>
      <c r="MPT32" s="2511"/>
      <c r="MPU32" s="2511"/>
      <c r="MPV32" s="2511"/>
      <c r="MPW32" s="2511"/>
      <c r="MPX32" s="2511"/>
      <c r="MPY32" s="2511"/>
      <c r="MPZ32" s="2511"/>
      <c r="MQA32" s="2511"/>
      <c r="MQB32" s="2511"/>
      <c r="MQC32" s="2511"/>
      <c r="MQD32" s="2511"/>
      <c r="MQE32" s="2511"/>
      <c r="MQF32" s="2511"/>
      <c r="MQG32" s="2511"/>
      <c r="MQH32" s="2511"/>
      <c r="MQI32" s="2511"/>
      <c r="MQJ32" s="2511"/>
      <c r="MQK32" s="2511"/>
      <c r="MQL32" s="2511"/>
      <c r="MQM32" s="2511"/>
      <c r="MQN32" s="2511"/>
      <c r="MQO32" s="2511"/>
      <c r="MQP32" s="2511"/>
      <c r="MQQ32" s="2511"/>
      <c r="MQR32" s="2511"/>
      <c r="MQS32" s="2511"/>
      <c r="MQT32" s="2511"/>
      <c r="MQU32" s="2511"/>
      <c r="MQV32" s="2511"/>
      <c r="MQW32" s="2511"/>
      <c r="MQX32" s="2511"/>
      <c r="MQY32" s="2511"/>
      <c r="MQZ32" s="2511"/>
      <c r="MRA32" s="2511"/>
      <c r="MRB32" s="2511"/>
      <c r="MRC32" s="2511"/>
      <c r="MRD32" s="2511"/>
      <c r="MRE32" s="2511"/>
      <c r="MRF32" s="2511"/>
      <c r="MRG32" s="2511"/>
      <c r="MRH32" s="2511"/>
      <c r="MRI32" s="2511"/>
      <c r="MRJ32" s="2511"/>
      <c r="MRK32" s="2511"/>
      <c r="MRL32" s="2511"/>
      <c r="MRM32" s="2511"/>
      <c r="MRN32" s="2511"/>
      <c r="MRO32" s="2511"/>
      <c r="MRP32" s="2511"/>
      <c r="MRQ32" s="2511"/>
      <c r="MRR32" s="2511"/>
      <c r="MRS32" s="2511"/>
      <c r="MRT32" s="2511"/>
      <c r="MRU32" s="2511"/>
      <c r="MRV32" s="2511"/>
      <c r="MRW32" s="2511"/>
      <c r="MRX32" s="2511"/>
      <c r="MRY32" s="2511"/>
      <c r="MRZ32" s="2511"/>
      <c r="MSA32" s="2511"/>
      <c r="MSB32" s="2511"/>
      <c r="MSC32" s="2511"/>
      <c r="MSD32" s="2511"/>
      <c r="MSE32" s="2511"/>
      <c r="MSF32" s="2511"/>
      <c r="MSG32" s="2511"/>
      <c r="MSH32" s="2511"/>
      <c r="MSI32" s="2511"/>
      <c r="MSJ32" s="2511"/>
      <c r="MSK32" s="2511"/>
      <c r="MSL32" s="2511"/>
      <c r="MSM32" s="2511"/>
      <c r="MSN32" s="2511"/>
      <c r="MSO32" s="2511"/>
      <c r="MSP32" s="2511"/>
      <c r="MSQ32" s="2511"/>
      <c r="MSR32" s="2511"/>
      <c r="MSS32" s="2511"/>
      <c r="MST32" s="2511"/>
      <c r="MSU32" s="2511"/>
      <c r="MSV32" s="2511"/>
      <c r="MSW32" s="2511"/>
      <c r="MSX32" s="2511"/>
      <c r="MSY32" s="2511"/>
      <c r="MSZ32" s="2511"/>
      <c r="MTA32" s="2511"/>
      <c r="MTB32" s="2511"/>
      <c r="MTC32" s="2511"/>
      <c r="MTD32" s="2511"/>
      <c r="MTE32" s="2511"/>
      <c r="MTF32" s="2511"/>
      <c r="MTG32" s="2511"/>
      <c r="MTH32" s="2511"/>
      <c r="MTI32" s="2511"/>
      <c r="MTJ32" s="2511"/>
      <c r="MTK32" s="2511"/>
      <c r="MTL32" s="2511"/>
      <c r="MTM32" s="2511"/>
      <c r="MTN32" s="2511"/>
      <c r="MTO32" s="2511"/>
      <c r="MTP32" s="2511"/>
      <c r="MTQ32" s="2511"/>
      <c r="MTR32" s="2511"/>
      <c r="MTS32" s="2511"/>
      <c r="MTT32" s="2511"/>
      <c r="MTU32" s="2511"/>
      <c r="MTV32" s="2511"/>
      <c r="MTW32" s="2511"/>
      <c r="MTX32" s="2511"/>
      <c r="MTY32" s="2511"/>
      <c r="MTZ32" s="2511"/>
      <c r="MUA32" s="2511"/>
      <c r="MUB32" s="2511"/>
      <c r="MUC32" s="2511"/>
      <c r="MUD32" s="2511"/>
      <c r="MUE32" s="2511"/>
      <c r="MUF32" s="2511"/>
      <c r="MUG32" s="2511"/>
      <c r="MUH32" s="2511"/>
      <c r="MUI32" s="2511"/>
      <c r="MUJ32" s="2511"/>
      <c r="MUK32" s="2511"/>
      <c r="MUL32" s="2511"/>
      <c r="MUM32" s="2511"/>
      <c r="MUN32" s="2511"/>
      <c r="MUO32" s="2511"/>
      <c r="MUP32" s="2511"/>
      <c r="MUQ32" s="2511"/>
      <c r="MUR32" s="2511"/>
      <c r="MUS32" s="2511"/>
      <c r="MUT32" s="2511"/>
      <c r="MUU32" s="2511"/>
      <c r="MUV32" s="2511"/>
      <c r="MUW32" s="2511"/>
      <c r="MUX32" s="2511"/>
      <c r="MUY32" s="2511"/>
      <c r="MUZ32" s="2511"/>
      <c r="MVA32" s="2511"/>
      <c r="MVB32" s="2511"/>
      <c r="MVC32" s="2511"/>
      <c r="MVD32" s="2511"/>
      <c r="MVE32" s="2511"/>
      <c r="MVF32" s="2511"/>
      <c r="MVG32" s="2511"/>
      <c r="MVH32" s="2511"/>
      <c r="MVI32" s="2511"/>
      <c r="MVJ32" s="2511"/>
      <c r="MVK32" s="2511"/>
      <c r="MVL32" s="2511"/>
      <c r="MVM32" s="2511"/>
      <c r="MVN32" s="2511"/>
      <c r="MVO32" s="2511"/>
      <c r="MVP32" s="2511"/>
      <c r="MVQ32" s="2511"/>
      <c r="MVR32" s="2511"/>
      <c r="MVS32" s="2511"/>
      <c r="MVT32" s="2511"/>
      <c r="MVU32" s="2511"/>
      <c r="MVV32" s="2511"/>
      <c r="MVW32" s="2511"/>
      <c r="MVX32" s="2511"/>
      <c r="MVY32" s="2511"/>
      <c r="MVZ32" s="2511"/>
      <c r="MWA32" s="2511"/>
      <c r="MWB32" s="2511"/>
      <c r="MWC32" s="2511"/>
      <c r="MWD32" s="2511"/>
      <c r="MWE32" s="2511"/>
      <c r="MWF32" s="2511"/>
      <c r="MWG32" s="2511"/>
      <c r="MWH32" s="2511"/>
      <c r="MWI32" s="2511"/>
      <c r="MWJ32" s="2511"/>
      <c r="MWK32" s="2511"/>
      <c r="MWL32" s="2511"/>
      <c r="MWM32" s="2511"/>
      <c r="MWN32" s="2511"/>
      <c r="MWO32" s="2511"/>
      <c r="MWP32" s="2511"/>
      <c r="MWQ32" s="2511"/>
      <c r="MWR32" s="2511"/>
      <c r="MWS32" s="2511"/>
      <c r="MWT32" s="2511"/>
      <c r="MWU32" s="2511"/>
      <c r="MWV32" s="2511"/>
      <c r="MWW32" s="2511"/>
      <c r="MWX32" s="2511"/>
      <c r="MWY32" s="2511"/>
      <c r="MWZ32" s="2511"/>
      <c r="MXA32" s="2511"/>
      <c r="MXB32" s="2511"/>
      <c r="MXC32" s="2511"/>
      <c r="MXD32" s="2511"/>
      <c r="MXE32" s="2511"/>
      <c r="MXF32" s="2511"/>
      <c r="MXG32" s="2511"/>
      <c r="MXH32" s="2511"/>
      <c r="MXI32" s="2511"/>
      <c r="MXJ32" s="2511"/>
      <c r="MXK32" s="2511"/>
      <c r="MXL32" s="2511"/>
      <c r="MXM32" s="2511"/>
      <c r="MXN32" s="2511"/>
      <c r="MXO32" s="2511"/>
      <c r="MXP32" s="2511"/>
      <c r="MXQ32" s="2511"/>
      <c r="MXR32" s="2511"/>
      <c r="MXS32" s="2511"/>
      <c r="MXT32" s="2511"/>
      <c r="MXU32" s="2511"/>
      <c r="MXV32" s="2511"/>
      <c r="MXW32" s="2511"/>
      <c r="MXX32" s="2511"/>
      <c r="MXY32" s="2511"/>
      <c r="MXZ32" s="2511"/>
      <c r="MYA32" s="2511"/>
      <c r="MYB32" s="2511"/>
      <c r="MYC32" s="2511"/>
      <c r="MYD32" s="2511"/>
      <c r="MYE32" s="2511"/>
      <c r="MYF32" s="2511"/>
      <c r="MYG32" s="2511"/>
      <c r="MYH32" s="2511"/>
      <c r="MYI32" s="2511"/>
      <c r="MYJ32" s="2511"/>
      <c r="MYK32" s="2511"/>
      <c r="MYL32" s="2511"/>
      <c r="MYM32" s="2511"/>
      <c r="MYN32" s="2511"/>
      <c r="MYO32" s="2511"/>
      <c r="MYP32" s="2511"/>
      <c r="MYQ32" s="2511"/>
      <c r="MYR32" s="2511"/>
      <c r="MYS32" s="2511"/>
      <c r="MYT32" s="2511"/>
      <c r="MYU32" s="2511"/>
      <c r="MYV32" s="2511"/>
      <c r="MYW32" s="2511"/>
      <c r="MYX32" s="2511"/>
      <c r="MYY32" s="2511"/>
      <c r="MYZ32" s="2511"/>
      <c r="MZA32" s="2511"/>
      <c r="MZB32" s="2511"/>
      <c r="MZC32" s="2511"/>
      <c r="MZD32" s="2511"/>
      <c r="MZE32" s="2511"/>
      <c r="MZF32" s="2511"/>
      <c r="MZG32" s="2511"/>
      <c r="MZH32" s="2511"/>
      <c r="MZI32" s="2511"/>
      <c r="MZJ32" s="2511"/>
      <c r="MZK32" s="2511"/>
      <c r="MZL32" s="2511"/>
      <c r="MZM32" s="2511"/>
      <c r="MZN32" s="2511"/>
      <c r="MZO32" s="2511"/>
      <c r="MZP32" s="2511"/>
      <c r="MZQ32" s="2511"/>
      <c r="MZR32" s="2511"/>
      <c r="MZS32" s="2511"/>
      <c r="MZT32" s="2511"/>
      <c r="MZU32" s="2511"/>
      <c r="MZV32" s="2511"/>
      <c r="MZW32" s="2511"/>
      <c r="MZX32" s="2511"/>
      <c r="MZY32" s="2511"/>
      <c r="MZZ32" s="2511"/>
      <c r="NAA32" s="2511"/>
      <c r="NAB32" s="2511"/>
      <c r="NAC32" s="2511"/>
      <c r="NAD32" s="2511"/>
      <c r="NAE32" s="2511"/>
      <c r="NAF32" s="2511"/>
      <c r="NAG32" s="2511"/>
      <c r="NAH32" s="2511"/>
      <c r="NAI32" s="2511"/>
      <c r="NAJ32" s="2511"/>
      <c r="NAK32" s="2511"/>
      <c r="NAL32" s="2511"/>
      <c r="NAM32" s="2511"/>
      <c r="NAN32" s="2511"/>
      <c r="NAO32" s="2511"/>
      <c r="NAP32" s="2511"/>
      <c r="NAQ32" s="2511"/>
      <c r="NAR32" s="2511"/>
      <c r="NAS32" s="2511"/>
      <c r="NAT32" s="2511"/>
      <c r="NAU32" s="2511"/>
      <c r="NAV32" s="2511"/>
      <c r="NAW32" s="2511"/>
      <c r="NAX32" s="2511"/>
      <c r="NAY32" s="2511"/>
      <c r="NAZ32" s="2511"/>
      <c r="NBA32" s="2511"/>
      <c r="NBB32" s="2511"/>
      <c r="NBC32" s="2511"/>
      <c r="NBD32" s="2511"/>
      <c r="NBE32" s="2511"/>
      <c r="NBF32" s="2511"/>
      <c r="NBG32" s="2511"/>
      <c r="NBH32" s="2511"/>
      <c r="NBI32" s="2511"/>
      <c r="NBJ32" s="2511"/>
      <c r="NBK32" s="2511"/>
      <c r="NBL32" s="2511"/>
      <c r="NBM32" s="2511"/>
      <c r="NBN32" s="2511"/>
      <c r="NBO32" s="2511"/>
      <c r="NBP32" s="2511"/>
      <c r="NBQ32" s="2511"/>
      <c r="NBR32" s="2511"/>
      <c r="NBS32" s="2511"/>
      <c r="NBT32" s="2511"/>
      <c r="NBU32" s="2511"/>
      <c r="NBV32" s="2511"/>
      <c r="NBW32" s="2511"/>
      <c r="NBX32" s="2511"/>
      <c r="NBY32" s="2511"/>
      <c r="NBZ32" s="2511"/>
      <c r="NCA32" s="2511"/>
      <c r="NCB32" s="2511"/>
      <c r="NCC32" s="2511"/>
      <c r="NCD32" s="2511"/>
      <c r="NCE32" s="2511"/>
      <c r="NCF32" s="2511"/>
      <c r="NCG32" s="2511"/>
      <c r="NCH32" s="2511"/>
      <c r="NCI32" s="2511"/>
      <c r="NCJ32" s="2511"/>
      <c r="NCK32" s="2511"/>
      <c r="NCL32" s="2511"/>
      <c r="NCM32" s="2511"/>
      <c r="NCN32" s="2511"/>
      <c r="NCO32" s="2511"/>
      <c r="NCP32" s="2511"/>
      <c r="NCQ32" s="2511"/>
      <c r="NCR32" s="2511"/>
      <c r="NCS32" s="2511"/>
      <c r="NCT32" s="2511"/>
      <c r="NCU32" s="2511"/>
      <c r="NCV32" s="2511"/>
      <c r="NCW32" s="2511"/>
      <c r="NCX32" s="2511"/>
      <c r="NCY32" s="2511"/>
      <c r="NCZ32" s="2511"/>
      <c r="NDA32" s="2511"/>
      <c r="NDB32" s="2511"/>
      <c r="NDC32" s="2511"/>
      <c r="NDD32" s="2511"/>
      <c r="NDE32" s="2511"/>
      <c r="NDF32" s="2511"/>
      <c r="NDG32" s="2511"/>
      <c r="NDH32" s="2511"/>
      <c r="NDI32" s="2511"/>
      <c r="NDJ32" s="2511"/>
      <c r="NDK32" s="2511"/>
      <c r="NDL32" s="2511"/>
      <c r="NDM32" s="2511"/>
      <c r="NDN32" s="2511"/>
      <c r="NDO32" s="2511"/>
      <c r="NDP32" s="2511"/>
      <c r="NDQ32" s="2511"/>
      <c r="NDR32" s="2511"/>
      <c r="NDS32" s="2511"/>
      <c r="NDT32" s="2511"/>
      <c r="NDU32" s="2511"/>
      <c r="NDV32" s="2511"/>
      <c r="NDW32" s="2511"/>
      <c r="NDX32" s="2511"/>
      <c r="NDY32" s="2511"/>
      <c r="NDZ32" s="2511"/>
      <c r="NEA32" s="2511"/>
      <c r="NEB32" s="2511"/>
      <c r="NEC32" s="2511"/>
      <c r="NED32" s="2511"/>
      <c r="NEE32" s="2511"/>
      <c r="NEF32" s="2511"/>
      <c r="NEG32" s="2511"/>
      <c r="NEH32" s="2511"/>
      <c r="NEI32" s="2511"/>
      <c r="NEJ32" s="2511"/>
      <c r="NEK32" s="2511"/>
      <c r="NEL32" s="2511"/>
      <c r="NEM32" s="2511"/>
      <c r="NEN32" s="2511"/>
      <c r="NEO32" s="2511"/>
      <c r="NEP32" s="2511"/>
      <c r="NEQ32" s="2511"/>
      <c r="NER32" s="2511"/>
      <c r="NES32" s="2511"/>
      <c r="NET32" s="2511"/>
      <c r="NEU32" s="2511"/>
      <c r="NEV32" s="2511"/>
      <c r="NEW32" s="2511"/>
      <c r="NEX32" s="2511"/>
      <c r="NEY32" s="2511"/>
      <c r="NEZ32" s="2511"/>
      <c r="NFA32" s="2511"/>
      <c r="NFB32" s="2511"/>
      <c r="NFC32" s="2511"/>
      <c r="NFD32" s="2511"/>
      <c r="NFE32" s="2511"/>
      <c r="NFF32" s="2511"/>
      <c r="NFG32" s="2511"/>
      <c r="NFH32" s="2511"/>
      <c r="NFI32" s="2511"/>
      <c r="NFJ32" s="2511"/>
      <c r="NFK32" s="2511"/>
      <c r="NFL32" s="2511"/>
      <c r="NFM32" s="2511"/>
      <c r="NFN32" s="2511"/>
      <c r="NFO32" s="2511"/>
      <c r="NFP32" s="2511"/>
      <c r="NFQ32" s="2511"/>
      <c r="NFR32" s="2511"/>
      <c r="NFS32" s="2511"/>
      <c r="NFT32" s="2511"/>
      <c r="NFU32" s="2511"/>
      <c r="NFV32" s="2511"/>
      <c r="NFW32" s="2511"/>
      <c r="NFX32" s="2511"/>
      <c r="NFY32" s="2511"/>
      <c r="NFZ32" s="2511"/>
      <c r="NGA32" s="2511"/>
      <c r="NGB32" s="2511"/>
      <c r="NGC32" s="2511"/>
      <c r="NGD32" s="2511"/>
      <c r="NGE32" s="2511"/>
      <c r="NGF32" s="2511"/>
      <c r="NGG32" s="2511"/>
      <c r="NGH32" s="2511"/>
      <c r="NGI32" s="2511"/>
      <c r="NGJ32" s="2511"/>
      <c r="NGK32" s="2511"/>
      <c r="NGL32" s="2511"/>
      <c r="NGM32" s="2511"/>
      <c r="NGN32" s="2511"/>
      <c r="NGO32" s="2511"/>
      <c r="NGP32" s="2511"/>
      <c r="NGQ32" s="2511"/>
      <c r="NGR32" s="2511"/>
      <c r="NGS32" s="2511"/>
      <c r="NGT32" s="2511"/>
      <c r="NGU32" s="2511"/>
      <c r="NGV32" s="2511"/>
      <c r="NGW32" s="2511"/>
      <c r="NGX32" s="2511"/>
      <c r="NGY32" s="2511"/>
      <c r="NGZ32" s="2511"/>
      <c r="NHA32" s="2511"/>
      <c r="NHB32" s="2511"/>
      <c r="NHC32" s="2511"/>
      <c r="NHD32" s="2511"/>
      <c r="NHE32" s="2511"/>
      <c r="NHF32" s="2511"/>
      <c r="NHG32" s="2511"/>
      <c r="NHH32" s="2511"/>
      <c r="NHI32" s="2511"/>
      <c r="NHJ32" s="2511"/>
      <c r="NHK32" s="2511"/>
      <c r="NHL32" s="2511"/>
      <c r="NHM32" s="2511"/>
      <c r="NHN32" s="2511"/>
      <c r="NHO32" s="2511"/>
      <c r="NHP32" s="2511"/>
      <c r="NHQ32" s="2511"/>
      <c r="NHR32" s="2511"/>
      <c r="NHS32" s="2511"/>
      <c r="NHT32" s="2511"/>
      <c r="NHU32" s="2511"/>
      <c r="NHV32" s="2511"/>
      <c r="NHW32" s="2511"/>
      <c r="NHX32" s="2511"/>
      <c r="NHY32" s="2511"/>
      <c r="NHZ32" s="2511"/>
      <c r="NIA32" s="2511"/>
      <c r="NIB32" s="2511"/>
      <c r="NIC32" s="2511"/>
      <c r="NID32" s="2511"/>
      <c r="NIE32" s="2511"/>
      <c r="NIF32" s="2511"/>
      <c r="NIG32" s="2511"/>
      <c r="NIH32" s="2511"/>
      <c r="NII32" s="2511"/>
      <c r="NIJ32" s="2511"/>
      <c r="NIK32" s="2511"/>
      <c r="NIL32" s="2511"/>
      <c r="NIM32" s="2511"/>
      <c r="NIN32" s="2511"/>
      <c r="NIO32" s="2511"/>
      <c r="NIP32" s="2511"/>
      <c r="NIQ32" s="2511"/>
      <c r="NIR32" s="2511"/>
      <c r="NIS32" s="2511"/>
      <c r="NIT32" s="2511"/>
      <c r="NIU32" s="2511"/>
      <c r="NIV32" s="2511"/>
      <c r="NIW32" s="2511"/>
      <c r="NIX32" s="2511"/>
      <c r="NIY32" s="2511"/>
      <c r="NIZ32" s="2511"/>
      <c r="NJA32" s="2511"/>
      <c r="NJB32" s="2511"/>
      <c r="NJC32" s="2511"/>
      <c r="NJD32" s="2511"/>
      <c r="NJE32" s="2511"/>
      <c r="NJF32" s="2511"/>
      <c r="NJG32" s="2511"/>
      <c r="NJH32" s="2511"/>
      <c r="NJI32" s="2511"/>
      <c r="NJJ32" s="2511"/>
      <c r="NJK32" s="2511"/>
      <c r="NJL32" s="2511"/>
      <c r="NJM32" s="2511"/>
      <c r="NJN32" s="2511"/>
      <c r="NJO32" s="2511"/>
      <c r="NJP32" s="2511"/>
      <c r="NJQ32" s="2511"/>
      <c r="NJR32" s="2511"/>
      <c r="NJS32" s="2511"/>
      <c r="NJT32" s="2511"/>
      <c r="NJU32" s="2511"/>
      <c r="NJV32" s="2511"/>
      <c r="NJW32" s="2511"/>
      <c r="NJX32" s="2511"/>
      <c r="NJY32" s="2511"/>
      <c r="NJZ32" s="2511"/>
      <c r="NKA32" s="2511"/>
      <c r="NKB32" s="2511"/>
      <c r="NKC32" s="2511"/>
      <c r="NKD32" s="2511"/>
      <c r="NKE32" s="2511"/>
      <c r="NKF32" s="2511"/>
      <c r="NKG32" s="2511"/>
      <c r="NKH32" s="2511"/>
      <c r="NKI32" s="2511"/>
      <c r="NKJ32" s="2511"/>
      <c r="NKK32" s="2511"/>
      <c r="NKL32" s="2511"/>
      <c r="NKM32" s="2511"/>
      <c r="NKN32" s="2511"/>
      <c r="NKO32" s="2511"/>
      <c r="NKP32" s="2511"/>
      <c r="NKQ32" s="2511"/>
      <c r="NKR32" s="2511"/>
      <c r="NKS32" s="2511"/>
      <c r="NKT32" s="2511"/>
      <c r="NKU32" s="2511"/>
      <c r="NKV32" s="2511"/>
      <c r="NKW32" s="2511"/>
      <c r="NKX32" s="2511"/>
      <c r="NKY32" s="2511"/>
      <c r="NKZ32" s="2511"/>
      <c r="NLA32" s="2511"/>
      <c r="NLB32" s="2511"/>
      <c r="NLC32" s="2511"/>
      <c r="NLD32" s="2511"/>
      <c r="NLE32" s="2511"/>
      <c r="NLF32" s="2511"/>
      <c r="NLG32" s="2511"/>
      <c r="NLH32" s="2511"/>
      <c r="NLI32" s="2511"/>
      <c r="NLJ32" s="2511"/>
      <c r="NLK32" s="2511"/>
      <c r="NLL32" s="2511"/>
      <c r="NLM32" s="2511"/>
      <c r="NLN32" s="2511"/>
      <c r="NLO32" s="2511"/>
      <c r="NLP32" s="2511"/>
      <c r="NLQ32" s="2511"/>
      <c r="NLR32" s="2511"/>
      <c r="NLS32" s="2511"/>
      <c r="NLT32" s="2511"/>
      <c r="NLU32" s="2511"/>
      <c r="NLV32" s="2511"/>
      <c r="NLW32" s="2511"/>
      <c r="NLX32" s="2511"/>
      <c r="NLY32" s="2511"/>
      <c r="NLZ32" s="2511"/>
      <c r="NMA32" s="2511"/>
      <c r="NMB32" s="2511"/>
      <c r="NMC32" s="2511"/>
      <c r="NMD32" s="2511"/>
      <c r="NME32" s="2511"/>
      <c r="NMF32" s="2511"/>
      <c r="NMG32" s="2511"/>
      <c r="NMH32" s="2511"/>
      <c r="NMI32" s="2511"/>
      <c r="NMJ32" s="2511"/>
      <c r="NMK32" s="2511"/>
      <c r="NML32" s="2511"/>
      <c r="NMM32" s="2511"/>
      <c r="NMN32" s="2511"/>
      <c r="NMO32" s="2511"/>
      <c r="NMP32" s="2511"/>
      <c r="NMQ32" s="2511"/>
      <c r="NMR32" s="2511"/>
      <c r="NMS32" s="2511"/>
      <c r="NMT32" s="2511"/>
      <c r="NMU32" s="2511"/>
      <c r="NMV32" s="2511"/>
      <c r="NMW32" s="2511"/>
      <c r="NMX32" s="2511"/>
      <c r="NMY32" s="2511"/>
      <c r="NMZ32" s="2511"/>
      <c r="NNA32" s="2511"/>
      <c r="NNB32" s="2511"/>
      <c r="NNC32" s="2511"/>
      <c r="NND32" s="2511"/>
      <c r="NNE32" s="2511"/>
      <c r="NNF32" s="2511"/>
      <c r="NNG32" s="2511"/>
      <c r="NNH32" s="2511"/>
      <c r="NNI32" s="2511"/>
      <c r="NNJ32" s="2511"/>
      <c r="NNK32" s="2511"/>
      <c r="NNL32" s="2511"/>
      <c r="NNM32" s="2511"/>
      <c r="NNN32" s="2511"/>
      <c r="NNO32" s="2511"/>
      <c r="NNP32" s="2511"/>
      <c r="NNQ32" s="2511"/>
      <c r="NNR32" s="2511"/>
      <c r="NNS32" s="2511"/>
      <c r="NNT32" s="2511"/>
      <c r="NNU32" s="2511"/>
      <c r="NNV32" s="2511"/>
      <c r="NNW32" s="2511"/>
      <c r="NNX32" s="2511"/>
      <c r="NNY32" s="2511"/>
      <c r="NNZ32" s="2511"/>
      <c r="NOA32" s="2511"/>
      <c r="NOB32" s="2511"/>
      <c r="NOC32" s="2511"/>
      <c r="NOD32" s="2511"/>
      <c r="NOE32" s="2511"/>
      <c r="NOF32" s="2511"/>
      <c r="NOG32" s="2511"/>
      <c r="NOH32" s="2511"/>
      <c r="NOI32" s="2511"/>
      <c r="NOJ32" s="2511"/>
      <c r="NOK32" s="2511"/>
      <c r="NOL32" s="2511"/>
      <c r="NOM32" s="2511"/>
      <c r="NON32" s="2511"/>
      <c r="NOO32" s="2511"/>
      <c r="NOP32" s="2511"/>
      <c r="NOQ32" s="2511"/>
      <c r="NOR32" s="2511"/>
      <c r="NOS32" s="2511"/>
      <c r="NOT32" s="2511"/>
      <c r="NOU32" s="2511"/>
      <c r="NOV32" s="2511"/>
      <c r="NOW32" s="2511"/>
      <c r="NOX32" s="2511"/>
      <c r="NOY32" s="2511"/>
      <c r="NOZ32" s="2511"/>
      <c r="NPA32" s="2511"/>
      <c r="NPB32" s="2511"/>
      <c r="NPC32" s="2511"/>
      <c r="NPD32" s="2511"/>
      <c r="NPE32" s="2511"/>
      <c r="NPF32" s="2511"/>
      <c r="NPG32" s="2511"/>
      <c r="NPH32" s="2511"/>
      <c r="NPI32" s="2511"/>
      <c r="NPJ32" s="2511"/>
      <c r="NPK32" s="2511"/>
      <c r="NPL32" s="2511"/>
      <c r="NPM32" s="2511"/>
      <c r="NPN32" s="2511"/>
      <c r="NPO32" s="2511"/>
      <c r="NPP32" s="2511"/>
      <c r="NPQ32" s="2511"/>
      <c r="NPR32" s="2511"/>
      <c r="NPS32" s="2511"/>
      <c r="NPT32" s="2511"/>
      <c r="NPU32" s="2511"/>
      <c r="NPV32" s="2511"/>
      <c r="NPW32" s="2511"/>
      <c r="NPX32" s="2511"/>
      <c r="NPY32" s="2511"/>
      <c r="NPZ32" s="2511"/>
      <c r="NQA32" s="2511"/>
      <c r="NQB32" s="2511"/>
      <c r="NQC32" s="2511"/>
      <c r="NQD32" s="2511"/>
      <c r="NQE32" s="2511"/>
      <c r="NQF32" s="2511"/>
      <c r="NQG32" s="2511"/>
      <c r="NQH32" s="2511"/>
      <c r="NQI32" s="2511"/>
      <c r="NQJ32" s="2511"/>
      <c r="NQK32" s="2511"/>
      <c r="NQL32" s="2511"/>
      <c r="NQM32" s="2511"/>
      <c r="NQN32" s="2511"/>
      <c r="NQO32" s="2511"/>
      <c r="NQP32" s="2511"/>
      <c r="NQQ32" s="2511"/>
      <c r="NQR32" s="2511"/>
      <c r="NQS32" s="2511"/>
      <c r="NQT32" s="2511"/>
      <c r="NQU32" s="2511"/>
      <c r="NQV32" s="2511"/>
      <c r="NQW32" s="2511"/>
      <c r="NQX32" s="2511"/>
      <c r="NQY32" s="2511"/>
      <c r="NQZ32" s="2511"/>
      <c r="NRA32" s="2511"/>
      <c r="NRB32" s="2511"/>
      <c r="NRC32" s="2511"/>
      <c r="NRD32" s="2511"/>
      <c r="NRE32" s="2511"/>
      <c r="NRF32" s="2511"/>
      <c r="NRG32" s="2511"/>
      <c r="NRH32" s="2511"/>
      <c r="NRI32" s="2511"/>
      <c r="NRJ32" s="2511"/>
      <c r="NRK32" s="2511"/>
      <c r="NRL32" s="2511"/>
      <c r="NRM32" s="2511"/>
      <c r="NRN32" s="2511"/>
      <c r="NRO32" s="2511"/>
      <c r="NRP32" s="2511"/>
      <c r="NRQ32" s="2511"/>
      <c r="NRR32" s="2511"/>
      <c r="NRS32" s="2511"/>
      <c r="NRT32" s="2511"/>
      <c r="NRU32" s="2511"/>
      <c r="NRV32" s="2511"/>
      <c r="NRW32" s="2511"/>
      <c r="NRX32" s="2511"/>
      <c r="NRY32" s="2511"/>
      <c r="NRZ32" s="2511"/>
      <c r="NSA32" s="2511"/>
      <c r="NSB32" s="2511"/>
      <c r="NSC32" s="2511"/>
      <c r="NSD32" s="2511"/>
      <c r="NSE32" s="2511"/>
      <c r="NSF32" s="2511"/>
      <c r="NSG32" s="2511"/>
      <c r="NSH32" s="2511"/>
      <c r="NSI32" s="2511"/>
      <c r="NSJ32" s="2511"/>
      <c r="NSK32" s="2511"/>
      <c r="NSL32" s="2511"/>
      <c r="NSM32" s="2511"/>
      <c r="NSN32" s="2511"/>
      <c r="NSO32" s="2511"/>
      <c r="NSP32" s="2511"/>
      <c r="NSQ32" s="2511"/>
      <c r="NSR32" s="2511"/>
      <c r="NSS32" s="2511"/>
      <c r="NST32" s="2511"/>
      <c r="NSU32" s="2511"/>
      <c r="NSV32" s="2511"/>
      <c r="NSW32" s="2511"/>
      <c r="NSX32" s="2511"/>
      <c r="NSY32" s="2511"/>
      <c r="NSZ32" s="2511"/>
      <c r="NTA32" s="2511"/>
      <c r="NTB32" s="2511"/>
      <c r="NTC32" s="2511"/>
      <c r="NTD32" s="2511"/>
      <c r="NTE32" s="2511"/>
      <c r="NTF32" s="2511"/>
      <c r="NTG32" s="2511"/>
      <c r="NTH32" s="2511"/>
      <c r="NTI32" s="2511"/>
      <c r="NTJ32" s="2511"/>
      <c r="NTK32" s="2511"/>
      <c r="NTL32" s="2511"/>
      <c r="NTM32" s="2511"/>
      <c r="NTN32" s="2511"/>
      <c r="NTO32" s="2511"/>
      <c r="NTP32" s="2511"/>
      <c r="NTQ32" s="2511"/>
      <c r="NTR32" s="2511"/>
      <c r="NTS32" s="2511"/>
      <c r="NTT32" s="2511"/>
      <c r="NTU32" s="2511"/>
      <c r="NTV32" s="2511"/>
      <c r="NTW32" s="2511"/>
      <c r="NTX32" s="2511"/>
      <c r="NTY32" s="2511"/>
      <c r="NTZ32" s="2511"/>
      <c r="NUA32" s="2511"/>
      <c r="NUB32" s="2511"/>
      <c r="NUC32" s="2511"/>
      <c r="NUD32" s="2511"/>
      <c r="NUE32" s="2511"/>
      <c r="NUF32" s="2511"/>
      <c r="NUG32" s="2511"/>
      <c r="NUH32" s="2511"/>
      <c r="NUI32" s="2511"/>
      <c r="NUJ32" s="2511"/>
      <c r="NUK32" s="2511"/>
      <c r="NUL32" s="2511"/>
      <c r="NUM32" s="2511"/>
      <c r="NUN32" s="2511"/>
      <c r="NUO32" s="2511"/>
      <c r="NUP32" s="2511"/>
      <c r="NUQ32" s="2511"/>
      <c r="NUR32" s="2511"/>
      <c r="NUS32" s="2511"/>
      <c r="NUT32" s="2511"/>
      <c r="NUU32" s="2511"/>
      <c r="NUV32" s="2511"/>
      <c r="NUW32" s="2511"/>
      <c r="NUX32" s="2511"/>
      <c r="NUY32" s="2511"/>
      <c r="NUZ32" s="2511"/>
      <c r="NVA32" s="2511"/>
      <c r="NVB32" s="2511"/>
      <c r="NVC32" s="2511"/>
      <c r="NVD32" s="2511"/>
      <c r="NVE32" s="2511"/>
      <c r="NVF32" s="2511"/>
      <c r="NVG32" s="2511"/>
      <c r="NVH32" s="2511"/>
      <c r="NVI32" s="2511"/>
      <c r="NVJ32" s="2511"/>
      <c r="NVK32" s="2511"/>
      <c r="NVL32" s="2511"/>
      <c r="NVM32" s="2511"/>
      <c r="NVN32" s="2511"/>
      <c r="NVO32" s="2511"/>
      <c r="NVP32" s="2511"/>
      <c r="NVQ32" s="2511"/>
      <c r="NVR32" s="2511"/>
      <c r="NVS32" s="2511"/>
      <c r="NVT32" s="2511"/>
      <c r="NVU32" s="2511"/>
      <c r="NVV32" s="2511"/>
      <c r="NVW32" s="2511"/>
      <c r="NVX32" s="2511"/>
      <c r="NVY32" s="2511"/>
      <c r="NVZ32" s="2511"/>
      <c r="NWA32" s="2511"/>
      <c r="NWB32" s="2511"/>
      <c r="NWC32" s="2511"/>
      <c r="NWD32" s="2511"/>
      <c r="NWE32" s="2511"/>
      <c r="NWF32" s="2511"/>
      <c r="NWG32" s="2511"/>
      <c r="NWH32" s="2511"/>
      <c r="NWI32" s="2511"/>
      <c r="NWJ32" s="2511"/>
      <c r="NWK32" s="2511"/>
      <c r="NWL32" s="2511"/>
      <c r="NWM32" s="2511"/>
      <c r="NWN32" s="2511"/>
      <c r="NWO32" s="2511"/>
      <c r="NWP32" s="2511"/>
      <c r="NWQ32" s="2511"/>
      <c r="NWR32" s="2511"/>
      <c r="NWS32" s="2511"/>
      <c r="NWT32" s="2511"/>
      <c r="NWU32" s="2511"/>
      <c r="NWV32" s="2511"/>
      <c r="NWW32" s="2511"/>
      <c r="NWX32" s="2511"/>
      <c r="NWY32" s="2511"/>
      <c r="NWZ32" s="2511"/>
      <c r="NXA32" s="2511"/>
      <c r="NXB32" s="2511"/>
      <c r="NXC32" s="2511"/>
      <c r="NXD32" s="2511"/>
      <c r="NXE32" s="2511"/>
      <c r="NXF32" s="2511"/>
      <c r="NXG32" s="2511"/>
      <c r="NXH32" s="2511"/>
      <c r="NXI32" s="2511"/>
      <c r="NXJ32" s="2511"/>
      <c r="NXK32" s="2511"/>
      <c r="NXL32" s="2511"/>
      <c r="NXM32" s="2511"/>
      <c r="NXN32" s="2511"/>
      <c r="NXO32" s="2511"/>
      <c r="NXP32" s="2511"/>
      <c r="NXQ32" s="2511"/>
      <c r="NXR32" s="2511"/>
      <c r="NXS32" s="2511"/>
      <c r="NXT32" s="2511"/>
      <c r="NXU32" s="2511"/>
      <c r="NXV32" s="2511"/>
      <c r="NXW32" s="2511"/>
      <c r="NXX32" s="2511"/>
      <c r="NXY32" s="2511"/>
      <c r="NXZ32" s="2511"/>
      <c r="NYA32" s="2511"/>
      <c r="NYB32" s="2511"/>
      <c r="NYC32" s="2511"/>
      <c r="NYD32" s="2511"/>
      <c r="NYE32" s="2511"/>
      <c r="NYF32" s="2511"/>
      <c r="NYG32" s="2511"/>
      <c r="NYH32" s="2511"/>
      <c r="NYI32" s="2511"/>
      <c r="NYJ32" s="2511"/>
      <c r="NYK32" s="2511"/>
      <c r="NYL32" s="2511"/>
      <c r="NYM32" s="2511"/>
      <c r="NYN32" s="2511"/>
      <c r="NYO32" s="2511"/>
      <c r="NYP32" s="2511"/>
      <c r="NYQ32" s="2511"/>
      <c r="NYR32" s="2511"/>
      <c r="NYS32" s="2511"/>
      <c r="NYT32" s="2511"/>
      <c r="NYU32" s="2511"/>
      <c r="NYV32" s="2511"/>
      <c r="NYW32" s="2511"/>
      <c r="NYX32" s="2511"/>
      <c r="NYY32" s="2511"/>
      <c r="NYZ32" s="2511"/>
      <c r="NZA32" s="2511"/>
      <c r="NZB32" s="2511"/>
      <c r="NZC32" s="2511"/>
      <c r="NZD32" s="2511"/>
      <c r="NZE32" s="2511"/>
      <c r="NZF32" s="2511"/>
      <c r="NZG32" s="2511"/>
      <c r="NZH32" s="2511"/>
      <c r="NZI32" s="2511"/>
      <c r="NZJ32" s="2511"/>
      <c r="NZK32" s="2511"/>
      <c r="NZL32" s="2511"/>
      <c r="NZM32" s="2511"/>
      <c r="NZN32" s="2511"/>
      <c r="NZO32" s="2511"/>
      <c r="NZP32" s="2511"/>
      <c r="NZQ32" s="2511"/>
      <c r="NZR32" s="2511"/>
      <c r="NZS32" s="2511"/>
      <c r="NZT32" s="2511"/>
      <c r="NZU32" s="2511"/>
      <c r="NZV32" s="2511"/>
      <c r="NZW32" s="2511"/>
      <c r="NZX32" s="2511"/>
      <c r="NZY32" s="2511"/>
      <c r="NZZ32" s="2511"/>
      <c r="OAA32" s="2511"/>
      <c r="OAB32" s="2511"/>
      <c r="OAC32" s="2511"/>
      <c r="OAD32" s="2511"/>
      <c r="OAE32" s="2511"/>
      <c r="OAF32" s="2511"/>
      <c r="OAG32" s="2511"/>
      <c r="OAH32" s="2511"/>
      <c r="OAI32" s="2511"/>
      <c r="OAJ32" s="2511"/>
      <c r="OAK32" s="2511"/>
      <c r="OAL32" s="2511"/>
      <c r="OAM32" s="2511"/>
      <c r="OAN32" s="2511"/>
      <c r="OAO32" s="2511"/>
      <c r="OAP32" s="2511"/>
      <c r="OAQ32" s="2511"/>
      <c r="OAR32" s="2511"/>
      <c r="OAS32" s="2511"/>
      <c r="OAT32" s="2511"/>
      <c r="OAU32" s="2511"/>
      <c r="OAV32" s="2511"/>
      <c r="OAW32" s="2511"/>
      <c r="OAX32" s="2511"/>
      <c r="OAY32" s="2511"/>
      <c r="OAZ32" s="2511"/>
      <c r="OBA32" s="2511"/>
      <c r="OBB32" s="2511"/>
      <c r="OBC32" s="2511"/>
      <c r="OBD32" s="2511"/>
      <c r="OBE32" s="2511"/>
      <c r="OBF32" s="2511"/>
      <c r="OBG32" s="2511"/>
      <c r="OBH32" s="2511"/>
      <c r="OBI32" s="2511"/>
      <c r="OBJ32" s="2511"/>
      <c r="OBK32" s="2511"/>
      <c r="OBL32" s="2511"/>
      <c r="OBM32" s="2511"/>
      <c r="OBN32" s="2511"/>
      <c r="OBO32" s="2511"/>
      <c r="OBP32" s="2511"/>
      <c r="OBQ32" s="2511"/>
      <c r="OBR32" s="2511"/>
      <c r="OBS32" s="2511"/>
      <c r="OBT32" s="2511"/>
      <c r="OBU32" s="2511"/>
      <c r="OBV32" s="2511"/>
      <c r="OBW32" s="2511"/>
      <c r="OBX32" s="2511"/>
      <c r="OBY32" s="2511"/>
      <c r="OBZ32" s="2511"/>
      <c r="OCA32" s="2511"/>
      <c r="OCB32" s="2511"/>
      <c r="OCC32" s="2511"/>
      <c r="OCD32" s="2511"/>
      <c r="OCE32" s="2511"/>
      <c r="OCF32" s="2511"/>
      <c r="OCG32" s="2511"/>
      <c r="OCH32" s="2511"/>
      <c r="OCI32" s="2511"/>
      <c r="OCJ32" s="2511"/>
      <c r="OCK32" s="2511"/>
      <c r="OCL32" s="2511"/>
      <c r="OCM32" s="2511"/>
      <c r="OCN32" s="2511"/>
      <c r="OCO32" s="2511"/>
      <c r="OCP32" s="2511"/>
      <c r="OCQ32" s="2511"/>
      <c r="OCR32" s="2511"/>
      <c r="OCS32" s="2511"/>
      <c r="OCT32" s="2511"/>
      <c r="OCU32" s="2511"/>
      <c r="OCV32" s="2511"/>
      <c r="OCW32" s="2511"/>
      <c r="OCX32" s="2511"/>
      <c r="OCY32" s="2511"/>
      <c r="OCZ32" s="2511"/>
      <c r="ODA32" s="2511"/>
      <c r="ODB32" s="2511"/>
      <c r="ODC32" s="2511"/>
      <c r="ODD32" s="2511"/>
      <c r="ODE32" s="2511"/>
      <c r="ODF32" s="2511"/>
      <c r="ODG32" s="2511"/>
      <c r="ODH32" s="2511"/>
      <c r="ODI32" s="2511"/>
      <c r="ODJ32" s="2511"/>
      <c r="ODK32" s="2511"/>
      <c r="ODL32" s="2511"/>
      <c r="ODM32" s="2511"/>
      <c r="ODN32" s="2511"/>
      <c r="ODO32" s="2511"/>
      <c r="ODP32" s="2511"/>
      <c r="ODQ32" s="2511"/>
      <c r="ODR32" s="2511"/>
      <c r="ODS32" s="2511"/>
      <c r="ODT32" s="2511"/>
      <c r="ODU32" s="2511"/>
      <c r="ODV32" s="2511"/>
      <c r="ODW32" s="2511"/>
      <c r="ODX32" s="2511"/>
      <c r="ODY32" s="2511"/>
      <c r="ODZ32" s="2511"/>
      <c r="OEA32" s="2511"/>
      <c r="OEB32" s="2511"/>
      <c r="OEC32" s="2511"/>
      <c r="OED32" s="2511"/>
      <c r="OEE32" s="2511"/>
      <c r="OEF32" s="2511"/>
      <c r="OEG32" s="2511"/>
      <c r="OEH32" s="2511"/>
      <c r="OEI32" s="2511"/>
      <c r="OEJ32" s="2511"/>
      <c r="OEK32" s="2511"/>
      <c r="OEL32" s="2511"/>
      <c r="OEM32" s="2511"/>
      <c r="OEN32" s="2511"/>
      <c r="OEO32" s="2511"/>
      <c r="OEP32" s="2511"/>
      <c r="OEQ32" s="2511"/>
      <c r="OER32" s="2511"/>
      <c r="OES32" s="2511"/>
      <c r="OET32" s="2511"/>
      <c r="OEU32" s="2511"/>
      <c r="OEV32" s="2511"/>
      <c r="OEW32" s="2511"/>
      <c r="OEX32" s="2511"/>
      <c r="OEY32" s="2511"/>
      <c r="OEZ32" s="2511"/>
      <c r="OFA32" s="2511"/>
      <c r="OFB32" s="2511"/>
      <c r="OFC32" s="2511"/>
      <c r="OFD32" s="2511"/>
      <c r="OFE32" s="2511"/>
      <c r="OFF32" s="2511"/>
      <c r="OFG32" s="2511"/>
      <c r="OFH32" s="2511"/>
      <c r="OFI32" s="2511"/>
      <c r="OFJ32" s="2511"/>
      <c r="OFK32" s="2511"/>
      <c r="OFL32" s="2511"/>
      <c r="OFM32" s="2511"/>
      <c r="OFN32" s="2511"/>
      <c r="OFO32" s="2511"/>
      <c r="OFP32" s="2511"/>
      <c r="OFQ32" s="2511"/>
      <c r="OFR32" s="2511"/>
      <c r="OFS32" s="2511"/>
      <c r="OFT32" s="2511"/>
      <c r="OFU32" s="2511"/>
      <c r="OFV32" s="2511"/>
      <c r="OFW32" s="2511"/>
      <c r="OFX32" s="2511"/>
      <c r="OFY32" s="2511"/>
      <c r="OFZ32" s="2511"/>
      <c r="OGA32" s="2511"/>
      <c r="OGB32" s="2511"/>
      <c r="OGC32" s="2511"/>
      <c r="OGD32" s="2511"/>
      <c r="OGE32" s="2511"/>
      <c r="OGF32" s="2511"/>
      <c r="OGG32" s="2511"/>
      <c r="OGH32" s="2511"/>
      <c r="OGI32" s="2511"/>
      <c r="OGJ32" s="2511"/>
      <c r="OGK32" s="2511"/>
      <c r="OGL32" s="2511"/>
      <c r="OGM32" s="2511"/>
      <c r="OGN32" s="2511"/>
      <c r="OGO32" s="2511"/>
      <c r="OGP32" s="2511"/>
      <c r="OGQ32" s="2511"/>
      <c r="OGR32" s="2511"/>
      <c r="OGS32" s="2511"/>
      <c r="OGT32" s="2511"/>
      <c r="OGU32" s="2511"/>
      <c r="OGV32" s="2511"/>
      <c r="OGW32" s="2511"/>
      <c r="OGX32" s="2511"/>
      <c r="OGY32" s="2511"/>
      <c r="OGZ32" s="2511"/>
      <c r="OHA32" s="2511"/>
      <c r="OHB32" s="2511"/>
      <c r="OHC32" s="2511"/>
      <c r="OHD32" s="2511"/>
      <c r="OHE32" s="2511"/>
      <c r="OHF32" s="2511"/>
      <c r="OHG32" s="2511"/>
      <c r="OHH32" s="2511"/>
      <c r="OHI32" s="2511"/>
      <c r="OHJ32" s="2511"/>
      <c r="OHK32" s="2511"/>
      <c r="OHL32" s="2511"/>
      <c r="OHM32" s="2511"/>
      <c r="OHN32" s="2511"/>
      <c r="OHO32" s="2511"/>
      <c r="OHP32" s="2511"/>
      <c r="OHQ32" s="2511"/>
      <c r="OHR32" s="2511"/>
      <c r="OHS32" s="2511"/>
      <c r="OHT32" s="2511"/>
      <c r="OHU32" s="2511"/>
      <c r="OHV32" s="2511"/>
      <c r="OHW32" s="2511"/>
      <c r="OHX32" s="2511"/>
      <c r="OHY32" s="2511"/>
      <c r="OHZ32" s="2511"/>
      <c r="OIA32" s="2511"/>
      <c r="OIB32" s="2511"/>
      <c r="OIC32" s="2511"/>
      <c r="OID32" s="2511"/>
      <c r="OIE32" s="2511"/>
      <c r="OIF32" s="2511"/>
      <c r="OIG32" s="2511"/>
      <c r="OIH32" s="2511"/>
      <c r="OII32" s="2511"/>
      <c r="OIJ32" s="2511"/>
      <c r="OIK32" s="2511"/>
      <c r="OIL32" s="2511"/>
      <c r="OIM32" s="2511"/>
      <c r="OIN32" s="2511"/>
      <c r="OIO32" s="2511"/>
      <c r="OIP32" s="2511"/>
      <c r="OIQ32" s="2511"/>
      <c r="OIR32" s="2511"/>
      <c r="OIS32" s="2511"/>
      <c r="OIT32" s="2511"/>
      <c r="OIU32" s="2511"/>
      <c r="OIV32" s="2511"/>
      <c r="OIW32" s="2511"/>
      <c r="OIX32" s="2511"/>
      <c r="OIY32" s="2511"/>
      <c r="OIZ32" s="2511"/>
      <c r="OJA32" s="2511"/>
      <c r="OJB32" s="2511"/>
      <c r="OJC32" s="2511"/>
      <c r="OJD32" s="2511"/>
      <c r="OJE32" s="2511"/>
      <c r="OJF32" s="2511"/>
      <c r="OJG32" s="2511"/>
      <c r="OJH32" s="2511"/>
      <c r="OJI32" s="2511"/>
      <c r="OJJ32" s="2511"/>
      <c r="OJK32" s="2511"/>
      <c r="OJL32" s="2511"/>
      <c r="OJM32" s="2511"/>
      <c r="OJN32" s="2511"/>
      <c r="OJO32" s="2511"/>
      <c r="OJP32" s="2511"/>
      <c r="OJQ32" s="2511"/>
      <c r="OJR32" s="2511"/>
      <c r="OJS32" s="2511"/>
      <c r="OJT32" s="2511"/>
      <c r="OJU32" s="2511"/>
      <c r="OJV32" s="2511"/>
      <c r="OJW32" s="2511"/>
      <c r="OJX32" s="2511"/>
      <c r="OJY32" s="2511"/>
      <c r="OJZ32" s="2511"/>
      <c r="OKA32" s="2511"/>
      <c r="OKB32" s="2511"/>
      <c r="OKC32" s="2511"/>
      <c r="OKD32" s="2511"/>
      <c r="OKE32" s="2511"/>
      <c r="OKF32" s="2511"/>
      <c r="OKG32" s="2511"/>
      <c r="OKH32" s="2511"/>
      <c r="OKI32" s="2511"/>
      <c r="OKJ32" s="2511"/>
      <c r="OKK32" s="2511"/>
      <c r="OKL32" s="2511"/>
      <c r="OKM32" s="2511"/>
      <c r="OKN32" s="2511"/>
      <c r="OKO32" s="2511"/>
      <c r="OKP32" s="2511"/>
      <c r="OKQ32" s="2511"/>
      <c r="OKR32" s="2511"/>
      <c r="OKS32" s="2511"/>
      <c r="OKT32" s="2511"/>
      <c r="OKU32" s="2511"/>
      <c r="OKV32" s="2511"/>
      <c r="OKW32" s="2511"/>
      <c r="OKX32" s="2511"/>
      <c r="OKY32" s="2511"/>
      <c r="OKZ32" s="2511"/>
      <c r="OLA32" s="2511"/>
      <c r="OLB32" s="2511"/>
      <c r="OLC32" s="2511"/>
      <c r="OLD32" s="2511"/>
      <c r="OLE32" s="2511"/>
      <c r="OLF32" s="2511"/>
      <c r="OLG32" s="2511"/>
      <c r="OLH32" s="2511"/>
      <c r="OLI32" s="2511"/>
      <c r="OLJ32" s="2511"/>
      <c r="OLK32" s="2511"/>
      <c r="OLL32" s="2511"/>
      <c r="OLM32" s="2511"/>
      <c r="OLN32" s="2511"/>
      <c r="OLO32" s="2511"/>
      <c r="OLP32" s="2511"/>
      <c r="OLQ32" s="2511"/>
      <c r="OLR32" s="2511"/>
      <c r="OLS32" s="2511"/>
      <c r="OLT32" s="2511"/>
      <c r="OLU32" s="2511"/>
      <c r="OLV32" s="2511"/>
      <c r="OLW32" s="2511"/>
      <c r="OLX32" s="2511"/>
      <c r="OLY32" s="2511"/>
      <c r="OLZ32" s="2511"/>
      <c r="OMA32" s="2511"/>
      <c r="OMB32" s="2511"/>
      <c r="OMC32" s="2511"/>
      <c r="OMD32" s="2511"/>
      <c r="OME32" s="2511"/>
      <c r="OMF32" s="2511"/>
      <c r="OMG32" s="2511"/>
      <c r="OMH32" s="2511"/>
      <c r="OMI32" s="2511"/>
      <c r="OMJ32" s="2511"/>
      <c r="OMK32" s="2511"/>
      <c r="OML32" s="2511"/>
      <c r="OMM32" s="2511"/>
      <c r="OMN32" s="2511"/>
      <c r="OMO32" s="2511"/>
      <c r="OMP32" s="2511"/>
      <c r="OMQ32" s="2511"/>
      <c r="OMR32" s="2511"/>
      <c r="OMS32" s="2511"/>
      <c r="OMT32" s="2511"/>
      <c r="OMU32" s="2511"/>
      <c r="OMV32" s="2511"/>
      <c r="OMW32" s="2511"/>
      <c r="OMX32" s="2511"/>
      <c r="OMY32" s="2511"/>
      <c r="OMZ32" s="2511"/>
      <c r="ONA32" s="2511"/>
      <c r="ONB32" s="2511"/>
      <c r="ONC32" s="2511"/>
      <c r="OND32" s="2511"/>
      <c r="ONE32" s="2511"/>
      <c r="ONF32" s="2511"/>
      <c r="ONG32" s="2511"/>
      <c r="ONH32" s="2511"/>
      <c r="ONI32" s="2511"/>
      <c r="ONJ32" s="2511"/>
      <c r="ONK32" s="2511"/>
      <c r="ONL32" s="2511"/>
      <c r="ONM32" s="2511"/>
      <c r="ONN32" s="2511"/>
      <c r="ONO32" s="2511"/>
      <c r="ONP32" s="2511"/>
      <c r="ONQ32" s="2511"/>
      <c r="ONR32" s="2511"/>
      <c r="ONS32" s="2511"/>
      <c r="ONT32" s="2511"/>
      <c r="ONU32" s="2511"/>
      <c r="ONV32" s="2511"/>
      <c r="ONW32" s="2511"/>
      <c r="ONX32" s="2511"/>
      <c r="ONY32" s="2511"/>
      <c r="ONZ32" s="2511"/>
      <c r="OOA32" s="2511"/>
      <c r="OOB32" s="2511"/>
      <c r="OOC32" s="2511"/>
      <c r="OOD32" s="2511"/>
      <c r="OOE32" s="2511"/>
      <c r="OOF32" s="2511"/>
      <c r="OOG32" s="2511"/>
      <c r="OOH32" s="2511"/>
      <c r="OOI32" s="2511"/>
      <c r="OOJ32" s="2511"/>
      <c r="OOK32" s="2511"/>
      <c r="OOL32" s="2511"/>
      <c r="OOM32" s="2511"/>
      <c r="OON32" s="2511"/>
      <c r="OOO32" s="2511"/>
      <c r="OOP32" s="2511"/>
      <c r="OOQ32" s="2511"/>
      <c r="OOR32" s="2511"/>
      <c r="OOS32" s="2511"/>
      <c r="OOT32" s="2511"/>
      <c r="OOU32" s="2511"/>
      <c r="OOV32" s="2511"/>
      <c r="OOW32" s="2511"/>
      <c r="OOX32" s="2511"/>
      <c r="OOY32" s="2511"/>
      <c r="OOZ32" s="2511"/>
      <c r="OPA32" s="2511"/>
      <c r="OPB32" s="2511"/>
      <c r="OPC32" s="2511"/>
      <c r="OPD32" s="2511"/>
      <c r="OPE32" s="2511"/>
      <c r="OPF32" s="2511"/>
      <c r="OPG32" s="2511"/>
      <c r="OPH32" s="2511"/>
      <c r="OPI32" s="2511"/>
      <c r="OPJ32" s="2511"/>
      <c r="OPK32" s="2511"/>
      <c r="OPL32" s="2511"/>
      <c r="OPM32" s="2511"/>
      <c r="OPN32" s="2511"/>
      <c r="OPO32" s="2511"/>
      <c r="OPP32" s="2511"/>
      <c r="OPQ32" s="2511"/>
      <c r="OPR32" s="2511"/>
      <c r="OPS32" s="2511"/>
      <c r="OPT32" s="2511"/>
      <c r="OPU32" s="2511"/>
      <c r="OPV32" s="2511"/>
      <c r="OPW32" s="2511"/>
      <c r="OPX32" s="2511"/>
      <c r="OPY32" s="2511"/>
      <c r="OPZ32" s="2511"/>
      <c r="OQA32" s="2511"/>
      <c r="OQB32" s="2511"/>
      <c r="OQC32" s="2511"/>
      <c r="OQD32" s="2511"/>
      <c r="OQE32" s="2511"/>
      <c r="OQF32" s="2511"/>
      <c r="OQG32" s="2511"/>
      <c r="OQH32" s="2511"/>
      <c r="OQI32" s="2511"/>
      <c r="OQJ32" s="2511"/>
      <c r="OQK32" s="2511"/>
      <c r="OQL32" s="2511"/>
      <c r="OQM32" s="2511"/>
      <c r="OQN32" s="2511"/>
      <c r="OQO32" s="2511"/>
      <c r="OQP32" s="2511"/>
      <c r="OQQ32" s="2511"/>
      <c r="OQR32" s="2511"/>
      <c r="OQS32" s="2511"/>
      <c r="OQT32" s="2511"/>
      <c r="OQU32" s="2511"/>
      <c r="OQV32" s="2511"/>
      <c r="OQW32" s="2511"/>
      <c r="OQX32" s="2511"/>
      <c r="OQY32" s="2511"/>
      <c r="OQZ32" s="2511"/>
      <c r="ORA32" s="2511"/>
      <c r="ORB32" s="2511"/>
      <c r="ORC32" s="2511"/>
      <c r="ORD32" s="2511"/>
      <c r="ORE32" s="2511"/>
      <c r="ORF32" s="2511"/>
      <c r="ORG32" s="2511"/>
      <c r="ORH32" s="2511"/>
      <c r="ORI32" s="2511"/>
      <c r="ORJ32" s="2511"/>
      <c r="ORK32" s="2511"/>
      <c r="ORL32" s="2511"/>
      <c r="ORM32" s="2511"/>
      <c r="ORN32" s="2511"/>
      <c r="ORO32" s="2511"/>
      <c r="ORP32" s="2511"/>
      <c r="ORQ32" s="2511"/>
      <c r="ORR32" s="2511"/>
      <c r="ORS32" s="2511"/>
      <c r="ORT32" s="2511"/>
      <c r="ORU32" s="2511"/>
      <c r="ORV32" s="2511"/>
      <c r="ORW32" s="2511"/>
      <c r="ORX32" s="2511"/>
      <c r="ORY32" s="2511"/>
      <c r="ORZ32" s="2511"/>
      <c r="OSA32" s="2511"/>
      <c r="OSB32" s="2511"/>
      <c r="OSC32" s="2511"/>
      <c r="OSD32" s="2511"/>
      <c r="OSE32" s="2511"/>
      <c r="OSF32" s="2511"/>
      <c r="OSG32" s="2511"/>
      <c r="OSH32" s="2511"/>
      <c r="OSI32" s="2511"/>
      <c r="OSJ32" s="2511"/>
      <c r="OSK32" s="2511"/>
      <c r="OSL32" s="2511"/>
      <c r="OSM32" s="2511"/>
      <c r="OSN32" s="2511"/>
      <c r="OSO32" s="2511"/>
      <c r="OSP32" s="2511"/>
      <c r="OSQ32" s="2511"/>
      <c r="OSR32" s="2511"/>
      <c r="OSS32" s="2511"/>
      <c r="OST32" s="2511"/>
      <c r="OSU32" s="2511"/>
      <c r="OSV32" s="2511"/>
      <c r="OSW32" s="2511"/>
      <c r="OSX32" s="2511"/>
      <c r="OSY32" s="2511"/>
      <c r="OSZ32" s="2511"/>
      <c r="OTA32" s="2511"/>
      <c r="OTB32" s="2511"/>
      <c r="OTC32" s="2511"/>
      <c r="OTD32" s="2511"/>
      <c r="OTE32" s="2511"/>
      <c r="OTF32" s="2511"/>
      <c r="OTG32" s="2511"/>
      <c r="OTH32" s="2511"/>
      <c r="OTI32" s="2511"/>
      <c r="OTJ32" s="2511"/>
      <c r="OTK32" s="2511"/>
      <c r="OTL32" s="2511"/>
      <c r="OTM32" s="2511"/>
      <c r="OTN32" s="2511"/>
      <c r="OTO32" s="2511"/>
      <c r="OTP32" s="2511"/>
      <c r="OTQ32" s="2511"/>
      <c r="OTR32" s="2511"/>
      <c r="OTS32" s="2511"/>
      <c r="OTT32" s="2511"/>
      <c r="OTU32" s="2511"/>
      <c r="OTV32" s="2511"/>
      <c r="OTW32" s="2511"/>
      <c r="OTX32" s="2511"/>
      <c r="OTY32" s="2511"/>
      <c r="OTZ32" s="2511"/>
      <c r="OUA32" s="2511"/>
      <c r="OUB32" s="2511"/>
      <c r="OUC32" s="2511"/>
      <c r="OUD32" s="2511"/>
      <c r="OUE32" s="2511"/>
      <c r="OUF32" s="2511"/>
      <c r="OUG32" s="2511"/>
      <c r="OUH32" s="2511"/>
      <c r="OUI32" s="2511"/>
      <c r="OUJ32" s="2511"/>
      <c r="OUK32" s="2511"/>
      <c r="OUL32" s="2511"/>
      <c r="OUM32" s="2511"/>
      <c r="OUN32" s="2511"/>
      <c r="OUO32" s="2511"/>
      <c r="OUP32" s="2511"/>
      <c r="OUQ32" s="2511"/>
      <c r="OUR32" s="2511"/>
      <c r="OUS32" s="2511"/>
      <c r="OUT32" s="2511"/>
      <c r="OUU32" s="2511"/>
      <c r="OUV32" s="2511"/>
      <c r="OUW32" s="2511"/>
      <c r="OUX32" s="2511"/>
      <c r="OUY32" s="2511"/>
      <c r="OUZ32" s="2511"/>
      <c r="OVA32" s="2511"/>
      <c r="OVB32" s="2511"/>
      <c r="OVC32" s="2511"/>
      <c r="OVD32" s="2511"/>
      <c r="OVE32" s="2511"/>
      <c r="OVF32" s="2511"/>
      <c r="OVG32" s="2511"/>
      <c r="OVH32" s="2511"/>
      <c r="OVI32" s="2511"/>
      <c r="OVJ32" s="2511"/>
      <c r="OVK32" s="2511"/>
      <c r="OVL32" s="2511"/>
      <c r="OVM32" s="2511"/>
      <c r="OVN32" s="2511"/>
      <c r="OVO32" s="2511"/>
      <c r="OVP32" s="2511"/>
      <c r="OVQ32" s="2511"/>
      <c r="OVR32" s="2511"/>
      <c r="OVS32" s="2511"/>
      <c r="OVT32" s="2511"/>
      <c r="OVU32" s="2511"/>
      <c r="OVV32" s="2511"/>
      <c r="OVW32" s="2511"/>
      <c r="OVX32" s="2511"/>
      <c r="OVY32" s="2511"/>
      <c r="OVZ32" s="2511"/>
      <c r="OWA32" s="2511"/>
      <c r="OWB32" s="2511"/>
      <c r="OWC32" s="2511"/>
      <c r="OWD32" s="2511"/>
      <c r="OWE32" s="2511"/>
      <c r="OWF32" s="2511"/>
      <c r="OWG32" s="2511"/>
      <c r="OWH32" s="2511"/>
      <c r="OWI32" s="2511"/>
      <c r="OWJ32" s="2511"/>
      <c r="OWK32" s="2511"/>
      <c r="OWL32" s="2511"/>
      <c r="OWM32" s="2511"/>
      <c r="OWN32" s="2511"/>
      <c r="OWO32" s="2511"/>
      <c r="OWP32" s="2511"/>
      <c r="OWQ32" s="2511"/>
      <c r="OWR32" s="2511"/>
      <c r="OWS32" s="2511"/>
      <c r="OWT32" s="2511"/>
      <c r="OWU32" s="2511"/>
      <c r="OWV32" s="2511"/>
      <c r="OWW32" s="2511"/>
      <c r="OWX32" s="2511"/>
      <c r="OWY32" s="2511"/>
      <c r="OWZ32" s="2511"/>
      <c r="OXA32" s="2511"/>
      <c r="OXB32" s="2511"/>
      <c r="OXC32" s="2511"/>
      <c r="OXD32" s="2511"/>
      <c r="OXE32" s="2511"/>
      <c r="OXF32" s="2511"/>
      <c r="OXG32" s="2511"/>
      <c r="OXH32" s="2511"/>
      <c r="OXI32" s="2511"/>
      <c r="OXJ32" s="2511"/>
      <c r="OXK32" s="2511"/>
      <c r="OXL32" s="2511"/>
      <c r="OXM32" s="2511"/>
      <c r="OXN32" s="2511"/>
      <c r="OXO32" s="2511"/>
      <c r="OXP32" s="2511"/>
      <c r="OXQ32" s="2511"/>
      <c r="OXR32" s="2511"/>
      <c r="OXS32" s="2511"/>
      <c r="OXT32" s="2511"/>
      <c r="OXU32" s="2511"/>
      <c r="OXV32" s="2511"/>
      <c r="OXW32" s="2511"/>
      <c r="OXX32" s="2511"/>
      <c r="OXY32" s="2511"/>
      <c r="OXZ32" s="2511"/>
      <c r="OYA32" s="2511"/>
      <c r="OYB32" s="2511"/>
      <c r="OYC32" s="2511"/>
      <c r="OYD32" s="2511"/>
      <c r="OYE32" s="2511"/>
      <c r="OYF32" s="2511"/>
      <c r="OYG32" s="2511"/>
      <c r="OYH32" s="2511"/>
      <c r="OYI32" s="2511"/>
      <c r="OYJ32" s="2511"/>
      <c r="OYK32" s="2511"/>
      <c r="OYL32" s="2511"/>
      <c r="OYM32" s="2511"/>
      <c r="OYN32" s="2511"/>
      <c r="OYO32" s="2511"/>
      <c r="OYP32" s="2511"/>
      <c r="OYQ32" s="2511"/>
      <c r="OYR32" s="2511"/>
      <c r="OYS32" s="2511"/>
      <c r="OYT32" s="2511"/>
      <c r="OYU32" s="2511"/>
      <c r="OYV32" s="2511"/>
      <c r="OYW32" s="2511"/>
      <c r="OYX32" s="2511"/>
      <c r="OYY32" s="2511"/>
      <c r="OYZ32" s="2511"/>
      <c r="OZA32" s="2511"/>
      <c r="OZB32" s="2511"/>
      <c r="OZC32" s="2511"/>
      <c r="OZD32" s="2511"/>
      <c r="OZE32" s="2511"/>
      <c r="OZF32" s="2511"/>
      <c r="OZG32" s="2511"/>
      <c r="OZH32" s="2511"/>
      <c r="OZI32" s="2511"/>
      <c r="OZJ32" s="2511"/>
      <c r="OZK32" s="2511"/>
      <c r="OZL32" s="2511"/>
      <c r="OZM32" s="2511"/>
      <c r="OZN32" s="2511"/>
      <c r="OZO32" s="2511"/>
      <c r="OZP32" s="2511"/>
      <c r="OZQ32" s="2511"/>
      <c r="OZR32" s="2511"/>
      <c r="OZS32" s="2511"/>
      <c r="OZT32" s="2511"/>
      <c r="OZU32" s="2511"/>
      <c r="OZV32" s="2511"/>
      <c r="OZW32" s="2511"/>
      <c r="OZX32" s="2511"/>
      <c r="OZY32" s="2511"/>
      <c r="OZZ32" s="2511"/>
      <c r="PAA32" s="2511"/>
      <c r="PAB32" s="2511"/>
      <c r="PAC32" s="2511"/>
      <c r="PAD32" s="2511"/>
      <c r="PAE32" s="2511"/>
      <c r="PAF32" s="2511"/>
      <c r="PAG32" s="2511"/>
      <c r="PAH32" s="2511"/>
      <c r="PAI32" s="2511"/>
      <c r="PAJ32" s="2511"/>
      <c r="PAK32" s="2511"/>
      <c r="PAL32" s="2511"/>
      <c r="PAM32" s="2511"/>
      <c r="PAN32" s="2511"/>
      <c r="PAO32" s="2511"/>
      <c r="PAP32" s="2511"/>
      <c r="PAQ32" s="2511"/>
      <c r="PAR32" s="2511"/>
      <c r="PAS32" s="2511"/>
      <c r="PAT32" s="2511"/>
      <c r="PAU32" s="2511"/>
      <c r="PAV32" s="2511"/>
      <c r="PAW32" s="2511"/>
      <c r="PAX32" s="2511"/>
      <c r="PAY32" s="2511"/>
      <c r="PAZ32" s="2511"/>
      <c r="PBA32" s="2511"/>
      <c r="PBB32" s="2511"/>
      <c r="PBC32" s="2511"/>
      <c r="PBD32" s="2511"/>
      <c r="PBE32" s="2511"/>
      <c r="PBF32" s="2511"/>
      <c r="PBG32" s="2511"/>
      <c r="PBH32" s="2511"/>
      <c r="PBI32" s="2511"/>
      <c r="PBJ32" s="2511"/>
      <c r="PBK32" s="2511"/>
      <c r="PBL32" s="2511"/>
      <c r="PBM32" s="2511"/>
      <c r="PBN32" s="2511"/>
      <c r="PBO32" s="2511"/>
      <c r="PBP32" s="2511"/>
      <c r="PBQ32" s="2511"/>
      <c r="PBR32" s="2511"/>
      <c r="PBS32" s="2511"/>
      <c r="PBT32" s="2511"/>
      <c r="PBU32" s="2511"/>
      <c r="PBV32" s="2511"/>
      <c r="PBW32" s="2511"/>
      <c r="PBX32" s="2511"/>
      <c r="PBY32" s="2511"/>
      <c r="PBZ32" s="2511"/>
      <c r="PCA32" s="2511"/>
      <c r="PCB32" s="2511"/>
      <c r="PCC32" s="2511"/>
      <c r="PCD32" s="2511"/>
      <c r="PCE32" s="2511"/>
      <c r="PCF32" s="2511"/>
      <c r="PCG32" s="2511"/>
      <c r="PCH32" s="2511"/>
      <c r="PCI32" s="2511"/>
      <c r="PCJ32" s="2511"/>
      <c r="PCK32" s="2511"/>
      <c r="PCL32" s="2511"/>
      <c r="PCM32" s="2511"/>
      <c r="PCN32" s="2511"/>
      <c r="PCO32" s="2511"/>
      <c r="PCP32" s="2511"/>
      <c r="PCQ32" s="2511"/>
      <c r="PCR32" s="2511"/>
      <c r="PCS32" s="2511"/>
      <c r="PCT32" s="2511"/>
      <c r="PCU32" s="2511"/>
      <c r="PCV32" s="2511"/>
      <c r="PCW32" s="2511"/>
      <c r="PCX32" s="2511"/>
      <c r="PCY32" s="2511"/>
      <c r="PCZ32" s="2511"/>
      <c r="PDA32" s="2511"/>
      <c r="PDB32" s="2511"/>
      <c r="PDC32" s="2511"/>
      <c r="PDD32" s="2511"/>
      <c r="PDE32" s="2511"/>
      <c r="PDF32" s="2511"/>
      <c r="PDG32" s="2511"/>
      <c r="PDH32" s="2511"/>
      <c r="PDI32" s="2511"/>
      <c r="PDJ32" s="2511"/>
      <c r="PDK32" s="2511"/>
      <c r="PDL32" s="2511"/>
      <c r="PDM32" s="2511"/>
      <c r="PDN32" s="2511"/>
      <c r="PDO32" s="2511"/>
      <c r="PDP32" s="2511"/>
      <c r="PDQ32" s="2511"/>
      <c r="PDR32" s="2511"/>
      <c r="PDS32" s="2511"/>
      <c r="PDT32" s="2511"/>
      <c r="PDU32" s="2511"/>
      <c r="PDV32" s="2511"/>
      <c r="PDW32" s="2511"/>
      <c r="PDX32" s="2511"/>
      <c r="PDY32" s="2511"/>
      <c r="PDZ32" s="2511"/>
      <c r="PEA32" s="2511"/>
      <c r="PEB32" s="2511"/>
      <c r="PEC32" s="2511"/>
      <c r="PED32" s="2511"/>
      <c r="PEE32" s="2511"/>
      <c r="PEF32" s="2511"/>
      <c r="PEG32" s="2511"/>
      <c r="PEH32" s="2511"/>
      <c r="PEI32" s="2511"/>
      <c r="PEJ32" s="2511"/>
      <c r="PEK32" s="2511"/>
      <c r="PEL32" s="2511"/>
      <c r="PEM32" s="2511"/>
      <c r="PEN32" s="2511"/>
      <c r="PEO32" s="2511"/>
      <c r="PEP32" s="2511"/>
      <c r="PEQ32" s="2511"/>
      <c r="PER32" s="2511"/>
      <c r="PES32" s="2511"/>
      <c r="PET32" s="2511"/>
      <c r="PEU32" s="2511"/>
      <c r="PEV32" s="2511"/>
      <c r="PEW32" s="2511"/>
      <c r="PEX32" s="2511"/>
      <c r="PEY32" s="2511"/>
      <c r="PEZ32" s="2511"/>
      <c r="PFA32" s="2511"/>
      <c r="PFB32" s="2511"/>
      <c r="PFC32" s="2511"/>
      <c r="PFD32" s="2511"/>
      <c r="PFE32" s="2511"/>
      <c r="PFF32" s="2511"/>
      <c r="PFG32" s="2511"/>
      <c r="PFH32" s="2511"/>
      <c r="PFI32" s="2511"/>
      <c r="PFJ32" s="2511"/>
      <c r="PFK32" s="2511"/>
      <c r="PFL32" s="2511"/>
      <c r="PFM32" s="2511"/>
      <c r="PFN32" s="2511"/>
      <c r="PFO32" s="2511"/>
      <c r="PFP32" s="2511"/>
      <c r="PFQ32" s="2511"/>
      <c r="PFR32" s="2511"/>
      <c r="PFS32" s="2511"/>
      <c r="PFT32" s="2511"/>
      <c r="PFU32" s="2511"/>
      <c r="PFV32" s="2511"/>
      <c r="PFW32" s="2511"/>
      <c r="PFX32" s="2511"/>
      <c r="PFY32" s="2511"/>
      <c r="PFZ32" s="2511"/>
      <c r="PGA32" s="2511"/>
      <c r="PGB32" s="2511"/>
      <c r="PGC32" s="2511"/>
      <c r="PGD32" s="2511"/>
      <c r="PGE32" s="2511"/>
      <c r="PGF32" s="2511"/>
      <c r="PGG32" s="2511"/>
      <c r="PGH32" s="2511"/>
      <c r="PGI32" s="2511"/>
      <c r="PGJ32" s="2511"/>
      <c r="PGK32" s="2511"/>
      <c r="PGL32" s="2511"/>
      <c r="PGM32" s="2511"/>
      <c r="PGN32" s="2511"/>
      <c r="PGO32" s="2511"/>
      <c r="PGP32" s="2511"/>
      <c r="PGQ32" s="2511"/>
      <c r="PGR32" s="2511"/>
      <c r="PGS32" s="2511"/>
      <c r="PGT32" s="2511"/>
      <c r="PGU32" s="2511"/>
      <c r="PGV32" s="2511"/>
      <c r="PGW32" s="2511"/>
      <c r="PGX32" s="2511"/>
      <c r="PGY32" s="2511"/>
      <c r="PGZ32" s="2511"/>
      <c r="PHA32" s="2511"/>
      <c r="PHB32" s="2511"/>
      <c r="PHC32" s="2511"/>
      <c r="PHD32" s="2511"/>
      <c r="PHE32" s="2511"/>
      <c r="PHF32" s="2511"/>
      <c r="PHG32" s="2511"/>
      <c r="PHH32" s="2511"/>
      <c r="PHI32" s="2511"/>
      <c r="PHJ32" s="2511"/>
      <c r="PHK32" s="2511"/>
      <c r="PHL32" s="2511"/>
      <c r="PHM32" s="2511"/>
      <c r="PHN32" s="2511"/>
      <c r="PHO32" s="2511"/>
      <c r="PHP32" s="2511"/>
      <c r="PHQ32" s="2511"/>
      <c r="PHR32" s="2511"/>
      <c r="PHS32" s="2511"/>
      <c r="PHT32" s="2511"/>
      <c r="PHU32" s="2511"/>
      <c r="PHV32" s="2511"/>
      <c r="PHW32" s="2511"/>
      <c r="PHX32" s="2511"/>
      <c r="PHY32" s="2511"/>
      <c r="PHZ32" s="2511"/>
      <c r="PIA32" s="2511"/>
      <c r="PIB32" s="2511"/>
      <c r="PIC32" s="2511"/>
      <c r="PID32" s="2511"/>
      <c r="PIE32" s="2511"/>
      <c r="PIF32" s="2511"/>
      <c r="PIG32" s="2511"/>
      <c r="PIH32" s="2511"/>
      <c r="PII32" s="2511"/>
      <c r="PIJ32" s="2511"/>
      <c r="PIK32" s="2511"/>
      <c r="PIL32" s="2511"/>
      <c r="PIM32" s="2511"/>
      <c r="PIN32" s="2511"/>
      <c r="PIO32" s="2511"/>
      <c r="PIP32" s="2511"/>
      <c r="PIQ32" s="2511"/>
      <c r="PIR32" s="2511"/>
      <c r="PIS32" s="2511"/>
      <c r="PIT32" s="2511"/>
      <c r="PIU32" s="2511"/>
      <c r="PIV32" s="2511"/>
      <c r="PIW32" s="2511"/>
      <c r="PIX32" s="2511"/>
      <c r="PIY32" s="2511"/>
      <c r="PIZ32" s="2511"/>
      <c r="PJA32" s="2511"/>
      <c r="PJB32" s="2511"/>
      <c r="PJC32" s="2511"/>
      <c r="PJD32" s="2511"/>
      <c r="PJE32" s="2511"/>
      <c r="PJF32" s="2511"/>
      <c r="PJG32" s="2511"/>
      <c r="PJH32" s="2511"/>
      <c r="PJI32" s="2511"/>
      <c r="PJJ32" s="2511"/>
      <c r="PJK32" s="2511"/>
      <c r="PJL32" s="2511"/>
      <c r="PJM32" s="2511"/>
      <c r="PJN32" s="2511"/>
      <c r="PJO32" s="2511"/>
      <c r="PJP32" s="2511"/>
      <c r="PJQ32" s="2511"/>
      <c r="PJR32" s="2511"/>
      <c r="PJS32" s="2511"/>
      <c r="PJT32" s="2511"/>
      <c r="PJU32" s="2511"/>
      <c r="PJV32" s="2511"/>
      <c r="PJW32" s="2511"/>
      <c r="PJX32" s="2511"/>
      <c r="PJY32" s="2511"/>
      <c r="PJZ32" s="2511"/>
      <c r="PKA32" s="2511"/>
      <c r="PKB32" s="2511"/>
      <c r="PKC32" s="2511"/>
      <c r="PKD32" s="2511"/>
      <c r="PKE32" s="2511"/>
      <c r="PKF32" s="2511"/>
      <c r="PKG32" s="2511"/>
      <c r="PKH32" s="2511"/>
      <c r="PKI32" s="2511"/>
      <c r="PKJ32" s="2511"/>
      <c r="PKK32" s="2511"/>
      <c r="PKL32" s="2511"/>
      <c r="PKM32" s="2511"/>
      <c r="PKN32" s="2511"/>
      <c r="PKO32" s="2511"/>
      <c r="PKP32" s="2511"/>
      <c r="PKQ32" s="2511"/>
      <c r="PKR32" s="2511"/>
      <c r="PKS32" s="2511"/>
      <c r="PKT32" s="2511"/>
      <c r="PKU32" s="2511"/>
      <c r="PKV32" s="2511"/>
      <c r="PKW32" s="2511"/>
      <c r="PKX32" s="2511"/>
      <c r="PKY32" s="2511"/>
      <c r="PKZ32" s="2511"/>
      <c r="PLA32" s="2511"/>
      <c r="PLB32" s="2511"/>
      <c r="PLC32" s="2511"/>
      <c r="PLD32" s="2511"/>
      <c r="PLE32" s="2511"/>
      <c r="PLF32" s="2511"/>
      <c r="PLG32" s="2511"/>
      <c r="PLH32" s="2511"/>
      <c r="PLI32" s="2511"/>
      <c r="PLJ32" s="2511"/>
      <c r="PLK32" s="2511"/>
      <c r="PLL32" s="2511"/>
      <c r="PLM32" s="2511"/>
      <c r="PLN32" s="2511"/>
      <c r="PLO32" s="2511"/>
      <c r="PLP32" s="2511"/>
      <c r="PLQ32" s="2511"/>
      <c r="PLR32" s="2511"/>
      <c r="PLS32" s="2511"/>
      <c r="PLT32" s="2511"/>
      <c r="PLU32" s="2511"/>
      <c r="PLV32" s="2511"/>
      <c r="PLW32" s="2511"/>
      <c r="PLX32" s="2511"/>
      <c r="PLY32" s="2511"/>
      <c r="PLZ32" s="2511"/>
      <c r="PMA32" s="2511"/>
      <c r="PMB32" s="2511"/>
      <c r="PMC32" s="2511"/>
      <c r="PMD32" s="2511"/>
      <c r="PME32" s="2511"/>
      <c r="PMF32" s="2511"/>
      <c r="PMG32" s="2511"/>
      <c r="PMH32" s="2511"/>
      <c r="PMI32" s="2511"/>
      <c r="PMJ32" s="2511"/>
      <c r="PMK32" s="2511"/>
      <c r="PML32" s="2511"/>
      <c r="PMM32" s="2511"/>
      <c r="PMN32" s="2511"/>
      <c r="PMO32" s="2511"/>
      <c r="PMP32" s="2511"/>
      <c r="PMQ32" s="2511"/>
      <c r="PMR32" s="2511"/>
      <c r="PMS32" s="2511"/>
      <c r="PMT32" s="2511"/>
      <c r="PMU32" s="2511"/>
      <c r="PMV32" s="2511"/>
      <c r="PMW32" s="2511"/>
      <c r="PMX32" s="2511"/>
      <c r="PMY32" s="2511"/>
      <c r="PMZ32" s="2511"/>
      <c r="PNA32" s="2511"/>
      <c r="PNB32" s="2511"/>
      <c r="PNC32" s="2511"/>
      <c r="PND32" s="2511"/>
      <c r="PNE32" s="2511"/>
      <c r="PNF32" s="2511"/>
      <c r="PNG32" s="2511"/>
      <c r="PNH32" s="2511"/>
      <c r="PNI32" s="2511"/>
      <c r="PNJ32" s="2511"/>
      <c r="PNK32" s="2511"/>
      <c r="PNL32" s="2511"/>
      <c r="PNM32" s="2511"/>
      <c r="PNN32" s="2511"/>
      <c r="PNO32" s="2511"/>
      <c r="PNP32" s="2511"/>
      <c r="PNQ32" s="2511"/>
      <c r="PNR32" s="2511"/>
      <c r="PNS32" s="2511"/>
      <c r="PNT32" s="2511"/>
      <c r="PNU32" s="2511"/>
      <c r="PNV32" s="2511"/>
      <c r="PNW32" s="2511"/>
      <c r="PNX32" s="2511"/>
      <c r="PNY32" s="2511"/>
      <c r="PNZ32" s="2511"/>
      <c r="POA32" s="2511"/>
      <c r="POB32" s="2511"/>
      <c r="POC32" s="2511"/>
      <c r="POD32" s="2511"/>
      <c r="POE32" s="2511"/>
      <c r="POF32" s="2511"/>
      <c r="POG32" s="2511"/>
      <c r="POH32" s="2511"/>
      <c r="POI32" s="2511"/>
      <c r="POJ32" s="2511"/>
      <c r="POK32" s="2511"/>
      <c r="POL32" s="2511"/>
      <c r="POM32" s="2511"/>
      <c r="PON32" s="2511"/>
      <c r="POO32" s="2511"/>
      <c r="POP32" s="2511"/>
      <c r="POQ32" s="2511"/>
      <c r="POR32" s="2511"/>
      <c r="POS32" s="2511"/>
      <c r="POT32" s="2511"/>
      <c r="POU32" s="2511"/>
      <c r="POV32" s="2511"/>
      <c r="POW32" s="2511"/>
      <c r="POX32" s="2511"/>
      <c r="POY32" s="2511"/>
      <c r="POZ32" s="2511"/>
      <c r="PPA32" s="2511"/>
      <c r="PPB32" s="2511"/>
      <c r="PPC32" s="2511"/>
      <c r="PPD32" s="2511"/>
      <c r="PPE32" s="2511"/>
      <c r="PPF32" s="2511"/>
      <c r="PPG32" s="2511"/>
      <c r="PPH32" s="2511"/>
      <c r="PPI32" s="2511"/>
      <c r="PPJ32" s="2511"/>
      <c r="PPK32" s="2511"/>
      <c r="PPL32" s="2511"/>
      <c r="PPM32" s="2511"/>
      <c r="PPN32" s="2511"/>
      <c r="PPO32" s="2511"/>
      <c r="PPP32" s="2511"/>
      <c r="PPQ32" s="2511"/>
      <c r="PPR32" s="2511"/>
      <c r="PPS32" s="2511"/>
      <c r="PPT32" s="2511"/>
      <c r="PPU32" s="2511"/>
      <c r="PPV32" s="2511"/>
      <c r="PPW32" s="2511"/>
      <c r="PPX32" s="2511"/>
      <c r="PPY32" s="2511"/>
      <c r="PPZ32" s="2511"/>
      <c r="PQA32" s="2511"/>
      <c r="PQB32" s="2511"/>
      <c r="PQC32" s="2511"/>
      <c r="PQD32" s="2511"/>
      <c r="PQE32" s="2511"/>
      <c r="PQF32" s="2511"/>
      <c r="PQG32" s="2511"/>
      <c r="PQH32" s="2511"/>
      <c r="PQI32" s="2511"/>
      <c r="PQJ32" s="2511"/>
      <c r="PQK32" s="2511"/>
      <c r="PQL32" s="2511"/>
      <c r="PQM32" s="2511"/>
      <c r="PQN32" s="2511"/>
      <c r="PQO32" s="2511"/>
      <c r="PQP32" s="2511"/>
      <c r="PQQ32" s="2511"/>
      <c r="PQR32" s="2511"/>
      <c r="PQS32" s="2511"/>
      <c r="PQT32" s="2511"/>
      <c r="PQU32" s="2511"/>
      <c r="PQV32" s="2511"/>
      <c r="PQW32" s="2511"/>
      <c r="PQX32" s="2511"/>
      <c r="PQY32" s="2511"/>
      <c r="PQZ32" s="2511"/>
      <c r="PRA32" s="2511"/>
      <c r="PRB32" s="2511"/>
      <c r="PRC32" s="2511"/>
      <c r="PRD32" s="2511"/>
      <c r="PRE32" s="2511"/>
      <c r="PRF32" s="2511"/>
      <c r="PRG32" s="2511"/>
      <c r="PRH32" s="2511"/>
      <c r="PRI32" s="2511"/>
      <c r="PRJ32" s="2511"/>
      <c r="PRK32" s="2511"/>
      <c r="PRL32" s="2511"/>
      <c r="PRM32" s="2511"/>
      <c r="PRN32" s="2511"/>
      <c r="PRO32" s="2511"/>
      <c r="PRP32" s="2511"/>
      <c r="PRQ32" s="2511"/>
      <c r="PRR32" s="2511"/>
      <c r="PRS32" s="2511"/>
      <c r="PRT32" s="2511"/>
      <c r="PRU32" s="2511"/>
      <c r="PRV32" s="2511"/>
      <c r="PRW32" s="2511"/>
      <c r="PRX32" s="2511"/>
      <c r="PRY32" s="2511"/>
      <c r="PRZ32" s="2511"/>
      <c r="PSA32" s="2511"/>
      <c r="PSB32" s="2511"/>
      <c r="PSC32" s="2511"/>
      <c r="PSD32" s="2511"/>
      <c r="PSE32" s="2511"/>
      <c r="PSF32" s="2511"/>
      <c r="PSG32" s="2511"/>
      <c r="PSH32" s="2511"/>
      <c r="PSI32" s="2511"/>
      <c r="PSJ32" s="2511"/>
      <c r="PSK32" s="2511"/>
      <c r="PSL32" s="2511"/>
      <c r="PSM32" s="2511"/>
      <c r="PSN32" s="2511"/>
      <c r="PSO32" s="2511"/>
      <c r="PSP32" s="2511"/>
      <c r="PSQ32" s="2511"/>
      <c r="PSR32" s="2511"/>
      <c r="PSS32" s="2511"/>
      <c r="PST32" s="2511"/>
      <c r="PSU32" s="2511"/>
      <c r="PSV32" s="2511"/>
      <c r="PSW32" s="2511"/>
      <c r="PSX32" s="2511"/>
      <c r="PSY32" s="2511"/>
      <c r="PSZ32" s="2511"/>
      <c r="PTA32" s="2511"/>
      <c r="PTB32" s="2511"/>
      <c r="PTC32" s="2511"/>
      <c r="PTD32" s="2511"/>
      <c r="PTE32" s="2511"/>
      <c r="PTF32" s="2511"/>
      <c r="PTG32" s="2511"/>
      <c r="PTH32" s="2511"/>
      <c r="PTI32" s="2511"/>
      <c r="PTJ32" s="2511"/>
      <c r="PTK32" s="2511"/>
      <c r="PTL32" s="2511"/>
      <c r="PTM32" s="2511"/>
      <c r="PTN32" s="2511"/>
      <c r="PTO32" s="2511"/>
      <c r="PTP32" s="2511"/>
      <c r="PTQ32" s="2511"/>
      <c r="PTR32" s="2511"/>
      <c r="PTS32" s="2511"/>
      <c r="PTT32" s="2511"/>
      <c r="PTU32" s="2511"/>
      <c r="PTV32" s="2511"/>
      <c r="PTW32" s="2511"/>
      <c r="PTX32" s="2511"/>
      <c r="PTY32" s="2511"/>
      <c r="PTZ32" s="2511"/>
      <c r="PUA32" s="2511"/>
      <c r="PUB32" s="2511"/>
      <c r="PUC32" s="2511"/>
      <c r="PUD32" s="2511"/>
      <c r="PUE32" s="2511"/>
      <c r="PUF32" s="2511"/>
      <c r="PUG32" s="2511"/>
      <c r="PUH32" s="2511"/>
      <c r="PUI32" s="2511"/>
      <c r="PUJ32" s="2511"/>
      <c r="PUK32" s="2511"/>
      <c r="PUL32" s="2511"/>
      <c r="PUM32" s="2511"/>
      <c r="PUN32" s="2511"/>
      <c r="PUO32" s="2511"/>
      <c r="PUP32" s="2511"/>
      <c r="PUQ32" s="2511"/>
      <c r="PUR32" s="2511"/>
      <c r="PUS32" s="2511"/>
      <c r="PUT32" s="2511"/>
      <c r="PUU32" s="2511"/>
      <c r="PUV32" s="2511"/>
      <c r="PUW32" s="2511"/>
      <c r="PUX32" s="2511"/>
      <c r="PUY32" s="2511"/>
      <c r="PUZ32" s="2511"/>
      <c r="PVA32" s="2511"/>
      <c r="PVB32" s="2511"/>
      <c r="PVC32" s="2511"/>
      <c r="PVD32" s="2511"/>
      <c r="PVE32" s="2511"/>
      <c r="PVF32" s="2511"/>
      <c r="PVG32" s="2511"/>
      <c r="PVH32" s="2511"/>
      <c r="PVI32" s="2511"/>
      <c r="PVJ32" s="2511"/>
      <c r="PVK32" s="2511"/>
      <c r="PVL32" s="2511"/>
      <c r="PVM32" s="2511"/>
      <c r="PVN32" s="2511"/>
      <c r="PVO32" s="2511"/>
      <c r="PVP32" s="2511"/>
      <c r="PVQ32" s="2511"/>
      <c r="PVR32" s="2511"/>
      <c r="PVS32" s="2511"/>
      <c r="PVT32" s="2511"/>
      <c r="PVU32" s="2511"/>
      <c r="PVV32" s="2511"/>
      <c r="PVW32" s="2511"/>
      <c r="PVX32" s="2511"/>
      <c r="PVY32" s="2511"/>
      <c r="PVZ32" s="2511"/>
      <c r="PWA32" s="2511"/>
      <c r="PWB32" s="2511"/>
      <c r="PWC32" s="2511"/>
      <c r="PWD32" s="2511"/>
      <c r="PWE32" s="2511"/>
      <c r="PWF32" s="2511"/>
      <c r="PWG32" s="2511"/>
      <c r="PWH32" s="2511"/>
      <c r="PWI32" s="2511"/>
      <c r="PWJ32" s="2511"/>
      <c r="PWK32" s="2511"/>
      <c r="PWL32" s="2511"/>
      <c r="PWM32" s="2511"/>
      <c r="PWN32" s="2511"/>
      <c r="PWO32" s="2511"/>
      <c r="PWP32" s="2511"/>
      <c r="PWQ32" s="2511"/>
      <c r="PWR32" s="2511"/>
      <c r="PWS32" s="2511"/>
      <c r="PWT32" s="2511"/>
      <c r="PWU32" s="2511"/>
      <c r="PWV32" s="2511"/>
      <c r="PWW32" s="2511"/>
      <c r="PWX32" s="2511"/>
      <c r="PWY32" s="2511"/>
      <c r="PWZ32" s="2511"/>
      <c r="PXA32" s="2511"/>
      <c r="PXB32" s="2511"/>
      <c r="PXC32" s="2511"/>
      <c r="PXD32" s="2511"/>
      <c r="PXE32" s="2511"/>
      <c r="PXF32" s="2511"/>
      <c r="PXG32" s="2511"/>
      <c r="PXH32" s="2511"/>
      <c r="PXI32" s="2511"/>
      <c r="PXJ32" s="2511"/>
      <c r="PXK32" s="2511"/>
      <c r="PXL32" s="2511"/>
      <c r="PXM32" s="2511"/>
      <c r="PXN32" s="2511"/>
      <c r="PXO32" s="2511"/>
      <c r="PXP32" s="2511"/>
      <c r="PXQ32" s="2511"/>
      <c r="PXR32" s="2511"/>
      <c r="PXS32" s="2511"/>
      <c r="PXT32" s="2511"/>
      <c r="PXU32" s="2511"/>
      <c r="PXV32" s="2511"/>
      <c r="PXW32" s="2511"/>
      <c r="PXX32" s="2511"/>
      <c r="PXY32" s="2511"/>
      <c r="PXZ32" s="2511"/>
      <c r="PYA32" s="2511"/>
      <c r="PYB32" s="2511"/>
      <c r="PYC32" s="2511"/>
      <c r="PYD32" s="2511"/>
      <c r="PYE32" s="2511"/>
      <c r="PYF32" s="2511"/>
      <c r="PYG32" s="2511"/>
      <c r="PYH32" s="2511"/>
      <c r="PYI32" s="2511"/>
      <c r="PYJ32" s="2511"/>
      <c r="PYK32" s="2511"/>
      <c r="PYL32" s="2511"/>
      <c r="PYM32" s="2511"/>
      <c r="PYN32" s="2511"/>
      <c r="PYO32" s="2511"/>
      <c r="PYP32" s="2511"/>
      <c r="PYQ32" s="2511"/>
      <c r="PYR32" s="2511"/>
      <c r="PYS32" s="2511"/>
      <c r="PYT32" s="2511"/>
      <c r="PYU32" s="2511"/>
      <c r="PYV32" s="2511"/>
      <c r="PYW32" s="2511"/>
      <c r="PYX32" s="2511"/>
      <c r="PYY32" s="2511"/>
      <c r="PYZ32" s="2511"/>
      <c r="PZA32" s="2511"/>
      <c r="PZB32" s="2511"/>
      <c r="PZC32" s="2511"/>
      <c r="PZD32" s="2511"/>
      <c r="PZE32" s="2511"/>
      <c r="PZF32" s="2511"/>
      <c r="PZG32" s="2511"/>
      <c r="PZH32" s="2511"/>
      <c r="PZI32" s="2511"/>
      <c r="PZJ32" s="2511"/>
      <c r="PZK32" s="2511"/>
      <c r="PZL32" s="2511"/>
      <c r="PZM32" s="2511"/>
      <c r="PZN32" s="2511"/>
      <c r="PZO32" s="2511"/>
      <c r="PZP32" s="2511"/>
      <c r="PZQ32" s="2511"/>
      <c r="PZR32" s="2511"/>
      <c r="PZS32" s="2511"/>
      <c r="PZT32" s="2511"/>
      <c r="PZU32" s="2511"/>
      <c r="PZV32" s="2511"/>
      <c r="PZW32" s="2511"/>
      <c r="PZX32" s="2511"/>
      <c r="PZY32" s="2511"/>
      <c r="PZZ32" s="2511"/>
      <c r="QAA32" s="2511"/>
      <c r="QAB32" s="2511"/>
      <c r="QAC32" s="2511"/>
      <c r="QAD32" s="2511"/>
      <c r="QAE32" s="2511"/>
      <c r="QAF32" s="2511"/>
      <c r="QAG32" s="2511"/>
      <c r="QAH32" s="2511"/>
      <c r="QAI32" s="2511"/>
      <c r="QAJ32" s="2511"/>
      <c r="QAK32" s="2511"/>
      <c r="QAL32" s="2511"/>
      <c r="QAM32" s="2511"/>
      <c r="QAN32" s="2511"/>
      <c r="QAO32" s="2511"/>
      <c r="QAP32" s="2511"/>
      <c r="QAQ32" s="2511"/>
      <c r="QAR32" s="2511"/>
      <c r="QAS32" s="2511"/>
      <c r="QAT32" s="2511"/>
      <c r="QAU32" s="2511"/>
      <c r="QAV32" s="2511"/>
      <c r="QAW32" s="2511"/>
      <c r="QAX32" s="2511"/>
      <c r="QAY32" s="2511"/>
      <c r="QAZ32" s="2511"/>
      <c r="QBA32" s="2511"/>
      <c r="QBB32" s="2511"/>
      <c r="QBC32" s="2511"/>
      <c r="QBD32" s="2511"/>
      <c r="QBE32" s="2511"/>
      <c r="QBF32" s="2511"/>
      <c r="QBG32" s="2511"/>
      <c r="QBH32" s="2511"/>
      <c r="QBI32" s="2511"/>
      <c r="QBJ32" s="2511"/>
      <c r="QBK32" s="2511"/>
      <c r="QBL32" s="2511"/>
      <c r="QBM32" s="2511"/>
      <c r="QBN32" s="2511"/>
      <c r="QBO32" s="2511"/>
      <c r="QBP32" s="2511"/>
      <c r="QBQ32" s="2511"/>
      <c r="QBR32" s="2511"/>
      <c r="QBS32" s="2511"/>
      <c r="QBT32" s="2511"/>
      <c r="QBU32" s="2511"/>
      <c r="QBV32" s="2511"/>
      <c r="QBW32" s="2511"/>
      <c r="QBX32" s="2511"/>
      <c r="QBY32" s="2511"/>
      <c r="QBZ32" s="2511"/>
      <c r="QCA32" s="2511"/>
      <c r="QCB32" s="2511"/>
      <c r="QCC32" s="2511"/>
      <c r="QCD32" s="2511"/>
      <c r="QCE32" s="2511"/>
      <c r="QCF32" s="2511"/>
      <c r="QCG32" s="2511"/>
      <c r="QCH32" s="2511"/>
      <c r="QCI32" s="2511"/>
      <c r="QCJ32" s="2511"/>
      <c r="QCK32" s="2511"/>
      <c r="QCL32" s="2511"/>
      <c r="QCM32" s="2511"/>
      <c r="QCN32" s="2511"/>
      <c r="QCO32" s="2511"/>
      <c r="QCP32" s="2511"/>
      <c r="QCQ32" s="2511"/>
      <c r="QCR32" s="2511"/>
      <c r="QCS32" s="2511"/>
      <c r="QCT32" s="2511"/>
      <c r="QCU32" s="2511"/>
      <c r="QCV32" s="2511"/>
      <c r="QCW32" s="2511"/>
      <c r="QCX32" s="2511"/>
      <c r="QCY32" s="2511"/>
      <c r="QCZ32" s="2511"/>
      <c r="QDA32" s="2511"/>
      <c r="QDB32" s="2511"/>
      <c r="QDC32" s="2511"/>
      <c r="QDD32" s="2511"/>
      <c r="QDE32" s="2511"/>
      <c r="QDF32" s="2511"/>
      <c r="QDG32" s="2511"/>
      <c r="QDH32" s="2511"/>
      <c r="QDI32" s="2511"/>
      <c r="QDJ32" s="2511"/>
      <c r="QDK32" s="2511"/>
      <c r="QDL32" s="2511"/>
      <c r="QDM32" s="2511"/>
      <c r="QDN32" s="2511"/>
      <c r="QDO32" s="2511"/>
      <c r="QDP32" s="2511"/>
      <c r="QDQ32" s="2511"/>
      <c r="QDR32" s="2511"/>
      <c r="QDS32" s="2511"/>
      <c r="QDT32" s="2511"/>
      <c r="QDU32" s="2511"/>
      <c r="QDV32" s="2511"/>
      <c r="QDW32" s="2511"/>
      <c r="QDX32" s="2511"/>
      <c r="QDY32" s="2511"/>
      <c r="QDZ32" s="2511"/>
      <c r="QEA32" s="2511"/>
      <c r="QEB32" s="2511"/>
      <c r="QEC32" s="2511"/>
      <c r="QED32" s="2511"/>
      <c r="QEE32" s="2511"/>
      <c r="QEF32" s="2511"/>
      <c r="QEG32" s="2511"/>
      <c r="QEH32" s="2511"/>
      <c r="QEI32" s="2511"/>
      <c r="QEJ32" s="2511"/>
      <c r="QEK32" s="2511"/>
      <c r="QEL32" s="2511"/>
      <c r="QEM32" s="2511"/>
      <c r="QEN32" s="2511"/>
      <c r="QEO32" s="2511"/>
      <c r="QEP32" s="2511"/>
      <c r="QEQ32" s="2511"/>
      <c r="QER32" s="2511"/>
      <c r="QES32" s="2511"/>
      <c r="QET32" s="2511"/>
      <c r="QEU32" s="2511"/>
      <c r="QEV32" s="2511"/>
      <c r="QEW32" s="2511"/>
      <c r="QEX32" s="2511"/>
      <c r="QEY32" s="2511"/>
      <c r="QEZ32" s="2511"/>
      <c r="QFA32" s="2511"/>
      <c r="QFB32" s="2511"/>
      <c r="QFC32" s="2511"/>
      <c r="QFD32" s="2511"/>
      <c r="QFE32" s="2511"/>
      <c r="QFF32" s="2511"/>
      <c r="QFG32" s="2511"/>
      <c r="QFH32" s="2511"/>
      <c r="QFI32" s="2511"/>
      <c r="QFJ32" s="2511"/>
      <c r="QFK32" s="2511"/>
      <c r="QFL32" s="2511"/>
      <c r="QFM32" s="2511"/>
      <c r="QFN32" s="2511"/>
      <c r="QFO32" s="2511"/>
      <c r="QFP32" s="2511"/>
      <c r="QFQ32" s="2511"/>
      <c r="QFR32" s="2511"/>
      <c r="QFS32" s="2511"/>
      <c r="QFT32" s="2511"/>
      <c r="QFU32" s="2511"/>
      <c r="QFV32" s="2511"/>
      <c r="QFW32" s="2511"/>
      <c r="QFX32" s="2511"/>
      <c r="QFY32" s="2511"/>
      <c r="QFZ32" s="2511"/>
      <c r="QGA32" s="2511"/>
      <c r="QGB32" s="2511"/>
      <c r="QGC32" s="2511"/>
      <c r="QGD32" s="2511"/>
      <c r="QGE32" s="2511"/>
      <c r="QGF32" s="2511"/>
      <c r="QGG32" s="2511"/>
      <c r="QGH32" s="2511"/>
      <c r="QGI32" s="2511"/>
      <c r="QGJ32" s="2511"/>
      <c r="QGK32" s="2511"/>
      <c r="QGL32" s="2511"/>
      <c r="QGM32" s="2511"/>
      <c r="QGN32" s="2511"/>
      <c r="QGO32" s="2511"/>
      <c r="QGP32" s="2511"/>
      <c r="QGQ32" s="2511"/>
      <c r="QGR32" s="2511"/>
      <c r="QGS32" s="2511"/>
      <c r="QGT32" s="2511"/>
      <c r="QGU32" s="2511"/>
      <c r="QGV32" s="2511"/>
      <c r="QGW32" s="2511"/>
      <c r="QGX32" s="2511"/>
      <c r="QGY32" s="2511"/>
      <c r="QGZ32" s="2511"/>
      <c r="QHA32" s="2511"/>
      <c r="QHB32" s="2511"/>
      <c r="QHC32" s="2511"/>
      <c r="QHD32" s="2511"/>
      <c r="QHE32" s="2511"/>
      <c r="QHF32" s="2511"/>
      <c r="QHG32" s="2511"/>
      <c r="QHH32" s="2511"/>
      <c r="QHI32" s="2511"/>
      <c r="QHJ32" s="2511"/>
      <c r="QHK32" s="2511"/>
      <c r="QHL32" s="2511"/>
      <c r="QHM32" s="2511"/>
      <c r="QHN32" s="2511"/>
      <c r="QHO32" s="2511"/>
      <c r="QHP32" s="2511"/>
      <c r="QHQ32" s="2511"/>
      <c r="QHR32" s="2511"/>
      <c r="QHS32" s="2511"/>
      <c r="QHT32" s="2511"/>
      <c r="QHU32" s="2511"/>
      <c r="QHV32" s="2511"/>
      <c r="QHW32" s="2511"/>
      <c r="QHX32" s="2511"/>
      <c r="QHY32" s="2511"/>
      <c r="QHZ32" s="2511"/>
      <c r="QIA32" s="2511"/>
      <c r="QIB32" s="2511"/>
      <c r="QIC32" s="2511"/>
      <c r="QID32" s="2511"/>
      <c r="QIE32" s="2511"/>
      <c r="QIF32" s="2511"/>
      <c r="QIG32" s="2511"/>
      <c r="QIH32" s="2511"/>
      <c r="QII32" s="2511"/>
      <c r="QIJ32" s="2511"/>
      <c r="QIK32" s="2511"/>
      <c r="QIL32" s="2511"/>
      <c r="QIM32" s="2511"/>
      <c r="QIN32" s="2511"/>
      <c r="QIO32" s="2511"/>
      <c r="QIP32" s="2511"/>
      <c r="QIQ32" s="2511"/>
      <c r="QIR32" s="2511"/>
      <c r="QIS32" s="2511"/>
      <c r="QIT32" s="2511"/>
      <c r="QIU32" s="2511"/>
      <c r="QIV32" s="2511"/>
      <c r="QIW32" s="2511"/>
      <c r="QIX32" s="2511"/>
      <c r="QIY32" s="2511"/>
      <c r="QIZ32" s="2511"/>
      <c r="QJA32" s="2511"/>
      <c r="QJB32" s="2511"/>
      <c r="QJC32" s="2511"/>
      <c r="QJD32" s="2511"/>
      <c r="QJE32" s="2511"/>
      <c r="QJF32" s="2511"/>
      <c r="QJG32" s="2511"/>
      <c r="QJH32" s="2511"/>
      <c r="QJI32" s="2511"/>
      <c r="QJJ32" s="2511"/>
      <c r="QJK32" s="2511"/>
      <c r="QJL32" s="2511"/>
      <c r="QJM32" s="2511"/>
      <c r="QJN32" s="2511"/>
      <c r="QJO32" s="2511"/>
      <c r="QJP32" s="2511"/>
      <c r="QJQ32" s="2511"/>
      <c r="QJR32" s="2511"/>
      <c r="QJS32" s="2511"/>
      <c r="QJT32" s="2511"/>
      <c r="QJU32" s="2511"/>
      <c r="QJV32" s="2511"/>
      <c r="QJW32" s="2511"/>
      <c r="QJX32" s="2511"/>
      <c r="QJY32" s="2511"/>
      <c r="QJZ32" s="2511"/>
      <c r="QKA32" s="2511"/>
      <c r="QKB32" s="2511"/>
      <c r="QKC32" s="2511"/>
      <c r="QKD32" s="2511"/>
      <c r="QKE32" s="2511"/>
      <c r="QKF32" s="2511"/>
      <c r="QKG32" s="2511"/>
      <c r="QKH32" s="2511"/>
      <c r="QKI32" s="2511"/>
      <c r="QKJ32" s="2511"/>
      <c r="QKK32" s="2511"/>
      <c r="QKL32" s="2511"/>
      <c r="QKM32" s="2511"/>
      <c r="QKN32" s="2511"/>
      <c r="QKO32" s="2511"/>
      <c r="QKP32" s="2511"/>
      <c r="QKQ32" s="2511"/>
      <c r="QKR32" s="2511"/>
      <c r="QKS32" s="2511"/>
      <c r="QKT32" s="2511"/>
      <c r="QKU32" s="2511"/>
      <c r="QKV32" s="2511"/>
      <c r="QKW32" s="2511"/>
      <c r="QKX32" s="2511"/>
      <c r="QKY32" s="2511"/>
      <c r="QKZ32" s="2511"/>
      <c r="QLA32" s="2511"/>
      <c r="QLB32" s="2511"/>
      <c r="QLC32" s="2511"/>
      <c r="QLD32" s="2511"/>
      <c r="QLE32" s="2511"/>
      <c r="QLF32" s="2511"/>
      <c r="QLG32" s="2511"/>
      <c r="QLH32" s="2511"/>
      <c r="QLI32" s="2511"/>
      <c r="QLJ32" s="2511"/>
      <c r="QLK32" s="2511"/>
      <c r="QLL32" s="2511"/>
      <c r="QLM32" s="2511"/>
      <c r="QLN32" s="2511"/>
      <c r="QLO32" s="2511"/>
      <c r="QLP32" s="2511"/>
      <c r="QLQ32" s="2511"/>
      <c r="QLR32" s="2511"/>
      <c r="QLS32" s="2511"/>
      <c r="QLT32" s="2511"/>
      <c r="QLU32" s="2511"/>
      <c r="QLV32" s="2511"/>
      <c r="QLW32" s="2511"/>
      <c r="QLX32" s="2511"/>
      <c r="QLY32" s="2511"/>
      <c r="QLZ32" s="2511"/>
      <c r="QMA32" s="2511"/>
      <c r="QMB32" s="2511"/>
      <c r="QMC32" s="2511"/>
      <c r="QMD32" s="2511"/>
      <c r="QME32" s="2511"/>
      <c r="QMF32" s="2511"/>
      <c r="QMG32" s="2511"/>
      <c r="QMH32" s="2511"/>
      <c r="QMI32" s="2511"/>
      <c r="QMJ32" s="2511"/>
      <c r="QMK32" s="2511"/>
      <c r="QML32" s="2511"/>
      <c r="QMM32" s="2511"/>
      <c r="QMN32" s="2511"/>
      <c r="QMO32" s="2511"/>
      <c r="QMP32" s="2511"/>
      <c r="QMQ32" s="2511"/>
      <c r="QMR32" s="2511"/>
      <c r="QMS32" s="2511"/>
      <c r="QMT32" s="2511"/>
      <c r="QMU32" s="2511"/>
      <c r="QMV32" s="2511"/>
      <c r="QMW32" s="2511"/>
      <c r="QMX32" s="2511"/>
      <c r="QMY32" s="2511"/>
      <c r="QMZ32" s="2511"/>
      <c r="QNA32" s="2511"/>
      <c r="QNB32" s="2511"/>
      <c r="QNC32" s="2511"/>
      <c r="QND32" s="2511"/>
      <c r="QNE32" s="2511"/>
      <c r="QNF32" s="2511"/>
      <c r="QNG32" s="2511"/>
      <c r="QNH32" s="2511"/>
      <c r="QNI32" s="2511"/>
      <c r="QNJ32" s="2511"/>
      <c r="QNK32" s="2511"/>
      <c r="QNL32" s="2511"/>
      <c r="QNM32" s="2511"/>
      <c r="QNN32" s="2511"/>
      <c r="QNO32" s="2511"/>
      <c r="QNP32" s="2511"/>
      <c r="QNQ32" s="2511"/>
      <c r="QNR32" s="2511"/>
      <c r="QNS32" s="2511"/>
      <c r="QNT32" s="2511"/>
      <c r="QNU32" s="2511"/>
      <c r="QNV32" s="2511"/>
      <c r="QNW32" s="2511"/>
      <c r="QNX32" s="2511"/>
      <c r="QNY32" s="2511"/>
      <c r="QNZ32" s="2511"/>
      <c r="QOA32" s="2511"/>
      <c r="QOB32" s="2511"/>
      <c r="QOC32" s="2511"/>
      <c r="QOD32" s="2511"/>
      <c r="QOE32" s="2511"/>
      <c r="QOF32" s="2511"/>
      <c r="QOG32" s="2511"/>
      <c r="QOH32" s="2511"/>
      <c r="QOI32" s="2511"/>
      <c r="QOJ32" s="2511"/>
      <c r="QOK32" s="2511"/>
      <c r="QOL32" s="2511"/>
      <c r="QOM32" s="2511"/>
      <c r="QON32" s="2511"/>
      <c r="QOO32" s="2511"/>
      <c r="QOP32" s="2511"/>
      <c r="QOQ32" s="2511"/>
      <c r="QOR32" s="2511"/>
      <c r="QOS32" s="2511"/>
      <c r="QOT32" s="2511"/>
      <c r="QOU32" s="2511"/>
      <c r="QOV32" s="2511"/>
      <c r="QOW32" s="2511"/>
      <c r="QOX32" s="2511"/>
      <c r="QOY32" s="2511"/>
      <c r="QOZ32" s="2511"/>
      <c r="QPA32" s="2511"/>
      <c r="QPB32" s="2511"/>
      <c r="QPC32" s="2511"/>
      <c r="QPD32" s="2511"/>
      <c r="QPE32" s="2511"/>
      <c r="QPF32" s="2511"/>
      <c r="QPG32" s="2511"/>
      <c r="QPH32" s="2511"/>
      <c r="QPI32" s="2511"/>
      <c r="QPJ32" s="2511"/>
      <c r="QPK32" s="2511"/>
      <c r="QPL32" s="2511"/>
      <c r="QPM32" s="2511"/>
      <c r="QPN32" s="2511"/>
      <c r="QPO32" s="2511"/>
      <c r="QPP32" s="2511"/>
      <c r="QPQ32" s="2511"/>
      <c r="QPR32" s="2511"/>
      <c r="QPS32" s="2511"/>
      <c r="QPT32" s="2511"/>
      <c r="QPU32" s="2511"/>
      <c r="QPV32" s="2511"/>
      <c r="QPW32" s="2511"/>
      <c r="QPX32" s="2511"/>
      <c r="QPY32" s="2511"/>
      <c r="QPZ32" s="2511"/>
      <c r="QQA32" s="2511"/>
      <c r="QQB32" s="2511"/>
      <c r="QQC32" s="2511"/>
      <c r="QQD32" s="2511"/>
      <c r="QQE32" s="2511"/>
      <c r="QQF32" s="2511"/>
      <c r="QQG32" s="2511"/>
      <c r="QQH32" s="2511"/>
      <c r="QQI32" s="2511"/>
      <c r="QQJ32" s="2511"/>
      <c r="QQK32" s="2511"/>
      <c r="QQL32" s="2511"/>
      <c r="QQM32" s="2511"/>
      <c r="QQN32" s="2511"/>
      <c r="QQO32" s="2511"/>
      <c r="QQP32" s="2511"/>
      <c r="QQQ32" s="2511"/>
      <c r="QQR32" s="2511"/>
      <c r="QQS32" s="2511"/>
      <c r="QQT32" s="2511"/>
      <c r="QQU32" s="2511"/>
      <c r="QQV32" s="2511"/>
      <c r="QQW32" s="2511"/>
      <c r="QQX32" s="2511"/>
      <c r="QQY32" s="2511"/>
      <c r="QQZ32" s="2511"/>
      <c r="QRA32" s="2511"/>
      <c r="QRB32" s="2511"/>
      <c r="QRC32" s="2511"/>
      <c r="QRD32" s="2511"/>
      <c r="QRE32" s="2511"/>
      <c r="QRF32" s="2511"/>
      <c r="QRG32" s="2511"/>
      <c r="QRH32" s="2511"/>
      <c r="QRI32" s="2511"/>
      <c r="QRJ32" s="2511"/>
      <c r="QRK32" s="2511"/>
      <c r="QRL32" s="2511"/>
      <c r="QRM32" s="2511"/>
      <c r="QRN32" s="2511"/>
      <c r="QRO32" s="2511"/>
      <c r="QRP32" s="2511"/>
      <c r="QRQ32" s="2511"/>
      <c r="QRR32" s="2511"/>
      <c r="QRS32" s="2511"/>
      <c r="QRT32" s="2511"/>
      <c r="QRU32" s="2511"/>
      <c r="QRV32" s="2511"/>
      <c r="QRW32" s="2511"/>
      <c r="QRX32" s="2511"/>
      <c r="QRY32" s="2511"/>
      <c r="QRZ32" s="2511"/>
      <c r="QSA32" s="2511"/>
      <c r="QSB32" s="2511"/>
      <c r="QSC32" s="2511"/>
      <c r="QSD32" s="2511"/>
      <c r="QSE32" s="2511"/>
      <c r="QSF32" s="2511"/>
      <c r="QSG32" s="2511"/>
      <c r="QSH32" s="2511"/>
      <c r="QSI32" s="2511"/>
      <c r="QSJ32" s="2511"/>
      <c r="QSK32" s="2511"/>
      <c r="QSL32" s="2511"/>
      <c r="QSM32" s="2511"/>
      <c r="QSN32" s="2511"/>
      <c r="QSO32" s="2511"/>
      <c r="QSP32" s="2511"/>
      <c r="QSQ32" s="2511"/>
      <c r="QSR32" s="2511"/>
      <c r="QSS32" s="2511"/>
      <c r="QST32" s="2511"/>
      <c r="QSU32" s="2511"/>
      <c r="QSV32" s="2511"/>
      <c r="QSW32" s="2511"/>
      <c r="QSX32" s="2511"/>
      <c r="QSY32" s="2511"/>
      <c r="QSZ32" s="2511"/>
      <c r="QTA32" s="2511"/>
      <c r="QTB32" s="2511"/>
      <c r="QTC32" s="2511"/>
      <c r="QTD32" s="2511"/>
      <c r="QTE32" s="2511"/>
      <c r="QTF32" s="2511"/>
      <c r="QTG32" s="2511"/>
      <c r="QTH32" s="2511"/>
      <c r="QTI32" s="2511"/>
      <c r="QTJ32" s="2511"/>
      <c r="QTK32" s="2511"/>
      <c r="QTL32" s="2511"/>
      <c r="QTM32" s="2511"/>
      <c r="QTN32" s="2511"/>
      <c r="QTO32" s="2511"/>
      <c r="QTP32" s="2511"/>
      <c r="QTQ32" s="2511"/>
      <c r="QTR32" s="2511"/>
      <c r="QTS32" s="2511"/>
      <c r="QTT32" s="2511"/>
      <c r="QTU32" s="2511"/>
      <c r="QTV32" s="2511"/>
      <c r="QTW32" s="2511"/>
      <c r="QTX32" s="2511"/>
      <c r="QTY32" s="2511"/>
      <c r="QTZ32" s="2511"/>
      <c r="QUA32" s="2511"/>
      <c r="QUB32" s="2511"/>
      <c r="QUC32" s="2511"/>
      <c r="QUD32" s="2511"/>
      <c r="QUE32" s="2511"/>
      <c r="QUF32" s="2511"/>
      <c r="QUG32" s="2511"/>
      <c r="QUH32" s="2511"/>
      <c r="QUI32" s="2511"/>
      <c r="QUJ32" s="2511"/>
      <c r="QUK32" s="2511"/>
      <c r="QUL32" s="2511"/>
      <c r="QUM32" s="2511"/>
      <c r="QUN32" s="2511"/>
      <c r="QUO32" s="2511"/>
      <c r="QUP32" s="2511"/>
      <c r="QUQ32" s="2511"/>
      <c r="QUR32" s="2511"/>
      <c r="QUS32" s="2511"/>
      <c r="QUT32" s="2511"/>
      <c r="QUU32" s="2511"/>
      <c r="QUV32" s="2511"/>
      <c r="QUW32" s="2511"/>
      <c r="QUX32" s="2511"/>
      <c r="QUY32" s="2511"/>
      <c r="QUZ32" s="2511"/>
      <c r="QVA32" s="2511"/>
      <c r="QVB32" s="2511"/>
      <c r="QVC32" s="2511"/>
      <c r="QVD32" s="2511"/>
      <c r="QVE32" s="2511"/>
      <c r="QVF32" s="2511"/>
      <c r="QVG32" s="2511"/>
      <c r="QVH32" s="2511"/>
      <c r="QVI32" s="2511"/>
      <c r="QVJ32" s="2511"/>
      <c r="QVK32" s="2511"/>
      <c r="QVL32" s="2511"/>
      <c r="QVM32" s="2511"/>
      <c r="QVN32" s="2511"/>
      <c r="QVO32" s="2511"/>
      <c r="QVP32" s="2511"/>
      <c r="QVQ32" s="2511"/>
      <c r="QVR32" s="2511"/>
      <c r="QVS32" s="2511"/>
      <c r="QVT32" s="2511"/>
      <c r="QVU32" s="2511"/>
      <c r="QVV32" s="2511"/>
      <c r="QVW32" s="2511"/>
      <c r="QVX32" s="2511"/>
      <c r="QVY32" s="2511"/>
      <c r="QVZ32" s="2511"/>
      <c r="QWA32" s="2511"/>
      <c r="QWB32" s="2511"/>
      <c r="QWC32" s="2511"/>
      <c r="QWD32" s="2511"/>
      <c r="QWE32" s="2511"/>
      <c r="QWF32" s="2511"/>
      <c r="QWG32" s="2511"/>
      <c r="QWH32" s="2511"/>
      <c r="QWI32" s="2511"/>
      <c r="QWJ32" s="2511"/>
      <c r="QWK32" s="2511"/>
      <c r="QWL32" s="2511"/>
      <c r="QWM32" s="2511"/>
      <c r="QWN32" s="2511"/>
      <c r="QWO32" s="2511"/>
      <c r="QWP32" s="2511"/>
      <c r="QWQ32" s="2511"/>
      <c r="QWR32" s="2511"/>
      <c r="QWS32" s="2511"/>
      <c r="QWT32" s="2511"/>
      <c r="QWU32" s="2511"/>
      <c r="QWV32" s="2511"/>
      <c r="QWW32" s="2511"/>
      <c r="QWX32" s="2511"/>
      <c r="QWY32" s="2511"/>
      <c r="QWZ32" s="2511"/>
      <c r="QXA32" s="2511"/>
      <c r="QXB32" s="2511"/>
      <c r="QXC32" s="2511"/>
      <c r="QXD32" s="2511"/>
      <c r="QXE32" s="2511"/>
      <c r="QXF32" s="2511"/>
      <c r="QXG32" s="2511"/>
      <c r="QXH32" s="2511"/>
      <c r="QXI32" s="2511"/>
      <c r="QXJ32" s="2511"/>
      <c r="QXK32" s="2511"/>
      <c r="QXL32" s="2511"/>
      <c r="QXM32" s="2511"/>
      <c r="QXN32" s="2511"/>
      <c r="QXO32" s="2511"/>
      <c r="QXP32" s="2511"/>
      <c r="QXQ32" s="2511"/>
      <c r="QXR32" s="2511"/>
      <c r="QXS32" s="2511"/>
      <c r="QXT32" s="2511"/>
      <c r="QXU32" s="2511"/>
      <c r="QXV32" s="2511"/>
      <c r="QXW32" s="2511"/>
      <c r="QXX32" s="2511"/>
      <c r="QXY32" s="2511"/>
      <c r="QXZ32" s="2511"/>
      <c r="QYA32" s="2511"/>
      <c r="QYB32" s="2511"/>
      <c r="QYC32" s="2511"/>
      <c r="QYD32" s="2511"/>
      <c r="QYE32" s="2511"/>
      <c r="QYF32" s="2511"/>
      <c r="QYG32" s="2511"/>
      <c r="QYH32" s="2511"/>
      <c r="QYI32" s="2511"/>
      <c r="QYJ32" s="2511"/>
      <c r="QYK32" s="2511"/>
      <c r="QYL32" s="2511"/>
      <c r="QYM32" s="2511"/>
      <c r="QYN32" s="2511"/>
      <c r="QYO32" s="2511"/>
      <c r="QYP32" s="2511"/>
      <c r="QYQ32" s="2511"/>
      <c r="QYR32" s="2511"/>
      <c r="QYS32" s="2511"/>
      <c r="QYT32" s="2511"/>
      <c r="QYU32" s="2511"/>
      <c r="QYV32" s="2511"/>
      <c r="QYW32" s="2511"/>
      <c r="QYX32" s="2511"/>
      <c r="QYY32" s="2511"/>
      <c r="QYZ32" s="2511"/>
      <c r="QZA32" s="2511"/>
      <c r="QZB32" s="2511"/>
      <c r="QZC32" s="2511"/>
      <c r="QZD32" s="2511"/>
      <c r="QZE32" s="2511"/>
      <c r="QZF32" s="2511"/>
      <c r="QZG32" s="2511"/>
      <c r="QZH32" s="2511"/>
      <c r="QZI32" s="2511"/>
      <c r="QZJ32" s="2511"/>
      <c r="QZK32" s="2511"/>
      <c r="QZL32" s="2511"/>
      <c r="QZM32" s="2511"/>
      <c r="QZN32" s="2511"/>
      <c r="QZO32" s="2511"/>
      <c r="QZP32" s="2511"/>
      <c r="QZQ32" s="2511"/>
      <c r="QZR32" s="2511"/>
      <c r="QZS32" s="2511"/>
      <c r="QZT32" s="2511"/>
      <c r="QZU32" s="2511"/>
      <c r="QZV32" s="2511"/>
      <c r="QZW32" s="2511"/>
      <c r="QZX32" s="2511"/>
      <c r="QZY32" s="2511"/>
      <c r="QZZ32" s="2511"/>
      <c r="RAA32" s="2511"/>
      <c r="RAB32" s="2511"/>
      <c r="RAC32" s="2511"/>
      <c r="RAD32" s="2511"/>
      <c r="RAE32" s="2511"/>
      <c r="RAF32" s="2511"/>
      <c r="RAG32" s="2511"/>
      <c r="RAH32" s="2511"/>
      <c r="RAI32" s="2511"/>
      <c r="RAJ32" s="2511"/>
      <c r="RAK32" s="2511"/>
      <c r="RAL32" s="2511"/>
      <c r="RAM32" s="2511"/>
      <c r="RAN32" s="2511"/>
      <c r="RAO32" s="2511"/>
      <c r="RAP32" s="2511"/>
      <c r="RAQ32" s="2511"/>
      <c r="RAR32" s="2511"/>
      <c r="RAS32" s="2511"/>
      <c r="RAT32" s="2511"/>
      <c r="RAU32" s="2511"/>
      <c r="RAV32" s="2511"/>
      <c r="RAW32" s="2511"/>
      <c r="RAX32" s="2511"/>
      <c r="RAY32" s="2511"/>
      <c r="RAZ32" s="2511"/>
      <c r="RBA32" s="2511"/>
      <c r="RBB32" s="2511"/>
      <c r="RBC32" s="2511"/>
      <c r="RBD32" s="2511"/>
      <c r="RBE32" s="2511"/>
      <c r="RBF32" s="2511"/>
      <c r="RBG32" s="2511"/>
      <c r="RBH32" s="2511"/>
      <c r="RBI32" s="2511"/>
      <c r="RBJ32" s="2511"/>
      <c r="RBK32" s="2511"/>
      <c r="RBL32" s="2511"/>
      <c r="RBM32" s="2511"/>
      <c r="RBN32" s="2511"/>
      <c r="RBO32" s="2511"/>
      <c r="RBP32" s="2511"/>
      <c r="RBQ32" s="2511"/>
      <c r="RBR32" s="2511"/>
      <c r="RBS32" s="2511"/>
      <c r="RBT32" s="2511"/>
      <c r="RBU32" s="2511"/>
      <c r="RBV32" s="2511"/>
      <c r="RBW32" s="2511"/>
      <c r="RBX32" s="2511"/>
      <c r="RBY32" s="2511"/>
      <c r="RBZ32" s="2511"/>
      <c r="RCA32" s="2511"/>
      <c r="RCB32" s="2511"/>
      <c r="RCC32" s="2511"/>
      <c r="RCD32" s="2511"/>
      <c r="RCE32" s="2511"/>
      <c r="RCF32" s="2511"/>
      <c r="RCG32" s="2511"/>
      <c r="RCH32" s="2511"/>
      <c r="RCI32" s="2511"/>
      <c r="RCJ32" s="2511"/>
      <c r="RCK32" s="2511"/>
      <c r="RCL32" s="2511"/>
      <c r="RCM32" s="2511"/>
      <c r="RCN32" s="2511"/>
      <c r="RCO32" s="2511"/>
      <c r="RCP32" s="2511"/>
      <c r="RCQ32" s="2511"/>
      <c r="RCR32" s="2511"/>
      <c r="RCS32" s="2511"/>
      <c r="RCT32" s="2511"/>
      <c r="RCU32" s="2511"/>
      <c r="RCV32" s="2511"/>
      <c r="RCW32" s="2511"/>
      <c r="RCX32" s="2511"/>
      <c r="RCY32" s="2511"/>
      <c r="RCZ32" s="2511"/>
      <c r="RDA32" s="2511"/>
      <c r="RDB32" s="2511"/>
      <c r="RDC32" s="2511"/>
      <c r="RDD32" s="2511"/>
      <c r="RDE32" s="2511"/>
      <c r="RDF32" s="2511"/>
      <c r="RDG32" s="2511"/>
      <c r="RDH32" s="2511"/>
      <c r="RDI32" s="2511"/>
      <c r="RDJ32" s="2511"/>
      <c r="RDK32" s="2511"/>
      <c r="RDL32" s="2511"/>
      <c r="RDM32" s="2511"/>
      <c r="RDN32" s="2511"/>
      <c r="RDO32" s="2511"/>
      <c r="RDP32" s="2511"/>
      <c r="RDQ32" s="2511"/>
      <c r="RDR32" s="2511"/>
      <c r="RDS32" s="2511"/>
      <c r="RDT32" s="2511"/>
      <c r="RDU32" s="2511"/>
      <c r="RDV32" s="2511"/>
      <c r="RDW32" s="2511"/>
      <c r="RDX32" s="2511"/>
      <c r="RDY32" s="2511"/>
      <c r="RDZ32" s="2511"/>
      <c r="REA32" s="2511"/>
      <c r="REB32" s="2511"/>
      <c r="REC32" s="2511"/>
      <c r="RED32" s="2511"/>
      <c r="REE32" s="2511"/>
      <c r="REF32" s="2511"/>
      <c r="REG32" s="2511"/>
      <c r="REH32" s="2511"/>
      <c r="REI32" s="2511"/>
      <c r="REJ32" s="2511"/>
      <c r="REK32" s="2511"/>
      <c r="REL32" s="2511"/>
      <c r="REM32" s="2511"/>
      <c r="REN32" s="2511"/>
      <c r="REO32" s="2511"/>
      <c r="REP32" s="2511"/>
      <c r="REQ32" s="2511"/>
      <c r="RER32" s="2511"/>
      <c r="RES32" s="2511"/>
      <c r="RET32" s="2511"/>
      <c r="REU32" s="2511"/>
      <c r="REV32" s="2511"/>
      <c r="REW32" s="2511"/>
      <c r="REX32" s="2511"/>
      <c r="REY32" s="2511"/>
      <c r="REZ32" s="2511"/>
      <c r="RFA32" s="2511"/>
      <c r="RFB32" s="2511"/>
      <c r="RFC32" s="2511"/>
      <c r="RFD32" s="2511"/>
      <c r="RFE32" s="2511"/>
      <c r="RFF32" s="2511"/>
      <c r="RFG32" s="2511"/>
      <c r="RFH32" s="2511"/>
      <c r="RFI32" s="2511"/>
      <c r="RFJ32" s="2511"/>
      <c r="RFK32" s="2511"/>
      <c r="RFL32" s="2511"/>
      <c r="RFM32" s="2511"/>
      <c r="RFN32" s="2511"/>
      <c r="RFO32" s="2511"/>
      <c r="RFP32" s="2511"/>
      <c r="RFQ32" s="2511"/>
      <c r="RFR32" s="2511"/>
      <c r="RFS32" s="2511"/>
      <c r="RFT32" s="2511"/>
      <c r="RFU32" s="2511"/>
      <c r="RFV32" s="2511"/>
      <c r="RFW32" s="2511"/>
      <c r="RFX32" s="2511"/>
      <c r="RFY32" s="2511"/>
      <c r="RFZ32" s="2511"/>
      <c r="RGA32" s="2511"/>
      <c r="RGB32" s="2511"/>
      <c r="RGC32" s="2511"/>
      <c r="RGD32" s="2511"/>
      <c r="RGE32" s="2511"/>
      <c r="RGF32" s="2511"/>
      <c r="RGG32" s="2511"/>
      <c r="RGH32" s="2511"/>
      <c r="RGI32" s="2511"/>
      <c r="RGJ32" s="2511"/>
      <c r="RGK32" s="2511"/>
      <c r="RGL32" s="2511"/>
      <c r="RGM32" s="2511"/>
      <c r="RGN32" s="2511"/>
      <c r="RGO32" s="2511"/>
      <c r="RGP32" s="2511"/>
      <c r="RGQ32" s="2511"/>
      <c r="RGR32" s="2511"/>
      <c r="RGS32" s="2511"/>
      <c r="RGT32" s="2511"/>
      <c r="RGU32" s="2511"/>
      <c r="RGV32" s="2511"/>
      <c r="RGW32" s="2511"/>
      <c r="RGX32" s="2511"/>
      <c r="RGY32" s="2511"/>
      <c r="RGZ32" s="2511"/>
      <c r="RHA32" s="2511"/>
      <c r="RHB32" s="2511"/>
      <c r="RHC32" s="2511"/>
      <c r="RHD32" s="2511"/>
      <c r="RHE32" s="2511"/>
      <c r="RHF32" s="2511"/>
      <c r="RHG32" s="2511"/>
      <c r="RHH32" s="2511"/>
      <c r="RHI32" s="2511"/>
      <c r="RHJ32" s="2511"/>
      <c r="RHK32" s="2511"/>
      <c r="RHL32" s="2511"/>
      <c r="RHM32" s="2511"/>
      <c r="RHN32" s="2511"/>
      <c r="RHO32" s="2511"/>
      <c r="RHP32" s="2511"/>
      <c r="RHQ32" s="2511"/>
      <c r="RHR32" s="2511"/>
      <c r="RHS32" s="2511"/>
      <c r="RHT32" s="2511"/>
      <c r="RHU32" s="2511"/>
      <c r="RHV32" s="2511"/>
      <c r="RHW32" s="2511"/>
      <c r="RHX32" s="2511"/>
      <c r="RHY32" s="2511"/>
      <c r="RHZ32" s="2511"/>
      <c r="RIA32" s="2511"/>
      <c r="RIB32" s="2511"/>
      <c r="RIC32" s="2511"/>
      <c r="RID32" s="2511"/>
      <c r="RIE32" s="2511"/>
      <c r="RIF32" s="2511"/>
      <c r="RIG32" s="2511"/>
      <c r="RIH32" s="2511"/>
      <c r="RII32" s="2511"/>
      <c r="RIJ32" s="2511"/>
      <c r="RIK32" s="2511"/>
      <c r="RIL32" s="2511"/>
      <c r="RIM32" s="2511"/>
      <c r="RIN32" s="2511"/>
      <c r="RIO32" s="2511"/>
      <c r="RIP32" s="2511"/>
      <c r="RIQ32" s="2511"/>
      <c r="RIR32" s="2511"/>
      <c r="RIS32" s="2511"/>
      <c r="RIT32" s="2511"/>
      <c r="RIU32" s="2511"/>
      <c r="RIV32" s="2511"/>
      <c r="RIW32" s="2511"/>
      <c r="RIX32" s="2511"/>
      <c r="RIY32" s="2511"/>
      <c r="RIZ32" s="2511"/>
      <c r="RJA32" s="2511"/>
      <c r="RJB32" s="2511"/>
      <c r="RJC32" s="2511"/>
      <c r="RJD32" s="2511"/>
      <c r="RJE32" s="2511"/>
      <c r="RJF32" s="2511"/>
      <c r="RJG32" s="2511"/>
      <c r="RJH32" s="2511"/>
      <c r="RJI32" s="2511"/>
      <c r="RJJ32" s="2511"/>
      <c r="RJK32" s="2511"/>
      <c r="RJL32" s="2511"/>
      <c r="RJM32" s="2511"/>
      <c r="RJN32" s="2511"/>
      <c r="RJO32" s="2511"/>
      <c r="RJP32" s="2511"/>
      <c r="RJQ32" s="2511"/>
      <c r="RJR32" s="2511"/>
      <c r="RJS32" s="2511"/>
      <c r="RJT32" s="2511"/>
      <c r="RJU32" s="2511"/>
      <c r="RJV32" s="2511"/>
      <c r="RJW32" s="2511"/>
      <c r="RJX32" s="2511"/>
      <c r="RJY32" s="2511"/>
      <c r="RJZ32" s="2511"/>
      <c r="RKA32" s="2511"/>
      <c r="RKB32" s="2511"/>
      <c r="RKC32" s="2511"/>
      <c r="RKD32" s="2511"/>
      <c r="RKE32" s="2511"/>
      <c r="RKF32" s="2511"/>
      <c r="RKG32" s="2511"/>
      <c r="RKH32" s="2511"/>
      <c r="RKI32" s="2511"/>
      <c r="RKJ32" s="2511"/>
      <c r="RKK32" s="2511"/>
      <c r="RKL32" s="2511"/>
      <c r="RKM32" s="2511"/>
      <c r="RKN32" s="2511"/>
      <c r="RKO32" s="2511"/>
      <c r="RKP32" s="2511"/>
      <c r="RKQ32" s="2511"/>
      <c r="RKR32" s="2511"/>
      <c r="RKS32" s="2511"/>
      <c r="RKT32" s="2511"/>
      <c r="RKU32" s="2511"/>
      <c r="RKV32" s="2511"/>
      <c r="RKW32" s="2511"/>
      <c r="RKX32" s="2511"/>
      <c r="RKY32" s="2511"/>
      <c r="RKZ32" s="2511"/>
      <c r="RLA32" s="2511"/>
      <c r="RLB32" s="2511"/>
      <c r="RLC32" s="2511"/>
      <c r="RLD32" s="2511"/>
      <c r="RLE32" s="2511"/>
      <c r="RLF32" s="2511"/>
      <c r="RLG32" s="2511"/>
      <c r="RLH32" s="2511"/>
      <c r="RLI32" s="2511"/>
      <c r="RLJ32" s="2511"/>
      <c r="RLK32" s="2511"/>
      <c r="RLL32" s="2511"/>
      <c r="RLM32" s="2511"/>
      <c r="RLN32" s="2511"/>
      <c r="RLO32" s="2511"/>
      <c r="RLP32" s="2511"/>
      <c r="RLQ32" s="2511"/>
      <c r="RLR32" s="2511"/>
      <c r="RLS32" s="2511"/>
      <c r="RLT32" s="2511"/>
      <c r="RLU32" s="2511"/>
      <c r="RLV32" s="2511"/>
      <c r="RLW32" s="2511"/>
      <c r="RLX32" s="2511"/>
      <c r="RLY32" s="2511"/>
      <c r="RLZ32" s="2511"/>
      <c r="RMA32" s="2511"/>
      <c r="RMB32" s="2511"/>
      <c r="RMC32" s="2511"/>
      <c r="RMD32" s="2511"/>
      <c r="RME32" s="2511"/>
      <c r="RMF32" s="2511"/>
      <c r="RMG32" s="2511"/>
      <c r="RMH32" s="2511"/>
      <c r="RMI32" s="2511"/>
      <c r="RMJ32" s="2511"/>
      <c r="RMK32" s="2511"/>
      <c r="RML32" s="2511"/>
      <c r="RMM32" s="2511"/>
      <c r="RMN32" s="2511"/>
      <c r="RMO32" s="2511"/>
      <c r="RMP32" s="2511"/>
      <c r="RMQ32" s="2511"/>
      <c r="RMR32" s="2511"/>
      <c r="RMS32" s="2511"/>
      <c r="RMT32" s="2511"/>
      <c r="RMU32" s="2511"/>
      <c r="RMV32" s="2511"/>
      <c r="RMW32" s="2511"/>
      <c r="RMX32" s="2511"/>
      <c r="RMY32" s="2511"/>
      <c r="RMZ32" s="2511"/>
      <c r="RNA32" s="2511"/>
      <c r="RNB32" s="2511"/>
      <c r="RNC32" s="2511"/>
      <c r="RND32" s="2511"/>
      <c r="RNE32" s="2511"/>
      <c r="RNF32" s="2511"/>
      <c r="RNG32" s="2511"/>
      <c r="RNH32" s="2511"/>
      <c r="RNI32" s="2511"/>
      <c r="RNJ32" s="2511"/>
      <c r="RNK32" s="2511"/>
      <c r="RNL32" s="2511"/>
      <c r="RNM32" s="2511"/>
      <c r="RNN32" s="2511"/>
      <c r="RNO32" s="2511"/>
      <c r="RNP32" s="2511"/>
      <c r="RNQ32" s="2511"/>
      <c r="RNR32" s="2511"/>
      <c r="RNS32" s="2511"/>
      <c r="RNT32" s="2511"/>
      <c r="RNU32" s="2511"/>
      <c r="RNV32" s="2511"/>
      <c r="RNW32" s="2511"/>
      <c r="RNX32" s="2511"/>
      <c r="RNY32" s="2511"/>
      <c r="RNZ32" s="2511"/>
      <c r="ROA32" s="2511"/>
      <c r="ROB32" s="2511"/>
      <c r="ROC32" s="2511"/>
      <c r="ROD32" s="2511"/>
      <c r="ROE32" s="2511"/>
      <c r="ROF32" s="2511"/>
      <c r="ROG32" s="2511"/>
      <c r="ROH32" s="2511"/>
      <c r="ROI32" s="2511"/>
      <c r="ROJ32" s="2511"/>
      <c r="ROK32" s="2511"/>
      <c r="ROL32" s="2511"/>
      <c r="ROM32" s="2511"/>
      <c r="RON32" s="2511"/>
      <c r="ROO32" s="2511"/>
      <c r="ROP32" s="2511"/>
      <c r="ROQ32" s="2511"/>
      <c r="ROR32" s="2511"/>
      <c r="ROS32" s="2511"/>
      <c r="ROT32" s="2511"/>
      <c r="ROU32" s="2511"/>
      <c r="ROV32" s="2511"/>
      <c r="ROW32" s="2511"/>
      <c r="ROX32" s="2511"/>
      <c r="ROY32" s="2511"/>
      <c r="ROZ32" s="2511"/>
      <c r="RPA32" s="2511"/>
      <c r="RPB32" s="2511"/>
      <c r="RPC32" s="2511"/>
      <c r="RPD32" s="2511"/>
      <c r="RPE32" s="2511"/>
      <c r="RPF32" s="2511"/>
      <c r="RPG32" s="2511"/>
      <c r="RPH32" s="2511"/>
      <c r="RPI32" s="2511"/>
      <c r="RPJ32" s="2511"/>
      <c r="RPK32" s="2511"/>
      <c r="RPL32" s="2511"/>
      <c r="RPM32" s="2511"/>
      <c r="RPN32" s="2511"/>
      <c r="RPO32" s="2511"/>
      <c r="RPP32" s="2511"/>
      <c r="RPQ32" s="2511"/>
      <c r="RPR32" s="2511"/>
      <c r="RPS32" s="2511"/>
      <c r="RPT32" s="2511"/>
      <c r="RPU32" s="2511"/>
      <c r="RPV32" s="2511"/>
      <c r="RPW32" s="2511"/>
      <c r="RPX32" s="2511"/>
      <c r="RPY32" s="2511"/>
      <c r="RPZ32" s="2511"/>
      <c r="RQA32" s="2511"/>
      <c r="RQB32" s="2511"/>
      <c r="RQC32" s="2511"/>
      <c r="RQD32" s="2511"/>
      <c r="RQE32" s="2511"/>
      <c r="RQF32" s="2511"/>
      <c r="RQG32" s="2511"/>
      <c r="RQH32" s="2511"/>
      <c r="RQI32" s="2511"/>
      <c r="RQJ32" s="2511"/>
      <c r="RQK32" s="2511"/>
      <c r="RQL32" s="2511"/>
      <c r="RQM32" s="2511"/>
      <c r="RQN32" s="2511"/>
      <c r="RQO32" s="2511"/>
      <c r="RQP32" s="2511"/>
      <c r="RQQ32" s="2511"/>
      <c r="RQR32" s="2511"/>
      <c r="RQS32" s="2511"/>
      <c r="RQT32" s="2511"/>
      <c r="RQU32" s="2511"/>
      <c r="RQV32" s="2511"/>
      <c r="RQW32" s="2511"/>
      <c r="RQX32" s="2511"/>
      <c r="RQY32" s="2511"/>
      <c r="RQZ32" s="2511"/>
      <c r="RRA32" s="2511"/>
      <c r="RRB32" s="2511"/>
      <c r="RRC32" s="2511"/>
      <c r="RRD32" s="2511"/>
      <c r="RRE32" s="2511"/>
      <c r="RRF32" s="2511"/>
      <c r="RRG32" s="2511"/>
      <c r="RRH32" s="2511"/>
      <c r="RRI32" s="2511"/>
      <c r="RRJ32" s="2511"/>
      <c r="RRK32" s="2511"/>
      <c r="RRL32" s="2511"/>
      <c r="RRM32" s="2511"/>
      <c r="RRN32" s="2511"/>
      <c r="RRO32" s="2511"/>
      <c r="RRP32" s="2511"/>
      <c r="RRQ32" s="2511"/>
      <c r="RRR32" s="2511"/>
      <c r="RRS32" s="2511"/>
      <c r="RRT32" s="2511"/>
      <c r="RRU32" s="2511"/>
      <c r="RRV32" s="2511"/>
      <c r="RRW32" s="2511"/>
      <c r="RRX32" s="2511"/>
      <c r="RRY32" s="2511"/>
      <c r="RRZ32" s="2511"/>
      <c r="RSA32" s="2511"/>
      <c r="RSB32" s="2511"/>
      <c r="RSC32" s="2511"/>
      <c r="RSD32" s="2511"/>
      <c r="RSE32" s="2511"/>
      <c r="RSF32" s="2511"/>
      <c r="RSG32" s="2511"/>
      <c r="RSH32" s="2511"/>
      <c r="RSI32" s="2511"/>
      <c r="RSJ32" s="2511"/>
      <c r="RSK32" s="2511"/>
      <c r="RSL32" s="2511"/>
      <c r="RSM32" s="2511"/>
      <c r="RSN32" s="2511"/>
      <c r="RSO32" s="2511"/>
      <c r="RSP32" s="2511"/>
      <c r="RSQ32" s="2511"/>
      <c r="RSR32" s="2511"/>
      <c r="RSS32" s="2511"/>
      <c r="RST32" s="2511"/>
      <c r="RSU32" s="2511"/>
      <c r="RSV32" s="2511"/>
      <c r="RSW32" s="2511"/>
      <c r="RSX32" s="2511"/>
      <c r="RSY32" s="2511"/>
      <c r="RSZ32" s="2511"/>
      <c r="RTA32" s="2511"/>
      <c r="RTB32" s="2511"/>
      <c r="RTC32" s="2511"/>
      <c r="RTD32" s="2511"/>
      <c r="RTE32" s="2511"/>
      <c r="RTF32" s="2511"/>
      <c r="RTG32" s="2511"/>
      <c r="RTH32" s="2511"/>
      <c r="RTI32" s="2511"/>
      <c r="RTJ32" s="2511"/>
      <c r="RTK32" s="2511"/>
      <c r="RTL32" s="2511"/>
      <c r="RTM32" s="2511"/>
      <c r="RTN32" s="2511"/>
      <c r="RTO32" s="2511"/>
      <c r="RTP32" s="2511"/>
      <c r="RTQ32" s="2511"/>
      <c r="RTR32" s="2511"/>
      <c r="RTS32" s="2511"/>
      <c r="RTT32" s="2511"/>
      <c r="RTU32" s="2511"/>
      <c r="RTV32" s="2511"/>
      <c r="RTW32" s="2511"/>
      <c r="RTX32" s="2511"/>
      <c r="RTY32" s="2511"/>
      <c r="RTZ32" s="2511"/>
      <c r="RUA32" s="2511"/>
      <c r="RUB32" s="2511"/>
      <c r="RUC32" s="2511"/>
      <c r="RUD32" s="2511"/>
      <c r="RUE32" s="2511"/>
      <c r="RUF32" s="2511"/>
      <c r="RUG32" s="2511"/>
      <c r="RUH32" s="2511"/>
      <c r="RUI32" s="2511"/>
      <c r="RUJ32" s="2511"/>
      <c r="RUK32" s="2511"/>
      <c r="RUL32" s="2511"/>
      <c r="RUM32" s="2511"/>
      <c r="RUN32" s="2511"/>
      <c r="RUO32" s="2511"/>
      <c r="RUP32" s="2511"/>
      <c r="RUQ32" s="2511"/>
      <c r="RUR32" s="2511"/>
      <c r="RUS32" s="2511"/>
      <c r="RUT32" s="2511"/>
      <c r="RUU32" s="2511"/>
      <c r="RUV32" s="2511"/>
      <c r="RUW32" s="2511"/>
      <c r="RUX32" s="2511"/>
      <c r="RUY32" s="2511"/>
      <c r="RUZ32" s="2511"/>
      <c r="RVA32" s="2511"/>
      <c r="RVB32" s="2511"/>
      <c r="RVC32" s="2511"/>
      <c r="RVD32" s="2511"/>
      <c r="RVE32" s="2511"/>
      <c r="RVF32" s="2511"/>
      <c r="RVG32" s="2511"/>
      <c r="RVH32" s="2511"/>
      <c r="RVI32" s="2511"/>
      <c r="RVJ32" s="2511"/>
      <c r="RVK32" s="2511"/>
      <c r="RVL32" s="2511"/>
      <c r="RVM32" s="2511"/>
      <c r="RVN32" s="2511"/>
      <c r="RVO32" s="2511"/>
      <c r="RVP32" s="2511"/>
      <c r="RVQ32" s="2511"/>
      <c r="RVR32" s="2511"/>
      <c r="RVS32" s="2511"/>
      <c r="RVT32" s="2511"/>
      <c r="RVU32" s="2511"/>
      <c r="RVV32" s="2511"/>
      <c r="RVW32" s="2511"/>
      <c r="RVX32" s="2511"/>
      <c r="RVY32" s="2511"/>
      <c r="RVZ32" s="2511"/>
      <c r="RWA32" s="2511"/>
      <c r="RWB32" s="2511"/>
      <c r="RWC32" s="2511"/>
      <c r="RWD32" s="2511"/>
      <c r="RWE32" s="2511"/>
      <c r="RWF32" s="2511"/>
      <c r="RWG32" s="2511"/>
      <c r="RWH32" s="2511"/>
      <c r="RWI32" s="2511"/>
      <c r="RWJ32" s="2511"/>
      <c r="RWK32" s="2511"/>
      <c r="RWL32" s="2511"/>
      <c r="RWM32" s="2511"/>
      <c r="RWN32" s="2511"/>
      <c r="RWO32" s="2511"/>
      <c r="RWP32" s="2511"/>
      <c r="RWQ32" s="2511"/>
      <c r="RWR32" s="2511"/>
      <c r="RWS32" s="2511"/>
      <c r="RWT32" s="2511"/>
      <c r="RWU32" s="2511"/>
      <c r="RWV32" s="2511"/>
      <c r="RWW32" s="2511"/>
      <c r="RWX32" s="2511"/>
      <c r="RWY32" s="2511"/>
      <c r="RWZ32" s="2511"/>
      <c r="RXA32" s="2511"/>
      <c r="RXB32" s="2511"/>
      <c r="RXC32" s="2511"/>
      <c r="RXD32" s="2511"/>
      <c r="RXE32" s="2511"/>
      <c r="RXF32" s="2511"/>
      <c r="RXG32" s="2511"/>
      <c r="RXH32" s="2511"/>
      <c r="RXI32" s="2511"/>
      <c r="RXJ32" s="2511"/>
      <c r="RXK32" s="2511"/>
      <c r="RXL32" s="2511"/>
      <c r="RXM32" s="2511"/>
      <c r="RXN32" s="2511"/>
      <c r="RXO32" s="2511"/>
      <c r="RXP32" s="2511"/>
      <c r="RXQ32" s="2511"/>
      <c r="RXR32" s="2511"/>
      <c r="RXS32" s="2511"/>
      <c r="RXT32" s="2511"/>
      <c r="RXU32" s="2511"/>
      <c r="RXV32" s="2511"/>
      <c r="RXW32" s="2511"/>
      <c r="RXX32" s="2511"/>
      <c r="RXY32" s="2511"/>
      <c r="RXZ32" s="2511"/>
      <c r="RYA32" s="2511"/>
      <c r="RYB32" s="2511"/>
      <c r="RYC32" s="2511"/>
      <c r="RYD32" s="2511"/>
      <c r="RYE32" s="2511"/>
      <c r="RYF32" s="2511"/>
      <c r="RYG32" s="2511"/>
      <c r="RYH32" s="2511"/>
      <c r="RYI32" s="2511"/>
      <c r="RYJ32" s="2511"/>
      <c r="RYK32" s="2511"/>
      <c r="RYL32" s="2511"/>
      <c r="RYM32" s="2511"/>
      <c r="RYN32" s="2511"/>
      <c r="RYO32" s="2511"/>
      <c r="RYP32" s="2511"/>
      <c r="RYQ32" s="2511"/>
      <c r="RYR32" s="2511"/>
      <c r="RYS32" s="2511"/>
      <c r="RYT32" s="2511"/>
      <c r="RYU32" s="2511"/>
      <c r="RYV32" s="2511"/>
      <c r="RYW32" s="2511"/>
      <c r="RYX32" s="2511"/>
      <c r="RYY32" s="2511"/>
      <c r="RYZ32" s="2511"/>
      <c r="RZA32" s="2511"/>
      <c r="RZB32" s="2511"/>
      <c r="RZC32" s="2511"/>
      <c r="RZD32" s="2511"/>
      <c r="RZE32" s="2511"/>
      <c r="RZF32" s="2511"/>
      <c r="RZG32" s="2511"/>
      <c r="RZH32" s="2511"/>
      <c r="RZI32" s="2511"/>
      <c r="RZJ32" s="2511"/>
      <c r="RZK32" s="2511"/>
      <c r="RZL32" s="2511"/>
      <c r="RZM32" s="2511"/>
      <c r="RZN32" s="2511"/>
      <c r="RZO32" s="2511"/>
      <c r="RZP32" s="2511"/>
      <c r="RZQ32" s="2511"/>
      <c r="RZR32" s="2511"/>
      <c r="RZS32" s="2511"/>
      <c r="RZT32" s="2511"/>
      <c r="RZU32" s="2511"/>
      <c r="RZV32" s="2511"/>
      <c r="RZW32" s="2511"/>
      <c r="RZX32" s="2511"/>
      <c r="RZY32" s="2511"/>
      <c r="RZZ32" s="2511"/>
      <c r="SAA32" s="2511"/>
      <c r="SAB32" s="2511"/>
      <c r="SAC32" s="2511"/>
      <c r="SAD32" s="2511"/>
      <c r="SAE32" s="2511"/>
      <c r="SAF32" s="2511"/>
      <c r="SAG32" s="2511"/>
      <c r="SAH32" s="2511"/>
      <c r="SAI32" s="2511"/>
      <c r="SAJ32" s="2511"/>
      <c r="SAK32" s="2511"/>
      <c r="SAL32" s="2511"/>
      <c r="SAM32" s="2511"/>
      <c r="SAN32" s="2511"/>
      <c r="SAO32" s="2511"/>
      <c r="SAP32" s="2511"/>
      <c r="SAQ32" s="2511"/>
      <c r="SAR32" s="2511"/>
      <c r="SAS32" s="2511"/>
      <c r="SAT32" s="2511"/>
      <c r="SAU32" s="2511"/>
      <c r="SAV32" s="2511"/>
      <c r="SAW32" s="2511"/>
      <c r="SAX32" s="2511"/>
      <c r="SAY32" s="2511"/>
      <c r="SAZ32" s="2511"/>
      <c r="SBA32" s="2511"/>
      <c r="SBB32" s="2511"/>
      <c r="SBC32" s="2511"/>
      <c r="SBD32" s="2511"/>
      <c r="SBE32" s="2511"/>
      <c r="SBF32" s="2511"/>
      <c r="SBG32" s="2511"/>
      <c r="SBH32" s="2511"/>
      <c r="SBI32" s="2511"/>
      <c r="SBJ32" s="2511"/>
      <c r="SBK32" s="2511"/>
      <c r="SBL32" s="2511"/>
      <c r="SBM32" s="2511"/>
      <c r="SBN32" s="2511"/>
      <c r="SBO32" s="2511"/>
      <c r="SBP32" s="2511"/>
      <c r="SBQ32" s="2511"/>
      <c r="SBR32" s="2511"/>
      <c r="SBS32" s="2511"/>
      <c r="SBT32" s="2511"/>
      <c r="SBU32" s="2511"/>
      <c r="SBV32" s="2511"/>
      <c r="SBW32" s="2511"/>
      <c r="SBX32" s="2511"/>
      <c r="SBY32" s="2511"/>
      <c r="SBZ32" s="2511"/>
      <c r="SCA32" s="2511"/>
      <c r="SCB32" s="2511"/>
      <c r="SCC32" s="2511"/>
      <c r="SCD32" s="2511"/>
      <c r="SCE32" s="2511"/>
      <c r="SCF32" s="2511"/>
      <c r="SCG32" s="2511"/>
      <c r="SCH32" s="2511"/>
      <c r="SCI32" s="2511"/>
      <c r="SCJ32" s="2511"/>
      <c r="SCK32" s="2511"/>
      <c r="SCL32" s="2511"/>
      <c r="SCM32" s="2511"/>
      <c r="SCN32" s="2511"/>
      <c r="SCO32" s="2511"/>
      <c r="SCP32" s="2511"/>
      <c r="SCQ32" s="2511"/>
      <c r="SCR32" s="2511"/>
      <c r="SCS32" s="2511"/>
      <c r="SCT32" s="2511"/>
      <c r="SCU32" s="2511"/>
      <c r="SCV32" s="2511"/>
      <c r="SCW32" s="2511"/>
      <c r="SCX32" s="2511"/>
      <c r="SCY32" s="2511"/>
      <c r="SCZ32" s="2511"/>
      <c r="SDA32" s="2511"/>
      <c r="SDB32" s="2511"/>
      <c r="SDC32" s="2511"/>
      <c r="SDD32" s="2511"/>
      <c r="SDE32" s="2511"/>
      <c r="SDF32" s="2511"/>
      <c r="SDG32" s="2511"/>
      <c r="SDH32" s="2511"/>
      <c r="SDI32" s="2511"/>
      <c r="SDJ32" s="2511"/>
      <c r="SDK32" s="2511"/>
      <c r="SDL32" s="2511"/>
      <c r="SDM32" s="2511"/>
      <c r="SDN32" s="2511"/>
      <c r="SDO32" s="2511"/>
      <c r="SDP32" s="2511"/>
      <c r="SDQ32" s="2511"/>
      <c r="SDR32" s="2511"/>
      <c r="SDS32" s="2511"/>
      <c r="SDT32" s="2511"/>
      <c r="SDU32" s="2511"/>
      <c r="SDV32" s="2511"/>
      <c r="SDW32" s="2511"/>
      <c r="SDX32" s="2511"/>
      <c r="SDY32" s="2511"/>
      <c r="SDZ32" s="2511"/>
      <c r="SEA32" s="2511"/>
      <c r="SEB32" s="2511"/>
      <c r="SEC32" s="2511"/>
      <c r="SED32" s="2511"/>
      <c r="SEE32" s="2511"/>
      <c r="SEF32" s="2511"/>
      <c r="SEG32" s="2511"/>
      <c r="SEH32" s="2511"/>
      <c r="SEI32" s="2511"/>
      <c r="SEJ32" s="2511"/>
      <c r="SEK32" s="2511"/>
      <c r="SEL32" s="2511"/>
      <c r="SEM32" s="2511"/>
      <c r="SEN32" s="2511"/>
      <c r="SEO32" s="2511"/>
      <c r="SEP32" s="2511"/>
      <c r="SEQ32" s="2511"/>
      <c r="SER32" s="2511"/>
      <c r="SES32" s="2511"/>
      <c r="SET32" s="2511"/>
      <c r="SEU32" s="2511"/>
      <c r="SEV32" s="2511"/>
      <c r="SEW32" s="2511"/>
      <c r="SEX32" s="2511"/>
      <c r="SEY32" s="2511"/>
      <c r="SEZ32" s="2511"/>
      <c r="SFA32" s="2511"/>
      <c r="SFB32" s="2511"/>
      <c r="SFC32" s="2511"/>
      <c r="SFD32" s="2511"/>
      <c r="SFE32" s="2511"/>
      <c r="SFF32" s="2511"/>
      <c r="SFG32" s="2511"/>
      <c r="SFH32" s="2511"/>
      <c r="SFI32" s="2511"/>
      <c r="SFJ32" s="2511"/>
      <c r="SFK32" s="2511"/>
      <c r="SFL32" s="2511"/>
      <c r="SFM32" s="2511"/>
      <c r="SFN32" s="2511"/>
      <c r="SFO32" s="2511"/>
      <c r="SFP32" s="2511"/>
      <c r="SFQ32" s="2511"/>
      <c r="SFR32" s="2511"/>
      <c r="SFS32" s="2511"/>
      <c r="SFT32" s="2511"/>
      <c r="SFU32" s="2511"/>
      <c r="SFV32" s="2511"/>
      <c r="SFW32" s="2511"/>
      <c r="SFX32" s="2511"/>
      <c r="SFY32" s="2511"/>
      <c r="SFZ32" s="2511"/>
      <c r="SGA32" s="2511"/>
      <c r="SGB32" s="2511"/>
      <c r="SGC32" s="2511"/>
      <c r="SGD32" s="2511"/>
      <c r="SGE32" s="2511"/>
      <c r="SGF32" s="2511"/>
      <c r="SGG32" s="2511"/>
      <c r="SGH32" s="2511"/>
      <c r="SGI32" s="2511"/>
      <c r="SGJ32" s="2511"/>
      <c r="SGK32" s="2511"/>
      <c r="SGL32" s="2511"/>
      <c r="SGM32" s="2511"/>
      <c r="SGN32" s="2511"/>
      <c r="SGO32" s="2511"/>
      <c r="SGP32" s="2511"/>
      <c r="SGQ32" s="2511"/>
      <c r="SGR32" s="2511"/>
      <c r="SGS32" s="2511"/>
      <c r="SGT32" s="2511"/>
      <c r="SGU32" s="2511"/>
      <c r="SGV32" s="2511"/>
      <c r="SGW32" s="2511"/>
      <c r="SGX32" s="2511"/>
      <c r="SGY32" s="2511"/>
      <c r="SGZ32" s="2511"/>
      <c r="SHA32" s="2511"/>
      <c r="SHB32" s="2511"/>
      <c r="SHC32" s="2511"/>
      <c r="SHD32" s="2511"/>
      <c r="SHE32" s="2511"/>
      <c r="SHF32" s="2511"/>
      <c r="SHG32" s="2511"/>
      <c r="SHH32" s="2511"/>
      <c r="SHI32" s="2511"/>
      <c r="SHJ32" s="2511"/>
      <c r="SHK32" s="2511"/>
      <c r="SHL32" s="2511"/>
      <c r="SHM32" s="2511"/>
      <c r="SHN32" s="2511"/>
      <c r="SHO32" s="2511"/>
      <c r="SHP32" s="2511"/>
      <c r="SHQ32" s="2511"/>
      <c r="SHR32" s="2511"/>
      <c r="SHS32" s="2511"/>
      <c r="SHT32" s="2511"/>
      <c r="SHU32" s="2511"/>
      <c r="SHV32" s="2511"/>
      <c r="SHW32" s="2511"/>
      <c r="SHX32" s="2511"/>
      <c r="SHY32" s="2511"/>
      <c r="SHZ32" s="2511"/>
      <c r="SIA32" s="2511"/>
      <c r="SIB32" s="2511"/>
      <c r="SIC32" s="2511"/>
      <c r="SID32" s="2511"/>
      <c r="SIE32" s="2511"/>
      <c r="SIF32" s="2511"/>
      <c r="SIG32" s="2511"/>
      <c r="SIH32" s="2511"/>
      <c r="SII32" s="2511"/>
      <c r="SIJ32" s="2511"/>
      <c r="SIK32" s="2511"/>
      <c r="SIL32" s="2511"/>
      <c r="SIM32" s="2511"/>
      <c r="SIN32" s="2511"/>
      <c r="SIO32" s="2511"/>
      <c r="SIP32" s="2511"/>
      <c r="SIQ32" s="2511"/>
      <c r="SIR32" s="2511"/>
      <c r="SIS32" s="2511"/>
      <c r="SIT32" s="2511"/>
      <c r="SIU32" s="2511"/>
      <c r="SIV32" s="2511"/>
      <c r="SIW32" s="2511"/>
      <c r="SIX32" s="2511"/>
      <c r="SIY32" s="2511"/>
      <c r="SIZ32" s="2511"/>
      <c r="SJA32" s="2511"/>
      <c r="SJB32" s="2511"/>
      <c r="SJC32" s="2511"/>
      <c r="SJD32" s="2511"/>
      <c r="SJE32" s="2511"/>
      <c r="SJF32" s="2511"/>
      <c r="SJG32" s="2511"/>
      <c r="SJH32" s="2511"/>
      <c r="SJI32" s="2511"/>
      <c r="SJJ32" s="2511"/>
      <c r="SJK32" s="2511"/>
      <c r="SJL32" s="2511"/>
      <c r="SJM32" s="2511"/>
      <c r="SJN32" s="2511"/>
      <c r="SJO32" s="2511"/>
      <c r="SJP32" s="2511"/>
      <c r="SJQ32" s="2511"/>
      <c r="SJR32" s="2511"/>
      <c r="SJS32" s="2511"/>
      <c r="SJT32" s="2511"/>
      <c r="SJU32" s="2511"/>
      <c r="SJV32" s="2511"/>
      <c r="SJW32" s="2511"/>
      <c r="SJX32" s="2511"/>
      <c r="SJY32" s="2511"/>
      <c r="SJZ32" s="2511"/>
      <c r="SKA32" s="2511"/>
      <c r="SKB32" s="2511"/>
      <c r="SKC32" s="2511"/>
      <c r="SKD32" s="2511"/>
      <c r="SKE32" s="2511"/>
      <c r="SKF32" s="2511"/>
      <c r="SKG32" s="2511"/>
      <c r="SKH32" s="2511"/>
      <c r="SKI32" s="2511"/>
      <c r="SKJ32" s="2511"/>
      <c r="SKK32" s="2511"/>
      <c r="SKL32" s="2511"/>
      <c r="SKM32" s="2511"/>
      <c r="SKN32" s="2511"/>
      <c r="SKO32" s="2511"/>
      <c r="SKP32" s="2511"/>
      <c r="SKQ32" s="2511"/>
      <c r="SKR32" s="2511"/>
      <c r="SKS32" s="2511"/>
      <c r="SKT32" s="2511"/>
      <c r="SKU32" s="2511"/>
      <c r="SKV32" s="2511"/>
      <c r="SKW32" s="2511"/>
      <c r="SKX32" s="2511"/>
      <c r="SKY32" s="2511"/>
      <c r="SKZ32" s="2511"/>
      <c r="SLA32" s="2511"/>
      <c r="SLB32" s="2511"/>
      <c r="SLC32" s="2511"/>
      <c r="SLD32" s="2511"/>
      <c r="SLE32" s="2511"/>
      <c r="SLF32" s="2511"/>
      <c r="SLG32" s="2511"/>
      <c r="SLH32" s="2511"/>
      <c r="SLI32" s="2511"/>
      <c r="SLJ32" s="2511"/>
      <c r="SLK32" s="2511"/>
      <c r="SLL32" s="2511"/>
      <c r="SLM32" s="2511"/>
      <c r="SLN32" s="2511"/>
      <c r="SLO32" s="2511"/>
      <c r="SLP32" s="2511"/>
      <c r="SLQ32" s="2511"/>
      <c r="SLR32" s="2511"/>
      <c r="SLS32" s="2511"/>
      <c r="SLT32" s="2511"/>
      <c r="SLU32" s="2511"/>
      <c r="SLV32" s="2511"/>
      <c r="SLW32" s="2511"/>
      <c r="SLX32" s="2511"/>
      <c r="SLY32" s="2511"/>
      <c r="SLZ32" s="2511"/>
      <c r="SMA32" s="2511"/>
      <c r="SMB32" s="2511"/>
      <c r="SMC32" s="2511"/>
      <c r="SMD32" s="2511"/>
      <c r="SME32" s="2511"/>
      <c r="SMF32" s="2511"/>
      <c r="SMG32" s="2511"/>
      <c r="SMH32" s="2511"/>
      <c r="SMI32" s="2511"/>
      <c r="SMJ32" s="2511"/>
      <c r="SMK32" s="2511"/>
      <c r="SML32" s="2511"/>
      <c r="SMM32" s="2511"/>
      <c r="SMN32" s="2511"/>
      <c r="SMO32" s="2511"/>
      <c r="SMP32" s="2511"/>
      <c r="SMQ32" s="2511"/>
      <c r="SMR32" s="2511"/>
      <c r="SMS32" s="2511"/>
      <c r="SMT32" s="2511"/>
      <c r="SMU32" s="2511"/>
      <c r="SMV32" s="2511"/>
      <c r="SMW32" s="2511"/>
      <c r="SMX32" s="2511"/>
      <c r="SMY32" s="2511"/>
      <c r="SMZ32" s="2511"/>
      <c r="SNA32" s="2511"/>
      <c r="SNB32" s="2511"/>
      <c r="SNC32" s="2511"/>
      <c r="SND32" s="2511"/>
      <c r="SNE32" s="2511"/>
      <c r="SNF32" s="2511"/>
      <c r="SNG32" s="2511"/>
      <c r="SNH32" s="2511"/>
      <c r="SNI32" s="2511"/>
      <c r="SNJ32" s="2511"/>
      <c r="SNK32" s="2511"/>
      <c r="SNL32" s="2511"/>
      <c r="SNM32" s="2511"/>
      <c r="SNN32" s="2511"/>
      <c r="SNO32" s="2511"/>
      <c r="SNP32" s="2511"/>
      <c r="SNQ32" s="2511"/>
      <c r="SNR32" s="2511"/>
      <c r="SNS32" s="2511"/>
      <c r="SNT32" s="2511"/>
      <c r="SNU32" s="2511"/>
      <c r="SNV32" s="2511"/>
      <c r="SNW32" s="2511"/>
      <c r="SNX32" s="2511"/>
      <c r="SNY32" s="2511"/>
      <c r="SNZ32" s="2511"/>
      <c r="SOA32" s="2511"/>
      <c r="SOB32" s="2511"/>
      <c r="SOC32" s="2511"/>
      <c r="SOD32" s="2511"/>
      <c r="SOE32" s="2511"/>
      <c r="SOF32" s="2511"/>
      <c r="SOG32" s="2511"/>
      <c r="SOH32" s="2511"/>
      <c r="SOI32" s="2511"/>
      <c r="SOJ32" s="2511"/>
      <c r="SOK32" s="2511"/>
      <c r="SOL32" s="2511"/>
      <c r="SOM32" s="2511"/>
      <c r="SON32" s="2511"/>
      <c r="SOO32" s="2511"/>
      <c r="SOP32" s="2511"/>
      <c r="SOQ32" s="2511"/>
      <c r="SOR32" s="2511"/>
      <c r="SOS32" s="2511"/>
      <c r="SOT32" s="2511"/>
      <c r="SOU32" s="2511"/>
      <c r="SOV32" s="2511"/>
      <c r="SOW32" s="2511"/>
      <c r="SOX32" s="2511"/>
      <c r="SOY32" s="2511"/>
      <c r="SOZ32" s="2511"/>
      <c r="SPA32" s="2511"/>
      <c r="SPB32" s="2511"/>
      <c r="SPC32" s="2511"/>
      <c r="SPD32" s="2511"/>
      <c r="SPE32" s="2511"/>
      <c r="SPF32" s="2511"/>
      <c r="SPG32" s="2511"/>
      <c r="SPH32" s="2511"/>
      <c r="SPI32" s="2511"/>
      <c r="SPJ32" s="2511"/>
      <c r="SPK32" s="2511"/>
      <c r="SPL32" s="2511"/>
      <c r="SPM32" s="2511"/>
      <c r="SPN32" s="2511"/>
      <c r="SPO32" s="2511"/>
      <c r="SPP32" s="2511"/>
      <c r="SPQ32" s="2511"/>
      <c r="SPR32" s="2511"/>
      <c r="SPS32" s="2511"/>
      <c r="SPT32" s="2511"/>
      <c r="SPU32" s="2511"/>
      <c r="SPV32" s="2511"/>
      <c r="SPW32" s="2511"/>
      <c r="SPX32" s="2511"/>
      <c r="SPY32" s="2511"/>
      <c r="SPZ32" s="2511"/>
      <c r="SQA32" s="2511"/>
      <c r="SQB32" s="2511"/>
      <c r="SQC32" s="2511"/>
      <c r="SQD32" s="2511"/>
      <c r="SQE32" s="2511"/>
      <c r="SQF32" s="2511"/>
      <c r="SQG32" s="2511"/>
      <c r="SQH32" s="2511"/>
      <c r="SQI32" s="2511"/>
      <c r="SQJ32" s="2511"/>
      <c r="SQK32" s="2511"/>
      <c r="SQL32" s="2511"/>
      <c r="SQM32" s="2511"/>
      <c r="SQN32" s="2511"/>
      <c r="SQO32" s="2511"/>
      <c r="SQP32" s="2511"/>
      <c r="SQQ32" s="2511"/>
      <c r="SQR32" s="2511"/>
      <c r="SQS32" s="2511"/>
      <c r="SQT32" s="2511"/>
      <c r="SQU32" s="2511"/>
      <c r="SQV32" s="2511"/>
      <c r="SQW32" s="2511"/>
      <c r="SQX32" s="2511"/>
      <c r="SQY32" s="2511"/>
      <c r="SQZ32" s="2511"/>
      <c r="SRA32" s="2511"/>
      <c r="SRB32" s="2511"/>
      <c r="SRC32" s="2511"/>
      <c r="SRD32" s="2511"/>
      <c r="SRE32" s="2511"/>
      <c r="SRF32" s="2511"/>
      <c r="SRG32" s="2511"/>
      <c r="SRH32" s="2511"/>
      <c r="SRI32" s="2511"/>
      <c r="SRJ32" s="2511"/>
      <c r="SRK32" s="2511"/>
      <c r="SRL32" s="2511"/>
      <c r="SRM32" s="2511"/>
      <c r="SRN32" s="2511"/>
      <c r="SRO32" s="2511"/>
      <c r="SRP32" s="2511"/>
      <c r="SRQ32" s="2511"/>
      <c r="SRR32" s="2511"/>
      <c r="SRS32" s="2511"/>
      <c r="SRT32" s="2511"/>
      <c r="SRU32" s="2511"/>
      <c r="SRV32" s="2511"/>
      <c r="SRW32" s="2511"/>
      <c r="SRX32" s="2511"/>
      <c r="SRY32" s="2511"/>
      <c r="SRZ32" s="2511"/>
      <c r="SSA32" s="2511"/>
      <c r="SSB32" s="2511"/>
      <c r="SSC32" s="2511"/>
      <c r="SSD32" s="2511"/>
      <c r="SSE32" s="2511"/>
      <c r="SSF32" s="2511"/>
      <c r="SSG32" s="2511"/>
      <c r="SSH32" s="2511"/>
      <c r="SSI32" s="2511"/>
      <c r="SSJ32" s="2511"/>
      <c r="SSK32" s="2511"/>
      <c r="SSL32" s="2511"/>
      <c r="SSM32" s="2511"/>
      <c r="SSN32" s="2511"/>
      <c r="SSO32" s="2511"/>
      <c r="SSP32" s="2511"/>
      <c r="SSQ32" s="2511"/>
      <c r="SSR32" s="2511"/>
      <c r="SSS32" s="2511"/>
      <c r="SST32" s="2511"/>
      <c r="SSU32" s="2511"/>
      <c r="SSV32" s="2511"/>
      <c r="SSW32" s="2511"/>
      <c r="SSX32" s="2511"/>
      <c r="SSY32" s="2511"/>
      <c r="SSZ32" s="2511"/>
      <c r="STA32" s="2511"/>
      <c r="STB32" s="2511"/>
      <c r="STC32" s="2511"/>
      <c r="STD32" s="2511"/>
      <c r="STE32" s="2511"/>
      <c r="STF32" s="2511"/>
      <c r="STG32" s="2511"/>
      <c r="STH32" s="2511"/>
      <c r="STI32" s="2511"/>
      <c r="STJ32" s="2511"/>
      <c r="STK32" s="2511"/>
      <c r="STL32" s="2511"/>
      <c r="STM32" s="2511"/>
      <c r="STN32" s="2511"/>
      <c r="STO32" s="2511"/>
      <c r="STP32" s="2511"/>
      <c r="STQ32" s="2511"/>
      <c r="STR32" s="2511"/>
      <c r="STS32" s="2511"/>
      <c r="STT32" s="2511"/>
      <c r="STU32" s="2511"/>
      <c r="STV32" s="2511"/>
      <c r="STW32" s="2511"/>
      <c r="STX32" s="2511"/>
      <c r="STY32" s="2511"/>
      <c r="STZ32" s="2511"/>
      <c r="SUA32" s="2511"/>
      <c r="SUB32" s="2511"/>
      <c r="SUC32" s="2511"/>
      <c r="SUD32" s="2511"/>
      <c r="SUE32" s="2511"/>
      <c r="SUF32" s="2511"/>
      <c r="SUG32" s="2511"/>
      <c r="SUH32" s="2511"/>
      <c r="SUI32" s="2511"/>
      <c r="SUJ32" s="2511"/>
      <c r="SUK32" s="2511"/>
      <c r="SUL32" s="2511"/>
      <c r="SUM32" s="2511"/>
      <c r="SUN32" s="2511"/>
      <c r="SUO32" s="2511"/>
      <c r="SUP32" s="2511"/>
      <c r="SUQ32" s="2511"/>
      <c r="SUR32" s="2511"/>
      <c r="SUS32" s="2511"/>
      <c r="SUT32" s="2511"/>
      <c r="SUU32" s="2511"/>
      <c r="SUV32" s="2511"/>
      <c r="SUW32" s="2511"/>
      <c r="SUX32" s="2511"/>
      <c r="SUY32" s="2511"/>
      <c r="SUZ32" s="2511"/>
      <c r="SVA32" s="2511"/>
      <c r="SVB32" s="2511"/>
      <c r="SVC32" s="2511"/>
      <c r="SVD32" s="2511"/>
      <c r="SVE32" s="2511"/>
      <c r="SVF32" s="2511"/>
      <c r="SVG32" s="2511"/>
      <c r="SVH32" s="2511"/>
      <c r="SVI32" s="2511"/>
      <c r="SVJ32" s="2511"/>
      <c r="SVK32" s="2511"/>
      <c r="SVL32" s="2511"/>
      <c r="SVM32" s="2511"/>
      <c r="SVN32" s="2511"/>
      <c r="SVO32" s="2511"/>
      <c r="SVP32" s="2511"/>
      <c r="SVQ32" s="2511"/>
      <c r="SVR32" s="2511"/>
      <c r="SVS32" s="2511"/>
      <c r="SVT32" s="2511"/>
      <c r="SVU32" s="2511"/>
      <c r="SVV32" s="2511"/>
      <c r="SVW32" s="2511"/>
      <c r="SVX32" s="2511"/>
      <c r="SVY32" s="2511"/>
      <c r="SVZ32" s="2511"/>
      <c r="SWA32" s="2511"/>
      <c r="SWB32" s="2511"/>
      <c r="SWC32" s="2511"/>
      <c r="SWD32" s="2511"/>
      <c r="SWE32" s="2511"/>
      <c r="SWF32" s="2511"/>
      <c r="SWG32" s="2511"/>
      <c r="SWH32" s="2511"/>
      <c r="SWI32" s="2511"/>
      <c r="SWJ32" s="2511"/>
      <c r="SWK32" s="2511"/>
      <c r="SWL32" s="2511"/>
      <c r="SWM32" s="2511"/>
      <c r="SWN32" s="2511"/>
      <c r="SWO32" s="2511"/>
      <c r="SWP32" s="2511"/>
      <c r="SWQ32" s="2511"/>
      <c r="SWR32" s="2511"/>
      <c r="SWS32" s="2511"/>
      <c r="SWT32" s="2511"/>
      <c r="SWU32" s="2511"/>
      <c r="SWV32" s="2511"/>
      <c r="SWW32" s="2511"/>
      <c r="SWX32" s="2511"/>
      <c r="SWY32" s="2511"/>
      <c r="SWZ32" s="2511"/>
      <c r="SXA32" s="2511"/>
      <c r="SXB32" s="2511"/>
      <c r="SXC32" s="2511"/>
      <c r="SXD32" s="2511"/>
      <c r="SXE32" s="2511"/>
      <c r="SXF32" s="2511"/>
      <c r="SXG32" s="2511"/>
      <c r="SXH32" s="2511"/>
      <c r="SXI32" s="2511"/>
      <c r="SXJ32" s="2511"/>
      <c r="SXK32" s="2511"/>
      <c r="SXL32" s="2511"/>
      <c r="SXM32" s="2511"/>
      <c r="SXN32" s="2511"/>
      <c r="SXO32" s="2511"/>
      <c r="SXP32" s="2511"/>
      <c r="SXQ32" s="2511"/>
      <c r="SXR32" s="2511"/>
      <c r="SXS32" s="2511"/>
      <c r="SXT32" s="2511"/>
      <c r="SXU32" s="2511"/>
      <c r="SXV32" s="2511"/>
      <c r="SXW32" s="2511"/>
      <c r="SXX32" s="2511"/>
      <c r="SXY32" s="2511"/>
      <c r="SXZ32" s="2511"/>
      <c r="SYA32" s="2511"/>
      <c r="SYB32" s="2511"/>
      <c r="SYC32" s="2511"/>
      <c r="SYD32" s="2511"/>
      <c r="SYE32" s="2511"/>
      <c r="SYF32" s="2511"/>
      <c r="SYG32" s="2511"/>
      <c r="SYH32" s="2511"/>
      <c r="SYI32" s="2511"/>
      <c r="SYJ32" s="2511"/>
      <c r="SYK32" s="2511"/>
      <c r="SYL32" s="2511"/>
      <c r="SYM32" s="2511"/>
      <c r="SYN32" s="2511"/>
      <c r="SYO32" s="2511"/>
      <c r="SYP32" s="2511"/>
      <c r="SYQ32" s="2511"/>
      <c r="SYR32" s="2511"/>
      <c r="SYS32" s="2511"/>
      <c r="SYT32" s="2511"/>
      <c r="SYU32" s="2511"/>
      <c r="SYV32" s="2511"/>
      <c r="SYW32" s="2511"/>
      <c r="SYX32" s="2511"/>
      <c r="SYY32" s="2511"/>
      <c r="SYZ32" s="2511"/>
      <c r="SZA32" s="2511"/>
      <c r="SZB32" s="2511"/>
      <c r="SZC32" s="2511"/>
      <c r="SZD32" s="2511"/>
      <c r="SZE32" s="2511"/>
      <c r="SZF32" s="2511"/>
      <c r="SZG32" s="2511"/>
      <c r="SZH32" s="2511"/>
      <c r="SZI32" s="2511"/>
      <c r="SZJ32" s="2511"/>
      <c r="SZK32" s="2511"/>
      <c r="SZL32" s="2511"/>
      <c r="SZM32" s="2511"/>
      <c r="SZN32" s="2511"/>
      <c r="SZO32" s="2511"/>
      <c r="SZP32" s="2511"/>
      <c r="SZQ32" s="2511"/>
      <c r="SZR32" s="2511"/>
      <c r="SZS32" s="2511"/>
      <c r="SZT32" s="2511"/>
      <c r="SZU32" s="2511"/>
      <c r="SZV32" s="2511"/>
      <c r="SZW32" s="2511"/>
      <c r="SZX32" s="2511"/>
      <c r="SZY32" s="2511"/>
      <c r="SZZ32" s="2511"/>
      <c r="TAA32" s="2511"/>
      <c r="TAB32" s="2511"/>
      <c r="TAC32" s="2511"/>
      <c r="TAD32" s="2511"/>
      <c r="TAE32" s="2511"/>
      <c r="TAF32" s="2511"/>
      <c r="TAG32" s="2511"/>
      <c r="TAH32" s="2511"/>
      <c r="TAI32" s="2511"/>
      <c r="TAJ32" s="2511"/>
      <c r="TAK32" s="2511"/>
      <c r="TAL32" s="2511"/>
      <c r="TAM32" s="2511"/>
      <c r="TAN32" s="2511"/>
      <c r="TAO32" s="2511"/>
      <c r="TAP32" s="2511"/>
      <c r="TAQ32" s="2511"/>
      <c r="TAR32" s="2511"/>
      <c r="TAS32" s="2511"/>
      <c r="TAT32" s="2511"/>
      <c r="TAU32" s="2511"/>
      <c r="TAV32" s="2511"/>
      <c r="TAW32" s="2511"/>
      <c r="TAX32" s="2511"/>
      <c r="TAY32" s="2511"/>
      <c r="TAZ32" s="2511"/>
      <c r="TBA32" s="2511"/>
      <c r="TBB32" s="2511"/>
      <c r="TBC32" s="2511"/>
      <c r="TBD32" s="2511"/>
      <c r="TBE32" s="2511"/>
      <c r="TBF32" s="2511"/>
      <c r="TBG32" s="2511"/>
      <c r="TBH32" s="2511"/>
      <c r="TBI32" s="2511"/>
      <c r="TBJ32" s="2511"/>
      <c r="TBK32" s="2511"/>
      <c r="TBL32" s="2511"/>
      <c r="TBM32" s="2511"/>
      <c r="TBN32" s="2511"/>
      <c r="TBO32" s="2511"/>
      <c r="TBP32" s="2511"/>
      <c r="TBQ32" s="2511"/>
      <c r="TBR32" s="2511"/>
      <c r="TBS32" s="2511"/>
      <c r="TBT32" s="2511"/>
      <c r="TBU32" s="2511"/>
      <c r="TBV32" s="2511"/>
      <c r="TBW32" s="2511"/>
      <c r="TBX32" s="2511"/>
      <c r="TBY32" s="2511"/>
      <c r="TBZ32" s="2511"/>
      <c r="TCA32" s="2511"/>
      <c r="TCB32" s="2511"/>
      <c r="TCC32" s="2511"/>
      <c r="TCD32" s="2511"/>
      <c r="TCE32" s="2511"/>
      <c r="TCF32" s="2511"/>
      <c r="TCG32" s="2511"/>
      <c r="TCH32" s="2511"/>
      <c r="TCI32" s="2511"/>
      <c r="TCJ32" s="2511"/>
      <c r="TCK32" s="2511"/>
      <c r="TCL32" s="2511"/>
      <c r="TCM32" s="2511"/>
      <c r="TCN32" s="2511"/>
      <c r="TCO32" s="2511"/>
      <c r="TCP32" s="2511"/>
      <c r="TCQ32" s="2511"/>
      <c r="TCR32" s="2511"/>
      <c r="TCS32" s="2511"/>
      <c r="TCT32" s="2511"/>
      <c r="TCU32" s="2511"/>
      <c r="TCV32" s="2511"/>
      <c r="TCW32" s="2511"/>
      <c r="TCX32" s="2511"/>
      <c r="TCY32" s="2511"/>
      <c r="TCZ32" s="2511"/>
      <c r="TDA32" s="2511"/>
      <c r="TDB32" s="2511"/>
      <c r="TDC32" s="2511"/>
      <c r="TDD32" s="2511"/>
      <c r="TDE32" s="2511"/>
      <c r="TDF32" s="2511"/>
      <c r="TDG32" s="2511"/>
      <c r="TDH32" s="2511"/>
      <c r="TDI32" s="2511"/>
      <c r="TDJ32" s="2511"/>
      <c r="TDK32" s="2511"/>
      <c r="TDL32" s="2511"/>
      <c r="TDM32" s="2511"/>
      <c r="TDN32" s="2511"/>
      <c r="TDO32" s="2511"/>
      <c r="TDP32" s="2511"/>
      <c r="TDQ32" s="2511"/>
      <c r="TDR32" s="2511"/>
      <c r="TDS32" s="2511"/>
      <c r="TDT32" s="2511"/>
      <c r="TDU32" s="2511"/>
      <c r="TDV32" s="2511"/>
      <c r="TDW32" s="2511"/>
      <c r="TDX32" s="2511"/>
      <c r="TDY32" s="2511"/>
      <c r="TDZ32" s="2511"/>
      <c r="TEA32" s="2511"/>
      <c r="TEB32" s="2511"/>
      <c r="TEC32" s="2511"/>
      <c r="TED32" s="2511"/>
      <c r="TEE32" s="2511"/>
      <c r="TEF32" s="2511"/>
      <c r="TEG32" s="2511"/>
      <c r="TEH32" s="2511"/>
      <c r="TEI32" s="2511"/>
      <c r="TEJ32" s="2511"/>
      <c r="TEK32" s="2511"/>
      <c r="TEL32" s="2511"/>
      <c r="TEM32" s="2511"/>
      <c r="TEN32" s="2511"/>
      <c r="TEO32" s="2511"/>
      <c r="TEP32" s="2511"/>
      <c r="TEQ32" s="2511"/>
      <c r="TER32" s="2511"/>
      <c r="TES32" s="2511"/>
      <c r="TET32" s="2511"/>
      <c r="TEU32" s="2511"/>
      <c r="TEV32" s="2511"/>
      <c r="TEW32" s="2511"/>
      <c r="TEX32" s="2511"/>
      <c r="TEY32" s="2511"/>
      <c r="TEZ32" s="2511"/>
      <c r="TFA32" s="2511"/>
      <c r="TFB32" s="2511"/>
      <c r="TFC32" s="2511"/>
      <c r="TFD32" s="2511"/>
      <c r="TFE32" s="2511"/>
      <c r="TFF32" s="2511"/>
      <c r="TFG32" s="2511"/>
      <c r="TFH32" s="2511"/>
      <c r="TFI32" s="2511"/>
      <c r="TFJ32" s="2511"/>
      <c r="TFK32" s="2511"/>
      <c r="TFL32" s="2511"/>
      <c r="TFM32" s="2511"/>
      <c r="TFN32" s="2511"/>
      <c r="TFO32" s="2511"/>
      <c r="TFP32" s="2511"/>
      <c r="TFQ32" s="2511"/>
      <c r="TFR32" s="2511"/>
      <c r="TFS32" s="2511"/>
      <c r="TFT32" s="2511"/>
      <c r="TFU32" s="2511"/>
      <c r="TFV32" s="2511"/>
      <c r="TFW32" s="2511"/>
      <c r="TFX32" s="2511"/>
      <c r="TFY32" s="2511"/>
      <c r="TFZ32" s="2511"/>
      <c r="TGA32" s="2511"/>
      <c r="TGB32" s="2511"/>
      <c r="TGC32" s="2511"/>
      <c r="TGD32" s="2511"/>
      <c r="TGE32" s="2511"/>
      <c r="TGF32" s="2511"/>
      <c r="TGG32" s="2511"/>
      <c r="TGH32" s="2511"/>
      <c r="TGI32" s="2511"/>
      <c r="TGJ32" s="2511"/>
      <c r="TGK32" s="2511"/>
      <c r="TGL32" s="2511"/>
      <c r="TGM32" s="2511"/>
      <c r="TGN32" s="2511"/>
      <c r="TGO32" s="2511"/>
      <c r="TGP32" s="2511"/>
      <c r="TGQ32" s="2511"/>
      <c r="TGR32" s="2511"/>
      <c r="TGS32" s="2511"/>
      <c r="TGT32" s="2511"/>
      <c r="TGU32" s="2511"/>
      <c r="TGV32" s="2511"/>
      <c r="TGW32" s="2511"/>
      <c r="TGX32" s="2511"/>
      <c r="TGY32" s="2511"/>
      <c r="TGZ32" s="2511"/>
      <c r="THA32" s="2511"/>
      <c r="THB32" s="2511"/>
      <c r="THC32" s="2511"/>
      <c r="THD32" s="2511"/>
      <c r="THE32" s="2511"/>
      <c r="THF32" s="2511"/>
      <c r="THG32" s="2511"/>
      <c r="THH32" s="2511"/>
      <c r="THI32" s="2511"/>
      <c r="THJ32" s="2511"/>
      <c r="THK32" s="2511"/>
      <c r="THL32" s="2511"/>
      <c r="THM32" s="2511"/>
      <c r="THN32" s="2511"/>
      <c r="THO32" s="2511"/>
      <c r="THP32" s="2511"/>
      <c r="THQ32" s="2511"/>
      <c r="THR32" s="2511"/>
      <c r="THS32" s="2511"/>
      <c r="THT32" s="2511"/>
      <c r="THU32" s="2511"/>
      <c r="THV32" s="2511"/>
      <c r="THW32" s="2511"/>
      <c r="THX32" s="2511"/>
      <c r="THY32" s="2511"/>
      <c r="THZ32" s="2511"/>
      <c r="TIA32" s="2511"/>
      <c r="TIB32" s="2511"/>
      <c r="TIC32" s="2511"/>
      <c r="TID32" s="2511"/>
      <c r="TIE32" s="2511"/>
      <c r="TIF32" s="2511"/>
      <c r="TIG32" s="2511"/>
      <c r="TIH32" s="2511"/>
      <c r="TII32" s="2511"/>
      <c r="TIJ32" s="2511"/>
      <c r="TIK32" s="2511"/>
      <c r="TIL32" s="2511"/>
      <c r="TIM32" s="2511"/>
      <c r="TIN32" s="2511"/>
      <c r="TIO32" s="2511"/>
      <c r="TIP32" s="2511"/>
      <c r="TIQ32" s="2511"/>
      <c r="TIR32" s="2511"/>
      <c r="TIS32" s="2511"/>
      <c r="TIT32" s="2511"/>
      <c r="TIU32" s="2511"/>
      <c r="TIV32" s="2511"/>
      <c r="TIW32" s="2511"/>
      <c r="TIX32" s="2511"/>
      <c r="TIY32" s="2511"/>
      <c r="TIZ32" s="2511"/>
      <c r="TJA32" s="2511"/>
      <c r="TJB32" s="2511"/>
      <c r="TJC32" s="2511"/>
      <c r="TJD32" s="2511"/>
      <c r="TJE32" s="2511"/>
      <c r="TJF32" s="2511"/>
      <c r="TJG32" s="2511"/>
      <c r="TJH32" s="2511"/>
      <c r="TJI32" s="2511"/>
      <c r="TJJ32" s="2511"/>
      <c r="TJK32" s="2511"/>
      <c r="TJL32" s="2511"/>
      <c r="TJM32" s="2511"/>
      <c r="TJN32" s="2511"/>
      <c r="TJO32" s="2511"/>
      <c r="TJP32" s="2511"/>
      <c r="TJQ32" s="2511"/>
      <c r="TJR32" s="2511"/>
      <c r="TJS32" s="2511"/>
      <c r="TJT32" s="2511"/>
      <c r="TJU32" s="2511"/>
      <c r="TJV32" s="2511"/>
      <c r="TJW32" s="2511"/>
      <c r="TJX32" s="2511"/>
      <c r="TJY32" s="2511"/>
      <c r="TJZ32" s="2511"/>
      <c r="TKA32" s="2511"/>
      <c r="TKB32" s="2511"/>
      <c r="TKC32" s="2511"/>
      <c r="TKD32" s="2511"/>
      <c r="TKE32" s="2511"/>
      <c r="TKF32" s="2511"/>
      <c r="TKG32" s="2511"/>
      <c r="TKH32" s="2511"/>
      <c r="TKI32" s="2511"/>
      <c r="TKJ32" s="2511"/>
      <c r="TKK32" s="2511"/>
      <c r="TKL32" s="2511"/>
      <c r="TKM32" s="2511"/>
      <c r="TKN32" s="2511"/>
      <c r="TKO32" s="2511"/>
      <c r="TKP32" s="2511"/>
      <c r="TKQ32" s="2511"/>
      <c r="TKR32" s="2511"/>
      <c r="TKS32" s="2511"/>
      <c r="TKT32" s="2511"/>
      <c r="TKU32" s="2511"/>
      <c r="TKV32" s="2511"/>
      <c r="TKW32" s="2511"/>
      <c r="TKX32" s="2511"/>
      <c r="TKY32" s="2511"/>
      <c r="TKZ32" s="2511"/>
      <c r="TLA32" s="2511"/>
      <c r="TLB32" s="2511"/>
      <c r="TLC32" s="2511"/>
      <c r="TLD32" s="2511"/>
      <c r="TLE32" s="2511"/>
      <c r="TLF32" s="2511"/>
      <c r="TLG32" s="2511"/>
      <c r="TLH32" s="2511"/>
      <c r="TLI32" s="2511"/>
      <c r="TLJ32" s="2511"/>
      <c r="TLK32" s="2511"/>
      <c r="TLL32" s="2511"/>
      <c r="TLM32" s="2511"/>
      <c r="TLN32" s="2511"/>
      <c r="TLO32" s="2511"/>
      <c r="TLP32" s="2511"/>
      <c r="TLQ32" s="2511"/>
      <c r="TLR32" s="2511"/>
      <c r="TLS32" s="2511"/>
      <c r="TLT32" s="2511"/>
      <c r="TLU32" s="2511"/>
      <c r="TLV32" s="2511"/>
      <c r="TLW32" s="2511"/>
      <c r="TLX32" s="2511"/>
      <c r="TLY32" s="2511"/>
      <c r="TLZ32" s="2511"/>
      <c r="TMA32" s="2511"/>
      <c r="TMB32" s="2511"/>
      <c r="TMC32" s="2511"/>
      <c r="TMD32" s="2511"/>
      <c r="TME32" s="2511"/>
      <c r="TMF32" s="2511"/>
      <c r="TMG32" s="2511"/>
      <c r="TMH32" s="2511"/>
      <c r="TMI32" s="2511"/>
      <c r="TMJ32" s="2511"/>
      <c r="TMK32" s="2511"/>
      <c r="TML32" s="2511"/>
      <c r="TMM32" s="2511"/>
      <c r="TMN32" s="2511"/>
      <c r="TMO32" s="2511"/>
      <c r="TMP32" s="2511"/>
      <c r="TMQ32" s="2511"/>
      <c r="TMR32" s="2511"/>
      <c r="TMS32" s="2511"/>
      <c r="TMT32" s="2511"/>
      <c r="TMU32" s="2511"/>
      <c r="TMV32" s="2511"/>
      <c r="TMW32" s="2511"/>
      <c r="TMX32" s="2511"/>
      <c r="TMY32" s="2511"/>
      <c r="TMZ32" s="2511"/>
      <c r="TNA32" s="2511"/>
      <c r="TNB32" s="2511"/>
      <c r="TNC32" s="2511"/>
      <c r="TND32" s="2511"/>
      <c r="TNE32" s="2511"/>
      <c r="TNF32" s="2511"/>
      <c r="TNG32" s="2511"/>
      <c r="TNH32" s="2511"/>
      <c r="TNI32" s="2511"/>
      <c r="TNJ32" s="2511"/>
      <c r="TNK32" s="2511"/>
      <c r="TNL32" s="2511"/>
      <c r="TNM32" s="2511"/>
      <c r="TNN32" s="2511"/>
      <c r="TNO32" s="2511"/>
      <c r="TNP32" s="2511"/>
      <c r="TNQ32" s="2511"/>
      <c r="TNR32" s="2511"/>
      <c r="TNS32" s="2511"/>
      <c r="TNT32" s="2511"/>
      <c r="TNU32" s="2511"/>
      <c r="TNV32" s="2511"/>
      <c r="TNW32" s="2511"/>
      <c r="TNX32" s="2511"/>
      <c r="TNY32" s="2511"/>
      <c r="TNZ32" s="2511"/>
      <c r="TOA32" s="2511"/>
      <c r="TOB32" s="2511"/>
      <c r="TOC32" s="2511"/>
      <c r="TOD32" s="2511"/>
      <c r="TOE32" s="2511"/>
      <c r="TOF32" s="2511"/>
      <c r="TOG32" s="2511"/>
      <c r="TOH32" s="2511"/>
      <c r="TOI32" s="2511"/>
      <c r="TOJ32" s="2511"/>
      <c r="TOK32" s="2511"/>
      <c r="TOL32" s="2511"/>
      <c r="TOM32" s="2511"/>
      <c r="TON32" s="2511"/>
      <c r="TOO32" s="2511"/>
      <c r="TOP32" s="2511"/>
      <c r="TOQ32" s="2511"/>
      <c r="TOR32" s="2511"/>
      <c r="TOS32" s="2511"/>
      <c r="TOT32" s="2511"/>
      <c r="TOU32" s="2511"/>
      <c r="TOV32" s="2511"/>
      <c r="TOW32" s="2511"/>
      <c r="TOX32" s="2511"/>
      <c r="TOY32" s="2511"/>
      <c r="TOZ32" s="2511"/>
      <c r="TPA32" s="2511"/>
      <c r="TPB32" s="2511"/>
      <c r="TPC32" s="2511"/>
      <c r="TPD32" s="2511"/>
      <c r="TPE32" s="2511"/>
      <c r="TPF32" s="2511"/>
      <c r="TPG32" s="2511"/>
      <c r="TPH32" s="2511"/>
      <c r="TPI32" s="2511"/>
      <c r="TPJ32" s="2511"/>
      <c r="TPK32" s="2511"/>
      <c r="TPL32" s="2511"/>
      <c r="TPM32" s="2511"/>
      <c r="TPN32" s="2511"/>
      <c r="TPO32" s="2511"/>
      <c r="TPP32" s="2511"/>
      <c r="TPQ32" s="2511"/>
      <c r="TPR32" s="2511"/>
      <c r="TPS32" s="2511"/>
      <c r="TPT32" s="2511"/>
      <c r="TPU32" s="2511"/>
      <c r="TPV32" s="2511"/>
      <c r="TPW32" s="2511"/>
      <c r="TPX32" s="2511"/>
      <c r="TPY32" s="2511"/>
      <c r="TPZ32" s="2511"/>
      <c r="TQA32" s="2511"/>
      <c r="TQB32" s="2511"/>
      <c r="TQC32" s="2511"/>
      <c r="TQD32" s="2511"/>
      <c r="TQE32" s="2511"/>
      <c r="TQF32" s="2511"/>
      <c r="TQG32" s="2511"/>
      <c r="TQH32" s="2511"/>
      <c r="TQI32" s="2511"/>
      <c r="TQJ32" s="2511"/>
      <c r="TQK32" s="2511"/>
      <c r="TQL32" s="2511"/>
      <c r="TQM32" s="2511"/>
      <c r="TQN32" s="2511"/>
      <c r="TQO32" s="2511"/>
      <c r="TQP32" s="2511"/>
      <c r="TQQ32" s="2511"/>
      <c r="TQR32" s="2511"/>
      <c r="TQS32" s="2511"/>
      <c r="TQT32" s="2511"/>
      <c r="TQU32" s="2511"/>
      <c r="TQV32" s="2511"/>
      <c r="TQW32" s="2511"/>
      <c r="TQX32" s="2511"/>
      <c r="TQY32" s="2511"/>
      <c r="TQZ32" s="2511"/>
      <c r="TRA32" s="2511"/>
      <c r="TRB32" s="2511"/>
      <c r="TRC32" s="2511"/>
      <c r="TRD32" s="2511"/>
      <c r="TRE32" s="2511"/>
      <c r="TRF32" s="2511"/>
      <c r="TRG32" s="2511"/>
      <c r="TRH32" s="2511"/>
      <c r="TRI32" s="2511"/>
      <c r="TRJ32" s="2511"/>
      <c r="TRK32" s="2511"/>
      <c r="TRL32" s="2511"/>
      <c r="TRM32" s="2511"/>
      <c r="TRN32" s="2511"/>
      <c r="TRO32" s="2511"/>
      <c r="TRP32" s="2511"/>
      <c r="TRQ32" s="2511"/>
      <c r="TRR32" s="2511"/>
      <c r="TRS32" s="2511"/>
      <c r="TRT32" s="2511"/>
      <c r="TRU32" s="2511"/>
      <c r="TRV32" s="2511"/>
      <c r="TRW32" s="2511"/>
      <c r="TRX32" s="2511"/>
      <c r="TRY32" s="2511"/>
      <c r="TRZ32" s="2511"/>
      <c r="TSA32" s="2511"/>
      <c r="TSB32" s="2511"/>
      <c r="TSC32" s="2511"/>
      <c r="TSD32" s="2511"/>
      <c r="TSE32" s="2511"/>
      <c r="TSF32" s="2511"/>
      <c r="TSG32" s="2511"/>
      <c r="TSH32" s="2511"/>
      <c r="TSI32" s="2511"/>
      <c r="TSJ32" s="2511"/>
      <c r="TSK32" s="2511"/>
      <c r="TSL32" s="2511"/>
      <c r="TSM32" s="2511"/>
      <c r="TSN32" s="2511"/>
      <c r="TSO32" s="2511"/>
      <c r="TSP32" s="2511"/>
      <c r="TSQ32" s="2511"/>
      <c r="TSR32" s="2511"/>
      <c r="TSS32" s="2511"/>
      <c r="TST32" s="2511"/>
      <c r="TSU32" s="2511"/>
      <c r="TSV32" s="2511"/>
      <c r="TSW32" s="2511"/>
      <c r="TSX32" s="2511"/>
      <c r="TSY32" s="2511"/>
      <c r="TSZ32" s="2511"/>
      <c r="TTA32" s="2511"/>
      <c r="TTB32" s="2511"/>
      <c r="TTC32" s="2511"/>
      <c r="TTD32" s="2511"/>
      <c r="TTE32" s="2511"/>
      <c r="TTF32" s="2511"/>
      <c r="TTG32" s="2511"/>
      <c r="TTH32" s="2511"/>
      <c r="TTI32" s="2511"/>
      <c r="TTJ32" s="2511"/>
      <c r="TTK32" s="2511"/>
      <c r="TTL32" s="2511"/>
      <c r="TTM32" s="2511"/>
      <c r="TTN32" s="2511"/>
      <c r="TTO32" s="2511"/>
      <c r="TTP32" s="2511"/>
      <c r="TTQ32" s="2511"/>
      <c r="TTR32" s="2511"/>
      <c r="TTS32" s="2511"/>
      <c r="TTT32" s="2511"/>
      <c r="TTU32" s="2511"/>
      <c r="TTV32" s="2511"/>
      <c r="TTW32" s="2511"/>
      <c r="TTX32" s="2511"/>
      <c r="TTY32" s="2511"/>
      <c r="TTZ32" s="2511"/>
      <c r="TUA32" s="2511"/>
      <c r="TUB32" s="2511"/>
      <c r="TUC32" s="2511"/>
      <c r="TUD32" s="2511"/>
      <c r="TUE32" s="2511"/>
      <c r="TUF32" s="2511"/>
      <c r="TUG32" s="2511"/>
      <c r="TUH32" s="2511"/>
      <c r="TUI32" s="2511"/>
      <c r="TUJ32" s="2511"/>
      <c r="TUK32" s="2511"/>
      <c r="TUL32" s="2511"/>
      <c r="TUM32" s="2511"/>
      <c r="TUN32" s="2511"/>
      <c r="TUO32" s="2511"/>
      <c r="TUP32" s="2511"/>
      <c r="TUQ32" s="2511"/>
      <c r="TUR32" s="2511"/>
      <c r="TUS32" s="2511"/>
      <c r="TUT32" s="2511"/>
      <c r="TUU32" s="2511"/>
      <c r="TUV32" s="2511"/>
      <c r="TUW32" s="2511"/>
      <c r="TUX32" s="2511"/>
      <c r="TUY32" s="2511"/>
      <c r="TUZ32" s="2511"/>
      <c r="TVA32" s="2511"/>
      <c r="TVB32" s="2511"/>
      <c r="TVC32" s="2511"/>
      <c r="TVD32" s="2511"/>
      <c r="TVE32" s="2511"/>
      <c r="TVF32" s="2511"/>
      <c r="TVG32" s="2511"/>
      <c r="TVH32" s="2511"/>
      <c r="TVI32" s="2511"/>
      <c r="TVJ32" s="2511"/>
      <c r="TVK32" s="2511"/>
      <c r="TVL32" s="2511"/>
      <c r="TVM32" s="2511"/>
      <c r="TVN32" s="2511"/>
      <c r="TVO32" s="2511"/>
      <c r="TVP32" s="2511"/>
      <c r="TVQ32" s="2511"/>
      <c r="TVR32" s="2511"/>
      <c r="TVS32" s="2511"/>
      <c r="TVT32" s="2511"/>
      <c r="TVU32" s="2511"/>
      <c r="TVV32" s="2511"/>
      <c r="TVW32" s="2511"/>
      <c r="TVX32" s="2511"/>
      <c r="TVY32" s="2511"/>
      <c r="TVZ32" s="2511"/>
      <c r="TWA32" s="2511"/>
      <c r="TWB32" s="2511"/>
      <c r="TWC32" s="2511"/>
      <c r="TWD32" s="2511"/>
      <c r="TWE32" s="2511"/>
      <c r="TWF32" s="2511"/>
      <c r="TWG32" s="2511"/>
      <c r="TWH32" s="2511"/>
      <c r="TWI32" s="2511"/>
      <c r="TWJ32" s="2511"/>
      <c r="TWK32" s="2511"/>
      <c r="TWL32" s="2511"/>
      <c r="TWM32" s="2511"/>
      <c r="TWN32" s="2511"/>
      <c r="TWO32" s="2511"/>
      <c r="TWP32" s="2511"/>
      <c r="TWQ32" s="2511"/>
      <c r="TWR32" s="2511"/>
      <c r="TWS32" s="2511"/>
      <c r="TWT32" s="2511"/>
      <c r="TWU32" s="2511"/>
      <c r="TWV32" s="2511"/>
      <c r="TWW32" s="2511"/>
      <c r="TWX32" s="2511"/>
      <c r="TWY32" s="2511"/>
      <c r="TWZ32" s="2511"/>
      <c r="TXA32" s="2511"/>
      <c r="TXB32" s="2511"/>
      <c r="TXC32" s="2511"/>
      <c r="TXD32" s="2511"/>
      <c r="TXE32" s="2511"/>
      <c r="TXF32" s="2511"/>
      <c r="TXG32" s="2511"/>
      <c r="TXH32" s="2511"/>
      <c r="TXI32" s="2511"/>
      <c r="TXJ32" s="2511"/>
      <c r="TXK32" s="2511"/>
      <c r="TXL32" s="2511"/>
      <c r="TXM32" s="2511"/>
      <c r="TXN32" s="2511"/>
      <c r="TXO32" s="2511"/>
      <c r="TXP32" s="2511"/>
      <c r="TXQ32" s="2511"/>
      <c r="TXR32" s="2511"/>
      <c r="TXS32" s="2511"/>
      <c r="TXT32" s="2511"/>
      <c r="TXU32" s="2511"/>
      <c r="TXV32" s="2511"/>
      <c r="TXW32" s="2511"/>
      <c r="TXX32" s="2511"/>
      <c r="TXY32" s="2511"/>
      <c r="TXZ32" s="2511"/>
      <c r="TYA32" s="2511"/>
      <c r="TYB32" s="2511"/>
      <c r="TYC32" s="2511"/>
      <c r="TYD32" s="2511"/>
      <c r="TYE32" s="2511"/>
      <c r="TYF32" s="2511"/>
      <c r="TYG32" s="2511"/>
      <c r="TYH32" s="2511"/>
      <c r="TYI32" s="2511"/>
      <c r="TYJ32" s="2511"/>
      <c r="TYK32" s="2511"/>
      <c r="TYL32" s="2511"/>
      <c r="TYM32" s="2511"/>
      <c r="TYN32" s="2511"/>
      <c r="TYO32" s="2511"/>
      <c r="TYP32" s="2511"/>
      <c r="TYQ32" s="2511"/>
      <c r="TYR32" s="2511"/>
      <c r="TYS32" s="2511"/>
      <c r="TYT32" s="2511"/>
      <c r="TYU32" s="2511"/>
      <c r="TYV32" s="2511"/>
      <c r="TYW32" s="2511"/>
      <c r="TYX32" s="2511"/>
      <c r="TYY32" s="2511"/>
      <c r="TYZ32" s="2511"/>
      <c r="TZA32" s="2511"/>
      <c r="TZB32" s="2511"/>
      <c r="TZC32" s="2511"/>
      <c r="TZD32" s="2511"/>
      <c r="TZE32" s="2511"/>
      <c r="TZF32" s="2511"/>
      <c r="TZG32" s="2511"/>
      <c r="TZH32" s="2511"/>
      <c r="TZI32" s="2511"/>
      <c r="TZJ32" s="2511"/>
      <c r="TZK32" s="2511"/>
      <c r="TZL32" s="2511"/>
      <c r="TZM32" s="2511"/>
      <c r="TZN32" s="2511"/>
      <c r="TZO32" s="2511"/>
      <c r="TZP32" s="2511"/>
      <c r="TZQ32" s="2511"/>
      <c r="TZR32" s="2511"/>
      <c r="TZS32" s="2511"/>
      <c r="TZT32" s="2511"/>
      <c r="TZU32" s="2511"/>
      <c r="TZV32" s="2511"/>
      <c r="TZW32" s="2511"/>
      <c r="TZX32" s="2511"/>
      <c r="TZY32" s="2511"/>
      <c r="TZZ32" s="2511"/>
      <c r="UAA32" s="2511"/>
      <c r="UAB32" s="2511"/>
      <c r="UAC32" s="2511"/>
      <c r="UAD32" s="2511"/>
      <c r="UAE32" s="2511"/>
      <c r="UAF32" s="2511"/>
      <c r="UAG32" s="2511"/>
      <c r="UAH32" s="2511"/>
      <c r="UAI32" s="2511"/>
      <c r="UAJ32" s="2511"/>
      <c r="UAK32" s="2511"/>
      <c r="UAL32" s="2511"/>
      <c r="UAM32" s="2511"/>
      <c r="UAN32" s="2511"/>
      <c r="UAO32" s="2511"/>
      <c r="UAP32" s="2511"/>
      <c r="UAQ32" s="2511"/>
      <c r="UAR32" s="2511"/>
      <c r="UAS32" s="2511"/>
      <c r="UAT32" s="2511"/>
      <c r="UAU32" s="2511"/>
      <c r="UAV32" s="2511"/>
      <c r="UAW32" s="2511"/>
      <c r="UAX32" s="2511"/>
      <c r="UAY32" s="2511"/>
      <c r="UAZ32" s="2511"/>
      <c r="UBA32" s="2511"/>
      <c r="UBB32" s="2511"/>
      <c r="UBC32" s="2511"/>
      <c r="UBD32" s="2511"/>
      <c r="UBE32" s="2511"/>
      <c r="UBF32" s="2511"/>
      <c r="UBG32" s="2511"/>
      <c r="UBH32" s="2511"/>
      <c r="UBI32" s="2511"/>
      <c r="UBJ32" s="2511"/>
      <c r="UBK32" s="2511"/>
      <c r="UBL32" s="2511"/>
      <c r="UBM32" s="2511"/>
      <c r="UBN32" s="2511"/>
      <c r="UBO32" s="2511"/>
      <c r="UBP32" s="2511"/>
      <c r="UBQ32" s="2511"/>
      <c r="UBR32" s="2511"/>
      <c r="UBS32" s="2511"/>
      <c r="UBT32" s="2511"/>
      <c r="UBU32" s="2511"/>
      <c r="UBV32" s="2511"/>
      <c r="UBW32" s="2511"/>
      <c r="UBX32" s="2511"/>
      <c r="UBY32" s="2511"/>
      <c r="UBZ32" s="2511"/>
      <c r="UCA32" s="2511"/>
      <c r="UCB32" s="2511"/>
      <c r="UCC32" s="2511"/>
      <c r="UCD32" s="2511"/>
      <c r="UCE32" s="2511"/>
      <c r="UCF32" s="2511"/>
      <c r="UCG32" s="2511"/>
      <c r="UCH32" s="2511"/>
      <c r="UCI32" s="2511"/>
      <c r="UCJ32" s="2511"/>
      <c r="UCK32" s="2511"/>
      <c r="UCL32" s="2511"/>
      <c r="UCM32" s="2511"/>
      <c r="UCN32" s="2511"/>
      <c r="UCO32" s="2511"/>
      <c r="UCP32" s="2511"/>
      <c r="UCQ32" s="2511"/>
      <c r="UCR32" s="2511"/>
      <c r="UCS32" s="2511"/>
      <c r="UCT32" s="2511"/>
      <c r="UCU32" s="2511"/>
      <c r="UCV32" s="2511"/>
      <c r="UCW32" s="2511"/>
      <c r="UCX32" s="2511"/>
      <c r="UCY32" s="2511"/>
      <c r="UCZ32" s="2511"/>
      <c r="UDA32" s="2511"/>
      <c r="UDB32" s="2511"/>
      <c r="UDC32" s="2511"/>
      <c r="UDD32" s="2511"/>
      <c r="UDE32" s="2511"/>
      <c r="UDF32" s="2511"/>
      <c r="UDG32" s="2511"/>
      <c r="UDH32" s="2511"/>
      <c r="UDI32" s="2511"/>
      <c r="UDJ32" s="2511"/>
      <c r="UDK32" s="2511"/>
      <c r="UDL32" s="2511"/>
      <c r="UDM32" s="2511"/>
      <c r="UDN32" s="2511"/>
      <c r="UDO32" s="2511"/>
      <c r="UDP32" s="2511"/>
      <c r="UDQ32" s="2511"/>
      <c r="UDR32" s="2511"/>
      <c r="UDS32" s="2511"/>
      <c r="UDT32" s="2511"/>
      <c r="UDU32" s="2511"/>
      <c r="UDV32" s="2511"/>
      <c r="UDW32" s="2511"/>
      <c r="UDX32" s="2511"/>
      <c r="UDY32" s="2511"/>
      <c r="UDZ32" s="2511"/>
      <c r="UEA32" s="2511"/>
      <c r="UEB32" s="2511"/>
      <c r="UEC32" s="2511"/>
      <c r="UED32" s="2511"/>
      <c r="UEE32" s="2511"/>
      <c r="UEF32" s="2511"/>
      <c r="UEG32" s="2511"/>
      <c r="UEH32" s="2511"/>
      <c r="UEI32" s="2511"/>
      <c r="UEJ32" s="2511"/>
      <c r="UEK32" s="2511"/>
      <c r="UEL32" s="2511"/>
      <c r="UEM32" s="2511"/>
      <c r="UEN32" s="2511"/>
      <c r="UEO32" s="2511"/>
      <c r="UEP32" s="2511"/>
      <c r="UEQ32" s="2511"/>
      <c r="UER32" s="2511"/>
      <c r="UES32" s="2511"/>
      <c r="UET32" s="2511"/>
      <c r="UEU32" s="2511"/>
      <c r="UEV32" s="2511"/>
      <c r="UEW32" s="2511"/>
      <c r="UEX32" s="2511"/>
      <c r="UEY32" s="2511"/>
      <c r="UEZ32" s="2511"/>
      <c r="UFA32" s="2511"/>
      <c r="UFB32" s="2511"/>
      <c r="UFC32" s="2511"/>
      <c r="UFD32" s="2511"/>
      <c r="UFE32" s="2511"/>
      <c r="UFF32" s="2511"/>
      <c r="UFG32" s="2511"/>
      <c r="UFH32" s="2511"/>
      <c r="UFI32" s="2511"/>
      <c r="UFJ32" s="2511"/>
      <c r="UFK32" s="2511"/>
      <c r="UFL32" s="2511"/>
      <c r="UFM32" s="2511"/>
      <c r="UFN32" s="2511"/>
      <c r="UFO32" s="2511"/>
      <c r="UFP32" s="2511"/>
      <c r="UFQ32" s="2511"/>
      <c r="UFR32" s="2511"/>
      <c r="UFS32" s="2511"/>
      <c r="UFT32" s="2511"/>
      <c r="UFU32" s="2511"/>
      <c r="UFV32" s="2511"/>
      <c r="UFW32" s="2511"/>
      <c r="UFX32" s="2511"/>
      <c r="UFY32" s="2511"/>
      <c r="UFZ32" s="2511"/>
      <c r="UGA32" s="2511"/>
      <c r="UGB32" s="2511"/>
      <c r="UGC32" s="2511"/>
      <c r="UGD32" s="2511"/>
      <c r="UGE32" s="2511"/>
      <c r="UGF32" s="2511"/>
      <c r="UGG32" s="2511"/>
      <c r="UGH32" s="2511"/>
      <c r="UGI32" s="2511"/>
      <c r="UGJ32" s="2511"/>
      <c r="UGK32" s="2511"/>
      <c r="UGL32" s="2511"/>
      <c r="UGM32" s="2511"/>
      <c r="UGN32" s="2511"/>
      <c r="UGO32" s="2511"/>
      <c r="UGP32" s="2511"/>
      <c r="UGQ32" s="2511"/>
      <c r="UGR32" s="2511"/>
      <c r="UGS32" s="2511"/>
      <c r="UGT32" s="2511"/>
      <c r="UGU32" s="2511"/>
      <c r="UGV32" s="2511"/>
      <c r="UGW32" s="2511"/>
      <c r="UGX32" s="2511"/>
      <c r="UGY32" s="2511"/>
      <c r="UGZ32" s="2511"/>
      <c r="UHA32" s="2511"/>
      <c r="UHB32" s="2511"/>
      <c r="UHC32" s="2511"/>
      <c r="UHD32" s="2511"/>
      <c r="UHE32" s="2511"/>
      <c r="UHF32" s="2511"/>
      <c r="UHG32" s="2511"/>
      <c r="UHH32" s="2511"/>
      <c r="UHI32" s="2511"/>
      <c r="UHJ32" s="2511"/>
      <c r="UHK32" s="2511"/>
      <c r="UHL32" s="2511"/>
      <c r="UHM32" s="2511"/>
      <c r="UHN32" s="2511"/>
      <c r="UHO32" s="2511"/>
      <c r="UHP32" s="2511"/>
      <c r="UHQ32" s="2511"/>
      <c r="UHR32" s="2511"/>
      <c r="UHS32" s="2511"/>
      <c r="UHT32" s="2511"/>
      <c r="UHU32" s="2511"/>
      <c r="UHV32" s="2511"/>
      <c r="UHW32" s="2511"/>
      <c r="UHX32" s="2511"/>
      <c r="UHY32" s="2511"/>
      <c r="UHZ32" s="2511"/>
      <c r="UIA32" s="2511"/>
      <c r="UIB32" s="2511"/>
      <c r="UIC32" s="2511"/>
      <c r="UID32" s="2511"/>
      <c r="UIE32" s="2511"/>
      <c r="UIF32" s="2511"/>
      <c r="UIG32" s="2511"/>
      <c r="UIH32" s="2511"/>
      <c r="UII32" s="2511"/>
      <c r="UIJ32" s="2511"/>
      <c r="UIK32" s="2511"/>
      <c r="UIL32" s="2511"/>
      <c r="UIM32" s="2511"/>
      <c r="UIN32" s="2511"/>
      <c r="UIO32" s="2511"/>
      <c r="UIP32" s="2511"/>
      <c r="UIQ32" s="2511"/>
      <c r="UIR32" s="2511"/>
      <c r="UIS32" s="2511"/>
      <c r="UIT32" s="2511"/>
      <c r="UIU32" s="2511"/>
      <c r="UIV32" s="2511"/>
      <c r="UIW32" s="2511"/>
      <c r="UIX32" s="2511"/>
      <c r="UIY32" s="2511"/>
      <c r="UIZ32" s="2511"/>
      <c r="UJA32" s="2511"/>
      <c r="UJB32" s="2511"/>
      <c r="UJC32" s="2511"/>
      <c r="UJD32" s="2511"/>
      <c r="UJE32" s="2511"/>
      <c r="UJF32" s="2511"/>
      <c r="UJG32" s="2511"/>
      <c r="UJH32" s="2511"/>
      <c r="UJI32" s="2511"/>
      <c r="UJJ32" s="2511"/>
      <c r="UJK32" s="2511"/>
      <c r="UJL32" s="2511"/>
      <c r="UJM32" s="2511"/>
      <c r="UJN32" s="2511"/>
      <c r="UJO32" s="2511"/>
      <c r="UJP32" s="2511"/>
      <c r="UJQ32" s="2511"/>
      <c r="UJR32" s="2511"/>
      <c r="UJS32" s="2511"/>
      <c r="UJT32" s="2511"/>
      <c r="UJU32" s="2511"/>
      <c r="UJV32" s="2511"/>
      <c r="UJW32" s="2511"/>
      <c r="UJX32" s="2511"/>
      <c r="UJY32" s="2511"/>
      <c r="UJZ32" s="2511"/>
      <c r="UKA32" s="2511"/>
      <c r="UKB32" s="2511"/>
      <c r="UKC32" s="2511"/>
      <c r="UKD32" s="2511"/>
      <c r="UKE32" s="2511"/>
      <c r="UKF32" s="2511"/>
      <c r="UKG32" s="2511"/>
      <c r="UKH32" s="2511"/>
      <c r="UKI32" s="2511"/>
      <c r="UKJ32" s="2511"/>
      <c r="UKK32" s="2511"/>
      <c r="UKL32" s="2511"/>
      <c r="UKM32" s="2511"/>
      <c r="UKN32" s="2511"/>
      <c r="UKO32" s="2511"/>
      <c r="UKP32" s="2511"/>
      <c r="UKQ32" s="2511"/>
      <c r="UKR32" s="2511"/>
      <c r="UKS32" s="2511"/>
      <c r="UKT32" s="2511"/>
      <c r="UKU32" s="2511"/>
      <c r="UKV32" s="2511"/>
      <c r="UKW32" s="2511"/>
      <c r="UKX32" s="2511"/>
      <c r="UKY32" s="2511"/>
      <c r="UKZ32" s="2511"/>
      <c r="ULA32" s="2511"/>
      <c r="ULB32" s="2511"/>
      <c r="ULC32" s="2511"/>
      <c r="ULD32" s="2511"/>
      <c r="ULE32" s="2511"/>
      <c r="ULF32" s="2511"/>
      <c r="ULG32" s="2511"/>
      <c r="ULH32" s="2511"/>
      <c r="ULI32" s="2511"/>
      <c r="ULJ32" s="2511"/>
      <c r="ULK32" s="2511"/>
      <c r="ULL32" s="2511"/>
      <c r="ULM32" s="2511"/>
      <c r="ULN32" s="2511"/>
      <c r="ULO32" s="2511"/>
      <c r="ULP32" s="2511"/>
      <c r="ULQ32" s="2511"/>
      <c r="ULR32" s="2511"/>
      <c r="ULS32" s="2511"/>
      <c r="ULT32" s="2511"/>
      <c r="ULU32" s="2511"/>
      <c r="ULV32" s="2511"/>
      <c r="ULW32" s="2511"/>
      <c r="ULX32" s="2511"/>
      <c r="ULY32" s="2511"/>
      <c r="ULZ32" s="2511"/>
      <c r="UMA32" s="2511"/>
      <c r="UMB32" s="2511"/>
      <c r="UMC32" s="2511"/>
      <c r="UMD32" s="2511"/>
      <c r="UME32" s="2511"/>
      <c r="UMF32" s="2511"/>
      <c r="UMG32" s="2511"/>
      <c r="UMH32" s="2511"/>
      <c r="UMI32" s="2511"/>
      <c r="UMJ32" s="2511"/>
      <c r="UMK32" s="2511"/>
      <c r="UML32" s="2511"/>
      <c r="UMM32" s="2511"/>
      <c r="UMN32" s="2511"/>
      <c r="UMO32" s="2511"/>
      <c r="UMP32" s="2511"/>
      <c r="UMQ32" s="2511"/>
      <c r="UMR32" s="2511"/>
      <c r="UMS32" s="2511"/>
      <c r="UMT32" s="2511"/>
      <c r="UMU32" s="2511"/>
      <c r="UMV32" s="2511"/>
      <c r="UMW32" s="2511"/>
      <c r="UMX32" s="2511"/>
      <c r="UMY32" s="2511"/>
      <c r="UMZ32" s="2511"/>
      <c r="UNA32" s="2511"/>
      <c r="UNB32" s="2511"/>
      <c r="UNC32" s="2511"/>
      <c r="UND32" s="2511"/>
      <c r="UNE32" s="2511"/>
      <c r="UNF32" s="2511"/>
      <c r="UNG32" s="2511"/>
      <c r="UNH32" s="2511"/>
      <c r="UNI32" s="2511"/>
      <c r="UNJ32" s="2511"/>
      <c r="UNK32" s="2511"/>
      <c r="UNL32" s="2511"/>
      <c r="UNM32" s="2511"/>
      <c r="UNN32" s="2511"/>
      <c r="UNO32" s="2511"/>
      <c r="UNP32" s="2511"/>
      <c r="UNQ32" s="2511"/>
      <c r="UNR32" s="2511"/>
      <c r="UNS32" s="2511"/>
      <c r="UNT32" s="2511"/>
      <c r="UNU32" s="2511"/>
      <c r="UNV32" s="2511"/>
      <c r="UNW32" s="2511"/>
      <c r="UNX32" s="2511"/>
      <c r="UNY32" s="2511"/>
      <c r="UNZ32" s="2511"/>
      <c r="UOA32" s="2511"/>
      <c r="UOB32" s="2511"/>
      <c r="UOC32" s="2511"/>
      <c r="UOD32" s="2511"/>
      <c r="UOE32" s="2511"/>
      <c r="UOF32" s="2511"/>
      <c r="UOG32" s="2511"/>
      <c r="UOH32" s="2511"/>
      <c r="UOI32" s="2511"/>
      <c r="UOJ32" s="2511"/>
      <c r="UOK32" s="2511"/>
      <c r="UOL32" s="2511"/>
      <c r="UOM32" s="2511"/>
      <c r="UON32" s="2511"/>
      <c r="UOO32" s="2511"/>
      <c r="UOP32" s="2511"/>
      <c r="UOQ32" s="2511"/>
      <c r="UOR32" s="2511"/>
      <c r="UOS32" s="2511"/>
      <c r="UOT32" s="2511"/>
      <c r="UOU32" s="2511"/>
      <c r="UOV32" s="2511"/>
      <c r="UOW32" s="2511"/>
      <c r="UOX32" s="2511"/>
      <c r="UOY32" s="2511"/>
      <c r="UOZ32" s="2511"/>
      <c r="UPA32" s="2511"/>
      <c r="UPB32" s="2511"/>
      <c r="UPC32" s="2511"/>
      <c r="UPD32" s="2511"/>
      <c r="UPE32" s="2511"/>
      <c r="UPF32" s="2511"/>
      <c r="UPG32" s="2511"/>
      <c r="UPH32" s="2511"/>
      <c r="UPI32" s="2511"/>
      <c r="UPJ32" s="2511"/>
      <c r="UPK32" s="2511"/>
      <c r="UPL32" s="2511"/>
      <c r="UPM32" s="2511"/>
      <c r="UPN32" s="2511"/>
      <c r="UPO32" s="2511"/>
      <c r="UPP32" s="2511"/>
      <c r="UPQ32" s="2511"/>
      <c r="UPR32" s="2511"/>
      <c r="UPS32" s="2511"/>
      <c r="UPT32" s="2511"/>
      <c r="UPU32" s="2511"/>
      <c r="UPV32" s="2511"/>
      <c r="UPW32" s="2511"/>
      <c r="UPX32" s="2511"/>
      <c r="UPY32" s="2511"/>
      <c r="UPZ32" s="2511"/>
      <c r="UQA32" s="2511"/>
      <c r="UQB32" s="2511"/>
      <c r="UQC32" s="2511"/>
      <c r="UQD32" s="2511"/>
      <c r="UQE32" s="2511"/>
      <c r="UQF32" s="2511"/>
      <c r="UQG32" s="2511"/>
      <c r="UQH32" s="2511"/>
      <c r="UQI32" s="2511"/>
      <c r="UQJ32" s="2511"/>
      <c r="UQK32" s="2511"/>
      <c r="UQL32" s="2511"/>
      <c r="UQM32" s="2511"/>
      <c r="UQN32" s="2511"/>
      <c r="UQO32" s="2511"/>
      <c r="UQP32" s="2511"/>
      <c r="UQQ32" s="2511"/>
      <c r="UQR32" s="2511"/>
      <c r="UQS32" s="2511"/>
      <c r="UQT32" s="2511"/>
      <c r="UQU32" s="2511"/>
      <c r="UQV32" s="2511"/>
      <c r="UQW32" s="2511"/>
      <c r="UQX32" s="2511"/>
      <c r="UQY32" s="2511"/>
      <c r="UQZ32" s="2511"/>
      <c r="URA32" s="2511"/>
      <c r="URB32" s="2511"/>
      <c r="URC32" s="2511"/>
      <c r="URD32" s="2511"/>
      <c r="URE32" s="2511"/>
      <c r="URF32" s="2511"/>
      <c r="URG32" s="2511"/>
      <c r="URH32" s="2511"/>
      <c r="URI32" s="2511"/>
      <c r="URJ32" s="2511"/>
      <c r="URK32" s="2511"/>
      <c r="URL32" s="2511"/>
      <c r="URM32" s="2511"/>
      <c r="URN32" s="2511"/>
      <c r="URO32" s="2511"/>
      <c r="URP32" s="2511"/>
      <c r="URQ32" s="2511"/>
      <c r="URR32" s="2511"/>
      <c r="URS32" s="2511"/>
      <c r="URT32" s="2511"/>
      <c r="URU32" s="2511"/>
      <c r="URV32" s="2511"/>
      <c r="URW32" s="2511"/>
      <c r="URX32" s="2511"/>
      <c r="URY32" s="2511"/>
      <c r="URZ32" s="2511"/>
      <c r="USA32" s="2511"/>
      <c r="USB32" s="2511"/>
      <c r="USC32" s="2511"/>
      <c r="USD32" s="2511"/>
      <c r="USE32" s="2511"/>
      <c r="USF32" s="2511"/>
      <c r="USG32" s="2511"/>
      <c r="USH32" s="2511"/>
      <c r="USI32" s="2511"/>
      <c r="USJ32" s="2511"/>
      <c r="USK32" s="2511"/>
      <c r="USL32" s="2511"/>
      <c r="USM32" s="2511"/>
      <c r="USN32" s="2511"/>
      <c r="USO32" s="2511"/>
      <c r="USP32" s="2511"/>
      <c r="USQ32" s="2511"/>
      <c r="USR32" s="2511"/>
      <c r="USS32" s="2511"/>
      <c r="UST32" s="2511"/>
      <c r="USU32" s="2511"/>
      <c r="USV32" s="2511"/>
      <c r="USW32" s="2511"/>
      <c r="USX32" s="2511"/>
      <c r="USY32" s="2511"/>
      <c r="USZ32" s="2511"/>
      <c r="UTA32" s="2511"/>
      <c r="UTB32" s="2511"/>
      <c r="UTC32" s="2511"/>
      <c r="UTD32" s="2511"/>
      <c r="UTE32" s="2511"/>
      <c r="UTF32" s="2511"/>
      <c r="UTG32" s="2511"/>
      <c r="UTH32" s="2511"/>
      <c r="UTI32" s="2511"/>
      <c r="UTJ32" s="2511"/>
      <c r="UTK32" s="2511"/>
      <c r="UTL32" s="2511"/>
      <c r="UTM32" s="2511"/>
      <c r="UTN32" s="2511"/>
      <c r="UTO32" s="2511"/>
      <c r="UTP32" s="2511"/>
      <c r="UTQ32" s="2511"/>
      <c r="UTR32" s="2511"/>
      <c r="UTS32" s="2511"/>
      <c r="UTT32" s="2511"/>
      <c r="UTU32" s="2511"/>
      <c r="UTV32" s="2511"/>
      <c r="UTW32" s="2511"/>
      <c r="UTX32" s="2511"/>
      <c r="UTY32" s="2511"/>
      <c r="UTZ32" s="2511"/>
      <c r="UUA32" s="2511"/>
      <c r="UUB32" s="2511"/>
      <c r="UUC32" s="2511"/>
      <c r="UUD32" s="2511"/>
      <c r="UUE32" s="2511"/>
      <c r="UUF32" s="2511"/>
      <c r="UUG32" s="2511"/>
      <c r="UUH32" s="2511"/>
      <c r="UUI32" s="2511"/>
      <c r="UUJ32" s="2511"/>
      <c r="UUK32" s="2511"/>
      <c r="UUL32" s="2511"/>
      <c r="UUM32" s="2511"/>
      <c r="UUN32" s="2511"/>
      <c r="UUO32" s="2511"/>
      <c r="UUP32" s="2511"/>
      <c r="UUQ32" s="2511"/>
      <c r="UUR32" s="2511"/>
      <c r="UUS32" s="2511"/>
      <c r="UUT32" s="2511"/>
      <c r="UUU32" s="2511"/>
      <c r="UUV32" s="2511"/>
      <c r="UUW32" s="2511"/>
      <c r="UUX32" s="2511"/>
      <c r="UUY32" s="2511"/>
      <c r="UUZ32" s="2511"/>
      <c r="UVA32" s="2511"/>
      <c r="UVB32" s="2511"/>
      <c r="UVC32" s="2511"/>
      <c r="UVD32" s="2511"/>
      <c r="UVE32" s="2511"/>
      <c r="UVF32" s="2511"/>
      <c r="UVG32" s="2511"/>
      <c r="UVH32" s="2511"/>
      <c r="UVI32" s="2511"/>
      <c r="UVJ32" s="2511"/>
      <c r="UVK32" s="2511"/>
      <c r="UVL32" s="2511"/>
      <c r="UVM32" s="2511"/>
      <c r="UVN32" s="2511"/>
      <c r="UVO32" s="2511"/>
      <c r="UVP32" s="2511"/>
      <c r="UVQ32" s="2511"/>
      <c r="UVR32" s="2511"/>
      <c r="UVS32" s="2511"/>
      <c r="UVT32" s="2511"/>
      <c r="UVU32" s="2511"/>
      <c r="UVV32" s="2511"/>
      <c r="UVW32" s="2511"/>
      <c r="UVX32" s="2511"/>
      <c r="UVY32" s="2511"/>
      <c r="UVZ32" s="2511"/>
      <c r="UWA32" s="2511"/>
      <c r="UWB32" s="2511"/>
      <c r="UWC32" s="2511"/>
      <c r="UWD32" s="2511"/>
      <c r="UWE32" s="2511"/>
      <c r="UWF32" s="2511"/>
      <c r="UWG32" s="2511"/>
      <c r="UWH32" s="2511"/>
      <c r="UWI32" s="2511"/>
      <c r="UWJ32" s="2511"/>
      <c r="UWK32" s="2511"/>
      <c r="UWL32" s="2511"/>
      <c r="UWM32" s="2511"/>
      <c r="UWN32" s="2511"/>
      <c r="UWO32" s="2511"/>
      <c r="UWP32" s="2511"/>
      <c r="UWQ32" s="2511"/>
      <c r="UWR32" s="2511"/>
      <c r="UWS32" s="2511"/>
      <c r="UWT32" s="2511"/>
      <c r="UWU32" s="2511"/>
      <c r="UWV32" s="2511"/>
      <c r="UWW32" s="2511"/>
      <c r="UWX32" s="2511"/>
      <c r="UWY32" s="2511"/>
      <c r="UWZ32" s="2511"/>
      <c r="UXA32" s="2511"/>
      <c r="UXB32" s="2511"/>
      <c r="UXC32" s="2511"/>
      <c r="UXD32" s="2511"/>
      <c r="UXE32" s="2511"/>
      <c r="UXF32" s="2511"/>
      <c r="UXG32" s="2511"/>
      <c r="UXH32" s="2511"/>
      <c r="UXI32" s="2511"/>
      <c r="UXJ32" s="2511"/>
      <c r="UXK32" s="2511"/>
      <c r="UXL32" s="2511"/>
      <c r="UXM32" s="2511"/>
      <c r="UXN32" s="2511"/>
      <c r="UXO32" s="2511"/>
      <c r="UXP32" s="2511"/>
      <c r="UXQ32" s="2511"/>
      <c r="UXR32" s="2511"/>
      <c r="UXS32" s="2511"/>
      <c r="UXT32" s="2511"/>
      <c r="UXU32" s="2511"/>
      <c r="UXV32" s="2511"/>
      <c r="UXW32" s="2511"/>
      <c r="UXX32" s="2511"/>
      <c r="UXY32" s="2511"/>
      <c r="UXZ32" s="2511"/>
      <c r="UYA32" s="2511"/>
      <c r="UYB32" s="2511"/>
      <c r="UYC32" s="2511"/>
      <c r="UYD32" s="2511"/>
      <c r="UYE32" s="2511"/>
      <c r="UYF32" s="2511"/>
      <c r="UYG32" s="2511"/>
      <c r="UYH32" s="2511"/>
      <c r="UYI32" s="2511"/>
      <c r="UYJ32" s="2511"/>
      <c r="UYK32" s="2511"/>
      <c r="UYL32" s="2511"/>
      <c r="UYM32" s="2511"/>
      <c r="UYN32" s="2511"/>
      <c r="UYO32" s="2511"/>
      <c r="UYP32" s="2511"/>
      <c r="UYQ32" s="2511"/>
      <c r="UYR32" s="2511"/>
      <c r="UYS32" s="2511"/>
      <c r="UYT32" s="2511"/>
      <c r="UYU32" s="2511"/>
      <c r="UYV32" s="2511"/>
      <c r="UYW32" s="2511"/>
      <c r="UYX32" s="2511"/>
      <c r="UYY32" s="2511"/>
      <c r="UYZ32" s="2511"/>
      <c r="UZA32" s="2511"/>
      <c r="UZB32" s="2511"/>
      <c r="UZC32" s="2511"/>
      <c r="UZD32" s="2511"/>
      <c r="UZE32" s="2511"/>
      <c r="UZF32" s="2511"/>
      <c r="UZG32" s="2511"/>
      <c r="UZH32" s="2511"/>
      <c r="UZI32" s="2511"/>
      <c r="UZJ32" s="2511"/>
      <c r="UZK32" s="2511"/>
      <c r="UZL32" s="2511"/>
      <c r="UZM32" s="2511"/>
      <c r="UZN32" s="2511"/>
      <c r="UZO32" s="2511"/>
      <c r="UZP32" s="2511"/>
      <c r="UZQ32" s="2511"/>
      <c r="UZR32" s="2511"/>
      <c r="UZS32" s="2511"/>
      <c r="UZT32" s="2511"/>
      <c r="UZU32" s="2511"/>
      <c r="UZV32" s="2511"/>
      <c r="UZW32" s="2511"/>
      <c r="UZX32" s="2511"/>
      <c r="UZY32" s="2511"/>
      <c r="UZZ32" s="2511"/>
      <c r="VAA32" s="2511"/>
      <c r="VAB32" s="2511"/>
      <c r="VAC32" s="2511"/>
      <c r="VAD32" s="2511"/>
      <c r="VAE32" s="2511"/>
      <c r="VAF32" s="2511"/>
      <c r="VAG32" s="2511"/>
      <c r="VAH32" s="2511"/>
      <c r="VAI32" s="2511"/>
      <c r="VAJ32" s="2511"/>
      <c r="VAK32" s="2511"/>
      <c r="VAL32" s="2511"/>
      <c r="VAM32" s="2511"/>
      <c r="VAN32" s="2511"/>
      <c r="VAO32" s="2511"/>
      <c r="VAP32" s="2511"/>
      <c r="VAQ32" s="2511"/>
      <c r="VAR32" s="2511"/>
      <c r="VAS32" s="2511"/>
      <c r="VAT32" s="2511"/>
      <c r="VAU32" s="2511"/>
      <c r="VAV32" s="2511"/>
      <c r="VAW32" s="2511"/>
      <c r="VAX32" s="2511"/>
      <c r="VAY32" s="2511"/>
      <c r="VAZ32" s="2511"/>
      <c r="VBA32" s="2511"/>
      <c r="VBB32" s="2511"/>
      <c r="VBC32" s="2511"/>
      <c r="VBD32" s="2511"/>
      <c r="VBE32" s="2511"/>
      <c r="VBF32" s="2511"/>
      <c r="VBG32" s="2511"/>
      <c r="VBH32" s="2511"/>
      <c r="VBI32" s="2511"/>
      <c r="VBJ32" s="2511"/>
      <c r="VBK32" s="2511"/>
      <c r="VBL32" s="2511"/>
      <c r="VBM32" s="2511"/>
      <c r="VBN32" s="2511"/>
      <c r="VBO32" s="2511"/>
      <c r="VBP32" s="2511"/>
      <c r="VBQ32" s="2511"/>
      <c r="VBR32" s="2511"/>
      <c r="VBS32" s="2511"/>
      <c r="VBT32" s="2511"/>
      <c r="VBU32" s="2511"/>
      <c r="VBV32" s="2511"/>
      <c r="VBW32" s="2511"/>
      <c r="VBX32" s="2511"/>
      <c r="VBY32" s="2511"/>
      <c r="VBZ32" s="2511"/>
      <c r="VCA32" s="2511"/>
      <c r="VCB32" s="2511"/>
      <c r="VCC32" s="2511"/>
      <c r="VCD32" s="2511"/>
      <c r="VCE32" s="2511"/>
      <c r="VCF32" s="2511"/>
      <c r="VCG32" s="2511"/>
      <c r="VCH32" s="2511"/>
      <c r="VCI32" s="2511"/>
      <c r="VCJ32" s="2511"/>
      <c r="VCK32" s="2511"/>
      <c r="VCL32" s="2511"/>
      <c r="VCM32" s="2511"/>
      <c r="VCN32" s="2511"/>
      <c r="VCO32" s="2511"/>
      <c r="VCP32" s="2511"/>
      <c r="VCQ32" s="2511"/>
      <c r="VCR32" s="2511"/>
      <c r="VCS32" s="2511"/>
      <c r="VCT32" s="2511"/>
      <c r="VCU32" s="2511"/>
      <c r="VCV32" s="2511"/>
      <c r="VCW32" s="2511"/>
      <c r="VCX32" s="2511"/>
      <c r="VCY32" s="2511"/>
      <c r="VCZ32" s="2511"/>
      <c r="VDA32" s="2511"/>
      <c r="VDB32" s="2511"/>
      <c r="VDC32" s="2511"/>
      <c r="VDD32" s="2511"/>
      <c r="VDE32" s="2511"/>
      <c r="VDF32" s="2511"/>
      <c r="VDG32" s="2511"/>
      <c r="VDH32" s="2511"/>
      <c r="VDI32" s="2511"/>
      <c r="VDJ32" s="2511"/>
      <c r="VDK32" s="2511"/>
      <c r="VDL32" s="2511"/>
      <c r="VDM32" s="2511"/>
      <c r="VDN32" s="2511"/>
      <c r="VDO32" s="2511"/>
      <c r="VDP32" s="2511"/>
      <c r="VDQ32" s="2511"/>
      <c r="VDR32" s="2511"/>
      <c r="VDS32" s="2511"/>
      <c r="VDT32" s="2511"/>
      <c r="VDU32" s="2511"/>
      <c r="VDV32" s="2511"/>
      <c r="VDW32" s="2511"/>
      <c r="VDX32" s="2511"/>
      <c r="VDY32" s="2511"/>
      <c r="VDZ32" s="2511"/>
      <c r="VEA32" s="2511"/>
      <c r="VEB32" s="2511"/>
      <c r="VEC32" s="2511"/>
      <c r="VED32" s="2511"/>
      <c r="VEE32" s="2511"/>
      <c r="VEF32" s="2511"/>
      <c r="VEG32" s="2511"/>
      <c r="VEH32" s="2511"/>
      <c r="VEI32" s="2511"/>
      <c r="VEJ32" s="2511"/>
      <c r="VEK32" s="2511"/>
      <c r="VEL32" s="2511"/>
      <c r="VEM32" s="2511"/>
      <c r="VEN32" s="2511"/>
      <c r="VEO32" s="2511"/>
      <c r="VEP32" s="2511"/>
      <c r="VEQ32" s="2511"/>
      <c r="VER32" s="2511"/>
      <c r="VES32" s="2511"/>
      <c r="VET32" s="2511"/>
      <c r="VEU32" s="2511"/>
      <c r="VEV32" s="2511"/>
      <c r="VEW32" s="2511"/>
      <c r="VEX32" s="2511"/>
      <c r="VEY32" s="2511"/>
      <c r="VEZ32" s="2511"/>
      <c r="VFA32" s="2511"/>
      <c r="VFB32" s="2511"/>
      <c r="VFC32" s="2511"/>
      <c r="VFD32" s="2511"/>
      <c r="VFE32" s="2511"/>
      <c r="VFF32" s="2511"/>
      <c r="VFG32" s="2511"/>
      <c r="VFH32" s="2511"/>
      <c r="VFI32" s="2511"/>
      <c r="VFJ32" s="2511"/>
      <c r="VFK32" s="2511"/>
      <c r="VFL32" s="2511"/>
      <c r="VFM32" s="2511"/>
      <c r="VFN32" s="2511"/>
      <c r="VFO32" s="2511"/>
      <c r="VFP32" s="2511"/>
      <c r="VFQ32" s="2511"/>
      <c r="VFR32" s="2511"/>
      <c r="VFS32" s="2511"/>
      <c r="VFT32" s="2511"/>
      <c r="VFU32" s="2511"/>
      <c r="VFV32" s="2511"/>
      <c r="VFW32" s="2511"/>
      <c r="VFX32" s="2511"/>
      <c r="VFY32" s="2511"/>
      <c r="VFZ32" s="2511"/>
      <c r="VGA32" s="2511"/>
      <c r="VGB32" s="2511"/>
      <c r="VGC32" s="2511"/>
      <c r="VGD32" s="2511"/>
      <c r="VGE32" s="2511"/>
      <c r="VGF32" s="2511"/>
      <c r="VGG32" s="2511"/>
      <c r="VGH32" s="2511"/>
      <c r="VGI32" s="2511"/>
      <c r="VGJ32" s="2511"/>
      <c r="VGK32" s="2511"/>
      <c r="VGL32" s="2511"/>
      <c r="VGM32" s="2511"/>
      <c r="VGN32" s="2511"/>
      <c r="VGO32" s="2511"/>
      <c r="VGP32" s="2511"/>
      <c r="VGQ32" s="2511"/>
      <c r="VGR32" s="2511"/>
      <c r="VGS32" s="2511"/>
      <c r="VGT32" s="2511"/>
      <c r="VGU32" s="2511"/>
      <c r="VGV32" s="2511"/>
      <c r="VGW32" s="2511"/>
      <c r="VGX32" s="2511"/>
      <c r="VGY32" s="2511"/>
      <c r="VGZ32" s="2511"/>
      <c r="VHA32" s="2511"/>
      <c r="VHB32" s="2511"/>
      <c r="VHC32" s="2511"/>
      <c r="VHD32" s="2511"/>
      <c r="VHE32" s="2511"/>
      <c r="VHF32" s="2511"/>
      <c r="VHG32" s="2511"/>
      <c r="VHH32" s="2511"/>
      <c r="VHI32" s="2511"/>
      <c r="VHJ32" s="2511"/>
      <c r="VHK32" s="2511"/>
      <c r="VHL32" s="2511"/>
      <c r="VHM32" s="2511"/>
      <c r="VHN32" s="2511"/>
      <c r="VHO32" s="2511"/>
      <c r="VHP32" s="2511"/>
      <c r="VHQ32" s="2511"/>
      <c r="VHR32" s="2511"/>
      <c r="VHS32" s="2511"/>
      <c r="VHT32" s="2511"/>
      <c r="VHU32" s="2511"/>
      <c r="VHV32" s="2511"/>
      <c r="VHW32" s="2511"/>
      <c r="VHX32" s="2511"/>
      <c r="VHY32" s="2511"/>
      <c r="VHZ32" s="2511"/>
      <c r="VIA32" s="2511"/>
      <c r="VIB32" s="2511"/>
      <c r="VIC32" s="2511"/>
      <c r="VID32" s="2511"/>
      <c r="VIE32" s="2511"/>
      <c r="VIF32" s="2511"/>
      <c r="VIG32" s="2511"/>
      <c r="VIH32" s="2511"/>
      <c r="VII32" s="2511"/>
      <c r="VIJ32" s="2511"/>
      <c r="VIK32" s="2511"/>
      <c r="VIL32" s="2511"/>
      <c r="VIM32" s="2511"/>
      <c r="VIN32" s="2511"/>
      <c r="VIO32" s="2511"/>
      <c r="VIP32" s="2511"/>
      <c r="VIQ32" s="2511"/>
      <c r="VIR32" s="2511"/>
      <c r="VIS32" s="2511"/>
      <c r="VIT32" s="2511"/>
      <c r="VIU32" s="2511"/>
      <c r="VIV32" s="2511"/>
      <c r="VIW32" s="2511"/>
      <c r="VIX32" s="2511"/>
      <c r="VIY32" s="2511"/>
      <c r="VIZ32" s="2511"/>
      <c r="VJA32" s="2511"/>
      <c r="VJB32" s="2511"/>
      <c r="VJC32" s="2511"/>
      <c r="VJD32" s="2511"/>
      <c r="VJE32" s="2511"/>
      <c r="VJF32" s="2511"/>
      <c r="VJG32" s="2511"/>
      <c r="VJH32" s="2511"/>
      <c r="VJI32" s="2511"/>
      <c r="VJJ32" s="2511"/>
      <c r="VJK32" s="2511"/>
      <c r="VJL32" s="2511"/>
      <c r="VJM32" s="2511"/>
      <c r="VJN32" s="2511"/>
      <c r="VJO32" s="2511"/>
      <c r="VJP32" s="2511"/>
      <c r="VJQ32" s="2511"/>
      <c r="VJR32" s="2511"/>
      <c r="VJS32" s="2511"/>
      <c r="VJT32" s="2511"/>
      <c r="VJU32" s="2511"/>
      <c r="VJV32" s="2511"/>
      <c r="VJW32" s="2511"/>
      <c r="VJX32" s="2511"/>
      <c r="VJY32" s="2511"/>
      <c r="VJZ32" s="2511"/>
      <c r="VKA32" s="2511"/>
      <c r="VKB32" s="2511"/>
      <c r="VKC32" s="2511"/>
      <c r="VKD32" s="2511"/>
      <c r="VKE32" s="2511"/>
      <c r="VKF32" s="2511"/>
      <c r="VKG32" s="2511"/>
      <c r="VKH32" s="2511"/>
      <c r="VKI32" s="2511"/>
      <c r="VKJ32" s="2511"/>
      <c r="VKK32" s="2511"/>
      <c r="VKL32" s="2511"/>
      <c r="VKM32" s="2511"/>
      <c r="VKN32" s="2511"/>
      <c r="VKO32" s="2511"/>
      <c r="VKP32" s="2511"/>
      <c r="VKQ32" s="2511"/>
      <c r="VKR32" s="2511"/>
      <c r="VKS32" s="2511"/>
      <c r="VKT32" s="2511"/>
      <c r="VKU32" s="2511"/>
      <c r="VKV32" s="2511"/>
      <c r="VKW32" s="2511"/>
      <c r="VKX32" s="2511"/>
      <c r="VKY32" s="2511"/>
      <c r="VKZ32" s="2511"/>
      <c r="VLA32" s="2511"/>
      <c r="VLB32" s="2511"/>
      <c r="VLC32" s="2511"/>
      <c r="VLD32" s="2511"/>
      <c r="VLE32" s="2511"/>
      <c r="VLF32" s="2511"/>
      <c r="VLG32" s="2511"/>
      <c r="VLH32" s="2511"/>
      <c r="VLI32" s="2511"/>
      <c r="VLJ32" s="2511"/>
      <c r="VLK32" s="2511"/>
      <c r="VLL32" s="2511"/>
      <c r="VLM32" s="2511"/>
      <c r="VLN32" s="2511"/>
      <c r="VLO32" s="2511"/>
      <c r="VLP32" s="2511"/>
      <c r="VLQ32" s="2511"/>
      <c r="VLR32" s="2511"/>
      <c r="VLS32" s="2511"/>
      <c r="VLT32" s="2511"/>
      <c r="VLU32" s="2511"/>
      <c r="VLV32" s="2511"/>
      <c r="VLW32" s="2511"/>
      <c r="VLX32" s="2511"/>
      <c r="VLY32" s="2511"/>
      <c r="VLZ32" s="2511"/>
      <c r="VMA32" s="2511"/>
      <c r="VMB32" s="2511"/>
      <c r="VMC32" s="2511"/>
      <c r="VMD32" s="2511"/>
      <c r="VME32" s="2511"/>
      <c r="VMF32" s="2511"/>
      <c r="VMG32" s="2511"/>
      <c r="VMH32" s="2511"/>
      <c r="VMI32" s="2511"/>
      <c r="VMJ32" s="2511"/>
      <c r="VMK32" s="2511"/>
      <c r="VML32" s="2511"/>
      <c r="VMM32" s="2511"/>
      <c r="VMN32" s="2511"/>
      <c r="VMO32" s="2511"/>
      <c r="VMP32" s="2511"/>
      <c r="VMQ32" s="2511"/>
      <c r="VMR32" s="2511"/>
      <c r="VMS32" s="2511"/>
      <c r="VMT32" s="2511"/>
      <c r="VMU32" s="2511"/>
      <c r="VMV32" s="2511"/>
      <c r="VMW32" s="2511"/>
      <c r="VMX32" s="2511"/>
      <c r="VMY32" s="2511"/>
      <c r="VMZ32" s="2511"/>
      <c r="VNA32" s="2511"/>
      <c r="VNB32" s="2511"/>
      <c r="VNC32" s="2511"/>
      <c r="VND32" s="2511"/>
      <c r="VNE32" s="2511"/>
      <c r="VNF32" s="2511"/>
      <c r="VNG32" s="2511"/>
      <c r="VNH32" s="2511"/>
      <c r="VNI32" s="2511"/>
      <c r="VNJ32" s="2511"/>
      <c r="VNK32" s="2511"/>
      <c r="VNL32" s="2511"/>
      <c r="VNM32" s="2511"/>
      <c r="VNN32" s="2511"/>
      <c r="VNO32" s="2511"/>
      <c r="VNP32" s="2511"/>
      <c r="VNQ32" s="2511"/>
      <c r="VNR32" s="2511"/>
      <c r="VNS32" s="2511"/>
      <c r="VNT32" s="2511"/>
      <c r="VNU32" s="2511"/>
      <c r="VNV32" s="2511"/>
      <c r="VNW32" s="2511"/>
      <c r="VNX32" s="2511"/>
      <c r="VNY32" s="2511"/>
      <c r="VNZ32" s="2511"/>
      <c r="VOA32" s="2511"/>
      <c r="VOB32" s="2511"/>
      <c r="VOC32" s="2511"/>
      <c r="VOD32" s="2511"/>
      <c r="VOE32" s="2511"/>
      <c r="VOF32" s="2511"/>
      <c r="VOG32" s="2511"/>
      <c r="VOH32" s="2511"/>
      <c r="VOI32" s="2511"/>
      <c r="VOJ32" s="2511"/>
      <c r="VOK32" s="2511"/>
      <c r="VOL32" s="2511"/>
      <c r="VOM32" s="2511"/>
      <c r="VON32" s="2511"/>
      <c r="VOO32" s="2511"/>
      <c r="VOP32" s="2511"/>
      <c r="VOQ32" s="2511"/>
      <c r="VOR32" s="2511"/>
      <c r="VOS32" s="2511"/>
      <c r="VOT32" s="2511"/>
      <c r="VOU32" s="2511"/>
      <c r="VOV32" s="2511"/>
      <c r="VOW32" s="2511"/>
      <c r="VOX32" s="2511"/>
      <c r="VOY32" s="2511"/>
      <c r="VOZ32" s="2511"/>
      <c r="VPA32" s="2511"/>
      <c r="VPB32" s="2511"/>
      <c r="VPC32" s="2511"/>
      <c r="VPD32" s="2511"/>
      <c r="VPE32" s="2511"/>
      <c r="VPF32" s="2511"/>
      <c r="VPG32" s="2511"/>
      <c r="VPH32" s="2511"/>
      <c r="VPI32" s="2511"/>
      <c r="VPJ32" s="2511"/>
      <c r="VPK32" s="2511"/>
      <c r="VPL32" s="2511"/>
      <c r="VPM32" s="2511"/>
      <c r="VPN32" s="2511"/>
      <c r="VPO32" s="2511"/>
      <c r="VPP32" s="2511"/>
      <c r="VPQ32" s="2511"/>
      <c r="VPR32" s="2511"/>
      <c r="VPS32" s="2511"/>
      <c r="VPT32" s="2511"/>
      <c r="VPU32" s="2511"/>
      <c r="VPV32" s="2511"/>
      <c r="VPW32" s="2511"/>
      <c r="VPX32" s="2511"/>
      <c r="VPY32" s="2511"/>
      <c r="VPZ32" s="2511"/>
      <c r="VQA32" s="2511"/>
      <c r="VQB32" s="2511"/>
      <c r="VQC32" s="2511"/>
      <c r="VQD32" s="2511"/>
      <c r="VQE32" s="2511"/>
      <c r="VQF32" s="2511"/>
      <c r="VQG32" s="2511"/>
      <c r="VQH32" s="2511"/>
      <c r="VQI32" s="2511"/>
      <c r="VQJ32" s="2511"/>
      <c r="VQK32" s="2511"/>
      <c r="VQL32" s="2511"/>
      <c r="VQM32" s="2511"/>
      <c r="VQN32" s="2511"/>
      <c r="VQO32" s="2511"/>
      <c r="VQP32" s="2511"/>
      <c r="VQQ32" s="2511"/>
      <c r="VQR32" s="2511"/>
      <c r="VQS32" s="2511"/>
      <c r="VQT32" s="2511"/>
      <c r="VQU32" s="2511"/>
      <c r="VQV32" s="2511"/>
      <c r="VQW32" s="2511"/>
      <c r="VQX32" s="2511"/>
      <c r="VQY32" s="2511"/>
      <c r="VQZ32" s="2511"/>
      <c r="VRA32" s="2511"/>
      <c r="VRB32" s="2511"/>
      <c r="VRC32" s="2511"/>
      <c r="VRD32" s="2511"/>
      <c r="VRE32" s="2511"/>
      <c r="VRF32" s="2511"/>
      <c r="VRG32" s="2511"/>
      <c r="VRH32" s="2511"/>
      <c r="VRI32" s="2511"/>
      <c r="VRJ32" s="2511"/>
      <c r="VRK32" s="2511"/>
      <c r="VRL32" s="2511"/>
      <c r="VRM32" s="2511"/>
      <c r="VRN32" s="2511"/>
      <c r="VRO32" s="2511"/>
      <c r="VRP32" s="2511"/>
      <c r="VRQ32" s="2511"/>
      <c r="VRR32" s="2511"/>
      <c r="VRS32" s="2511"/>
      <c r="VRT32" s="2511"/>
      <c r="VRU32" s="2511"/>
      <c r="VRV32" s="2511"/>
      <c r="VRW32" s="2511"/>
      <c r="VRX32" s="2511"/>
      <c r="VRY32" s="2511"/>
      <c r="VRZ32" s="2511"/>
      <c r="VSA32" s="2511"/>
      <c r="VSB32" s="2511"/>
      <c r="VSC32" s="2511"/>
      <c r="VSD32" s="2511"/>
      <c r="VSE32" s="2511"/>
      <c r="VSF32" s="2511"/>
      <c r="VSG32" s="2511"/>
      <c r="VSH32" s="2511"/>
      <c r="VSI32" s="2511"/>
      <c r="VSJ32" s="2511"/>
      <c r="VSK32" s="2511"/>
      <c r="VSL32" s="2511"/>
      <c r="VSM32" s="2511"/>
      <c r="VSN32" s="2511"/>
      <c r="VSO32" s="2511"/>
      <c r="VSP32" s="2511"/>
      <c r="VSQ32" s="2511"/>
      <c r="VSR32" s="2511"/>
      <c r="VSS32" s="2511"/>
      <c r="VST32" s="2511"/>
      <c r="VSU32" s="2511"/>
      <c r="VSV32" s="2511"/>
      <c r="VSW32" s="2511"/>
      <c r="VSX32" s="2511"/>
      <c r="VSY32" s="2511"/>
      <c r="VSZ32" s="2511"/>
      <c r="VTA32" s="2511"/>
      <c r="VTB32" s="2511"/>
      <c r="VTC32" s="2511"/>
      <c r="VTD32" s="2511"/>
      <c r="VTE32" s="2511"/>
      <c r="VTF32" s="2511"/>
      <c r="VTG32" s="2511"/>
      <c r="VTH32" s="2511"/>
      <c r="VTI32" s="2511"/>
      <c r="VTJ32" s="2511"/>
      <c r="VTK32" s="2511"/>
      <c r="VTL32" s="2511"/>
      <c r="VTM32" s="2511"/>
      <c r="VTN32" s="2511"/>
      <c r="VTO32" s="2511"/>
      <c r="VTP32" s="2511"/>
      <c r="VTQ32" s="2511"/>
      <c r="VTR32" s="2511"/>
      <c r="VTS32" s="2511"/>
      <c r="VTT32" s="2511"/>
      <c r="VTU32" s="2511"/>
      <c r="VTV32" s="2511"/>
      <c r="VTW32" s="2511"/>
      <c r="VTX32" s="2511"/>
      <c r="VTY32" s="2511"/>
      <c r="VTZ32" s="2511"/>
      <c r="VUA32" s="2511"/>
      <c r="VUB32" s="2511"/>
      <c r="VUC32" s="2511"/>
      <c r="VUD32" s="2511"/>
      <c r="VUE32" s="2511"/>
      <c r="VUF32" s="2511"/>
      <c r="VUG32" s="2511"/>
      <c r="VUH32" s="2511"/>
      <c r="VUI32" s="2511"/>
      <c r="VUJ32" s="2511"/>
      <c r="VUK32" s="2511"/>
      <c r="VUL32" s="2511"/>
      <c r="VUM32" s="2511"/>
      <c r="VUN32" s="2511"/>
      <c r="VUO32" s="2511"/>
      <c r="VUP32" s="2511"/>
      <c r="VUQ32" s="2511"/>
      <c r="VUR32" s="2511"/>
      <c r="VUS32" s="2511"/>
      <c r="VUT32" s="2511"/>
      <c r="VUU32" s="2511"/>
      <c r="VUV32" s="2511"/>
      <c r="VUW32" s="2511"/>
      <c r="VUX32" s="2511"/>
      <c r="VUY32" s="2511"/>
      <c r="VUZ32" s="2511"/>
      <c r="VVA32" s="2511"/>
      <c r="VVB32" s="2511"/>
      <c r="VVC32" s="2511"/>
      <c r="VVD32" s="2511"/>
      <c r="VVE32" s="2511"/>
      <c r="VVF32" s="2511"/>
      <c r="VVG32" s="2511"/>
      <c r="VVH32" s="2511"/>
      <c r="VVI32" s="2511"/>
      <c r="VVJ32" s="2511"/>
      <c r="VVK32" s="2511"/>
      <c r="VVL32" s="2511"/>
      <c r="VVM32" s="2511"/>
      <c r="VVN32" s="2511"/>
      <c r="VVO32" s="2511"/>
      <c r="VVP32" s="2511"/>
      <c r="VVQ32" s="2511"/>
      <c r="VVR32" s="2511"/>
      <c r="VVS32" s="2511"/>
      <c r="VVT32" s="2511"/>
      <c r="VVU32" s="2511"/>
      <c r="VVV32" s="2511"/>
      <c r="VVW32" s="2511"/>
      <c r="VVX32" s="2511"/>
      <c r="VVY32" s="2511"/>
      <c r="VVZ32" s="2511"/>
      <c r="VWA32" s="2511"/>
      <c r="VWB32" s="2511"/>
      <c r="VWC32" s="2511"/>
      <c r="VWD32" s="2511"/>
      <c r="VWE32" s="2511"/>
      <c r="VWF32" s="2511"/>
      <c r="VWG32" s="2511"/>
      <c r="VWH32" s="2511"/>
      <c r="VWI32" s="2511"/>
      <c r="VWJ32" s="2511"/>
      <c r="VWK32" s="2511"/>
      <c r="VWL32" s="2511"/>
      <c r="VWM32" s="2511"/>
      <c r="VWN32" s="2511"/>
      <c r="VWO32" s="2511"/>
      <c r="VWP32" s="2511"/>
      <c r="VWQ32" s="2511"/>
      <c r="VWR32" s="2511"/>
      <c r="VWS32" s="2511"/>
      <c r="VWT32" s="2511"/>
      <c r="VWU32" s="2511"/>
      <c r="VWV32" s="2511"/>
      <c r="VWW32" s="2511"/>
      <c r="VWX32" s="2511"/>
      <c r="VWY32" s="2511"/>
      <c r="VWZ32" s="2511"/>
      <c r="VXA32" s="2511"/>
      <c r="VXB32" s="2511"/>
      <c r="VXC32" s="2511"/>
      <c r="VXD32" s="2511"/>
      <c r="VXE32" s="2511"/>
      <c r="VXF32" s="2511"/>
      <c r="VXG32" s="2511"/>
      <c r="VXH32" s="2511"/>
      <c r="VXI32" s="2511"/>
      <c r="VXJ32" s="2511"/>
      <c r="VXK32" s="2511"/>
      <c r="VXL32" s="2511"/>
      <c r="VXM32" s="2511"/>
      <c r="VXN32" s="2511"/>
      <c r="VXO32" s="2511"/>
      <c r="VXP32" s="2511"/>
      <c r="VXQ32" s="2511"/>
      <c r="VXR32" s="2511"/>
      <c r="VXS32" s="2511"/>
      <c r="VXT32" s="2511"/>
      <c r="VXU32" s="2511"/>
      <c r="VXV32" s="2511"/>
      <c r="VXW32" s="2511"/>
      <c r="VXX32" s="2511"/>
      <c r="VXY32" s="2511"/>
      <c r="VXZ32" s="2511"/>
      <c r="VYA32" s="2511"/>
      <c r="VYB32" s="2511"/>
      <c r="VYC32" s="2511"/>
      <c r="VYD32" s="2511"/>
      <c r="VYE32" s="2511"/>
      <c r="VYF32" s="2511"/>
      <c r="VYG32" s="2511"/>
      <c r="VYH32" s="2511"/>
      <c r="VYI32" s="2511"/>
      <c r="VYJ32" s="2511"/>
      <c r="VYK32" s="2511"/>
      <c r="VYL32" s="2511"/>
      <c r="VYM32" s="2511"/>
      <c r="VYN32" s="2511"/>
      <c r="VYO32" s="2511"/>
      <c r="VYP32" s="2511"/>
      <c r="VYQ32" s="2511"/>
      <c r="VYR32" s="2511"/>
      <c r="VYS32" s="2511"/>
      <c r="VYT32" s="2511"/>
      <c r="VYU32" s="2511"/>
      <c r="VYV32" s="2511"/>
      <c r="VYW32" s="2511"/>
      <c r="VYX32" s="2511"/>
      <c r="VYY32" s="2511"/>
      <c r="VYZ32" s="2511"/>
      <c r="VZA32" s="2511"/>
      <c r="VZB32" s="2511"/>
      <c r="VZC32" s="2511"/>
      <c r="VZD32" s="2511"/>
      <c r="VZE32" s="2511"/>
      <c r="VZF32" s="2511"/>
      <c r="VZG32" s="2511"/>
      <c r="VZH32" s="2511"/>
      <c r="VZI32" s="2511"/>
      <c r="VZJ32" s="2511"/>
      <c r="VZK32" s="2511"/>
      <c r="VZL32" s="2511"/>
      <c r="VZM32" s="2511"/>
      <c r="VZN32" s="2511"/>
      <c r="VZO32" s="2511"/>
      <c r="VZP32" s="2511"/>
      <c r="VZQ32" s="2511"/>
      <c r="VZR32" s="2511"/>
      <c r="VZS32" s="2511"/>
      <c r="VZT32" s="2511"/>
      <c r="VZU32" s="2511"/>
      <c r="VZV32" s="2511"/>
      <c r="VZW32" s="2511"/>
      <c r="VZX32" s="2511"/>
      <c r="VZY32" s="2511"/>
      <c r="VZZ32" s="2511"/>
      <c r="WAA32" s="2511"/>
      <c r="WAB32" s="2511"/>
      <c r="WAC32" s="2511"/>
      <c r="WAD32" s="2511"/>
      <c r="WAE32" s="2511"/>
      <c r="WAF32" s="2511"/>
      <c r="WAG32" s="2511"/>
      <c r="WAH32" s="2511"/>
      <c r="WAI32" s="2511"/>
      <c r="WAJ32" s="2511"/>
      <c r="WAK32" s="2511"/>
      <c r="WAL32" s="2511"/>
      <c r="WAM32" s="2511"/>
      <c r="WAN32" s="2511"/>
      <c r="WAO32" s="2511"/>
      <c r="WAP32" s="2511"/>
      <c r="WAQ32" s="2511"/>
      <c r="WAR32" s="2511"/>
      <c r="WAS32" s="2511"/>
      <c r="WAT32" s="2511"/>
      <c r="WAU32" s="2511"/>
      <c r="WAV32" s="2511"/>
      <c r="WAW32" s="2511"/>
      <c r="WAX32" s="2511"/>
      <c r="WAY32" s="2511"/>
      <c r="WAZ32" s="2511"/>
      <c r="WBA32" s="2511"/>
      <c r="WBB32" s="2511"/>
      <c r="WBC32" s="2511"/>
      <c r="WBD32" s="2511"/>
      <c r="WBE32" s="2511"/>
      <c r="WBF32" s="2511"/>
      <c r="WBG32" s="2511"/>
      <c r="WBH32" s="2511"/>
      <c r="WBI32" s="2511"/>
      <c r="WBJ32" s="2511"/>
      <c r="WBK32" s="2511"/>
      <c r="WBL32" s="2511"/>
      <c r="WBM32" s="2511"/>
      <c r="WBN32" s="2511"/>
      <c r="WBO32" s="2511"/>
      <c r="WBP32" s="2511"/>
      <c r="WBQ32" s="2511"/>
      <c r="WBR32" s="2511"/>
      <c r="WBS32" s="2511"/>
      <c r="WBT32" s="2511"/>
      <c r="WBU32" s="2511"/>
      <c r="WBV32" s="2511"/>
      <c r="WBW32" s="2511"/>
      <c r="WBX32" s="2511"/>
      <c r="WBY32" s="2511"/>
      <c r="WBZ32" s="2511"/>
      <c r="WCA32" s="2511"/>
      <c r="WCB32" s="2511"/>
      <c r="WCC32" s="2511"/>
      <c r="WCD32" s="2511"/>
      <c r="WCE32" s="2511"/>
      <c r="WCF32" s="2511"/>
      <c r="WCG32" s="2511"/>
      <c r="WCH32" s="2511"/>
      <c r="WCI32" s="2511"/>
      <c r="WCJ32" s="2511"/>
      <c r="WCK32" s="2511"/>
      <c r="WCL32" s="2511"/>
      <c r="WCM32" s="2511"/>
      <c r="WCN32" s="2511"/>
      <c r="WCO32" s="2511"/>
      <c r="WCP32" s="2511"/>
      <c r="WCQ32" s="2511"/>
      <c r="WCR32" s="2511"/>
      <c r="WCS32" s="2511"/>
      <c r="WCT32" s="2511"/>
      <c r="WCU32" s="2511"/>
      <c r="WCV32" s="2511"/>
      <c r="WCW32" s="2511"/>
      <c r="WCX32" s="2511"/>
      <c r="WCY32" s="2511"/>
      <c r="WCZ32" s="2511"/>
      <c r="WDA32" s="2511"/>
      <c r="WDB32" s="2511"/>
      <c r="WDC32" s="2511"/>
      <c r="WDD32" s="2511"/>
      <c r="WDE32" s="2511"/>
      <c r="WDF32" s="2511"/>
      <c r="WDG32" s="2511"/>
      <c r="WDH32" s="2511"/>
      <c r="WDI32" s="2511"/>
      <c r="WDJ32" s="2511"/>
      <c r="WDK32" s="2511"/>
      <c r="WDL32" s="2511"/>
      <c r="WDM32" s="2511"/>
      <c r="WDN32" s="2511"/>
      <c r="WDO32" s="2511"/>
      <c r="WDP32" s="2511"/>
      <c r="WDQ32" s="2511"/>
      <c r="WDR32" s="2511"/>
      <c r="WDS32" s="2511"/>
      <c r="WDT32" s="2511"/>
      <c r="WDU32" s="2511"/>
      <c r="WDV32" s="2511"/>
      <c r="WDW32" s="2511"/>
      <c r="WDX32" s="2511"/>
      <c r="WDY32" s="2511"/>
      <c r="WDZ32" s="2511"/>
      <c r="WEA32" s="2511"/>
      <c r="WEB32" s="2511"/>
      <c r="WEC32" s="2511"/>
      <c r="WED32" s="2511"/>
      <c r="WEE32" s="2511"/>
      <c r="WEF32" s="2511"/>
      <c r="WEG32" s="2511"/>
      <c r="WEH32" s="2511"/>
      <c r="WEI32" s="2511"/>
      <c r="WEJ32" s="2511"/>
      <c r="WEK32" s="2511"/>
      <c r="WEL32" s="2511"/>
      <c r="WEM32" s="2511"/>
      <c r="WEN32" s="2511"/>
      <c r="WEO32" s="2511"/>
      <c r="WEP32" s="2511"/>
      <c r="WEQ32" s="2511"/>
      <c r="WER32" s="2511"/>
      <c r="WES32" s="2511"/>
      <c r="WET32" s="2511"/>
      <c r="WEU32" s="2511"/>
      <c r="WEV32" s="2511"/>
      <c r="WEW32" s="2511"/>
      <c r="WEX32" s="2511"/>
      <c r="WEY32" s="2511"/>
      <c r="WEZ32" s="2511"/>
      <c r="WFA32" s="2511"/>
      <c r="WFB32" s="2511"/>
      <c r="WFC32" s="2511"/>
      <c r="WFD32" s="2511"/>
      <c r="WFE32" s="2511"/>
      <c r="WFF32" s="2511"/>
      <c r="WFG32" s="2511"/>
      <c r="WFH32" s="2511"/>
      <c r="WFI32" s="2511"/>
      <c r="WFJ32" s="2511"/>
      <c r="WFK32" s="2511"/>
      <c r="WFL32" s="2511"/>
      <c r="WFM32" s="2511"/>
      <c r="WFN32" s="2511"/>
      <c r="WFO32" s="2511"/>
      <c r="WFP32" s="2511"/>
      <c r="WFQ32" s="2511"/>
      <c r="WFR32" s="2511"/>
      <c r="WFS32" s="2511"/>
      <c r="WFT32" s="2511"/>
      <c r="WFU32" s="2511"/>
      <c r="WFV32" s="2511"/>
      <c r="WFW32" s="2511"/>
      <c r="WFX32" s="2511"/>
      <c r="WFY32" s="2511"/>
      <c r="WFZ32" s="2511"/>
      <c r="WGA32" s="2511"/>
      <c r="WGB32" s="2511"/>
      <c r="WGC32" s="2511"/>
      <c r="WGD32" s="2511"/>
      <c r="WGE32" s="2511"/>
      <c r="WGF32" s="2511"/>
      <c r="WGG32" s="2511"/>
      <c r="WGH32" s="2511"/>
      <c r="WGI32" s="2511"/>
      <c r="WGJ32" s="2511"/>
      <c r="WGK32" s="2511"/>
      <c r="WGL32" s="2511"/>
      <c r="WGM32" s="2511"/>
      <c r="WGN32" s="2511"/>
      <c r="WGO32" s="2511"/>
      <c r="WGP32" s="2511"/>
      <c r="WGQ32" s="2511"/>
      <c r="WGR32" s="2511"/>
      <c r="WGS32" s="2511"/>
      <c r="WGT32" s="2511"/>
      <c r="WGU32" s="2511"/>
      <c r="WGV32" s="2511"/>
      <c r="WGW32" s="2511"/>
      <c r="WGX32" s="2511"/>
      <c r="WGY32" s="2511"/>
      <c r="WGZ32" s="2511"/>
      <c r="WHA32" s="2511"/>
      <c r="WHB32" s="2511"/>
      <c r="WHC32" s="2511"/>
      <c r="WHD32" s="2511"/>
      <c r="WHE32" s="2511"/>
      <c r="WHF32" s="2511"/>
      <c r="WHG32" s="2511"/>
      <c r="WHH32" s="2511"/>
      <c r="WHI32" s="2511"/>
      <c r="WHJ32" s="2511"/>
      <c r="WHK32" s="2511"/>
      <c r="WHL32" s="2511"/>
      <c r="WHM32" s="2511"/>
      <c r="WHN32" s="2511"/>
      <c r="WHO32" s="2511"/>
      <c r="WHP32" s="2511"/>
      <c r="WHQ32" s="2511"/>
      <c r="WHR32" s="2511"/>
      <c r="WHS32" s="2511"/>
      <c r="WHT32" s="2511"/>
      <c r="WHU32" s="2511"/>
      <c r="WHV32" s="2511"/>
      <c r="WHW32" s="2511"/>
      <c r="WHX32" s="2511"/>
      <c r="WHY32" s="2511"/>
      <c r="WHZ32" s="2511"/>
      <c r="WIA32" s="2511"/>
      <c r="WIB32" s="2511"/>
      <c r="WIC32" s="2511"/>
      <c r="WID32" s="2511"/>
      <c r="WIE32" s="2511"/>
      <c r="WIF32" s="2511"/>
      <c r="WIG32" s="2511"/>
      <c r="WIH32" s="2511"/>
      <c r="WII32" s="2511"/>
      <c r="WIJ32" s="2511"/>
      <c r="WIK32" s="2511"/>
      <c r="WIL32" s="2511"/>
      <c r="WIM32" s="2511"/>
      <c r="WIN32" s="2511"/>
      <c r="WIO32" s="2511"/>
      <c r="WIP32" s="2511"/>
      <c r="WIQ32" s="2511"/>
      <c r="WIR32" s="2511"/>
      <c r="WIS32" s="2511"/>
      <c r="WIT32" s="2511"/>
      <c r="WIU32" s="2511"/>
      <c r="WIV32" s="2511"/>
      <c r="WIW32" s="2511"/>
      <c r="WIX32" s="2511"/>
      <c r="WIY32" s="2511"/>
      <c r="WIZ32" s="2511"/>
      <c r="WJA32" s="2511"/>
      <c r="WJB32" s="2511"/>
      <c r="WJC32" s="2511"/>
      <c r="WJD32" s="2511"/>
      <c r="WJE32" s="2511"/>
      <c r="WJF32" s="2511"/>
      <c r="WJG32" s="2511"/>
      <c r="WJH32" s="2511"/>
      <c r="WJI32" s="2511"/>
      <c r="WJJ32" s="2511"/>
      <c r="WJK32" s="2511"/>
      <c r="WJL32" s="2511"/>
      <c r="WJM32" s="2511"/>
      <c r="WJN32" s="2511"/>
      <c r="WJO32" s="2511"/>
      <c r="WJP32" s="2511"/>
      <c r="WJQ32" s="2511"/>
      <c r="WJR32" s="2511"/>
      <c r="WJS32" s="2511"/>
      <c r="WJT32" s="2511"/>
      <c r="WJU32" s="2511"/>
      <c r="WJV32" s="2511"/>
      <c r="WJW32" s="2511"/>
      <c r="WJX32" s="2511"/>
      <c r="WJY32" s="2511"/>
      <c r="WJZ32" s="2511"/>
      <c r="WKA32" s="2511"/>
      <c r="WKB32" s="2511"/>
      <c r="WKC32" s="2511"/>
      <c r="WKD32" s="2511"/>
      <c r="WKE32" s="2511"/>
      <c r="WKF32" s="2511"/>
      <c r="WKG32" s="2511"/>
      <c r="WKH32" s="2511"/>
      <c r="WKI32" s="2511"/>
      <c r="WKJ32" s="2511"/>
      <c r="WKK32" s="2511"/>
      <c r="WKL32" s="2511"/>
      <c r="WKM32" s="2511"/>
      <c r="WKN32" s="2511"/>
      <c r="WKO32" s="2511"/>
      <c r="WKP32" s="2511"/>
      <c r="WKQ32" s="2511"/>
      <c r="WKR32" s="2511"/>
      <c r="WKS32" s="2511"/>
      <c r="WKT32" s="2511"/>
      <c r="WKU32" s="2511"/>
      <c r="WKV32" s="2511"/>
      <c r="WKW32" s="2511"/>
      <c r="WKX32" s="2511"/>
      <c r="WKY32" s="2511"/>
      <c r="WKZ32" s="2511"/>
      <c r="WLA32" s="2511"/>
      <c r="WLB32" s="2511"/>
      <c r="WLC32" s="2511"/>
      <c r="WLD32" s="2511"/>
      <c r="WLE32" s="2511"/>
      <c r="WLF32" s="2511"/>
      <c r="WLG32" s="2511"/>
      <c r="WLH32" s="2511"/>
      <c r="WLI32" s="2511"/>
      <c r="WLJ32" s="2511"/>
      <c r="WLK32" s="2511"/>
      <c r="WLL32" s="2511"/>
      <c r="WLM32" s="2511"/>
      <c r="WLN32" s="2511"/>
      <c r="WLO32" s="2511"/>
      <c r="WLP32" s="2511"/>
      <c r="WLQ32" s="2511"/>
      <c r="WLR32" s="2511"/>
      <c r="WLS32" s="2511"/>
      <c r="WLT32" s="2511"/>
      <c r="WLU32" s="2511"/>
      <c r="WLV32" s="2511"/>
      <c r="WLW32" s="2511"/>
      <c r="WLX32" s="2511"/>
      <c r="WLY32" s="2511"/>
      <c r="WLZ32" s="2511"/>
      <c r="WMA32" s="2511"/>
      <c r="WMB32" s="2511"/>
      <c r="WMC32" s="2511"/>
      <c r="WMD32" s="2511"/>
      <c r="WME32" s="2511"/>
      <c r="WMF32" s="2511"/>
      <c r="WMG32" s="2511"/>
      <c r="WMH32" s="2511"/>
      <c r="WMI32" s="2511"/>
      <c r="WMJ32" s="2511"/>
      <c r="WMK32" s="2511"/>
      <c r="WML32" s="2511"/>
      <c r="WMM32" s="2511"/>
      <c r="WMN32" s="2511"/>
      <c r="WMO32" s="2511"/>
      <c r="WMP32" s="2511"/>
      <c r="WMQ32" s="2511"/>
      <c r="WMR32" s="2511"/>
      <c r="WMS32" s="2511"/>
      <c r="WMT32" s="2511"/>
      <c r="WMU32" s="2511"/>
      <c r="WMV32" s="2511"/>
      <c r="WMW32" s="2511"/>
      <c r="WMX32" s="2511"/>
      <c r="WMY32" s="2511"/>
      <c r="WMZ32" s="2511"/>
      <c r="WNA32" s="2511"/>
      <c r="WNB32" s="2511"/>
      <c r="WNC32" s="2511"/>
      <c r="WND32" s="2511"/>
      <c r="WNE32" s="2511"/>
      <c r="WNF32" s="2511"/>
      <c r="WNG32" s="2511"/>
      <c r="WNH32" s="2511"/>
      <c r="WNI32" s="2511"/>
      <c r="WNJ32" s="2511"/>
      <c r="WNK32" s="2511"/>
      <c r="WNL32" s="2511"/>
      <c r="WNM32" s="2511"/>
      <c r="WNN32" s="2511"/>
      <c r="WNO32" s="2511"/>
      <c r="WNP32" s="2511"/>
      <c r="WNQ32" s="2511"/>
      <c r="WNR32" s="2511"/>
      <c r="WNS32" s="2511"/>
      <c r="WNT32" s="2511"/>
      <c r="WNU32" s="2511"/>
      <c r="WNV32" s="2511"/>
      <c r="WNW32" s="2511"/>
      <c r="WNX32" s="2511"/>
      <c r="WNY32" s="2511"/>
      <c r="WNZ32" s="2511"/>
      <c r="WOA32" s="2511"/>
      <c r="WOB32" s="2511"/>
      <c r="WOC32" s="2511"/>
      <c r="WOD32" s="2511"/>
      <c r="WOE32" s="2511"/>
      <c r="WOF32" s="2511"/>
      <c r="WOG32" s="2511"/>
      <c r="WOH32" s="2511"/>
      <c r="WOI32" s="2511"/>
      <c r="WOJ32" s="2511"/>
      <c r="WOK32" s="2511"/>
      <c r="WOL32" s="2511"/>
      <c r="WOM32" s="2511"/>
      <c r="WON32" s="2511"/>
      <c r="WOO32" s="2511"/>
      <c r="WOP32" s="2511"/>
      <c r="WOQ32" s="2511"/>
      <c r="WOR32" s="2511"/>
      <c r="WOS32" s="2511"/>
      <c r="WOT32" s="2511"/>
      <c r="WOU32" s="2511"/>
      <c r="WOV32" s="2511"/>
      <c r="WOW32" s="2511"/>
      <c r="WOX32" s="2511"/>
      <c r="WOY32" s="2511"/>
      <c r="WOZ32" s="2511"/>
      <c r="WPA32" s="2511"/>
      <c r="WPB32" s="2511"/>
      <c r="WPC32" s="2511"/>
      <c r="WPD32" s="2511"/>
      <c r="WPE32" s="2511"/>
      <c r="WPF32" s="2511"/>
      <c r="WPG32" s="2511"/>
      <c r="WPH32" s="2511"/>
      <c r="WPI32" s="2511"/>
      <c r="WPJ32" s="2511"/>
      <c r="WPK32" s="2511"/>
      <c r="WPL32" s="2511"/>
      <c r="WPM32" s="2511"/>
      <c r="WPN32" s="2511"/>
      <c r="WPO32" s="2511"/>
      <c r="WPP32" s="2511"/>
      <c r="WPQ32" s="2511"/>
      <c r="WPR32" s="2511"/>
      <c r="WPS32" s="2511"/>
      <c r="WPT32" s="2511"/>
      <c r="WPU32" s="2511"/>
      <c r="WPV32" s="2511"/>
      <c r="WPW32" s="2511"/>
      <c r="WPX32" s="2511"/>
      <c r="WPY32" s="2511"/>
      <c r="WPZ32" s="2511"/>
      <c r="WQA32" s="2511"/>
      <c r="WQB32" s="2511"/>
      <c r="WQC32" s="2511"/>
      <c r="WQD32" s="2511"/>
      <c r="WQE32" s="2511"/>
      <c r="WQF32" s="2511"/>
      <c r="WQG32" s="2511"/>
      <c r="WQH32" s="2511"/>
      <c r="WQI32" s="2511"/>
      <c r="WQJ32" s="2511"/>
      <c r="WQK32" s="2511"/>
      <c r="WQL32" s="2511"/>
      <c r="WQM32" s="2511"/>
      <c r="WQN32" s="2511"/>
      <c r="WQO32" s="2511"/>
      <c r="WQP32" s="2511"/>
      <c r="WQQ32" s="2511"/>
      <c r="WQR32" s="2511"/>
      <c r="WQS32" s="2511"/>
      <c r="WQT32" s="2511"/>
      <c r="WQU32" s="2511"/>
      <c r="WQV32" s="2511"/>
      <c r="WQW32" s="2511"/>
      <c r="WQX32" s="2511"/>
      <c r="WQY32" s="2511"/>
      <c r="WQZ32" s="2511"/>
      <c r="WRA32" s="2511"/>
      <c r="WRB32" s="2511"/>
      <c r="WRC32" s="2511"/>
      <c r="WRD32" s="2511"/>
      <c r="WRE32" s="2511"/>
      <c r="WRF32" s="2511"/>
      <c r="WRG32" s="2511"/>
      <c r="WRH32" s="2511"/>
      <c r="WRI32" s="2511"/>
      <c r="WRJ32" s="2511"/>
      <c r="WRK32" s="2511"/>
      <c r="WRL32" s="2511"/>
      <c r="WRM32" s="2511"/>
      <c r="WRN32" s="2511"/>
      <c r="WRO32" s="2511"/>
      <c r="WRP32" s="2511"/>
      <c r="WRQ32" s="2511"/>
      <c r="WRR32" s="2511"/>
      <c r="WRS32" s="2511"/>
      <c r="WRT32" s="2511"/>
      <c r="WRU32" s="2511"/>
      <c r="WRV32" s="2511"/>
      <c r="WRW32" s="2511"/>
      <c r="WRX32" s="2511"/>
      <c r="WRY32" s="2511"/>
      <c r="WRZ32" s="2511"/>
      <c r="WSA32" s="2511"/>
      <c r="WSB32" s="2511"/>
      <c r="WSC32" s="2511"/>
      <c r="WSD32" s="2511"/>
      <c r="WSE32" s="2511"/>
      <c r="WSF32" s="2511"/>
      <c r="WSG32" s="2511"/>
      <c r="WSH32" s="2511"/>
      <c r="WSI32" s="2511"/>
      <c r="WSJ32" s="2511"/>
      <c r="WSK32" s="2511"/>
      <c r="WSL32" s="2511"/>
      <c r="WSM32" s="2511"/>
      <c r="WSN32" s="2511"/>
      <c r="WSO32" s="2511"/>
      <c r="WSP32" s="2511"/>
      <c r="WSQ32" s="2511"/>
      <c r="WSR32" s="2511"/>
      <c r="WSS32" s="2511"/>
      <c r="WST32" s="2511"/>
      <c r="WSU32" s="2511"/>
      <c r="WSV32" s="2511"/>
      <c r="WSW32" s="2511"/>
      <c r="WSX32" s="2511"/>
      <c r="WSY32" s="2511"/>
      <c r="WSZ32" s="2511"/>
      <c r="WTA32" s="2511"/>
      <c r="WTB32" s="2511"/>
      <c r="WTC32" s="2511"/>
      <c r="WTD32" s="2511"/>
      <c r="WTE32" s="2511"/>
      <c r="WTF32" s="2511"/>
      <c r="WTG32" s="2511"/>
      <c r="WTH32" s="2511"/>
      <c r="WTI32" s="2511"/>
      <c r="WTJ32" s="2511"/>
      <c r="WTK32" s="2511"/>
      <c r="WTL32" s="2511"/>
      <c r="WTM32" s="2511"/>
      <c r="WTN32" s="2511"/>
      <c r="WTO32" s="2511"/>
      <c r="WTP32" s="2511"/>
      <c r="WTQ32" s="2511"/>
      <c r="WTR32" s="2511"/>
      <c r="WTS32" s="2511"/>
      <c r="WTT32" s="2511"/>
      <c r="WTU32" s="2511"/>
      <c r="WTV32" s="2511"/>
      <c r="WTW32" s="2511"/>
      <c r="WTX32" s="2511"/>
      <c r="WTY32" s="2511"/>
      <c r="WTZ32" s="2511"/>
      <c r="WUA32" s="2511"/>
      <c r="WUB32" s="2511"/>
      <c r="WUC32" s="2511"/>
      <c r="WUD32" s="2511"/>
      <c r="WUE32" s="2511"/>
      <c r="WUF32" s="2511"/>
      <c r="WUG32" s="2511"/>
      <c r="WUH32" s="2511"/>
      <c r="WUI32" s="2511"/>
      <c r="WUJ32" s="2511"/>
      <c r="WUK32" s="2511"/>
      <c r="WUL32" s="2511"/>
      <c r="WUM32" s="2511"/>
      <c r="WUN32" s="2511"/>
      <c r="WUO32" s="2511"/>
      <c r="WUP32" s="2511"/>
      <c r="WUQ32" s="2511"/>
      <c r="WUR32" s="2511"/>
      <c r="WUS32" s="2511"/>
      <c r="WUT32" s="2511"/>
      <c r="WUU32" s="2511"/>
      <c r="WUV32" s="2511"/>
      <c r="WUW32" s="2511"/>
      <c r="WUX32" s="2511"/>
      <c r="WUY32" s="2511"/>
      <c r="WUZ32" s="2511"/>
      <c r="WVA32" s="2511"/>
      <c r="WVB32" s="2511"/>
      <c r="WVC32" s="2511"/>
      <c r="WVD32" s="2511"/>
      <c r="WVE32" s="2511"/>
      <c r="WVF32" s="2511"/>
      <c r="WVG32" s="2511"/>
      <c r="WVH32" s="2511"/>
      <c r="WVI32" s="2511"/>
      <c r="WVJ32" s="2511"/>
      <c r="WVK32" s="2511"/>
      <c r="WVL32" s="2511"/>
      <c r="WVM32" s="2511"/>
      <c r="WVN32" s="2511"/>
      <c r="WVO32" s="2511"/>
      <c r="WVP32" s="2511"/>
      <c r="WVQ32" s="2511"/>
      <c r="WVR32" s="2511"/>
      <c r="WVS32" s="2511"/>
      <c r="WVT32" s="2511"/>
      <c r="WVU32" s="2511"/>
      <c r="WVV32" s="2511"/>
      <c r="WVW32" s="2511"/>
      <c r="WVX32" s="2511"/>
      <c r="WVY32" s="2511"/>
      <c r="WVZ32" s="2511"/>
      <c r="WWA32" s="2511"/>
      <c r="WWB32" s="2511"/>
      <c r="WWC32" s="2511"/>
      <c r="WWD32" s="2511"/>
      <c r="WWE32" s="2511"/>
      <c r="WWF32" s="2511"/>
      <c r="WWG32" s="2511"/>
      <c r="WWH32" s="2511"/>
      <c r="WWI32" s="2511"/>
      <c r="WWJ32" s="2511"/>
      <c r="WWK32" s="2511"/>
      <c r="WWL32" s="2511"/>
      <c r="WWM32" s="2511"/>
      <c r="WWN32" s="2511"/>
      <c r="WWO32" s="2511"/>
      <c r="WWP32" s="2511"/>
      <c r="WWQ32" s="2511"/>
      <c r="WWR32" s="2511"/>
      <c r="WWS32" s="2511"/>
      <c r="WWT32" s="2511"/>
      <c r="WWU32" s="2511"/>
      <c r="WWV32" s="2511"/>
      <c r="WWW32" s="2511"/>
      <c r="WWX32" s="2511"/>
      <c r="WWY32" s="2511"/>
      <c r="WWZ32" s="2511"/>
      <c r="WXA32" s="2511"/>
      <c r="WXB32" s="2511"/>
      <c r="WXC32" s="2511"/>
      <c r="WXD32" s="2511"/>
      <c r="WXE32" s="2511"/>
      <c r="WXF32" s="2511"/>
      <c r="WXG32" s="2511"/>
      <c r="WXH32" s="2511"/>
      <c r="WXI32" s="2511"/>
      <c r="WXJ32" s="2511"/>
      <c r="WXK32" s="2511"/>
      <c r="WXL32" s="2511"/>
      <c r="WXM32" s="2511"/>
      <c r="WXN32" s="2511"/>
      <c r="WXO32" s="2511"/>
      <c r="WXP32" s="2511"/>
      <c r="WXQ32" s="2511"/>
      <c r="WXR32" s="2511"/>
      <c r="WXS32" s="2511"/>
      <c r="WXT32" s="2511"/>
      <c r="WXU32" s="2511"/>
      <c r="WXV32" s="2511"/>
      <c r="WXW32" s="2511"/>
      <c r="WXX32" s="2511"/>
      <c r="WXY32" s="2511"/>
      <c r="WXZ32" s="2511"/>
      <c r="WYA32" s="2511"/>
      <c r="WYB32" s="2511"/>
      <c r="WYC32" s="2511"/>
      <c r="WYD32" s="2511"/>
      <c r="WYE32" s="2511"/>
      <c r="WYF32" s="2511"/>
      <c r="WYG32" s="2511"/>
      <c r="WYH32" s="2511"/>
      <c r="WYI32" s="2511"/>
      <c r="WYJ32" s="2511"/>
      <c r="WYK32" s="2511"/>
      <c r="WYL32" s="2511"/>
      <c r="WYM32" s="2511"/>
      <c r="WYN32" s="2511"/>
      <c r="WYO32" s="2511"/>
      <c r="WYP32" s="2511"/>
      <c r="WYQ32" s="2511"/>
      <c r="WYR32" s="2511"/>
      <c r="WYS32" s="2511"/>
      <c r="WYT32" s="2511"/>
      <c r="WYU32" s="2511"/>
      <c r="WYV32" s="2511"/>
      <c r="WYW32" s="2511"/>
      <c r="WYX32" s="2511"/>
      <c r="WYY32" s="2511"/>
      <c r="WYZ32" s="2511"/>
      <c r="WZA32" s="2511"/>
      <c r="WZB32" s="2511"/>
      <c r="WZC32" s="2511"/>
      <c r="WZD32" s="2511"/>
      <c r="WZE32" s="2511"/>
      <c r="WZF32" s="2511"/>
      <c r="WZG32" s="2511"/>
      <c r="WZH32" s="2511"/>
      <c r="WZI32" s="2511"/>
      <c r="WZJ32" s="2511"/>
      <c r="WZK32" s="2511"/>
      <c r="WZL32" s="2511"/>
      <c r="WZM32" s="2511"/>
      <c r="WZN32" s="2511"/>
      <c r="WZO32" s="2511"/>
      <c r="WZP32" s="2511"/>
      <c r="WZQ32" s="2511"/>
      <c r="WZR32" s="2511"/>
      <c r="WZS32" s="2511"/>
      <c r="WZT32" s="2511"/>
      <c r="WZU32" s="2511"/>
      <c r="WZV32" s="2511"/>
      <c r="WZW32" s="2511"/>
      <c r="WZX32" s="2511"/>
      <c r="WZY32" s="2511"/>
      <c r="WZZ32" s="2511"/>
      <c r="XAA32" s="2511"/>
      <c r="XAB32" s="2511"/>
      <c r="XAC32" s="2511"/>
      <c r="XAD32" s="2511"/>
      <c r="XAE32" s="2511"/>
      <c r="XAF32" s="2511"/>
      <c r="XAG32" s="2511"/>
      <c r="XAH32" s="2511"/>
      <c r="XAI32" s="2511"/>
      <c r="XAJ32" s="2511"/>
      <c r="XAK32" s="2511"/>
      <c r="XAL32" s="2511"/>
      <c r="XAM32" s="2511"/>
      <c r="XAN32" s="2511"/>
      <c r="XAO32" s="2511"/>
      <c r="XAP32" s="2511"/>
      <c r="XAQ32" s="2511"/>
      <c r="XAR32" s="2511"/>
      <c r="XAS32" s="2511"/>
      <c r="XAT32" s="2511"/>
      <c r="XAU32" s="2511"/>
      <c r="XAV32" s="2511"/>
      <c r="XAW32" s="2511"/>
      <c r="XAX32" s="2511"/>
      <c r="XAY32" s="2511"/>
      <c r="XAZ32" s="2511"/>
      <c r="XBA32" s="2511"/>
      <c r="XBB32" s="2511"/>
      <c r="XBC32" s="2511"/>
      <c r="XBD32" s="2511"/>
      <c r="XBE32" s="2511"/>
      <c r="XBF32" s="2511"/>
      <c r="XBG32" s="2511"/>
      <c r="XBH32" s="2511"/>
      <c r="XBI32" s="2511"/>
      <c r="XBJ32" s="2511"/>
      <c r="XBK32" s="2511"/>
      <c r="XBL32" s="2511"/>
      <c r="XBM32" s="2511"/>
      <c r="XBN32" s="2511"/>
      <c r="XBO32" s="2511"/>
      <c r="XBP32" s="2511"/>
      <c r="XBQ32" s="2511"/>
      <c r="XBR32" s="2511"/>
      <c r="XBS32" s="2511"/>
      <c r="XBT32" s="2511"/>
      <c r="XBU32" s="2511"/>
      <c r="XBV32" s="2511"/>
      <c r="XBW32" s="2511"/>
      <c r="XBX32" s="2511"/>
      <c r="XBY32" s="2511"/>
      <c r="XBZ32" s="2511"/>
      <c r="XCA32" s="2511"/>
      <c r="XCB32" s="2511"/>
      <c r="XCC32" s="2511"/>
      <c r="XCD32" s="2511"/>
      <c r="XCE32" s="2511"/>
      <c r="XCF32" s="2511"/>
      <c r="XCG32" s="2511"/>
      <c r="XCH32" s="2511"/>
      <c r="XCI32" s="2511"/>
      <c r="XCJ32" s="2511"/>
      <c r="XCK32" s="2511"/>
      <c r="XCL32" s="2511"/>
      <c r="XCM32" s="2511"/>
      <c r="XCN32" s="2511"/>
      <c r="XCO32" s="2511"/>
      <c r="XCP32" s="2511"/>
      <c r="XCQ32" s="2511"/>
      <c r="XCR32" s="2511"/>
      <c r="XCS32" s="2511"/>
      <c r="XCT32" s="2511"/>
      <c r="XCU32" s="2511"/>
      <c r="XCV32" s="2511"/>
      <c r="XCW32" s="2511"/>
      <c r="XCX32" s="2511"/>
      <c r="XCY32" s="2511"/>
      <c r="XCZ32" s="2511"/>
      <c r="XDA32" s="2511"/>
      <c r="XDB32" s="2511"/>
      <c r="XDC32" s="2511"/>
      <c r="XDD32" s="2511"/>
      <c r="XDE32" s="2511"/>
      <c r="XDF32" s="2511"/>
      <c r="XDG32" s="2511"/>
      <c r="XDH32" s="2511"/>
      <c r="XDI32" s="2511"/>
      <c r="XDJ32" s="2511"/>
      <c r="XDK32" s="2511"/>
      <c r="XDL32" s="2511"/>
      <c r="XDM32" s="2511"/>
      <c r="XDN32" s="2511"/>
      <c r="XDO32" s="2511"/>
      <c r="XDP32" s="2511"/>
      <c r="XDQ32" s="2511"/>
      <c r="XDR32" s="2511"/>
      <c r="XDS32" s="2511"/>
      <c r="XDT32" s="2511"/>
      <c r="XDU32" s="2511"/>
      <c r="XDV32" s="2511"/>
      <c r="XDW32" s="2511"/>
      <c r="XDX32" s="2511"/>
      <c r="XDY32" s="2511"/>
      <c r="XDZ32" s="2511"/>
      <c r="XEA32" s="2511"/>
      <c r="XEB32" s="2511"/>
      <c r="XEC32" s="2511"/>
      <c r="XED32" s="2511"/>
      <c r="XEE32" s="2511"/>
      <c r="XEF32" s="2511"/>
      <c r="XEG32" s="2511"/>
      <c r="XEH32" s="2511"/>
      <c r="XEI32" s="2511"/>
      <c r="XEJ32" s="2511"/>
      <c r="XEK32" s="2511"/>
      <c r="XEL32" s="2511"/>
      <c r="XEM32" s="2511"/>
      <c r="XEN32" s="2511"/>
      <c r="XEO32" s="2511"/>
      <c r="XEP32" s="2511"/>
      <c r="XEQ32" s="2511"/>
      <c r="XER32" s="2511"/>
      <c r="XES32" s="2511"/>
      <c r="XET32" s="2511"/>
      <c r="XEU32" s="2511"/>
      <c r="XEV32" s="2511"/>
      <c r="XEW32" s="2511"/>
      <c r="XEX32" s="2511"/>
      <c r="XEY32" s="2511"/>
      <c r="XEZ32" s="2511"/>
      <c r="XFA32" s="2511"/>
      <c r="XFB32" s="2511"/>
      <c r="XFC32" s="2511"/>
      <c r="XFD32" s="2511"/>
    </row>
    <row r="33" spans="1:16384" s="723" customFormat="1" ht="45" customHeight="1">
      <c r="A33" s="2511" t="s">
        <v>1336</v>
      </c>
      <c r="B33" s="2511"/>
      <c r="C33" s="2511"/>
      <c r="D33" s="2511"/>
      <c r="E33" s="2511"/>
      <c r="F33" s="2511"/>
      <c r="G33" s="2511"/>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c r="DT33" s="2511"/>
      <c r="DU33" s="2511"/>
      <c r="DV33" s="2511"/>
      <c r="DW33" s="2511"/>
      <c r="DX33" s="2511"/>
      <c r="DY33" s="2511"/>
      <c r="DZ33" s="2511"/>
      <c r="EA33" s="2511"/>
      <c r="EB33" s="2511"/>
      <c r="EC33" s="2511"/>
      <c r="ED33" s="2511"/>
      <c r="EE33" s="2511"/>
      <c r="EF33" s="2511"/>
      <c r="EG33" s="2511"/>
      <c r="EH33" s="2511"/>
      <c r="EI33" s="2511"/>
      <c r="EJ33" s="2511"/>
      <c r="EK33" s="2511"/>
      <c r="EL33" s="2511"/>
      <c r="EM33" s="2511"/>
      <c r="EN33" s="2511"/>
      <c r="EO33" s="2511"/>
      <c r="EP33" s="2511"/>
      <c r="EQ33" s="2511"/>
      <c r="ER33" s="2511"/>
      <c r="ES33" s="2511"/>
      <c r="ET33" s="2511"/>
      <c r="EU33" s="2511"/>
      <c r="EV33" s="2511"/>
      <c r="EW33" s="2511"/>
      <c r="EX33" s="2511"/>
      <c r="EY33" s="2511"/>
      <c r="EZ33" s="2511"/>
      <c r="FA33" s="2511"/>
      <c r="FB33" s="2511"/>
      <c r="FC33" s="2511"/>
      <c r="FD33" s="2511"/>
      <c r="FE33" s="2511"/>
      <c r="FF33" s="2511"/>
      <c r="FG33" s="2511"/>
      <c r="FH33" s="2511"/>
      <c r="FI33" s="2511"/>
      <c r="FJ33" s="2511"/>
      <c r="FK33" s="2511"/>
      <c r="FL33" s="2511"/>
      <c r="FM33" s="2511"/>
      <c r="FN33" s="2511"/>
      <c r="FO33" s="2511"/>
      <c r="FP33" s="2511"/>
      <c r="FQ33" s="2511"/>
      <c r="FR33" s="2511"/>
      <c r="FS33" s="2511"/>
      <c r="FT33" s="2511"/>
      <c r="FU33" s="2511"/>
      <c r="FV33" s="2511"/>
      <c r="FW33" s="2511"/>
      <c r="FX33" s="2511"/>
      <c r="FY33" s="2511"/>
      <c r="FZ33" s="2511"/>
      <c r="GA33" s="2511"/>
      <c r="GB33" s="2511"/>
      <c r="GC33" s="2511"/>
      <c r="GD33" s="2511"/>
      <c r="GE33" s="2511"/>
      <c r="GF33" s="2511"/>
      <c r="GG33" s="2511"/>
      <c r="GH33" s="2511"/>
      <c r="GI33" s="2511"/>
      <c r="GJ33" s="2511"/>
      <c r="GK33" s="2511"/>
      <c r="GL33" s="2511"/>
      <c r="GM33" s="2511"/>
      <c r="GN33" s="2511"/>
      <c r="GO33" s="2511"/>
      <c r="GP33" s="2511"/>
      <c r="GQ33" s="2511"/>
      <c r="GR33" s="2511"/>
      <c r="GS33" s="2511"/>
      <c r="GT33" s="2511"/>
      <c r="GU33" s="2511"/>
      <c r="GV33" s="2511"/>
      <c r="GW33" s="2511"/>
      <c r="GX33" s="2511"/>
      <c r="GY33" s="2511"/>
      <c r="GZ33" s="2511"/>
      <c r="HA33" s="2511"/>
      <c r="HB33" s="2511"/>
      <c r="HC33" s="2511"/>
      <c r="HD33" s="2511"/>
      <c r="HE33" s="2511"/>
      <c r="HF33" s="2511"/>
      <c r="HG33" s="2511"/>
      <c r="HH33" s="2511"/>
      <c r="HI33" s="2511"/>
      <c r="HJ33" s="2511"/>
      <c r="HK33" s="2511"/>
      <c r="HL33" s="2511"/>
      <c r="HM33" s="2511"/>
      <c r="HN33" s="2511"/>
      <c r="HO33" s="2511"/>
      <c r="HP33" s="2511"/>
      <c r="HQ33" s="2511"/>
      <c r="HR33" s="2511"/>
      <c r="HS33" s="2511"/>
      <c r="HT33" s="2511"/>
      <c r="HU33" s="2511"/>
      <c r="HV33" s="2511"/>
      <c r="HW33" s="2511"/>
      <c r="HX33" s="2511"/>
      <c r="HY33" s="2511"/>
      <c r="HZ33" s="2511"/>
      <c r="IA33" s="2511"/>
      <c r="IB33" s="2511"/>
      <c r="IC33" s="2511"/>
      <c r="ID33" s="2511"/>
      <c r="IE33" s="2511"/>
      <c r="IF33" s="2511"/>
      <c r="IG33" s="2511"/>
      <c r="IH33" s="2511"/>
      <c r="II33" s="2511"/>
      <c r="IJ33" s="2511"/>
      <c r="IK33" s="2511"/>
      <c r="IL33" s="2511"/>
      <c r="IM33" s="2511"/>
      <c r="IN33" s="2511"/>
      <c r="IO33" s="2511"/>
      <c r="IP33" s="2511"/>
      <c r="IQ33" s="2511"/>
      <c r="IR33" s="2511"/>
      <c r="IS33" s="2511"/>
      <c r="IT33" s="2511"/>
      <c r="IU33" s="2511"/>
      <c r="IV33" s="2511"/>
      <c r="IW33" s="2511"/>
      <c r="IX33" s="2511"/>
      <c r="IY33" s="2511"/>
      <c r="IZ33" s="2511"/>
      <c r="JA33" s="2511"/>
      <c r="JB33" s="2511"/>
      <c r="JC33" s="2511"/>
      <c r="JD33" s="2511"/>
      <c r="JE33" s="2511"/>
      <c r="JF33" s="2511"/>
      <c r="JG33" s="2511"/>
      <c r="JH33" s="2511"/>
      <c r="JI33" s="2511"/>
      <c r="JJ33" s="2511"/>
      <c r="JK33" s="2511"/>
      <c r="JL33" s="2511"/>
      <c r="JM33" s="2511"/>
      <c r="JN33" s="2511"/>
      <c r="JO33" s="2511"/>
      <c r="JP33" s="2511"/>
      <c r="JQ33" s="2511"/>
      <c r="JR33" s="2511"/>
      <c r="JS33" s="2511"/>
      <c r="JT33" s="2511"/>
      <c r="JU33" s="2511"/>
      <c r="JV33" s="2511"/>
      <c r="JW33" s="2511"/>
      <c r="JX33" s="2511"/>
      <c r="JY33" s="2511"/>
      <c r="JZ33" s="2511"/>
      <c r="KA33" s="2511"/>
      <c r="KB33" s="2511"/>
      <c r="KC33" s="2511"/>
      <c r="KD33" s="2511"/>
      <c r="KE33" s="2511"/>
      <c r="KF33" s="2511"/>
      <c r="KG33" s="2511"/>
      <c r="KH33" s="2511"/>
      <c r="KI33" s="2511"/>
      <c r="KJ33" s="2511"/>
      <c r="KK33" s="2511"/>
      <c r="KL33" s="2511"/>
      <c r="KM33" s="2511"/>
      <c r="KN33" s="2511"/>
      <c r="KO33" s="2511"/>
      <c r="KP33" s="2511"/>
      <c r="KQ33" s="2511"/>
      <c r="KR33" s="2511"/>
      <c r="KS33" s="2511"/>
      <c r="KT33" s="2511"/>
      <c r="KU33" s="2511"/>
      <c r="KV33" s="2511"/>
      <c r="KW33" s="2511"/>
      <c r="KX33" s="2511"/>
      <c r="KY33" s="2511"/>
      <c r="KZ33" s="2511"/>
      <c r="LA33" s="2511"/>
      <c r="LB33" s="2511"/>
      <c r="LC33" s="2511"/>
      <c r="LD33" s="2511"/>
      <c r="LE33" s="2511"/>
      <c r="LF33" s="2511"/>
      <c r="LG33" s="2511"/>
      <c r="LH33" s="2511"/>
      <c r="LI33" s="2511"/>
      <c r="LJ33" s="2511"/>
      <c r="LK33" s="2511"/>
      <c r="LL33" s="2511"/>
      <c r="LM33" s="2511"/>
      <c r="LN33" s="2511"/>
      <c r="LO33" s="2511"/>
      <c r="LP33" s="2511"/>
      <c r="LQ33" s="2511"/>
      <c r="LR33" s="2511"/>
      <c r="LS33" s="2511"/>
      <c r="LT33" s="2511"/>
      <c r="LU33" s="2511"/>
      <c r="LV33" s="2511"/>
      <c r="LW33" s="2511"/>
      <c r="LX33" s="2511"/>
      <c r="LY33" s="2511"/>
      <c r="LZ33" s="2511"/>
      <c r="MA33" s="2511"/>
      <c r="MB33" s="2511"/>
      <c r="MC33" s="2511"/>
      <c r="MD33" s="2511"/>
      <c r="ME33" s="2511"/>
      <c r="MF33" s="2511"/>
      <c r="MG33" s="2511"/>
      <c r="MH33" s="2511"/>
      <c r="MI33" s="2511"/>
      <c r="MJ33" s="2511"/>
      <c r="MK33" s="2511"/>
      <c r="ML33" s="2511"/>
      <c r="MM33" s="2511"/>
      <c r="MN33" s="2511"/>
      <c r="MO33" s="2511"/>
      <c r="MP33" s="2511"/>
      <c r="MQ33" s="2511"/>
      <c r="MR33" s="2511"/>
      <c r="MS33" s="2511"/>
      <c r="MT33" s="2511"/>
      <c r="MU33" s="2511"/>
      <c r="MV33" s="2511"/>
      <c r="MW33" s="2511"/>
      <c r="MX33" s="2511"/>
      <c r="MY33" s="2511"/>
      <c r="MZ33" s="2511"/>
      <c r="NA33" s="2511"/>
      <c r="NB33" s="2511"/>
      <c r="NC33" s="2511"/>
      <c r="ND33" s="2511"/>
      <c r="NE33" s="2511"/>
      <c r="NF33" s="2511"/>
      <c r="NG33" s="2511"/>
      <c r="NH33" s="2511"/>
      <c r="NI33" s="2511"/>
      <c r="NJ33" s="2511"/>
      <c r="NK33" s="2511"/>
      <c r="NL33" s="2511"/>
      <c r="NM33" s="2511"/>
      <c r="NN33" s="2511"/>
      <c r="NO33" s="2511"/>
      <c r="NP33" s="2511"/>
      <c r="NQ33" s="2511"/>
      <c r="NR33" s="2511"/>
      <c r="NS33" s="2511"/>
      <c r="NT33" s="2511"/>
      <c r="NU33" s="2511"/>
      <c r="NV33" s="2511"/>
      <c r="NW33" s="2511"/>
      <c r="NX33" s="2511"/>
      <c r="NY33" s="2511"/>
      <c r="NZ33" s="2511"/>
      <c r="OA33" s="2511"/>
      <c r="OB33" s="2511"/>
      <c r="OC33" s="2511"/>
      <c r="OD33" s="2511"/>
      <c r="OE33" s="2511"/>
      <c r="OF33" s="2511"/>
      <c r="OG33" s="2511"/>
      <c r="OH33" s="2511"/>
      <c r="OI33" s="2511"/>
      <c r="OJ33" s="2511"/>
      <c r="OK33" s="2511"/>
      <c r="OL33" s="2511"/>
      <c r="OM33" s="2511"/>
      <c r="ON33" s="2511"/>
      <c r="OO33" s="2511"/>
      <c r="OP33" s="2511"/>
      <c r="OQ33" s="2511"/>
      <c r="OR33" s="2511"/>
      <c r="OS33" s="2511"/>
      <c r="OT33" s="2511"/>
      <c r="OU33" s="2511"/>
      <c r="OV33" s="2511"/>
      <c r="OW33" s="2511"/>
      <c r="OX33" s="2511"/>
      <c r="OY33" s="2511"/>
      <c r="OZ33" s="2511"/>
      <c r="PA33" s="2511"/>
      <c r="PB33" s="2511"/>
      <c r="PC33" s="2511"/>
      <c r="PD33" s="2511"/>
      <c r="PE33" s="2511"/>
      <c r="PF33" s="2511"/>
      <c r="PG33" s="2511"/>
      <c r="PH33" s="2511"/>
      <c r="PI33" s="2511"/>
      <c r="PJ33" s="2511"/>
      <c r="PK33" s="2511"/>
      <c r="PL33" s="2511"/>
      <c r="PM33" s="2511"/>
      <c r="PN33" s="2511"/>
      <c r="PO33" s="2511"/>
      <c r="PP33" s="2511"/>
      <c r="PQ33" s="2511"/>
      <c r="PR33" s="2511"/>
      <c r="PS33" s="2511"/>
      <c r="PT33" s="2511"/>
      <c r="PU33" s="2511"/>
      <c r="PV33" s="2511"/>
      <c r="PW33" s="2511"/>
      <c r="PX33" s="2511"/>
      <c r="PY33" s="2511"/>
      <c r="PZ33" s="2511"/>
      <c r="QA33" s="2511"/>
      <c r="QB33" s="2511"/>
      <c r="QC33" s="2511"/>
      <c r="QD33" s="2511"/>
      <c r="QE33" s="2511"/>
      <c r="QF33" s="2511"/>
      <c r="QG33" s="2511"/>
      <c r="QH33" s="2511"/>
      <c r="QI33" s="2511"/>
      <c r="QJ33" s="2511"/>
      <c r="QK33" s="2511"/>
      <c r="QL33" s="2511"/>
      <c r="QM33" s="2511"/>
      <c r="QN33" s="2511"/>
      <c r="QO33" s="2511"/>
      <c r="QP33" s="2511"/>
      <c r="QQ33" s="2511"/>
      <c r="QR33" s="2511"/>
      <c r="QS33" s="2511"/>
      <c r="QT33" s="2511"/>
      <c r="QU33" s="2511"/>
      <c r="QV33" s="2511"/>
      <c r="QW33" s="2511"/>
      <c r="QX33" s="2511"/>
      <c r="QY33" s="2511"/>
      <c r="QZ33" s="2511"/>
      <c r="RA33" s="2511"/>
      <c r="RB33" s="2511"/>
      <c r="RC33" s="2511"/>
      <c r="RD33" s="2511"/>
      <c r="RE33" s="2511"/>
      <c r="RF33" s="2511"/>
      <c r="RG33" s="2511"/>
      <c r="RH33" s="2511"/>
      <c r="RI33" s="2511"/>
      <c r="RJ33" s="2511"/>
      <c r="RK33" s="2511"/>
      <c r="RL33" s="2511"/>
      <c r="RM33" s="2511"/>
      <c r="RN33" s="2511"/>
      <c r="RO33" s="2511"/>
      <c r="RP33" s="2511"/>
      <c r="RQ33" s="2511"/>
      <c r="RR33" s="2511"/>
      <c r="RS33" s="2511"/>
      <c r="RT33" s="2511"/>
      <c r="RU33" s="2511"/>
      <c r="RV33" s="2511"/>
      <c r="RW33" s="2511"/>
      <c r="RX33" s="2511"/>
      <c r="RY33" s="2511"/>
      <c r="RZ33" s="2511"/>
      <c r="SA33" s="2511"/>
      <c r="SB33" s="2511"/>
      <c r="SC33" s="2511"/>
      <c r="SD33" s="2511"/>
      <c r="SE33" s="2511"/>
      <c r="SF33" s="2511"/>
      <c r="SG33" s="2511"/>
      <c r="SH33" s="2511"/>
      <c r="SI33" s="2511"/>
      <c r="SJ33" s="2511"/>
      <c r="SK33" s="2511"/>
      <c r="SL33" s="2511"/>
      <c r="SM33" s="2511"/>
      <c r="SN33" s="2511"/>
      <c r="SO33" s="2511"/>
      <c r="SP33" s="2511"/>
      <c r="SQ33" s="2511"/>
      <c r="SR33" s="2511"/>
      <c r="SS33" s="2511"/>
      <c r="ST33" s="2511"/>
      <c r="SU33" s="2511"/>
      <c r="SV33" s="2511"/>
      <c r="SW33" s="2511"/>
      <c r="SX33" s="2511"/>
      <c r="SY33" s="2511"/>
      <c r="SZ33" s="2511"/>
      <c r="TA33" s="2511"/>
      <c r="TB33" s="2511"/>
      <c r="TC33" s="2511"/>
      <c r="TD33" s="2511"/>
      <c r="TE33" s="2511"/>
      <c r="TF33" s="2511"/>
      <c r="TG33" s="2511"/>
      <c r="TH33" s="2511"/>
      <c r="TI33" s="2511"/>
      <c r="TJ33" s="2511"/>
      <c r="TK33" s="2511"/>
      <c r="TL33" s="2511"/>
      <c r="TM33" s="2511"/>
      <c r="TN33" s="2511"/>
      <c r="TO33" s="2511"/>
      <c r="TP33" s="2511"/>
      <c r="TQ33" s="2511"/>
      <c r="TR33" s="2511"/>
      <c r="TS33" s="2511"/>
      <c r="TT33" s="2511"/>
      <c r="TU33" s="2511"/>
      <c r="TV33" s="2511"/>
      <c r="TW33" s="2511"/>
      <c r="TX33" s="2511"/>
      <c r="TY33" s="2511"/>
      <c r="TZ33" s="2511"/>
      <c r="UA33" s="2511"/>
      <c r="UB33" s="2511"/>
      <c r="UC33" s="2511"/>
      <c r="UD33" s="2511"/>
      <c r="UE33" s="2511"/>
      <c r="UF33" s="2511"/>
      <c r="UG33" s="2511"/>
      <c r="UH33" s="2511"/>
      <c r="UI33" s="2511"/>
      <c r="UJ33" s="2511"/>
      <c r="UK33" s="2511"/>
      <c r="UL33" s="2511"/>
      <c r="UM33" s="2511"/>
      <c r="UN33" s="2511"/>
      <c r="UO33" s="2511"/>
      <c r="UP33" s="2511"/>
      <c r="UQ33" s="2511"/>
      <c r="UR33" s="2511"/>
      <c r="US33" s="2511"/>
      <c r="UT33" s="2511"/>
      <c r="UU33" s="2511"/>
      <c r="UV33" s="2511"/>
      <c r="UW33" s="2511"/>
      <c r="UX33" s="2511"/>
      <c r="UY33" s="2511"/>
      <c r="UZ33" s="2511"/>
      <c r="VA33" s="2511"/>
      <c r="VB33" s="2511"/>
      <c r="VC33" s="2511"/>
      <c r="VD33" s="2511"/>
      <c r="VE33" s="2511"/>
      <c r="VF33" s="2511"/>
      <c r="VG33" s="2511"/>
      <c r="VH33" s="2511"/>
      <c r="VI33" s="2511"/>
      <c r="VJ33" s="2511"/>
      <c r="VK33" s="2511"/>
      <c r="VL33" s="2511"/>
      <c r="VM33" s="2511"/>
      <c r="VN33" s="2511"/>
      <c r="VO33" s="2511"/>
      <c r="VP33" s="2511"/>
      <c r="VQ33" s="2511"/>
      <c r="VR33" s="2511"/>
      <c r="VS33" s="2511"/>
      <c r="VT33" s="2511"/>
      <c r="VU33" s="2511"/>
      <c r="VV33" s="2511"/>
      <c r="VW33" s="2511"/>
      <c r="VX33" s="2511"/>
      <c r="VY33" s="2511"/>
      <c r="VZ33" s="2511"/>
      <c r="WA33" s="2511"/>
      <c r="WB33" s="2511"/>
      <c r="WC33" s="2511"/>
      <c r="WD33" s="2511"/>
      <c r="WE33" s="2511"/>
      <c r="WF33" s="2511"/>
      <c r="WG33" s="2511"/>
      <c r="WH33" s="2511"/>
      <c r="WI33" s="2511"/>
      <c r="WJ33" s="2511"/>
      <c r="WK33" s="2511"/>
      <c r="WL33" s="2511"/>
      <c r="WM33" s="2511"/>
      <c r="WN33" s="2511"/>
      <c r="WO33" s="2511"/>
      <c r="WP33" s="2511"/>
      <c r="WQ33" s="2511"/>
      <c r="WR33" s="2511"/>
      <c r="WS33" s="2511"/>
      <c r="WT33" s="2511"/>
      <c r="WU33" s="2511"/>
      <c r="WV33" s="2511"/>
      <c r="WW33" s="2511"/>
      <c r="WX33" s="2511"/>
      <c r="WY33" s="2511"/>
      <c r="WZ33" s="2511"/>
      <c r="XA33" s="2511"/>
      <c r="XB33" s="2511"/>
      <c r="XC33" s="2511"/>
      <c r="XD33" s="2511"/>
      <c r="XE33" s="2511"/>
      <c r="XF33" s="2511"/>
      <c r="XG33" s="2511"/>
      <c r="XH33" s="2511"/>
      <c r="XI33" s="2511"/>
      <c r="XJ33" s="2511"/>
      <c r="XK33" s="2511"/>
      <c r="XL33" s="2511"/>
      <c r="XM33" s="2511"/>
      <c r="XN33" s="2511"/>
      <c r="XO33" s="2511"/>
      <c r="XP33" s="2511"/>
      <c r="XQ33" s="2511"/>
      <c r="XR33" s="2511"/>
      <c r="XS33" s="2511"/>
      <c r="XT33" s="2511"/>
      <c r="XU33" s="2511"/>
      <c r="XV33" s="2511"/>
      <c r="XW33" s="2511"/>
      <c r="XX33" s="2511"/>
      <c r="XY33" s="2511"/>
      <c r="XZ33" s="2511"/>
      <c r="YA33" s="2511"/>
      <c r="YB33" s="2511"/>
      <c r="YC33" s="2511"/>
      <c r="YD33" s="2511"/>
      <c r="YE33" s="2511"/>
      <c r="YF33" s="2511"/>
      <c r="YG33" s="2511"/>
      <c r="YH33" s="2511"/>
      <c r="YI33" s="2511"/>
      <c r="YJ33" s="2511"/>
      <c r="YK33" s="2511"/>
      <c r="YL33" s="2511"/>
      <c r="YM33" s="2511"/>
      <c r="YN33" s="2511"/>
      <c r="YO33" s="2511"/>
      <c r="YP33" s="2511"/>
      <c r="YQ33" s="2511"/>
      <c r="YR33" s="2511"/>
      <c r="YS33" s="2511"/>
      <c r="YT33" s="2511"/>
      <c r="YU33" s="2511"/>
      <c r="YV33" s="2511"/>
      <c r="YW33" s="2511"/>
      <c r="YX33" s="2511"/>
      <c r="YY33" s="2511"/>
      <c r="YZ33" s="2511"/>
      <c r="ZA33" s="2511"/>
      <c r="ZB33" s="2511"/>
      <c r="ZC33" s="2511"/>
      <c r="ZD33" s="2511"/>
      <c r="ZE33" s="2511"/>
      <c r="ZF33" s="2511"/>
      <c r="ZG33" s="2511"/>
      <c r="ZH33" s="2511"/>
      <c r="ZI33" s="2511"/>
      <c r="ZJ33" s="2511"/>
      <c r="ZK33" s="2511"/>
      <c r="ZL33" s="2511"/>
      <c r="ZM33" s="2511"/>
      <c r="ZN33" s="2511"/>
      <c r="ZO33" s="2511"/>
      <c r="ZP33" s="2511"/>
      <c r="ZQ33" s="2511"/>
      <c r="ZR33" s="2511"/>
      <c r="ZS33" s="2511"/>
      <c r="ZT33" s="2511"/>
      <c r="ZU33" s="2511"/>
      <c r="ZV33" s="2511"/>
      <c r="ZW33" s="2511"/>
      <c r="ZX33" s="2511"/>
      <c r="ZY33" s="2511"/>
      <c r="ZZ33" s="2511"/>
      <c r="AAA33" s="2511"/>
      <c r="AAB33" s="2511"/>
      <c r="AAC33" s="2511"/>
      <c r="AAD33" s="2511"/>
      <c r="AAE33" s="2511"/>
      <c r="AAF33" s="2511"/>
      <c r="AAG33" s="2511"/>
      <c r="AAH33" s="2511"/>
      <c r="AAI33" s="2511"/>
      <c r="AAJ33" s="2511"/>
      <c r="AAK33" s="2511"/>
      <c r="AAL33" s="2511"/>
      <c r="AAM33" s="2511"/>
      <c r="AAN33" s="2511"/>
      <c r="AAO33" s="2511"/>
      <c r="AAP33" s="2511"/>
      <c r="AAQ33" s="2511"/>
      <c r="AAR33" s="2511"/>
      <c r="AAS33" s="2511"/>
      <c r="AAT33" s="2511"/>
      <c r="AAU33" s="2511"/>
      <c r="AAV33" s="2511"/>
      <c r="AAW33" s="2511"/>
      <c r="AAX33" s="2511"/>
      <c r="AAY33" s="2511"/>
      <c r="AAZ33" s="2511"/>
      <c r="ABA33" s="2511"/>
      <c r="ABB33" s="2511"/>
      <c r="ABC33" s="2511"/>
      <c r="ABD33" s="2511"/>
      <c r="ABE33" s="2511"/>
      <c r="ABF33" s="2511"/>
      <c r="ABG33" s="2511"/>
      <c r="ABH33" s="2511"/>
      <c r="ABI33" s="2511"/>
      <c r="ABJ33" s="2511"/>
      <c r="ABK33" s="2511"/>
      <c r="ABL33" s="2511"/>
      <c r="ABM33" s="2511"/>
      <c r="ABN33" s="2511"/>
      <c r="ABO33" s="2511"/>
      <c r="ABP33" s="2511"/>
      <c r="ABQ33" s="2511"/>
      <c r="ABR33" s="2511"/>
      <c r="ABS33" s="2511"/>
      <c r="ABT33" s="2511"/>
      <c r="ABU33" s="2511"/>
      <c r="ABV33" s="2511"/>
      <c r="ABW33" s="2511"/>
      <c r="ABX33" s="2511"/>
      <c r="ABY33" s="2511"/>
      <c r="ABZ33" s="2511"/>
      <c r="ACA33" s="2511"/>
      <c r="ACB33" s="2511"/>
      <c r="ACC33" s="2511"/>
      <c r="ACD33" s="2511"/>
      <c r="ACE33" s="2511"/>
      <c r="ACF33" s="2511"/>
      <c r="ACG33" s="2511"/>
      <c r="ACH33" s="2511"/>
      <c r="ACI33" s="2511"/>
      <c r="ACJ33" s="2511"/>
      <c r="ACK33" s="2511"/>
      <c r="ACL33" s="2511"/>
      <c r="ACM33" s="2511"/>
      <c r="ACN33" s="2511"/>
      <c r="ACO33" s="2511"/>
      <c r="ACP33" s="2511"/>
      <c r="ACQ33" s="2511"/>
      <c r="ACR33" s="2511"/>
      <c r="ACS33" s="2511"/>
      <c r="ACT33" s="2511"/>
      <c r="ACU33" s="2511"/>
      <c r="ACV33" s="2511"/>
      <c r="ACW33" s="2511"/>
      <c r="ACX33" s="2511"/>
      <c r="ACY33" s="2511"/>
      <c r="ACZ33" s="2511"/>
      <c r="ADA33" s="2511"/>
      <c r="ADB33" s="2511"/>
      <c r="ADC33" s="2511"/>
      <c r="ADD33" s="2511"/>
      <c r="ADE33" s="2511"/>
      <c r="ADF33" s="2511"/>
      <c r="ADG33" s="2511"/>
      <c r="ADH33" s="2511"/>
      <c r="ADI33" s="2511"/>
      <c r="ADJ33" s="2511"/>
      <c r="ADK33" s="2511"/>
      <c r="ADL33" s="2511"/>
      <c r="ADM33" s="2511"/>
      <c r="ADN33" s="2511"/>
      <c r="ADO33" s="2511"/>
      <c r="ADP33" s="2511"/>
      <c r="ADQ33" s="2511"/>
      <c r="ADR33" s="2511"/>
      <c r="ADS33" s="2511"/>
      <c r="ADT33" s="2511"/>
      <c r="ADU33" s="2511"/>
      <c r="ADV33" s="2511"/>
      <c r="ADW33" s="2511"/>
      <c r="ADX33" s="2511"/>
      <c r="ADY33" s="2511"/>
      <c r="ADZ33" s="2511"/>
      <c r="AEA33" s="2511"/>
      <c r="AEB33" s="2511"/>
      <c r="AEC33" s="2511"/>
      <c r="AED33" s="2511"/>
      <c r="AEE33" s="2511"/>
      <c r="AEF33" s="2511"/>
      <c r="AEG33" s="2511"/>
      <c r="AEH33" s="2511"/>
      <c r="AEI33" s="2511"/>
      <c r="AEJ33" s="2511"/>
      <c r="AEK33" s="2511"/>
      <c r="AEL33" s="2511"/>
      <c r="AEM33" s="2511"/>
      <c r="AEN33" s="2511"/>
      <c r="AEO33" s="2511"/>
      <c r="AEP33" s="2511"/>
      <c r="AEQ33" s="2511"/>
      <c r="AER33" s="2511"/>
      <c r="AES33" s="2511"/>
      <c r="AET33" s="2511"/>
      <c r="AEU33" s="2511"/>
      <c r="AEV33" s="2511"/>
      <c r="AEW33" s="2511"/>
      <c r="AEX33" s="2511"/>
      <c r="AEY33" s="2511"/>
      <c r="AEZ33" s="2511"/>
      <c r="AFA33" s="2511"/>
      <c r="AFB33" s="2511"/>
      <c r="AFC33" s="2511"/>
      <c r="AFD33" s="2511"/>
      <c r="AFE33" s="2511"/>
      <c r="AFF33" s="2511"/>
      <c r="AFG33" s="2511"/>
      <c r="AFH33" s="2511"/>
      <c r="AFI33" s="2511"/>
      <c r="AFJ33" s="2511"/>
      <c r="AFK33" s="2511"/>
      <c r="AFL33" s="2511"/>
      <c r="AFM33" s="2511"/>
      <c r="AFN33" s="2511"/>
      <c r="AFO33" s="2511"/>
      <c r="AFP33" s="2511"/>
      <c r="AFQ33" s="2511"/>
      <c r="AFR33" s="2511"/>
      <c r="AFS33" s="2511"/>
      <c r="AFT33" s="2511"/>
      <c r="AFU33" s="2511"/>
      <c r="AFV33" s="2511"/>
      <c r="AFW33" s="2511"/>
      <c r="AFX33" s="2511"/>
      <c r="AFY33" s="2511"/>
      <c r="AFZ33" s="2511"/>
      <c r="AGA33" s="2511"/>
      <c r="AGB33" s="2511"/>
      <c r="AGC33" s="2511"/>
      <c r="AGD33" s="2511"/>
      <c r="AGE33" s="2511"/>
      <c r="AGF33" s="2511"/>
      <c r="AGG33" s="2511"/>
      <c r="AGH33" s="2511"/>
      <c r="AGI33" s="2511"/>
      <c r="AGJ33" s="2511"/>
      <c r="AGK33" s="2511"/>
      <c r="AGL33" s="2511"/>
      <c r="AGM33" s="2511"/>
      <c r="AGN33" s="2511"/>
      <c r="AGO33" s="2511"/>
      <c r="AGP33" s="2511"/>
      <c r="AGQ33" s="2511"/>
      <c r="AGR33" s="2511"/>
      <c r="AGS33" s="2511"/>
      <c r="AGT33" s="2511"/>
      <c r="AGU33" s="2511"/>
      <c r="AGV33" s="2511"/>
      <c r="AGW33" s="2511"/>
      <c r="AGX33" s="2511"/>
      <c r="AGY33" s="2511"/>
      <c r="AGZ33" s="2511"/>
      <c r="AHA33" s="2511"/>
      <c r="AHB33" s="2511"/>
      <c r="AHC33" s="2511"/>
      <c r="AHD33" s="2511"/>
      <c r="AHE33" s="2511"/>
      <c r="AHF33" s="2511"/>
      <c r="AHG33" s="2511"/>
      <c r="AHH33" s="2511"/>
      <c r="AHI33" s="2511"/>
      <c r="AHJ33" s="2511"/>
      <c r="AHK33" s="2511"/>
      <c r="AHL33" s="2511"/>
      <c r="AHM33" s="2511"/>
      <c r="AHN33" s="2511"/>
      <c r="AHO33" s="2511"/>
      <c r="AHP33" s="2511"/>
      <c r="AHQ33" s="2511"/>
      <c r="AHR33" s="2511"/>
      <c r="AHS33" s="2511"/>
      <c r="AHT33" s="2511"/>
      <c r="AHU33" s="2511"/>
      <c r="AHV33" s="2511"/>
      <c r="AHW33" s="2511"/>
      <c r="AHX33" s="2511"/>
      <c r="AHY33" s="2511"/>
      <c r="AHZ33" s="2511"/>
      <c r="AIA33" s="2511"/>
      <c r="AIB33" s="2511"/>
      <c r="AIC33" s="2511"/>
      <c r="AID33" s="2511"/>
      <c r="AIE33" s="2511"/>
      <c r="AIF33" s="2511"/>
      <c r="AIG33" s="2511"/>
      <c r="AIH33" s="2511"/>
      <c r="AII33" s="2511"/>
      <c r="AIJ33" s="2511"/>
      <c r="AIK33" s="2511"/>
      <c r="AIL33" s="2511"/>
      <c r="AIM33" s="2511"/>
      <c r="AIN33" s="2511"/>
      <c r="AIO33" s="2511"/>
      <c r="AIP33" s="2511"/>
      <c r="AIQ33" s="2511"/>
      <c r="AIR33" s="2511"/>
      <c r="AIS33" s="2511"/>
      <c r="AIT33" s="2511"/>
      <c r="AIU33" s="2511"/>
      <c r="AIV33" s="2511"/>
      <c r="AIW33" s="2511"/>
      <c r="AIX33" s="2511"/>
      <c r="AIY33" s="2511"/>
      <c r="AIZ33" s="2511"/>
      <c r="AJA33" s="2511"/>
      <c r="AJB33" s="2511"/>
      <c r="AJC33" s="2511"/>
      <c r="AJD33" s="2511"/>
      <c r="AJE33" s="2511"/>
      <c r="AJF33" s="2511"/>
      <c r="AJG33" s="2511"/>
      <c r="AJH33" s="2511"/>
      <c r="AJI33" s="2511"/>
      <c r="AJJ33" s="2511"/>
      <c r="AJK33" s="2511"/>
      <c r="AJL33" s="2511"/>
      <c r="AJM33" s="2511"/>
      <c r="AJN33" s="2511"/>
      <c r="AJO33" s="2511"/>
      <c r="AJP33" s="2511"/>
      <c r="AJQ33" s="2511"/>
      <c r="AJR33" s="2511"/>
      <c r="AJS33" s="2511"/>
      <c r="AJT33" s="2511"/>
      <c r="AJU33" s="2511"/>
      <c r="AJV33" s="2511"/>
      <c r="AJW33" s="2511"/>
      <c r="AJX33" s="2511"/>
      <c r="AJY33" s="2511"/>
      <c r="AJZ33" s="2511"/>
      <c r="AKA33" s="2511"/>
      <c r="AKB33" s="2511"/>
      <c r="AKC33" s="2511"/>
      <c r="AKD33" s="2511"/>
      <c r="AKE33" s="2511"/>
      <c r="AKF33" s="2511"/>
      <c r="AKG33" s="2511"/>
      <c r="AKH33" s="2511"/>
      <c r="AKI33" s="2511"/>
      <c r="AKJ33" s="2511"/>
      <c r="AKK33" s="2511"/>
      <c r="AKL33" s="2511"/>
      <c r="AKM33" s="2511"/>
      <c r="AKN33" s="2511"/>
      <c r="AKO33" s="2511"/>
      <c r="AKP33" s="2511"/>
      <c r="AKQ33" s="2511"/>
      <c r="AKR33" s="2511"/>
      <c r="AKS33" s="2511"/>
      <c r="AKT33" s="2511"/>
      <c r="AKU33" s="2511"/>
      <c r="AKV33" s="2511"/>
      <c r="AKW33" s="2511"/>
      <c r="AKX33" s="2511"/>
      <c r="AKY33" s="2511"/>
      <c r="AKZ33" s="2511"/>
      <c r="ALA33" s="2511"/>
      <c r="ALB33" s="2511"/>
      <c r="ALC33" s="2511"/>
      <c r="ALD33" s="2511"/>
      <c r="ALE33" s="2511"/>
      <c r="ALF33" s="2511"/>
      <c r="ALG33" s="2511"/>
      <c r="ALH33" s="2511"/>
      <c r="ALI33" s="2511"/>
      <c r="ALJ33" s="2511"/>
      <c r="ALK33" s="2511"/>
      <c r="ALL33" s="2511"/>
      <c r="ALM33" s="2511"/>
      <c r="ALN33" s="2511"/>
      <c r="ALO33" s="2511"/>
      <c r="ALP33" s="2511"/>
      <c r="ALQ33" s="2511"/>
      <c r="ALR33" s="2511"/>
      <c r="ALS33" s="2511"/>
      <c r="ALT33" s="2511"/>
      <c r="ALU33" s="2511"/>
      <c r="ALV33" s="2511"/>
      <c r="ALW33" s="2511"/>
      <c r="ALX33" s="2511"/>
      <c r="ALY33" s="2511"/>
      <c r="ALZ33" s="2511"/>
      <c r="AMA33" s="2511"/>
      <c r="AMB33" s="2511"/>
      <c r="AMC33" s="2511"/>
      <c r="AMD33" s="2511"/>
      <c r="AME33" s="2511"/>
      <c r="AMF33" s="2511"/>
      <c r="AMG33" s="2511"/>
      <c r="AMH33" s="2511"/>
      <c r="AMI33" s="2511"/>
      <c r="AMJ33" s="2511"/>
      <c r="AMK33" s="2511"/>
      <c r="AML33" s="2511"/>
      <c r="AMM33" s="2511"/>
      <c r="AMN33" s="2511"/>
      <c r="AMO33" s="2511"/>
      <c r="AMP33" s="2511"/>
      <c r="AMQ33" s="2511"/>
      <c r="AMR33" s="2511"/>
      <c r="AMS33" s="2511"/>
      <c r="AMT33" s="2511"/>
      <c r="AMU33" s="2511"/>
      <c r="AMV33" s="2511"/>
      <c r="AMW33" s="2511"/>
      <c r="AMX33" s="2511"/>
      <c r="AMY33" s="2511"/>
      <c r="AMZ33" s="2511"/>
      <c r="ANA33" s="2511"/>
      <c r="ANB33" s="2511"/>
      <c r="ANC33" s="2511"/>
      <c r="AND33" s="2511"/>
      <c r="ANE33" s="2511"/>
      <c r="ANF33" s="2511"/>
      <c r="ANG33" s="2511"/>
      <c r="ANH33" s="2511"/>
      <c r="ANI33" s="2511"/>
      <c r="ANJ33" s="2511"/>
      <c r="ANK33" s="2511"/>
      <c r="ANL33" s="2511"/>
      <c r="ANM33" s="2511"/>
      <c r="ANN33" s="2511"/>
      <c r="ANO33" s="2511"/>
      <c r="ANP33" s="2511"/>
      <c r="ANQ33" s="2511"/>
      <c r="ANR33" s="2511"/>
      <c r="ANS33" s="2511"/>
      <c r="ANT33" s="2511"/>
      <c r="ANU33" s="2511"/>
      <c r="ANV33" s="2511"/>
      <c r="ANW33" s="2511"/>
      <c r="ANX33" s="2511"/>
      <c r="ANY33" s="2511"/>
      <c r="ANZ33" s="2511"/>
      <c r="AOA33" s="2511"/>
      <c r="AOB33" s="2511"/>
      <c r="AOC33" s="2511"/>
      <c r="AOD33" s="2511"/>
      <c r="AOE33" s="2511"/>
      <c r="AOF33" s="2511"/>
      <c r="AOG33" s="2511"/>
      <c r="AOH33" s="2511"/>
      <c r="AOI33" s="2511"/>
      <c r="AOJ33" s="2511"/>
      <c r="AOK33" s="2511"/>
      <c r="AOL33" s="2511"/>
      <c r="AOM33" s="2511"/>
      <c r="AON33" s="2511"/>
      <c r="AOO33" s="2511"/>
      <c r="AOP33" s="2511"/>
      <c r="AOQ33" s="2511"/>
      <c r="AOR33" s="2511"/>
      <c r="AOS33" s="2511"/>
      <c r="AOT33" s="2511"/>
      <c r="AOU33" s="2511"/>
      <c r="AOV33" s="2511"/>
      <c r="AOW33" s="2511"/>
      <c r="AOX33" s="2511"/>
      <c r="AOY33" s="2511"/>
      <c r="AOZ33" s="2511"/>
      <c r="APA33" s="2511"/>
      <c r="APB33" s="2511"/>
      <c r="APC33" s="2511"/>
      <c r="APD33" s="2511"/>
      <c r="APE33" s="2511"/>
      <c r="APF33" s="2511"/>
      <c r="APG33" s="2511"/>
      <c r="APH33" s="2511"/>
      <c r="API33" s="2511"/>
      <c r="APJ33" s="2511"/>
      <c r="APK33" s="2511"/>
      <c r="APL33" s="2511"/>
      <c r="APM33" s="2511"/>
      <c r="APN33" s="2511"/>
      <c r="APO33" s="2511"/>
      <c r="APP33" s="2511"/>
      <c r="APQ33" s="2511"/>
      <c r="APR33" s="2511"/>
      <c r="APS33" s="2511"/>
      <c r="APT33" s="2511"/>
      <c r="APU33" s="2511"/>
      <c r="APV33" s="2511"/>
      <c r="APW33" s="2511"/>
      <c r="APX33" s="2511"/>
      <c r="APY33" s="2511"/>
      <c r="APZ33" s="2511"/>
      <c r="AQA33" s="2511"/>
      <c r="AQB33" s="2511"/>
      <c r="AQC33" s="2511"/>
      <c r="AQD33" s="2511"/>
      <c r="AQE33" s="2511"/>
      <c r="AQF33" s="2511"/>
      <c r="AQG33" s="2511"/>
      <c r="AQH33" s="2511"/>
      <c r="AQI33" s="2511"/>
      <c r="AQJ33" s="2511"/>
      <c r="AQK33" s="2511"/>
      <c r="AQL33" s="2511"/>
      <c r="AQM33" s="2511"/>
      <c r="AQN33" s="2511"/>
      <c r="AQO33" s="2511"/>
      <c r="AQP33" s="2511"/>
      <c r="AQQ33" s="2511"/>
      <c r="AQR33" s="2511"/>
      <c r="AQS33" s="2511"/>
      <c r="AQT33" s="2511"/>
      <c r="AQU33" s="2511"/>
      <c r="AQV33" s="2511"/>
      <c r="AQW33" s="2511"/>
      <c r="AQX33" s="2511"/>
      <c r="AQY33" s="2511"/>
      <c r="AQZ33" s="2511"/>
      <c r="ARA33" s="2511"/>
      <c r="ARB33" s="2511"/>
      <c r="ARC33" s="2511"/>
      <c r="ARD33" s="2511"/>
      <c r="ARE33" s="2511"/>
      <c r="ARF33" s="2511"/>
      <c r="ARG33" s="2511"/>
      <c r="ARH33" s="2511"/>
      <c r="ARI33" s="2511"/>
      <c r="ARJ33" s="2511"/>
      <c r="ARK33" s="2511"/>
      <c r="ARL33" s="2511"/>
      <c r="ARM33" s="2511"/>
      <c r="ARN33" s="2511"/>
      <c r="ARO33" s="2511"/>
      <c r="ARP33" s="2511"/>
      <c r="ARQ33" s="2511"/>
      <c r="ARR33" s="2511"/>
      <c r="ARS33" s="2511"/>
      <c r="ART33" s="2511"/>
      <c r="ARU33" s="2511"/>
      <c r="ARV33" s="2511"/>
      <c r="ARW33" s="2511"/>
      <c r="ARX33" s="2511"/>
      <c r="ARY33" s="2511"/>
      <c r="ARZ33" s="2511"/>
      <c r="ASA33" s="2511"/>
      <c r="ASB33" s="2511"/>
      <c r="ASC33" s="2511"/>
      <c r="ASD33" s="2511"/>
      <c r="ASE33" s="2511"/>
      <c r="ASF33" s="2511"/>
      <c r="ASG33" s="2511"/>
      <c r="ASH33" s="2511"/>
      <c r="ASI33" s="2511"/>
      <c r="ASJ33" s="2511"/>
      <c r="ASK33" s="2511"/>
      <c r="ASL33" s="2511"/>
      <c r="ASM33" s="2511"/>
      <c r="ASN33" s="2511"/>
      <c r="ASO33" s="2511"/>
      <c r="ASP33" s="2511"/>
      <c r="ASQ33" s="2511"/>
      <c r="ASR33" s="2511"/>
      <c r="ASS33" s="2511"/>
      <c r="AST33" s="2511"/>
      <c r="ASU33" s="2511"/>
      <c r="ASV33" s="2511"/>
      <c r="ASW33" s="2511"/>
      <c r="ASX33" s="2511"/>
      <c r="ASY33" s="2511"/>
      <c r="ASZ33" s="2511"/>
      <c r="ATA33" s="2511"/>
      <c r="ATB33" s="2511"/>
      <c r="ATC33" s="2511"/>
      <c r="ATD33" s="2511"/>
      <c r="ATE33" s="2511"/>
      <c r="ATF33" s="2511"/>
      <c r="ATG33" s="2511"/>
      <c r="ATH33" s="2511"/>
      <c r="ATI33" s="2511"/>
      <c r="ATJ33" s="2511"/>
      <c r="ATK33" s="2511"/>
      <c r="ATL33" s="2511"/>
      <c r="ATM33" s="2511"/>
      <c r="ATN33" s="2511"/>
      <c r="ATO33" s="2511"/>
      <c r="ATP33" s="2511"/>
      <c r="ATQ33" s="2511"/>
      <c r="ATR33" s="2511"/>
      <c r="ATS33" s="2511"/>
      <c r="ATT33" s="2511"/>
      <c r="ATU33" s="2511"/>
      <c r="ATV33" s="2511"/>
      <c r="ATW33" s="2511"/>
      <c r="ATX33" s="2511"/>
      <c r="ATY33" s="2511"/>
      <c r="ATZ33" s="2511"/>
      <c r="AUA33" s="2511"/>
      <c r="AUB33" s="2511"/>
      <c r="AUC33" s="2511"/>
      <c r="AUD33" s="2511"/>
      <c r="AUE33" s="2511"/>
      <c r="AUF33" s="2511"/>
      <c r="AUG33" s="2511"/>
      <c r="AUH33" s="2511"/>
      <c r="AUI33" s="2511"/>
      <c r="AUJ33" s="2511"/>
      <c r="AUK33" s="2511"/>
      <c r="AUL33" s="2511"/>
      <c r="AUM33" s="2511"/>
      <c r="AUN33" s="2511"/>
      <c r="AUO33" s="2511"/>
      <c r="AUP33" s="2511"/>
      <c r="AUQ33" s="2511"/>
      <c r="AUR33" s="2511"/>
      <c r="AUS33" s="2511"/>
      <c r="AUT33" s="2511"/>
      <c r="AUU33" s="2511"/>
      <c r="AUV33" s="2511"/>
      <c r="AUW33" s="2511"/>
      <c r="AUX33" s="2511"/>
      <c r="AUY33" s="2511"/>
      <c r="AUZ33" s="2511"/>
      <c r="AVA33" s="2511"/>
      <c r="AVB33" s="2511"/>
      <c r="AVC33" s="2511"/>
      <c r="AVD33" s="2511"/>
      <c r="AVE33" s="2511"/>
      <c r="AVF33" s="2511"/>
      <c r="AVG33" s="2511"/>
      <c r="AVH33" s="2511"/>
      <c r="AVI33" s="2511"/>
      <c r="AVJ33" s="2511"/>
      <c r="AVK33" s="2511"/>
      <c r="AVL33" s="2511"/>
      <c r="AVM33" s="2511"/>
      <c r="AVN33" s="2511"/>
      <c r="AVO33" s="2511"/>
      <c r="AVP33" s="2511"/>
      <c r="AVQ33" s="2511"/>
      <c r="AVR33" s="2511"/>
      <c r="AVS33" s="2511"/>
      <c r="AVT33" s="2511"/>
      <c r="AVU33" s="2511"/>
      <c r="AVV33" s="2511"/>
      <c r="AVW33" s="2511"/>
      <c r="AVX33" s="2511"/>
      <c r="AVY33" s="2511"/>
      <c r="AVZ33" s="2511"/>
      <c r="AWA33" s="2511"/>
      <c r="AWB33" s="2511"/>
      <c r="AWC33" s="2511"/>
      <c r="AWD33" s="2511"/>
      <c r="AWE33" s="2511"/>
      <c r="AWF33" s="2511"/>
      <c r="AWG33" s="2511"/>
      <c r="AWH33" s="2511"/>
      <c r="AWI33" s="2511"/>
      <c r="AWJ33" s="2511"/>
      <c r="AWK33" s="2511"/>
      <c r="AWL33" s="2511"/>
      <c r="AWM33" s="2511"/>
      <c r="AWN33" s="2511"/>
      <c r="AWO33" s="2511"/>
      <c r="AWP33" s="2511"/>
      <c r="AWQ33" s="2511"/>
      <c r="AWR33" s="2511"/>
      <c r="AWS33" s="2511"/>
      <c r="AWT33" s="2511"/>
      <c r="AWU33" s="2511"/>
      <c r="AWV33" s="2511"/>
      <c r="AWW33" s="2511"/>
      <c r="AWX33" s="2511"/>
      <c r="AWY33" s="2511"/>
      <c r="AWZ33" s="2511"/>
      <c r="AXA33" s="2511"/>
      <c r="AXB33" s="2511"/>
      <c r="AXC33" s="2511"/>
      <c r="AXD33" s="2511"/>
      <c r="AXE33" s="2511"/>
      <c r="AXF33" s="2511"/>
      <c r="AXG33" s="2511"/>
      <c r="AXH33" s="2511"/>
      <c r="AXI33" s="2511"/>
      <c r="AXJ33" s="2511"/>
      <c r="AXK33" s="2511"/>
      <c r="AXL33" s="2511"/>
      <c r="AXM33" s="2511"/>
      <c r="AXN33" s="2511"/>
      <c r="AXO33" s="2511"/>
      <c r="AXP33" s="2511"/>
      <c r="AXQ33" s="2511"/>
      <c r="AXR33" s="2511"/>
      <c r="AXS33" s="2511"/>
      <c r="AXT33" s="2511"/>
      <c r="AXU33" s="2511"/>
      <c r="AXV33" s="2511"/>
      <c r="AXW33" s="2511"/>
      <c r="AXX33" s="2511"/>
      <c r="AXY33" s="2511"/>
      <c r="AXZ33" s="2511"/>
      <c r="AYA33" s="2511"/>
      <c r="AYB33" s="2511"/>
      <c r="AYC33" s="2511"/>
      <c r="AYD33" s="2511"/>
      <c r="AYE33" s="2511"/>
      <c r="AYF33" s="2511"/>
      <c r="AYG33" s="2511"/>
      <c r="AYH33" s="2511"/>
      <c r="AYI33" s="2511"/>
      <c r="AYJ33" s="2511"/>
      <c r="AYK33" s="2511"/>
      <c r="AYL33" s="2511"/>
      <c r="AYM33" s="2511"/>
      <c r="AYN33" s="2511"/>
      <c r="AYO33" s="2511"/>
      <c r="AYP33" s="2511"/>
      <c r="AYQ33" s="2511"/>
      <c r="AYR33" s="2511"/>
      <c r="AYS33" s="2511"/>
      <c r="AYT33" s="2511"/>
      <c r="AYU33" s="2511"/>
      <c r="AYV33" s="2511"/>
      <c r="AYW33" s="2511"/>
      <c r="AYX33" s="2511"/>
      <c r="AYY33" s="2511"/>
      <c r="AYZ33" s="2511"/>
      <c r="AZA33" s="2511"/>
      <c r="AZB33" s="2511"/>
      <c r="AZC33" s="2511"/>
      <c r="AZD33" s="2511"/>
      <c r="AZE33" s="2511"/>
      <c r="AZF33" s="2511"/>
      <c r="AZG33" s="2511"/>
      <c r="AZH33" s="2511"/>
      <c r="AZI33" s="2511"/>
      <c r="AZJ33" s="2511"/>
      <c r="AZK33" s="2511"/>
      <c r="AZL33" s="2511"/>
      <c r="AZM33" s="2511"/>
      <c r="AZN33" s="2511"/>
      <c r="AZO33" s="2511"/>
      <c r="AZP33" s="2511"/>
      <c r="AZQ33" s="2511"/>
      <c r="AZR33" s="2511"/>
      <c r="AZS33" s="2511"/>
      <c r="AZT33" s="2511"/>
      <c r="AZU33" s="2511"/>
      <c r="AZV33" s="2511"/>
      <c r="AZW33" s="2511"/>
      <c r="AZX33" s="2511"/>
      <c r="AZY33" s="2511"/>
      <c r="AZZ33" s="2511"/>
      <c r="BAA33" s="2511"/>
      <c r="BAB33" s="2511"/>
      <c r="BAC33" s="2511"/>
      <c r="BAD33" s="2511"/>
      <c r="BAE33" s="2511"/>
      <c r="BAF33" s="2511"/>
      <c r="BAG33" s="2511"/>
      <c r="BAH33" s="2511"/>
      <c r="BAI33" s="2511"/>
      <c r="BAJ33" s="2511"/>
      <c r="BAK33" s="2511"/>
      <c r="BAL33" s="2511"/>
      <c r="BAM33" s="2511"/>
      <c r="BAN33" s="2511"/>
      <c r="BAO33" s="2511"/>
      <c r="BAP33" s="2511"/>
      <c r="BAQ33" s="2511"/>
      <c r="BAR33" s="2511"/>
      <c r="BAS33" s="2511"/>
      <c r="BAT33" s="2511"/>
      <c r="BAU33" s="2511"/>
      <c r="BAV33" s="2511"/>
      <c r="BAW33" s="2511"/>
      <c r="BAX33" s="2511"/>
      <c r="BAY33" s="2511"/>
      <c r="BAZ33" s="2511"/>
      <c r="BBA33" s="2511"/>
      <c r="BBB33" s="2511"/>
      <c r="BBC33" s="2511"/>
      <c r="BBD33" s="2511"/>
      <c r="BBE33" s="2511"/>
      <c r="BBF33" s="2511"/>
      <c r="BBG33" s="2511"/>
      <c r="BBH33" s="2511"/>
      <c r="BBI33" s="2511"/>
      <c r="BBJ33" s="2511"/>
      <c r="BBK33" s="2511"/>
      <c r="BBL33" s="2511"/>
      <c r="BBM33" s="2511"/>
      <c r="BBN33" s="2511"/>
      <c r="BBO33" s="2511"/>
      <c r="BBP33" s="2511"/>
      <c r="BBQ33" s="2511"/>
      <c r="BBR33" s="2511"/>
      <c r="BBS33" s="2511"/>
      <c r="BBT33" s="2511"/>
      <c r="BBU33" s="2511"/>
      <c r="BBV33" s="2511"/>
      <c r="BBW33" s="2511"/>
      <c r="BBX33" s="2511"/>
      <c r="BBY33" s="2511"/>
      <c r="BBZ33" s="2511"/>
      <c r="BCA33" s="2511"/>
      <c r="BCB33" s="2511"/>
      <c r="BCC33" s="2511"/>
      <c r="BCD33" s="2511"/>
      <c r="BCE33" s="2511"/>
      <c r="BCF33" s="2511"/>
      <c r="BCG33" s="2511"/>
      <c r="BCH33" s="2511"/>
      <c r="BCI33" s="2511"/>
      <c r="BCJ33" s="2511"/>
      <c r="BCK33" s="2511"/>
      <c r="BCL33" s="2511"/>
      <c r="BCM33" s="2511"/>
      <c r="BCN33" s="2511"/>
      <c r="BCO33" s="2511"/>
      <c r="BCP33" s="2511"/>
      <c r="BCQ33" s="2511"/>
      <c r="BCR33" s="2511"/>
      <c r="BCS33" s="2511"/>
      <c r="BCT33" s="2511"/>
      <c r="BCU33" s="2511"/>
      <c r="BCV33" s="2511"/>
      <c r="BCW33" s="2511"/>
      <c r="BCX33" s="2511"/>
      <c r="BCY33" s="2511"/>
      <c r="BCZ33" s="2511"/>
      <c r="BDA33" s="2511"/>
      <c r="BDB33" s="2511"/>
      <c r="BDC33" s="2511"/>
      <c r="BDD33" s="2511"/>
      <c r="BDE33" s="2511"/>
      <c r="BDF33" s="2511"/>
      <c r="BDG33" s="2511"/>
      <c r="BDH33" s="2511"/>
      <c r="BDI33" s="2511"/>
      <c r="BDJ33" s="2511"/>
      <c r="BDK33" s="2511"/>
      <c r="BDL33" s="2511"/>
      <c r="BDM33" s="2511"/>
      <c r="BDN33" s="2511"/>
      <c r="BDO33" s="2511"/>
      <c r="BDP33" s="2511"/>
      <c r="BDQ33" s="2511"/>
      <c r="BDR33" s="2511"/>
      <c r="BDS33" s="2511"/>
      <c r="BDT33" s="2511"/>
      <c r="BDU33" s="2511"/>
      <c r="BDV33" s="2511"/>
      <c r="BDW33" s="2511"/>
      <c r="BDX33" s="2511"/>
      <c r="BDY33" s="2511"/>
      <c r="BDZ33" s="2511"/>
      <c r="BEA33" s="2511"/>
      <c r="BEB33" s="2511"/>
      <c r="BEC33" s="2511"/>
      <c r="BED33" s="2511"/>
      <c r="BEE33" s="2511"/>
      <c r="BEF33" s="2511"/>
      <c r="BEG33" s="2511"/>
      <c r="BEH33" s="2511"/>
      <c r="BEI33" s="2511"/>
      <c r="BEJ33" s="2511"/>
      <c r="BEK33" s="2511"/>
      <c r="BEL33" s="2511"/>
      <c r="BEM33" s="2511"/>
      <c r="BEN33" s="2511"/>
      <c r="BEO33" s="2511"/>
      <c r="BEP33" s="2511"/>
      <c r="BEQ33" s="2511"/>
      <c r="BER33" s="2511"/>
      <c r="BES33" s="2511"/>
      <c r="BET33" s="2511"/>
      <c r="BEU33" s="2511"/>
      <c r="BEV33" s="2511"/>
      <c r="BEW33" s="2511"/>
      <c r="BEX33" s="2511"/>
      <c r="BEY33" s="2511"/>
      <c r="BEZ33" s="2511"/>
      <c r="BFA33" s="2511"/>
      <c r="BFB33" s="2511"/>
      <c r="BFC33" s="2511"/>
      <c r="BFD33" s="2511"/>
      <c r="BFE33" s="2511"/>
      <c r="BFF33" s="2511"/>
      <c r="BFG33" s="2511"/>
      <c r="BFH33" s="2511"/>
      <c r="BFI33" s="2511"/>
      <c r="BFJ33" s="2511"/>
      <c r="BFK33" s="2511"/>
      <c r="BFL33" s="2511"/>
      <c r="BFM33" s="2511"/>
      <c r="BFN33" s="2511"/>
      <c r="BFO33" s="2511"/>
      <c r="BFP33" s="2511"/>
      <c r="BFQ33" s="2511"/>
      <c r="BFR33" s="2511"/>
      <c r="BFS33" s="2511"/>
      <c r="BFT33" s="2511"/>
      <c r="BFU33" s="2511"/>
      <c r="BFV33" s="2511"/>
      <c r="BFW33" s="2511"/>
      <c r="BFX33" s="2511"/>
      <c r="BFY33" s="2511"/>
      <c r="BFZ33" s="2511"/>
      <c r="BGA33" s="2511"/>
      <c r="BGB33" s="2511"/>
      <c r="BGC33" s="2511"/>
      <c r="BGD33" s="2511"/>
      <c r="BGE33" s="2511"/>
      <c r="BGF33" s="2511"/>
      <c r="BGG33" s="2511"/>
      <c r="BGH33" s="2511"/>
      <c r="BGI33" s="2511"/>
      <c r="BGJ33" s="2511"/>
      <c r="BGK33" s="2511"/>
      <c r="BGL33" s="2511"/>
      <c r="BGM33" s="2511"/>
      <c r="BGN33" s="2511"/>
      <c r="BGO33" s="2511"/>
      <c r="BGP33" s="2511"/>
      <c r="BGQ33" s="2511"/>
      <c r="BGR33" s="2511"/>
      <c r="BGS33" s="2511"/>
      <c r="BGT33" s="2511"/>
      <c r="BGU33" s="2511"/>
      <c r="BGV33" s="2511"/>
      <c r="BGW33" s="2511"/>
      <c r="BGX33" s="2511"/>
      <c r="BGY33" s="2511"/>
      <c r="BGZ33" s="2511"/>
      <c r="BHA33" s="2511"/>
      <c r="BHB33" s="2511"/>
      <c r="BHC33" s="2511"/>
      <c r="BHD33" s="2511"/>
      <c r="BHE33" s="2511"/>
      <c r="BHF33" s="2511"/>
      <c r="BHG33" s="2511"/>
      <c r="BHH33" s="2511"/>
      <c r="BHI33" s="2511"/>
      <c r="BHJ33" s="2511"/>
      <c r="BHK33" s="2511"/>
      <c r="BHL33" s="2511"/>
      <c r="BHM33" s="2511"/>
      <c r="BHN33" s="2511"/>
      <c r="BHO33" s="2511"/>
      <c r="BHP33" s="2511"/>
      <c r="BHQ33" s="2511"/>
      <c r="BHR33" s="2511"/>
      <c r="BHS33" s="2511"/>
      <c r="BHT33" s="2511"/>
      <c r="BHU33" s="2511"/>
      <c r="BHV33" s="2511"/>
      <c r="BHW33" s="2511"/>
      <c r="BHX33" s="2511"/>
      <c r="BHY33" s="2511"/>
      <c r="BHZ33" s="2511"/>
      <c r="BIA33" s="2511"/>
      <c r="BIB33" s="2511"/>
      <c r="BIC33" s="2511"/>
      <c r="BID33" s="2511"/>
      <c r="BIE33" s="2511"/>
      <c r="BIF33" s="2511"/>
      <c r="BIG33" s="2511"/>
      <c r="BIH33" s="2511"/>
      <c r="BII33" s="2511"/>
      <c r="BIJ33" s="2511"/>
      <c r="BIK33" s="2511"/>
      <c r="BIL33" s="2511"/>
      <c r="BIM33" s="2511"/>
      <c r="BIN33" s="2511"/>
      <c r="BIO33" s="2511"/>
      <c r="BIP33" s="2511"/>
      <c r="BIQ33" s="2511"/>
      <c r="BIR33" s="2511"/>
      <c r="BIS33" s="2511"/>
      <c r="BIT33" s="2511"/>
      <c r="BIU33" s="2511"/>
      <c r="BIV33" s="2511"/>
      <c r="BIW33" s="2511"/>
      <c r="BIX33" s="2511"/>
      <c r="BIY33" s="2511"/>
      <c r="BIZ33" s="2511"/>
      <c r="BJA33" s="2511"/>
      <c r="BJB33" s="2511"/>
      <c r="BJC33" s="2511"/>
      <c r="BJD33" s="2511"/>
      <c r="BJE33" s="2511"/>
      <c r="BJF33" s="2511"/>
      <c r="BJG33" s="2511"/>
      <c r="BJH33" s="2511"/>
      <c r="BJI33" s="2511"/>
      <c r="BJJ33" s="2511"/>
      <c r="BJK33" s="2511"/>
      <c r="BJL33" s="2511"/>
      <c r="BJM33" s="2511"/>
      <c r="BJN33" s="2511"/>
      <c r="BJO33" s="2511"/>
      <c r="BJP33" s="2511"/>
      <c r="BJQ33" s="2511"/>
      <c r="BJR33" s="2511"/>
      <c r="BJS33" s="2511"/>
      <c r="BJT33" s="2511"/>
      <c r="BJU33" s="2511"/>
      <c r="BJV33" s="2511"/>
      <c r="BJW33" s="2511"/>
      <c r="BJX33" s="2511"/>
      <c r="BJY33" s="2511"/>
      <c r="BJZ33" s="2511"/>
      <c r="BKA33" s="2511"/>
      <c r="BKB33" s="2511"/>
      <c r="BKC33" s="2511"/>
      <c r="BKD33" s="2511"/>
      <c r="BKE33" s="2511"/>
      <c r="BKF33" s="2511"/>
      <c r="BKG33" s="2511"/>
      <c r="BKH33" s="2511"/>
      <c r="BKI33" s="2511"/>
      <c r="BKJ33" s="2511"/>
      <c r="BKK33" s="2511"/>
      <c r="BKL33" s="2511"/>
      <c r="BKM33" s="2511"/>
      <c r="BKN33" s="2511"/>
      <c r="BKO33" s="2511"/>
      <c r="BKP33" s="2511"/>
      <c r="BKQ33" s="2511"/>
      <c r="BKR33" s="2511"/>
      <c r="BKS33" s="2511"/>
      <c r="BKT33" s="2511"/>
      <c r="BKU33" s="2511"/>
      <c r="BKV33" s="2511"/>
      <c r="BKW33" s="2511"/>
      <c r="BKX33" s="2511"/>
      <c r="BKY33" s="2511"/>
      <c r="BKZ33" s="2511"/>
      <c r="BLA33" s="2511"/>
      <c r="BLB33" s="2511"/>
      <c r="BLC33" s="2511"/>
      <c r="BLD33" s="2511"/>
      <c r="BLE33" s="2511"/>
      <c r="BLF33" s="2511"/>
      <c r="BLG33" s="2511"/>
      <c r="BLH33" s="2511"/>
      <c r="BLI33" s="2511"/>
      <c r="BLJ33" s="2511"/>
      <c r="BLK33" s="2511"/>
      <c r="BLL33" s="2511"/>
      <c r="BLM33" s="2511"/>
      <c r="BLN33" s="2511"/>
      <c r="BLO33" s="2511"/>
      <c r="BLP33" s="2511"/>
      <c r="BLQ33" s="2511"/>
      <c r="BLR33" s="2511"/>
      <c r="BLS33" s="2511"/>
      <c r="BLT33" s="2511"/>
      <c r="BLU33" s="2511"/>
      <c r="BLV33" s="2511"/>
      <c r="BLW33" s="2511"/>
      <c r="BLX33" s="2511"/>
      <c r="BLY33" s="2511"/>
      <c r="BLZ33" s="2511"/>
      <c r="BMA33" s="2511"/>
      <c r="BMB33" s="2511"/>
      <c r="BMC33" s="2511"/>
      <c r="BMD33" s="2511"/>
      <c r="BME33" s="2511"/>
      <c r="BMF33" s="2511"/>
      <c r="BMG33" s="2511"/>
      <c r="BMH33" s="2511"/>
      <c r="BMI33" s="2511"/>
      <c r="BMJ33" s="2511"/>
      <c r="BMK33" s="2511"/>
      <c r="BML33" s="2511"/>
      <c r="BMM33" s="2511"/>
      <c r="BMN33" s="2511"/>
      <c r="BMO33" s="2511"/>
      <c r="BMP33" s="2511"/>
      <c r="BMQ33" s="2511"/>
      <c r="BMR33" s="2511"/>
      <c r="BMS33" s="2511"/>
      <c r="BMT33" s="2511"/>
      <c r="BMU33" s="2511"/>
      <c r="BMV33" s="2511"/>
      <c r="BMW33" s="2511"/>
      <c r="BMX33" s="2511"/>
      <c r="BMY33" s="2511"/>
      <c r="BMZ33" s="2511"/>
      <c r="BNA33" s="2511"/>
      <c r="BNB33" s="2511"/>
      <c r="BNC33" s="2511"/>
      <c r="BND33" s="2511"/>
      <c r="BNE33" s="2511"/>
      <c r="BNF33" s="2511"/>
      <c r="BNG33" s="2511"/>
      <c r="BNH33" s="2511"/>
      <c r="BNI33" s="2511"/>
      <c r="BNJ33" s="2511"/>
      <c r="BNK33" s="2511"/>
      <c r="BNL33" s="2511"/>
      <c r="BNM33" s="2511"/>
      <c r="BNN33" s="2511"/>
      <c r="BNO33" s="2511"/>
      <c r="BNP33" s="2511"/>
      <c r="BNQ33" s="2511"/>
      <c r="BNR33" s="2511"/>
      <c r="BNS33" s="2511"/>
      <c r="BNT33" s="2511"/>
      <c r="BNU33" s="2511"/>
      <c r="BNV33" s="2511"/>
      <c r="BNW33" s="2511"/>
      <c r="BNX33" s="2511"/>
      <c r="BNY33" s="2511"/>
      <c r="BNZ33" s="2511"/>
      <c r="BOA33" s="2511"/>
      <c r="BOB33" s="2511"/>
      <c r="BOC33" s="2511"/>
      <c r="BOD33" s="2511"/>
      <c r="BOE33" s="2511"/>
      <c r="BOF33" s="2511"/>
      <c r="BOG33" s="2511"/>
      <c r="BOH33" s="2511"/>
      <c r="BOI33" s="2511"/>
      <c r="BOJ33" s="2511"/>
      <c r="BOK33" s="2511"/>
      <c r="BOL33" s="2511"/>
      <c r="BOM33" s="2511"/>
      <c r="BON33" s="2511"/>
      <c r="BOO33" s="2511"/>
      <c r="BOP33" s="2511"/>
      <c r="BOQ33" s="2511"/>
      <c r="BOR33" s="2511"/>
      <c r="BOS33" s="2511"/>
      <c r="BOT33" s="2511"/>
      <c r="BOU33" s="2511"/>
      <c r="BOV33" s="2511"/>
      <c r="BOW33" s="2511"/>
      <c r="BOX33" s="2511"/>
      <c r="BOY33" s="2511"/>
      <c r="BOZ33" s="2511"/>
      <c r="BPA33" s="2511"/>
      <c r="BPB33" s="2511"/>
      <c r="BPC33" s="2511"/>
      <c r="BPD33" s="2511"/>
      <c r="BPE33" s="2511"/>
      <c r="BPF33" s="2511"/>
      <c r="BPG33" s="2511"/>
      <c r="BPH33" s="2511"/>
      <c r="BPI33" s="2511"/>
      <c r="BPJ33" s="2511"/>
      <c r="BPK33" s="2511"/>
      <c r="BPL33" s="2511"/>
      <c r="BPM33" s="2511"/>
      <c r="BPN33" s="2511"/>
      <c r="BPO33" s="2511"/>
      <c r="BPP33" s="2511"/>
      <c r="BPQ33" s="2511"/>
      <c r="BPR33" s="2511"/>
      <c r="BPS33" s="2511"/>
      <c r="BPT33" s="2511"/>
      <c r="BPU33" s="2511"/>
      <c r="BPV33" s="2511"/>
      <c r="BPW33" s="2511"/>
      <c r="BPX33" s="2511"/>
      <c r="BPY33" s="2511"/>
      <c r="BPZ33" s="2511"/>
      <c r="BQA33" s="2511"/>
      <c r="BQB33" s="2511"/>
      <c r="BQC33" s="2511"/>
      <c r="BQD33" s="2511"/>
      <c r="BQE33" s="2511"/>
      <c r="BQF33" s="2511"/>
      <c r="BQG33" s="2511"/>
      <c r="BQH33" s="2511"/>
      <c r="BQI33" s="2511"/>
      <c r="BQJ33" s="2511"/>
      <c r="BQK33" s="2511"/>
      <c r="BQL33" s="2511"/>
      <c r="BQM33" s="2511"/>
      <c r="BQN33" s="2511"/>
      <c r="BQO33" s="2511"/>
      <c r="BQP33" s="2511"/>
      <c r="BQQ33" s="2511"/>
      <c r="BQR33" s="2511"/>
      <c r="BQS33" s="2511"/>
      <c r="BQT33" s="2511"/>
      <c r="BQU33" s="2511"/>
      <c r="BQV33" s="2511"/>
      <c r="BQW33" s="2511"/>
      <c r="BQX33" s="2511"/>
      <c r="BQY33" s="2511"/>
      <c r="BQZ33" s="2511"/>
      <c r="BRA33" s="2511"/>
      <c r="BRB33" s="2511"/>
      <c r="BRC33" s="2511"/>
      <c r="BRD33" s="2511"/>
      <c r="BRE33" s="2511"/>
      <c r="BRF33" s="2511"/>
      <c r="BRG33" s="2511"/>
      <c r="BRH33" s="2511"/>
      <c r="BRI33" s="2511"/>
      <c r="BRJ33" s="2511"/>
      <c r="BRK33" s="2511"/>
      <c r="BRL33" s="2511"/>
      <c r="BRM33" s="2511"/>
      <c r="BRN33" s="2511"/>
      <c r="BRO33" s="2511"/>
      <c r="BRP33" s="2511"/>
      <c r="BRQ33" s="2511"/>
      <c r="BRR33" s="2511"/>
      <c r="BRS33" s="2511"/>
      <c r="BRT33" s="2511"/>
      <c r="BRU33" s="2511"/>
      <c r="BRV33" s="2511"/>
      <c r="BRW33" s="2511"/>
      <c r="BRX33" s="2511"/>
      <c r="BRY33" s="2511"/>
      <c r="BRZ33" s="2511"/>
      <c r="BSA33" s="2511"/>
      <c r="BSB33" s="2511"/>
      <c r="BSC33" s="2511"/>
      <c r="BSD33" s="2511"/>
      <c r="BSE33" s="2511"/>
      <c r="BSF33" s="2511"/>
      <c r="BSG33" s="2511"/>
      <c r="BSH33" s="2511"/>
      <c r="BSI33" s="2511"/>
      <c r="BSJ33" s="2511"/>
      <c r="BSK33" s="2511"/>
      <c r="BSL33" s="2511"/>
      <c r="BSM33" s="2511"/>
      <c r="BSN33" s="2511"/>
      <c r="BSO33" s="2511"/>
      <c r="BSP33" s="2511"/>
      <c r="BSQ33" s="2511"/>
      <c r="BSR33" s="2511"/>
      <c r="BSS33" s="2511"/>
      <c r="BST33" s="2511"/>
      <c r="BSU33" s="2511"/>
      <c r="BSV33" s="2511"/>
      <c r="BSW33" s="2511"/>
      <c r="BSX33" s="2511"/>
      <c r="BSY33" s="2511"/>
      <c r="BSZ33" s="2511"/>
      <c r="BTA33" s="2511"/>
      <c r="BTB33" s="2511"/>
      <c r="BTC33" s="2511"/>
      <c r="BTD33" s="2511"/>
      <c r="BTE33" s="2511"/>
      <c r="BTF33" s="2511"/>
      <c r="BTG33" s="2511"/>
      <c r="BTH33" s="2511"/>
      <c r="BTI33" s="2511"/>
      <c r="BTJ33" s="2511"/>
      <c r="BTK33" s="2511"/>
      <c r="BTL33" s="2511"/>
      <c r="BTM33" s="2511"/>
      <c r="BTN33" s="2511"/>
      <c r="BTO33" s="2511"/>
      <c r="BTP33" s="2511"/>
      <c r="BTQ33" s="2511"/>
      <c r="BTR33" s="2511"/>
      <c r="BTS33" s="2511"/>
      <c r="BTT33" s="2511"/>
      <c r="BTU33" s="2511"/>
      <c r="BTV33" s="2511"/>
      <c r="BTW33" s="2511"/>
      <c r="BTX33" s="2511"/>
      <c r="BTY33" s="2511"/>
      <c r="BTZ33" s="2511"/>
      <c r="BUA33" s="2511"/>
      <c r="BUB33" s="2511"/>
      <c r="BUC33" s="2511"/>
      <c r="BUD33" s="2511"/>
      <c r="BUE33" s="2511"/>
      <c r="BUF33" s="2511"/>
      <c r="BUG33" s="2511"/>
      <c r="BUH33" s="2511"/>
      <c r="BUI33" s="2511"/>
      <c r="BUJ33" s="2511"/>
      <c r="BUK33" s="2511"/>
      <c r="BUL33" s="2511"/>
      <c r="BUM33" s="2511"/>
      <c r="BUN33" s="2511"/>
      <c r="BUO33" s="2511"/>
      <c r="BUP33" s="2511"/>
      <c r="BUQ33" s="2511"/>
      <c r="BUR33" s="2511"/>
      <c r="BUS33" s="2511"/>
      <c r="BUT33" s="2511"/>
      <c r="BUU33" s="2511"/>
      <c r="BUV33" s="2511"/>
      <c r="BUW33" s="2511"/>
      <c r="BUX33" s="2511"/>
      <c r="BUY33" s="2511"/>
      <c r="BUZ33" s="2511"/>
      <c r="BVA33" s="2511"/>
      <c r="BVB33" s="2511"/>
      <c r="BVC33" s="2511"/>
      <c r="BVD33" s="2511"/>
      <c r="BVE33" s="2511"/>
      <c r="BVF33" s="2511"/>
      <c r="BVG33" s="2511"/>
      <c r="BVH33" s="2511"/>
      <c r="BVI33" s="2511"/>
      <c r="BVJ33" s="2511"/>
      <c r="BVK33" s="2511"/>
      <c r="BVL33" s="2511"/>
      <c r="BVM33" s="2511"/>
      <c r="BVN33" s="2511"/>
      <c r="BVO33" s="2511"/>
      <c r="BVP33" s="2511"/>
      <c r="BVQ33" s="2511"/>
      <c r="BVR33" s="2511"/>
      <c r="BVS33" s="2511"/>
      <c r="BVT33" s="2511"/>
      <c r="BVU33" s="2511"/>
      <c r="BVV33" s="2511"/>
      <c r="BVW33" s="2511"/>
      <c r="BVX33" s="2511"/>
      <c r="BVY33" s="2511"/>
      <c r="BVZ33" s="2511"/>
      <c r="BWA33" s="2511"/>
      <c r="BWB33" s="2511"/>
      <c r="BWC33" s="2511"/>
      <c r="BWD33" s="2511"/>
      <c r="BWE33" s="2511"/>
      <c r="BWF33" s="2511"/>
      <c r="BWG33" s="2511"/>
      <c r="BWH33" s="2511"/>
      <c r="BWI33" s="2511"/>
      <c r="BWJ33" s="2511"/>
      <c r="BWK33" s="2511"/>
      <c r="BWL33" s="2511"/>
      <c r="BWM33" s="2511"/>
      <c r="BWN33" s="2511"/>
      <c r="BWO33" s="2511"/>
      <c r="BWP33" s="2511"/>
      <c r="BWQ33" s="2511"/>
      <c r="BWR33" s="2511"/>
      <c r="BWS33" s="2511"/>
      <c r="BWT33" s="2511"/>
      <c r="BWU33" s="2511"/>
      <c r="BWV33" s="2511"/>
      <c r="BWW33" s="2511"/>
      <c r="BWX33" s="2511"/>
      <c r="BWY33" s="2511"/>
      <c r="BWZ33" s="2511"/>
      <c r="BXA33" s="2511"/>
      <c r="BXB33" s="2511"/>
      <c r="BXC33" s="2511"/>
      <c r="BXD33" s="2511"/>
      <c r="BXE33" s="2511"/>
      <c r="BXF33" s="2511"/>
      <c r="BXG33" s="2511"/>
      <c r="BXH33" s="2511"/>
      <c r="BXI33" s="2511"/>
      <c r="BXJ33" s="2511"/>
      <c r="BXK33" s="2511"/>
      <c r="BXL33" s="2511"/>
      <c r="BXM33" s="2511"/>
      <c r="BXN33" s="2511"/>
      <c r="BXO33" s="2511"/>
      <c r="BXP33" s="2511"/>
      <c r="BXQ33" s="2511"/>
      <c r="BXR33" s="2511"/>
      <c r="BXS33" s="2511"/>
      <c r="BXT33" s="2511"/>
      <c r="BXU33" s="2511"/>
      <c r="BXV33" s="2511"/>
      <c r="BXW33" s="2511"/>
      <c r="BXX33" s="2511"/>
      <c r="BXY33" s="2511"/>
      <c r="BXZ33" s="2511"/>
      <c r="BYA33" s="2511"/>
      <c r="BYB33" s="2511"/>
      <c r="BYC33" s="2511"/>
      <c r="BYD33" s="2511"/>
      <c r="BYE33" s="2511"/>
      <c r="BYF33" s="2511"/>
      <c r="BYG33" s="2511"/>
      <c r="BYH33" s="2511"/>
      <c r="BYI33" s="2511"/>
      <c r="BYJ33" s="2511"/>
      <c r="BYK33" s="2511"/>
      <c r="BYL33" s="2511"/>
      <c r="BYM33" s="2511"/>
      <c r="BYN33" s="2511"/>
      <c r="BYO33" s="2511"/>
      <c r="BYP33" s="2511"/>
      <c r="BYQ33" s="2511"/>
      <c r="BYR33" s="2511"/>
      <c r="BYS33" s="2511"/>
      <c r="BYT33" s="2511"/>
      <c r="BYU33" s="2511"/>
      <c r="BYV33" s="2511"/>
      <c r="BYW33" s="2511"/>
      <c r="BYX33" s="2511"/>
      <c r="BYY33" s="2511"/>
      <c r="BYZ33" s="2511"/>
      <c r="BZA33" s="2511"/>
      <c r="BZB33" s="2511"/>
      <c r="BZC33" s="2511"/>
      <c r="BZD33" s="2511"/>
      <c r="BZE33" s="2511"/>
      <c r="BZF33" s="2511"/>
      <c r="BZG33" s="2511"/>
      <c r="BZH33" s="2511"/>
      <c r="BZI33" s="2511"/>
      <c r="BZJ33" s="2511"/>
      <c r="BZK33" s="2511"/>
      <c r="BZL33" s="2511"/>
      <c r="BZM33" s="2511"/>
      <c r="BZN33" s="2511"/>
      <c r="BZO33" s="2511"/>
      <c r="BZP33" s="2511"/>
      <c r="BZQ33" s="2511"/>
      <c r="BZR33" s="2511"/>
      <c r="BZS33" s="2511"/>
      <c r="BZT33" s="2511"/>
      <c r="BZU33" s="2511"/>
      <c r="BZV33" s="2511"/>
      <c r="BZW33" s="2511"/>
      <c r="BZX33" s="2511"/>
      <c r="BZY33" s="2511"/>
      <c r="BZZ33" s="2511"/>
      <c r="CAA33" s="2511"/>
      <c r="CAB33" s="2511"/>
      <c r="CAC33" s="2511"/>
      <c r="CAD33" s="2511"/>
      <c r="CAE33" s="2511"/>
      <c r="CAF33" s="2511"/>
      <c r="CAG33" s="2511"/>
      <c r="CAH33" s="2511"/>
      <c r="CAI33" s="2511"/>
      <c r="CAJ33" s="2511"/>
      <c r="CAK33" s="2511"/>
      <c r="CAL33" s="2511"/>
      <c r="CAM33" s="2511"/>
      <c r="CAN33" s="2511"/>
      <c r="CAO33" s="2511"/>
      <c r="CAP33" s="2511"/>
      <c r="CAQ33" s="2511"/>
      <c r="CAR33" s="2511"/>
      <c r="CAS33" s="2511"/>
      <c r="CAT33" s="2511"/>
      <c r="CAU33" s="2511"/>
      <c r="CAV33" s="2511"/>
      <c r="CAW33" s="2511"/>
      <c r="CAX33" s="2511"/>
      <c r="CAY33" s="2511"/>
      <c r="CAZ33" s="2511"/>
      <c r="CBA33" s="2511"/>
      <c r="CBB33" s="2511"/>
      <c r="CBC33" s="2511"/>
      <c r="CBD33" s="2511"/>
      <c r="CBE33" s="2511"/>
      <c r="CBF33" s="2511"/>
      <c r="CBG33" s="2511"/>
      <c r="CBH33" s="2511"/>
      <c r="CBI33" s="2511"/>
      <c r="CBJ33" s="2511"/>
      <c r="CBK33" s="2511"/>
      <c r="CBL33" s="2511"/>
      <c r="CBM33" s="2511"/>
      <c r="CBN33" s="2511"/>
      <c r="CBO33" s="2511"/>
      <c r="CBP33" s="2511"/>
      <c r="CBQ33" s="2511"/>
      <c r="CBR33" s="2511"/>
      <c r="CBS33" s="2511"/>
      <c r="CBT33" s="2511"/>
      <c r="CBU33" s="2511"/>
      <c r="CBV33" s="2511"/>
      <c r="CBW33" s="2511"/>
      <c r="CBX33" s="2511"/>
      <c r="CBY33" s="2511"/>
      <c r="CBZ33" s="2511"/>
      <c r="CCA33" s="2511"/>
      <c r="CCB33" s="2511"/>
      <c r="CCC33" s="2511"/>
      <c r="CCD33" s="2511"/>
      <c r="CCE33" s="2511"/>
      <c r="CCF33" s="2511"/>
      <c r="CCG33" s="2511"/>
      <c r="CCH33" s="2511"/>
      <c r="CCI33" s="2511"/>
      <c r="CCJ33" s="2511"/>
      <c r="CCK33" s="2511"/>
      <c r="CCL33" s="2511"/>
      <c r="CCM33" s="2511"/>
      <c r="CCN33" s="2511"/>
      <c r="CCO33" s="2511"/>
      <c r="CCP33" s="2511"/>
      <c r="CCQ33" s="2511"/>
      <c r="CCR33" s="2511"/>
      <c r="CCS33" s="2511"/>
      <c r="CCT33" s="2511"/>
      <c r="CCU33" s="2511"/>
      <c r="CCV33" s="2511"/>
      <c r="CCW33" s="2511"/>
      <c r="CCX33" s="2511"/>
      <c r="CCY33" s="2511"/>
      <c r="CCZ33" s="2511"/>
      <c r="CDA33" s="2511"/>
      <c r="CDB33" s="2511"/>
      <c r="CDC33" s="2511"/>
      <c r="CDD33" s="2511"/>
      <c r="CDE33" s="2511"/>
      <c r="CDF33" s="2511"/>
      <c r="CDG33" s="2511"/>
      <c r="CDH33" s="2511"/>
      <c r="CDI33" s="2511"/>
      <c r="CDJ33" s="2511"/>
      <c r="CDK33" s="2511"/>
      <c r="CDL33" s="2511"/>
      <c r="CDM33" s="2511"/>
      <c r="CDN33" s="2511"/>
      <c r="CDO33" s="2511"/>
      <c r="CDP33" s="2511"/>
      <c r="CDQ33" s="2511"/>
      <c r="CDR33" s="2511"/>
      <c r="CDS33" s="2511"/>
      <c r="CDT33" s="2511"/>
      <c r="CDU33" s="2511"/>
      <c r="CDV33" s="2511"/>
      <c r="CDW33" s="2511"/>
      <c r="CDX33" s="2511"/>
      <c r="CDY33" s="2511"/>
      <c r="CDZ33" s="2511"/>
      <c r="CEA33" s="2511"/>
      <c r="CEB33" s="2511"/>
      <c r="CEC33" s="2511"/>
      <c r="CED33" s="2511"/>
      <c r="CEE33" s="2511"/>
      <c r="CEF33" s="2511"/>
      <c r="CEG33" s="2511"/>
      <c r="CEH33" s="2511"/>
      <c r="CEI33" s="2511"/>
      <c r="CEJ33" s="2511"/>
      <c r="CEK33" s="2511"/>
      <c r="CEL33" s="2511"/>
      <c r="CEM33" s="2511"/>
      <c r="CEN33" s="2511"/>
      <c r="CEO33" s="2511"/>
      <c r="CEP33" s="2511"/>
      <c r="CEQ33" s="2511"/>
      <c r="CER33" s="2511"/>
      <c r="CES33" s="2511"/>
      <c r="CET33" s="2511"/>
      <c r="CEU33" s="2511"/>
      <c r="CEV33" s="2511"/>
      <c r="CEW33" s="2511"/>
      <c r="CEX33" s="2511"/>
      <c r="CEY33" s="2511"/>
      <c r="CEZ33" s="2511"/>
      <c r="CFA33" s="2511"/>
      <c r="CFB33" s="2511"/>
      <c r="CFC33" s="2511"/>
      <c r="CFD33" s="2511"/>
      <c r="CFE33" s="2511"/>
      <c r="CFF33" s="2511"/>
      <c r="CFG33" s="2511"/>
      <c r="CFH33" s="2511"/>
      <c r="CFI33" s="2511"/>
      <c r="CFJ33" s="2511"/>
      <c r="CFK33" s="2511"/>
      <c r="CFL33" s="2511"/>
      <c r="CFM33" s="2511"/>
      <c r="CFN33" s="2511"/>
      <c r="CFO33" s="2511"/>
      <c r="CFP33" s="2511"/>
      <c r="CFQ33" s="2511"/>
      <c r="CFR33" s="2511"/>
      <c r="CFS33" s="2511"/>
      <c r="CFT33" s="2511"/>
      <c r="CFU33" s="2511"/>
      <c r="CFV33" s="2511"/>
      <c r="CFW33" s="2511"/>
      <c r="CFX33" s="2511"/>
      <c r="CFY33" s="2511"/>
      <c r="CFZ33" s="2511"/>
      <c r="CGA33" s="2511"/>
      <c r="CGB33" s="2511"/>
      <c r="CGC33" s="2511"/>
      <c r="CGD33" s="2511"/>
      <c r="CGE33" s="2511"/>
      <c r="CGF33" s="2511"/>
      <c r="CGG33" s="2511"/>
      <c r="CGH33" s="2511"/>
      <c r="CGI33" s="2511"/>
      <c r="CGJ33" s="2511"/>
      <c r="CGK33" s="2511"/>
      <c r="CGL33" s="2511"/>
      <c r="CGM33" s="2511"/>
      <c r="CGN33" s="2511"/>
      <c r="CGO33" s="2511"/>
      <c r="CGP33" s="2511"/>
      <c r="CGQ33" s="2511"/>
      <c r="CGR33" s="2511"/>
      <c r="CGS33" s="2511"/>
      <c r="CGT33" s="2511"/>
      <c r="CGU33" s="2511"/>
      <c r="CGV33" s="2511"/>
      <c r="CGW33" s="2511"/>
      <c r="CGX33" s="2511"/>
      <c r="CGY33" s="2511"/>
      <c r="CGZ33" s="2511"/>
      <c r="CHA33" s="2511"/>
      <c r="CHB33" s="2511"/>
      <c r="CHC33" s="2511"/>
      <c r="CHD33" s="2511"/>
      <c r="CHE33" s="2511"/>
      <c r="CHF33" s="2511"/>
      <c r="CHG33" s="2511"/>
      <c r="CHH33" s="2511"/>
      <c r="CHI33" s="2511"/>
      <c r="CHJ33" s="2511"/>
      <c r="CHK33" s="2511"/>
      <c r="CHL33" s="2511"/>
      <c r="CHM33" s="2511"/>
      <c r="CHN33" s="2511"/>
      <c r="CHO33" s="2511"/>
      <c r="CHP33" s="2511"/>
      <c r="CHQ33" s="2511"/>
      <c r="CHR33" s="2511"/>
      <c r="CHS33" s="2511"/>
      <c r="CHT33" s="2511"/>
      <c r="CHU33" s="2511"/>
      <c r="CHV33" s="2511"/>
      <c r="CHW33" s="2511"/>
      <c r="CHX33" s="2511"/>
      <c r="CHY33" s="2511"/>
      <c r="CHZ33" s="2511"/>
      <c r="CIA33" s="2511"/>
      <c r="CIB33" s="2511"/>
      <c r="CIC33" s="2511"/>
      <c r="CID33" s="2511"/>
      <c r="CIE33" s="2511"/>
      <c r="CIF33" s="2511"/>
      <c r="CIG33" s="2511"/>
      <c r="CIH33" s="2511"/>
      <c r="CII33" s="2511"/>
      <c r="CIJ33" s="2511"/>
      <c r="CIK33" s="2511"/>
      <c r="CIL33" s="2511"/>
      <c r="CIM33" s="2511"/>
      <c r="CIN33" s="2511"/>
      <c r="CIO33" s="2511"/>
      <c r="CIP33" s="2511"/>
      <c r="CIQ33" s="2511"/>
      <c r="CIR33" s="2511"/>
      <c r="CIS33" s="2511"/>
      <c r="CIT33" s="2511"/>
      <c r="CIU33" s="2511"/>
      <c r="CIV33" s="2511"/>
      <c r="CIW33" s="2511"/>
      <c r="CIX33" s="2511"/>
      <c r="CIY33" s="2511"/>
      <c r="CIZ33" s="2511"/>
      <c r="CJA33" s="2511"/>
      <c r="CJB33" s="2511"/>
      <c r="CJC33" s="2511"/>
      <c r="CJD33" s="2511"/>
      <c r="CJE33" s="2511"/>
      <c r="CJF33" s="2511"/>
      <c r="CJG33" s="2511"/>
      <c r="CJH33" s="2511"/>
      <c r="CJI33" s="2511"/>
      <c r="CJJ33" s="2511"/>
      <c r="CJK33" s="2511"/>
      <c r="CJL33" s="2511"/>
      <c r="CJM33" s="2511"/>
      <c r="CJN33" s="2511"/>
      <c r="CJO33" s="2511"/>
      <c r="CJP33" s="2511"/>
      <c r="CJQ33" s="2511"/>
      <c r="CJR33" s="2511"/>
      <c r="CJS33" s="2511"/>
      <c r="CJT33" s="2511"/>
      <c r="CJU33" s="2511"/>
      <c r="CJV33" s="2511"/>
      <c r="CJW33" s="2511"/>
      <c r="CJX33" s="2511"/>
      <c r="CJY33" s="2511"/>
      <c r="CJZ33" s="2511"/>
      <c r="CKA33" s="2511"/>
      <c r="CKB33" s="2511"/>
      <c r="CKC33" s="2511"/>
      <c r="CKD33" s="2511"/>
      <c r="CKE33" s="2511"/>
      <c r="CKF33" s="2511"/>
      <c r="CKG33" s="2511"/>
      <c r="CKH33" s="2511"/>
      <c r="CKI33" s="2511"/>
      <c r="CKJ33" s="2511"/>
      <c r="CKK33" s="2511"/>
      <c r="CKL33" s="2511"/>
      <c r="CKM33" s="2511"/>
      <c r="CKN33" s="2511"/>
      <c r="CKO33" s="2511"/>
      <c r="CKP33" s="2511"/>
      <c r="CKQ33" s="2511"/>
      <c r="CKR33" s="2511"/>
      <c r="CKS33" s="2511"/>
      <c r="CKT33" s="2511"/>
      <c r="CKU33" s="2511"/>
      <c r="CKV33" s="2511"/>
      <c r="CKW33" s="2511"/>
      <c r="CKX33" s="2511"/>
      <c r="CKY33" s="2511"/>
      <c r="CKZ33" s="2511"/>
      <c r="CLA33" s="2511"/>
      <c r="CLB33" s="2511"/>
      <c r="CLC33" s="2511"/>
      <c r="CLD33" s="2511"/>
      <c r="CLE33" s="2511"/>
      <c r="CLF33" s="2511"/>
      <c r="CLG33" s="2511"/>
      <c r="CLH33" s="2511"/>
      <c r="CLI33" s="2511"/>
      <c r="CLJ33" s="2511"/>
      <c r="CLK33" s="2511"/>
      <c r="CLL33" s="2511"/>
      <c r="CLM33" s="2511"/>
      <c r="CLN33" s="2511"/>
      <c r="CLO33" s="2511"/>
      <c r="CLP33" s="2511"/>
      <c r="CLQ33" s="2511"/>
      <c r="CLR33" s="2511"/>
      <c r="CLS33" s="2511"/>
      <c r="CLT33" s="2511"/>
      <c r="CLU33" s="2511"/>
      <c r="CLV33" s="2511"/>
      <c r="CLW33" s="2511"/>
      <c r="CLX33" s="2511"/>
      <c r="CLY33" s="2511"/>
      <c r="CLZ33" s="2511"/>
      <c r="CMA33" s="2511"/>
      <c r="CMB33" s="2511"/>
      <c r="CMC33" s="2511"/>
      <c r="CMD33" s="2511"/>
      <c r="CME33" s="2511"/>
      <c r="CMF33" s="2511"/>
      <c r="CMG33" s="2511"/>
      <c r="CMH33" s="2511"/>
      <c r="CMI33" s="2511"/>
      <c r="CMJ33" s="2511"/>
      <c r="CMK33" s="2511"/>
      <c r="CML33" s="2511"/>
      <c r="CMM33" s="2511"/>
      <c r="CMN33" s="2511"/>
      <c r="CMO33" s="2511"/>
      <c r="CMP33" s="2511"/>
      <c r="CMQ33" s="2511"/>
      <c r="CMR33" s="2511"/>
      <c r="CMS33" s="2511"/>
      <c r="CMT33" s="2511"/>
      <c r="CMU33" s="2511"/>
      <c r="CMV33" s="2511"/>
      <c r="CMW33" s="2511"/>
      <c r="CMX33" s="2511"/>
      <c r="CMY33" s="2511"/>
      <c r="CMZ33" s="2511"/>
      <c r="CNA33" s="2511"/>
      <c r="CNB33" s="2511"/>
      <c r="CNC33" s="2511"/>
      <c r="CND33" s="2511"/>
      <c r="CNE33" s="2511"/>
      <c r="CNF33" s="2511"/>
      <c r="CNG33" s="2511"/>
      <c r="CNH33" s="2511"/>
      <c r="CNI33" s="2511"/>
      <c r="CNJ33" s="2511"/>
      <c r="CNK33" s="2511"/>
      <c r="CNL33" s="2511"/>
      <c r="CNM33" s="2511"/>
      <c r="CNN33" s="2511"/>
      <c r="CNO33" s="2511"/>
      <c r="CNP33" s="2511"/>
      <c r="CNQ33" s="2511"/>
      <c r="CNR33" s="2511"/>
      <c r="CNS33" s="2511"/>
      <c r="CNT33" s="2511"/>
      <c r="CNU33" s="2511"/>
      <c r="CNV33" s="2511"/>
      <c r="CNW33" s="2511"/>
      <c r="CNX33" s="2511"/>
      <c r="CNY33" s="2511"/>
      <c r="CNZ33" s="2511"/>
      <c r="COA33" s="2511"/>
      <c r="COB33" s="2511"/>
      <c r="COC33" s="2511"/>
      <c r="COD33" s="2511"/>
      <c r="COE33" s="2511"/>
      <c r="COF33" s="2511"/>
      <c r="COG33" s="2511"/>
      <c r="COH33" s="2511"/>
      <c r="COI33" s="2511"/>
      <c r="COJ33" s="2511"/>
      <c r="COK33" s="2511"/>
      <c r="COL33" s="2511"/>
      <c r="COM33" s="2511"/>
      <c r="CON33" s="2511"/>
      <c r="COO33" s="2511"/>
      <c r="COP33" s="2511"/>
      <c r="COQ33" s="2511"/>
      <c r="COR33" s="2511"/>
      <c r="COS33" s="2511"/>
      <c r="COT33" s="2511"/>
      <c r="COU33" s="2511"/>
      <c r="COV33" s="2511"/>
      <c r="COW33" s="2511"/>
      <c r="COX33" s="2511"/>
      <c r="COY33" s="2511"/>
      <c r="COZ33" s="2511"/>
      <c r="CPA33" s="2511"/>
      <c r="CPB33" s="2511"/>
      <c r="CPC33" s="2511"/>
      <c r="CPD33" s="2511"/>
      <c r="CPE33" s="2511"/>
      <c r="CPF33" s="2511"/>
      <c r="CPG33" s="2511"/>
      <c r="CPH33" s="2511"/>
      <c r="CPI33" s="2511"/>
      <c r="CPJ33" s="2511"/>
      <c r="CPK33" s="2511"/>
      <c r="CPL33" s="2511"/>
      <c r="CPM33" s="2511"/>
      <c r="CPN33" s="2511"/>
      <c r="CPO33" s="2511"/>
      <c r="CPP33" s="2511"/>
      <c r="CPQ33" s="2511"/>
      <c r="CPR33" s="2511"/>
      <c r="CPS33" s="2511"/>
      <c r="CPT33" s="2511"/>
      <c r="CPU33" s="2511"/>
      <c r="CPV33" s="2511"/>
      <c r="CPW33" s="2511"/>
      <c r="CPX33" s="2511"/>
      <c r="CPY33" s="2511"/>
      <c r="CPZ33" s="2511"/>
      <c r="CQA33" s="2511"/>
      <c r="CQB33" s="2511"/>
      <c r="CQC33" s="2511"/>
      <c r="CQD33" s="2511"/>
      <c r="CQE33" s="2511"/>
      <c r="CQF33" s="2511"/>
      <c r="CQG33" s="2511"/>
      <c r="CQH33" s="2511"/>
      <c r="CQI33" s="2511"/>
      <c r="CQJ33" s="2511"/>
      <c r="CQK33" s="2511"/>
      <c r="CQL33" s="2511"/>
      <c r="CQM33" s="2511"/>
      <c r="CQN33" s="2511"/>
      <c r="CQO33" s="2511"/>
      <c r="CQP33" s="2511"/>
      <c r="CQQ33" s="2511"/>
      <c r="CQR33" s="2511"/>
      <c r="CQS33" s="2511"/>
      <c r="CQT33" s="2511"/>
      <c r="CQU33" s="2511"/>
      <c r="CQV33" s="2511"/>
      <c r="CQW33" s="2511"/>
      <c r="CQX33" s="2511"/>
      <c r="CQY33" s="2511"/>
      <c r="CQZ33" s="2511"/>
      <c r="CRA33" s="2511"/>
      <c r="CRB33" s="2511"/>
      <c r="CRC33" s="2511"/>
      <c r="CRD33" s="2511"/>
      <c r="CRE33" s="2511"/>
      <c r="CRF33" s="2511"/>
      <c r="CRG33" s="2511"/>
      <c r="CRH33" s="2511"/>
      <c r="CRI33" s="2511"/>
      <c r="CRJ33" s="2511"/>
      <c r="CRK33" s="2511"/>
      <c r="CRL33" s="2511"/>
      <c r="CRM33" s="2511"/>
      <c r="CRN33" s="2511"/>
      <c r="CRO33" s="2511"/>
      <c r="CRP33" s="2511"/>
      <c r="CRQ33" s="2511"/>
      <c r="CRR33" s="2511"/>
      <c r="CRS33" s="2511"/>
      <c r="CRT33" s="2511"/>
      <c r="CRU33" s="2511"/>
      <c r="CRV33" s="2511"/>
      <c r="CRW33" s="2511"/>
      <c r="CRX33" s="2511"/>
      <c r="CRY33" s="2511"/>
      <c r="CRZ33" s="2511"/>
      <c r="CSA33" s="2511"/>
      <c r="CSB33" s="2511"/>
      <c r="CSC33" s="2511"/>
      <c r="CSD33" s="2511"/>
      <c r="CSE33" s="2511"/>
      <c r="CSF33" s="2511"/>
      <c r="CSG33" s="2511"/>
      <c r="CSH33" s="2511"/>
      <c r="CSI33" s="2511"/>
      <c r="CSJ33" s="2511"/>
      <c r="CSK33" s="2511"/>
      <c r="CSL33" s="2511"/>
      <c r="CSM33" s="2511"/>
      <c r="CSN33" s="2511"/>
      <c r="CSO33" s="2511"/>
      <c r="CSP33" s="2511"/>
      <c r="CSQ33" s="2511"/>
      <c r="CSR33" s="2511"/>
      <c r="CSS33" s="2511"/>
      <c r="CST33" s="2511"/>
      <c r="CSU33" s="2511"/>
      <c r="CSV33" s="2511"/>
      <c r="CSW33" s="2511"/>
      <c r="CSX33" s="2511"/>
      <c r="CSY33" s="2511"/>
      <c r="CSZ33" s="2511"/>
      <c r="CTA33" s="2511"/>
      <c r="CTB33" s="2511"/>
      <c r="CTC33" s="2511"/>
      <c r="CTD33" s="2511"/>
      <c r="CTE33" s="2511"/>
      <c r="CTF33" s="2511"/>
      <c r="CTG33" s="2511"/>
      <c r="CTH33" s="2511"/>
      <c r="CTI33" s="2511"/>
      <c r="CTJ33" s="2511"/>
      <c r="CTK33" s="2511"/>
      <c r="CTL33" s="2511"/>
      <c r="CTM33" s="2511"/>
      <c r="CTN33" s="2511"/>
      <c r="CTO33" s="2511"/>
      <c r="CTP33" s="2511"/>
      <c r="CTQ33" s="2511"/>
      <c r="CTR33" s="2511"/>
      <c r="CTS33" s="2511"/>
      <c r="CTT33" s="2511"/>
      <c r="CTU33" s="2511"/>
      <c r="CTV33" s="2511"/>
      <c r="CTW33" s="2511"/>
      <c r="CTX33" s="2511"/>
      <c r="CTY33" s="2511"/>
      <c r="CTZ33" s="2511"/>
      <c r="CUA33" s="2511"/>
      <c r="CUB33" s="2511"/>
      <c r="CUC33" s="2511"/>
      <c r="CUD33" s="2511"/>
      <c r="CUE33" s="2511"/>
      <c r="CUF33" s="2511"/>
      <c r="CUG33" s="2511"/>
      <c r="CUH33" s="2511"/>
      <c r="CUI33" s="2511"/>
      <c r="CUJ33" s="2511"/>
      <c r="CUK33" s="2511"/>
      <c r="CUL33" s="2511"/>
      <c r="CUM33" s="2511"/>
      <c r="CUN33" s="2511"/>
      <c r="CUO33" s="2511"/>
      <c r="CUP33" s="2511"/>
      <c r="CUQ33" s="2511"/>
      <c r="CUR33" s="2511"/>
      <c r="CUS33" s="2511"/>
      <c r="CUT33" s="2511"/>
      <c r="CUU33" s="2511"/>
      <c r="CUV33" s="2511"/>
      <c r="CUW33" s="2511"/>
      <c r="CUX33" s="2511"/>
      <c r="CUY33" s="2511"/>
      <c r="CUZ33" s="2511"/>
      <c r="CVA33" s="2511"/>
      <c r="CVB33" s="2511"/>
      <c r="CVC33" s="2511"/>
      <c r="CVD33" s="2511"/>
      <c r="CVE33" s="2511"/>
      <c r="CVF33" s="2511"/>
      <c r="CVG33" s="2511"/>
      <c r="CVH33" s="2511"/>
      <c r="CVI33" s="2511"/>
      <c r="CVJ33" s="2511"/>
      <c r="CVK33" s="2511"/>
      <c r="CVL33" s="2511"/>
      <c r="CVM33" s="2511"/>
      <c r="CVN33" s="2511"/>
      <c r="CVO33" s="2511"/>
      <c r="CVP33" s="2511"/>
      <c r="CVQ33" s="2511"/>
      <c r="CVR33" s="2511"/>
      <c r="CVS33" s="2511"/>
      <c r="CVT33" s="2511"/>
      <c r="CVU33" s="2511"/>
      <c r="CVV33" s="2511"/>
      <c r="CVW33" s="2511"/>
      <c r="CVX33" s="2511"/>
      <c r="CVY33" s="2511"/>
      <c r="CVZ33" s="2511"/>
      <c r="CWA33" s="2511"/>
      <c r="CWB33" s="2511"/>
      <c r="CWC33" s="2511"/>
      <c r="CWD33" s="2511"/>
      <c r="CWE33" s="2511"/>
      <c r="CWF33" s="2511"/>
      <c r="CWG33" s="2511"/>
      <c r="CWH33" s="2511"/>
      <c r="CWI33" s="2511"/>
      <c r="CWJ33" s="2511"/>
      <c r="CWK33" s="2511"/>
      <c r="CWL33" s="2511"/>
      <c r="CWM33" s="2511"/>
      <c r="CWN33" s="2511"/>
      <c r="CWO33" s="2511"/>
      <c r="CWP33" s="2511"/>
      <c r="CWQ33" s="2511"/>
      <c r="CWR33" s="2511"/>
      <c r="CWS33" s="2511"/>
      <c r="CWT33" s="2511"/>
      <c r="CWU33" s="2511"/>
      <c r="CWV33" s="2511"/>
      <c r="CWW33" s="2511"/>
      <c r="CWX33" s="2511"/>
      <c r="CWY33" s="2511"/>
      <c r="CWZ33" s="2511"/>
      <c r="CXA33" s="2511"/>
      <c r="CXB33" s="2511"/>
      <c r="CXC33" s="2511"/>
      <c r="CXD33" s="2511"/>
      <c r="CXE33" s="2511"/>
      <c r="CXF33" s="2511"/>
      <c r="CXG33" s="2511"/>
      <c r="CXH33" s="2511"/>
      <c r="CXI33" s="2511"/>
      <c r="CXJ33" s="2511"/>
      <c r="CXK33" s="2511"/>
      <c r="CXL33" s="2511"/>
      <c r="CXM33" s="2511"/>
      <c r="CXN33" s="2511"/>
      <c r="CXO33" s="2511"/>
      <c r="CXP33" s="2511"/>
      <c r="CXQ33" s="2511"/>
      <c r="CXR33" s="2511"/>
      <c r="CXS33" s="2511"/>
      <c r="CXT33" s="2511"/>
      <c r="CXU33" s="2511"/>
      <c r="CXV33" s="2511"/>
      <c r="CXW33" s="2511"/>
      <c r="CXX33" s="2511"/>
      <c r="CXY33" s="2511"/>
      <c r="CXZ33" s="2511"/>
      <c r="CYA33" s="2511"/>
      <c r="CYB33" s="2511"/>
      <c r="CYC33" s="2511"/>
      <c r="CYD33" s="2511"/>
      <c r="CYE33" s="2511"/>
      <c r="CYF33" s="2511"/>
      <c r="CYG33" s="2511"/>
      <c r="CYH33" s="2511"/>
      <c r="CYI33" s="2511"/>
      <c r="CYJ33" s="2511"/>
      <c r="CYK33" s="2511"/>
      <c r="CYL33" s="2511"/>
      <c r="CYM33" s="2511"/>
      <c r="CYN33" s="2511"/>
      <c r="CYO33" s="2511"/>
      <c r="CYP33" s="2511"/>
      <c r="CYQ33" s="2511"/>
      <c r="CYR33" s="2511"/>
      <c r="CYS33" s="2511"/>
      <c r="CYT33" s="2511"/>
      <c r="CYU33" s="2511"/>
      <c r="CYV33" s="2511"/>
      <c r="CYW33" s="2511"/>
      <c r="CYX33" s="2511"/>
      <c r="CYY33" s="2511"/>
      <c r="CYZ33" s="2511"/>
      <c r="CZA33" s="2511"/>
      <c r="CZB33" s="2511"/>
      <c r="CZC33" s="2511"/>
      <c r="CZD33" s="2511"/>
      <c r="CZE33" s="2511"/>
      <c r="CZF33" s="2511"/>
      <c r="CZG33" s="2511"/>
      <c r="CZH33" s="2511"/>
      <c r="CZI33" s="2511"/>
      <c r="CZJ33" s="2511"/>
      <c r="CZK33" s="2511"/>
      <c r="CZL33" s="2511"/>
      <c r="CZM33" s="2511"/>
      <c r="CZN33" s="2511"/>
      <c r="CZO33" s="2511"/>
      <c r="CZP33" s="2511"/>
      <c r="CZQ33" s="2511"/>
      <c r="CZR33" s="2511"/>
      <c r="CZS33" s="2511"/>
      <c r="CZT33" s="2511"/>
      <c r="CZU33" s="2511"/>
      <c r="CZV33" s="2511"/>
      <c r="CZW33" s="2511"/>
      <c r="CZX33" s="2511"/>
      <c r="CZY33" s="2511"/>
      <c r="CZZ33" s="2511"/>
      <c r="DAA33" s="2511"/>
      <c r="DAB33" s="2511"/>
      <c r="DAC33" s="2511"/>
      <c r="DAD33" s="2511"/>
      <c r="DAE33" s="2511"/>
      <c r="DAF33" s="2511"/>
      <c r="DAG33" s="2511"/>
      <c r="DAH33" s="2511"/>
      <c r="DAI33" s="2511"/>
      <c r="DAJ33" s="2511"/>
      <c r="DAK33" s="2511"/>
      <c r="DAL33" s="2511"/>
      <c r="DAM33" s="2511"/>
      <c r="DAN33" s="2511"/>
      <c r="DAO33" s="2511"/>
      <c r="DAP33" s="2511"/>
      <c r="DAQ33" s="2511"/>
      <c r="DAR33" s="2511"/>
      <c r="DAS33" s="2511"/>
      <c r="DAT33" s="2511"/>
      <c r="DAU33" s="2511"/>
      <c r="DAV33" s="2511"/>
      <c r="DAW33" s="2511"/>
      <c r="DAX33" s="2511"/>
      <c r="DAY33" s="2511"/>
      <c r="DAZ33" s="2511"/>
      <c r="DBA33" s="2511"/>
      <c r="DBB33" s="2511"/>
      <c r="DBC33" s="2511"/>
      <c r="DBD33" s="2511"/>
      <c r="DBE33" s="2511"/>
      <c r="DBF33" s="2511"/>
      <c r="DBG33" s="2511"/>
      <c r="DBH33" s="2511"/>
      <c r="DBI33" s="2511"/>
      <c r="DBJ33" s="2511"/>
      <c r="DBK33" s="2511"/>
      <c r="DBL33" s="2511"/>
      <c r="DBM33" s="2511"/>
      <c r="DBN33" s="2511"/>
      <c r="DBO33" s="2511"/>
      <c r="DBP33" s="2511"/>
      <c r="DBQ33" s="2511"/>
      <c r="DBR33" s="2511"/>
      <c r="DBS33" s="2511"/>
      <c r="DBT33" s="2511"/>
      <c r="DBU33" s="2511"/>
      <c r="DBV33" s="2511"/>
      <c r="DBW33" s="2511"/>
      <c r="DBX33" s="2511"/>
      <c r="DBY33" s="2511"/>
      <c r="DBZ33" s="2511"/>
      <c r="DCA33" s="2511"/>
      <c r="DCB33" s="2511"/>
      <c r="DCC33" s="2511"/>
      <c r="DCD33" s="2511"/>
      <c r="DCE33" s="2511"/>
      <c r="DCF33" s="2511"/>
      <c r="DCG33" s="2511"/>
      <c r="DCH33" s="2511"/>
      <c r="DCI33" s="2511"/>
      <c r="DCJ33" s="2511"/>
      <c r="DCK33" s="2511"/>
      <c r="DCL33" s="2511"/>
      <c r="DCM33" s="2511"/>
      <c r="DCN33" s="2511"/>
      <c r="DCO33" s="2511"/>
      <c r="DCP33" s="2511"/>
      <c r="DCQ33" s="2511"/>
      <c r="DCR33" s="2511"/>
      <c r="DCS33" s="2511"/>
      <c r="DCT33" s="2511"/>
      <c r="DCU33" s="2511"/>
      <c r="DCV33" s="2511"/>
      <c r="DCW33" s="2511"/>
      <c r="DCX33" s="2511"/>
      <c r="DCY33" s="2511"/>
      <c r="DCZ33" s="2511"/>
      <c r="DDA33" s="2511"/>
      <c r="DDB33" s="2511"/>
      <c r="DDC33" s="2511"/>
      <c r="DDD33" s="2511"/>
      <c r="DDE33" s="2511"/>
      <c r="DDF33" s="2511"/>
      <c r="DDG33" s="2511"/>
      <c r="DDH33" s="2511"/>
      <c r="DDI33" s="2511"/>
      <c r="DDJ33" s="2511"/>
      <c r="DDK33" s="2511"/>
      <c r="DDL33" s="2511"/>
      <c r="DDM33" s="2511"/>
      <c r="DDN33" s="2511"/>
      <c r="DDO33" s="2511"/>
      <c r="DDP33" s="2511"/>
      <c r="DDQ33" s="2511"/>
      <c r="DDR33" s="2511"/>
      <c r="DDS33" s="2511"/>
      <c r="DDT33" s="2511"/>
      <c r="DDU33" s="2511"/>
      <c r="DDV33" s="2511"/>
      <c r="DDW33" s="2511"/>
      <c r="DDX33" s="2511"/>
      <c r="DDY33" s="2511"/>
      <c r="DDZ33" s="2511"/>
      <c r="DEA33" s="2511"/>
      <c r="DEB33" s="2511"/>
      <c r="DEC33" s="2511"/>
      <c r="DED33" s="2511"/>
      <c r="DEE33" s="2511"/>
      <c r="DEF33" s="2511"/>
      <c r="DEG33" s="2511"/>
      <c r="DEH33" s="2511"/>
      <c r="DEI33" s="2511"/>
      <c r="DEJ33" s="2511"/>
      <c r="DEK33" s="2511"/>
      <c r="DEL33" s="2511"/>
      <c r="DEM33" s="2511"/>
      <c r="DEN33" s="2511"/>
      <c r="DEO33" s="2511"/>
      <c r="DEP33" s="2511"/>
      <c r="DEQ33" s="2511"/>
      <c r="DER33" s="2511"/>
      <c r="DES33" s="2511"/>
      <c r="DET33" s="2511"/>
      <c r="DEU33" s="2511"/>
      <c r="DEV33" s="2511"/>
      <c r="DEW33" s="2511"/>
      <c r="DEX33" s="2511"/>
      <c r="DEY33" s="2511"/>
      <c r="DEZ33" s="2511"/>
      <c r="DFA33" s="2511"/>
      <c r="DFB33" s="2511"/>
      <c r="DFC33" s="2511"/>
      <c r="DFD33" s="2511"/>
      <c r="DFE33" s="2511"/>
      <c r="DFF33" s="2511"/>
      <c r="DFG33" s="2511"/>
      <c r="DFH33" s="2511"/>
      <c r="DFI33" s="2511"/>
      <c r="DFJ33" s="2511"/>
      <c r="DFK33" s="2511"/>
      <c r="DFL33" s="2511"/>
      <c r="DFM33" s="2511"/>
      <c r="DFN33" s="2511"/>
      <c r="DFO33" s="2511"/>
      <c r="DFP33" s="2511"/>
      <c r="DFQ33" s="2511"/>
      <c r="DFR33" s="2511"/>
      <c r="DFS33" s="2511"/>
      <c r="DFT33" s="2511"/>
      <c r="DFU33" s="2511"/>
      <c r="DFV33" s="2511"/>
      <c r="DFW33" s="2511"/>
      <c r="DFX33" s="2511"/>
      <c r="DFY33" s="2511"/>
      <c r="DFZ33" s="2511"/>
      <c r="DGA33" s="2511"/>
      <c r="DGB33" s="2511"/>
      <c r="DGC33" s="2511"/>
      <c r="DGD33" s="2511"/>
      <c r="DGE33" s="2511"/>
      <c r="DGF33" s="2511"/>
      <c r="DGG33" s="2511"/>
      <c r="DGH33" s="2511"/>
      <c r="DGI33" s="2511"/>
      <c r="DGJ33" s="2511"/>
      <c r="DGK33" s="2511"/>
      <c r="DGL33" s="2511"/>
      <c r="DGM33" s="2511"/>
      <c r="DGN33" s="2511"/>
      <c r="DGO33" s="2511"/>
      <c r="DGP33" s="2511"/>
      <c r="DGQ33" s="2511"/>
      <c r="DGR33" s="2511"/>
      <c r="DGS33" s="2511"/>
      <c r="DGT33" s="2511"/>
      <c r="DGU33" s="2511"/>
      <c r="DGV33" s="2511"/>
      <c r="DGW33" s="2511"/>
      <c r="DGX33" s="2511"/>
      <c r="DGY33" s="2511"/>
      <c r="DGZ33" s="2511"/>
      <c r="DHA33" s="2511"/>
      <c r="DHB33" s="2511"/>
      <c r="DHC33" s="2511"/>
      <c r="DHD33" s="2511"/>
      <c r="DHE33" s="2511"/>
      <c r="DHF33" s="2511"/>
      <c r="DHG33" s="2511"/>
      <c r="DHH33" s="2511"/>
      <c r="DHI33" s="2511"/>
      <c r="DHJ33" s="2511"/>
      <c r="DHK33" s="2511"/>
      <c r="DHL33" s="2511"/>
      <c r="DHM33" s="2511"/>
      <c r="DHN33" s="2511"/>
      <c r="DHO33" s="2511"/>
      <c r="DHP33" s="2511"/>
      <c r="DHQ33" s="2511"/>
      <c r="DHR33" s="2511"/>
      <c r="DHS33" s="2511"/>
      <c r="DHT33" s="2511"/>
      <c r="DHU33" s="2511"/>
      <c r="DHV33" s="2511"/>
      <c r="DHW33" s="2511"/>
      <c r="DHX33" s="2511"/>
      <c r="DHY33" s="2511"/>
      <c r="DHZ33" s="2511"/>
      <c r="DIA33" s="2511"/>
      <c r="DIB33" s="2511"/>
      <c r="DIC33" s="2511"/>
      <c r="DID33" s="2511"/>
      <c r="DIE33" s="2511"/>
      <c r="DIF33" s="2511"/>
      <c r="DIG33" s="2511"/>
      <c r="DIH33" s="2511"/>
      <c r="DII33" s="2511"/>
      <c r="DIJ33" s="2511"/>
      <c r="DIK33" s="2511"/>
      <c r="DIL33" s="2511"/>
      <c r="DIM33" s="2511"/>
      <c r="DIN33" s="2511"/>
      <c r="DIO33" s="2511"/>
      <c r="DIP33" s="2511"/>
      <c r="DIQ33" s="2511"/>
      <c r="DIR33" s="2511"/>
      <c r="DIS33" s="2511"/>
      <c r="DIT33" s="2511"/>
      <c r="DIU33" s="2511"/>
      <c r="DIV33" s="2511"/>
      <c r="DIW33" s="2511"/>
      <c r="DIX33" s="2511"/>
      <c r="DIY33" s="2511"/>
      <c r="DIZ33" s="2511"/>
      <c r="DJA33" s="2511"/>
      <c r="DJB33" s="2511"/>
      <c r="DJC33" s="2511"/>
      <c r="DJD33" s="2511"/>
      <c r="DJE33" s="2511"/>
      <c r="DJF33" s="2511"/>
      <c r="DJG33" s="2511"/>
      <c r="DJH33" s="2511"/>
      <c r="DJI33" s="2511"/>
      <c r="DJJ33" s="2511"/>
      <c r="DJK33" s="2511"/>
      <c r="DJL33" s="2511"/>
      <c r="DJM33" s="2511"/>
      <c r="DJN33" s="2511"/>
      <c r="DJO33" s="2511"/>
      <c r="DJP33" s="2511"/>
      <c r="DJQ33" s="2511"/>
      <c r="DJR33" s="2511"/>
      <c r="DJS33" s="2511"/>
      <c r="DJT33" s="2511"/>
      <c r="DJU33" s="2511"/>
      <c r="DJV33" s="2511"/>
      <c r="DJW33" s="2511"/>
      <c r="DJX33" s="2511"/>
      <c r="DJY33" s="2511"/>
      <c r="DJZ33" s="2511"/>
      <c r="DKA33" s="2511"/>
      <c r="DKB33" s="2511"/>
      <c r="DKC33" s="2511"/>
      <c r="DKD33" s="2511"/>
      <c r="DKE33" s="2511"/>
      <c r="DKF33" s="2511"/>
      <c r="DKG33" s="2511"/>
      <c r="DKH33" s="2511"/>
      <c r="DKI33" s="2511"/>
      <c r="DKJ33" s="2511"/>
      <c r="DKK33" s="2511"/>
      <c r="DKL33" s="2511"/>
      <c r="DKM33" s="2511"/>
      <c r="DKN33" s="2511"/>
      <c r="DKO33" s="2511"/>
      <c r="DKP33" s="2511"/>
      <c r="DKQ33" s="2511"/>
      <c r="DKR33" s="2511"/>
      <c r="DKS33" s="2511"/>
      <c r="DKT33" s="2511"/>
      <c r="DKU33" s="2511"/>
      <c r="DKV33" s="2511"/>
      <c r="DKW33" s="2511"/>
      <c r="DKX33" s="2511"/>
      <c r="DKY33" s="2511"/>
      <c r="DKZ33" s="2511"/>
      <c r="DLA33" s="2511"/>
      <c r="DLB33" s="2511"/>
      <c r="DLC33" s="2511"/>
      <c r="DLD33" s="2511"/>
      <c r="DLE33" s="2511"/>
      <c r="DLF33" s="2511"/>
      <c r="DLG33" s="2511"/>
      <c r="DLH33" s="2511"/>
      <c r="DLI33" s="2511"/>
      <c r="DLJ33" s="2511"/>
      <c r="DLK33" s="2511"/>
      <c r="DLL33" s="2511"/>
      <c r="DLM33" s="2511"/>
      <c r="DLN33" s="2511"/>
      <c r="DLO33" s="2511"/>
      <c r="DLP33" s="2511"/>
      <c r="DLQ33" s="2511"/>
      <c r="DLR33" s="2511"/>
      <c r="DLS33" s="2511"/>
      <c r="DLT33" s="2511"/>
      <c r="DLU33" s="2511"/>
      <c r="DLV33" s="2511"/>
      <c r="DLW33" s="2511"/>
      <c r="DLX33" s="2511"/>
      <c r="DLY33" s="2511"/>
      <c r="DLZ33" s="2511"/>
      <c r="DMA33" s="2511"/>
      <c r="DMB33" s="2511"/>
      <c r="DMC33" s="2511"/>
      <c r="DMD33" s="2511"/>
      <c r="DME33" s="2511"/>
      <c r="DMF33" s="2511"/>
      <c r="DMG33" s="2511"/>
      <c r="DMH33" s="2511"/>
      <c r="DMI33" s="2511"/>
      <c r="DMJ33" s="2511"/>
      <c r="DMK33" s="2511"/>
      <c r="DML33" s="2511"/>
      <c r="DMM33" s="2511"/>
      <c r="DMN33" s="2511"/>
      <c r="DMO33" s="2511"/>
      <c r="DMP33" s="2511"/>
      <c r="DMQ33" s="2511"/>
      <c r="DMR33" s="2511"/>
      <c r="DMS33" s="2511"/>
      <c r="DMT33" s="2511"/>
      <c r="DMU33" s="2511"/>
      <c r="DMV33" s="2511"/>
      <c r="DMW33" s="2511"/>
      <c r="DMX33" s="2511"/>
      <c r="DMY33" s="2511"/>
      <c r="DMZ33" s="2511"/>
      <c r="DNA33" s="2511"/>
      <c r="DNB33" s="2511"/>
      <c r="DNC33" s="2511"/>
      <c r="DND33" s="2511"/>
      <c r="DNE33" s="2511"/>
      <c r="DNF33" s="2511"/>
      <c r="DNG33" s="2511"/>
      <c r="DNH33" s="2511"/>
      <c r="DNI33" s="2511"/>
      <c r="DNJ33" s="2511"/>
      <c r="DNK33" s="2511"/>
      <c r="DNL33" s="2511"/>
      <c r="DNM33" s="2511"/>
      <c r="DNN33" s="2511"/>
      <c r="DNO33" s="2511"/>
      <c r="DNP33" s="2511"/>
      <c r="DNQ33" s="2511"/>
      <c r="DNR33" s="2511"/>
      <c r="DNS33" s="2511"/>
      <c r="DNT33" s="2511"/>
      <c r="DNU33" s="2511"/>
      <c r="DNV33" s="2511"/>
      <c r="DNW33" s="2511"/>
      <c r="DNX33" s="2511"/>
      <c r="DNY33" s="2511"/>
      <c r="DNZ33" s="2511"/>
      <c r="DOA33" s="2511"/>
      <c r="DOB33" s="2511"/>
      <c r="DOC33" s="2511"/>
      <c r="DOD33" s="2511"/>
      <c r="DOE33" s="2511"/>
      <c r="DOF33" s="2511"/>
      <c r="DOG33" s="2511"/>
      <c r="DOH33" s="2511"/>
      <c r="DOI33" s="2511"/>
      <c r="DOJ33" s="2511"/>
      <c r="DOK33" s="2511"/>
      <c r="DOL33" s="2511"/>
      <c r="DOM33" s="2511"/>
      <c r="DON33" s="2511"/>
      <c r="DOO33" s="2511"/>
      <c r="DOP33" s="2511"/>
      <c r="DOQ33" s="2511"/>
      <c r="DOR33" s="2511"/>
      <c r="DOS33" s="2511"/>
      <c r="DOT33" s="2511"/>
      <c r="DOU33" s="2511"/>
      <c r="DOV33" s="2511"/>
      <c r="DOW33" s="2511"/>
      <c r="DOX33" s="2511"/>
      <c r="DOY33" s="2511"/>
      <c r="DOZ33" s="2511"/>
      <c r="DPA33" s="2511"/>
      <c r="DPB33" s="2511"/>
      <c r="DPC33" s="2511"/>
      <c r="DPD33" s="2511"/>
      <c r="DPE33" s="2511"/>
      <c r="DPF33" s="2511"/>
      <c r="DPG33" s="2511"/>
      <c r="DPH33" s="2511"/>
      <c r="DPI33" s="2511"/>
      <c r="DPJ33" s="2511"/>
      <c r="DPK33" s="2511"/>
      <c r="DPL33" s="2511"/>
      <c r="DPM33" s="2511"/>
      <c r="DPN33" s="2511"/>
      <c r="DPO33" s="2511"/>
      <c r="DPP33" s="2511"/>
      <c r="DPQ33" s="2511"/>
      <c r="DPR33" s="2511"/>
      <c r="DPS33" s="2511"/>
      <c r="DPT33" s="2511"/>
      <c r="DPU33" s="2511"/>
      <c r="DPV33" s="2511"/>
      <c r="DPW33" s="2511"/>
      <c r="DPX33" s="2511"/>
      <c r="DPY33" s="2511"/>
      <c r="DPZ33" s="2511"/>
      <c r="DQA33" s="2511"/>
      <c r="DQB33" s="2511"/>
      <c r="DQC33" s="2511"/>
      <c r="DQD33" s="2511"/>
      <c r="DQE33" s="2511"/>
      <c r="DQF33" s="2511"/>
      <c r="DQG33" s="2511"/>
      <c r="DQH33" s="2511"/>
      <c r="DQI33" s="2511"/>
      <c r="DQJ33" s="2511"/>
      <c r="DQK33" s="2511"/>
      <c r="DQL33" s="2511"/>
      <c r="DQM33" s="2511"/>
      <c r="DQN33" s="2511"/>
      <c r="DQO33" s="2511"/>
      <c r="DQP33" s="2511"/>
      <c r="DQQ33" s="2511"/>
      <c r="DQR33" s="2511"/>
      <c r="DQS33" s="2511"/>
      <c r="DQT33" s="2511"/>
      <c r="DQU33" s="2511"/>
      <c r="DQV33" s="2511"/>
      <c r="DQW33" s="2511"/>
      <c r="DQX33" s="2511"/>
      <c r="DQY33" s="2511"/>
      <c r="DQZ33" s="2511"/>
      <c r="DRA33" s="2511"/>
      <c r="DRB33" s="2511"/>
      <c r="DRC33" s="2511"/>
      <c r="DRD33" s="2511"/>
      <c r="DRE33" s="2511"/>
      <c r="DRF33" s="2511"/>
      <c r="DRG33" s="2511"/>
      <c r="DRH33" s="2511"/>
      <c r="DRI33" s="2511"/>
      <c r="DRJ33" s="2511"/>
      <c r="DRK33" s="2511"/>
      <c r="DRL33" s="2511"/>
      <c r="DRM33" s="2511"/>
      <c r="DRN33" s="2511"/>
      <c r="DRO33" s="2511"/>
      <c r="DRP33" s="2511"/>
      <c r="DRQ33" s="2511"/>
      <c r="DRR33" s="2511"/>
      <c r="DRS33" s="2511"/>
      <c r="DRT33" s="2511"/>
      <c r="DRU33" s="2511"/>
      <c r="DRV33" s="2511"/>
      <c r="DRW33" s="2511"/>
      <c r="DRX33" s="2511"/>
      <c r="DRY33" s="2511"/>
      <c r="DRZ33" s="2511"/>
      <c r="DSA33" s="2511"/>
      <c r="DSB33" s="2511"/>
      <c r="DSC33" s="2511"/>
      <c r="DSD33" s="2511"/>
      <c r="DSE33" s="2511"/>
      <c r="DSF33" s="2511"/>
      <c r="DSG33" s="2511"/>
      <c r="DSH33" s="2511"/>
      <c r="DSI33" s="2511"/>
      <c r="DSJ33" s="2511"/>
      <c r="DSK33" s="2511"/>
      <c r="DSL33" s="2511"/>
      <c r="DSM33" s="2511"/>
      <c r="DSN33" s="2511"/>
      <c r="DSO33" s="2511"/>
      <c r="DSP33" s="2511"/>
      <c r="DSQ33" s="2511"/>
      <c r="DSR33" s="2511"/>
      <c r="DSS33" s="2511"/>
      <c r="DST33" s="2511"/>
      <c r="DSU33" s="2511"/>
      <c r="DSV33" s="2511"/>
      <c r="DSW33" s="2511"/>
      <c r="DSX33" s="2511"/>
      <c r="DSY33" s="2511"/>
      <c r="DSZ33" s="2511"/>
      <c r="DTA33" s="2511"/>
      <c r="DTB33" s="2511"/>
      <c r="DTC33" s="2511"/>
      <c r="DTD33" s="2511"/>
      <c r="DTE33" s="2511"/>
      <c r="DTF33" s="2511"/>
      <c r="DTG33" s="2511"/>
      <c r="DTH33" s="2511"/>
      <c r="DTI33" s="2511"/>
      <c r="DTJ33" s="2511"/>
      <c r="DTK33" s="2511"/>
      <c r="DTL33" s="2511"/>
      <c r="DTM33" s="2511"/>
      <c r="DTN33" s="2511"/>
      <c r="DTO33" s="2511"/>
      <c r="DTP33" s="2511"/>
      <c r="DTQ33" s="2511"/>
      <c r="DTR33" s="2511"/>
      <c r="DTS33" s="2511"/>
      <c r="DTT33" s="2511"/>
      <c r="DTU33" s="2511"/>
      <c r="DTV33" s="2511"/>
      <c r="DTW33" s="2511"/>
      <c r="DTX33" s="2511"/>
      <c r="DTY33" s="2511"/>
      <c r="DTZ33" s="2511"/>
      <c r="DUA33" s="2511"/>
      <c r="DUB33" s="2511"/>
      <c r="DUC33" s="2511"/>
      <c r="DUD33" s="2511"/>
      <c r="DUE33" s="2511"/>
      <c r="DUF33" s="2511"/>
      <c r="DUG33" s="2511"/>
      <c r="DUH33" s="2511"/>
      <c r="DUI33" s="2511"/>
      <c r="DUJ33" s="2511"/>
      <c r="DUK33" s="2511"/>
      <c r="DUL33" s="2511"/>
      <c r="DUM33" s="2511"/>
      <c r="DUN33" s="2511"/>
      <c r="DUO33" s="2511"/>
      <c r="DUP33" s="2511"/>
      <c r="DUQ33" s="2511"/>
      <c r="DUR33" s="2511"/>
      <c r="DUS33" s="2511"/>
      <c r="DUT33" s="2511"/>
      <c r="DUU33" s="2511"/>
      <c r="DUV33" s="2511"/>
      <c r="DUW33" s="2511"/>
      <c r="DUX33" s="2511"/>
      <c r="DUY33" s="2511"/>
      <c r="DUZ33" s="2511"/>
      <c r="DVA33" s="2511"/>
      <c r="DVB33" s="2511"/>
      <c r="DVC33" s="2511"/>
      <c r="DVD33" s="2511"/>
      <c r="DVE33" s="2511"/>
      <c r="DVF33" s="2511"/>
      <c r="DVG33" s="2511"/>
      <c r="DVH33" s="2511"/>
      <c r="DVI33" s="2511"/>
      <c r="DVJ33" s="2511"/>
      <c r="DVK33" s="2511"/>
      <c r="DVL33" s="2511"/>
      <c r="DVM33" s="2511"/>
      <c r="DVN33" s="2511"/>
      <c r="DVO33" s="2511"/>
      <c r="DVP33" s="2511"/>
      <c r="DVQ33" s="2511"/>
      <c r="DVR33" s="2511"/>
      <c r="DVS33" s="2511"/>
      <c r="DVT33" s="2511"/>
      <c r="DVU33" s="2511"/>
      <c r="DVV33" s="2511"/>
      <c r="DVW33" s="2511"/>
      <c r="DVX33" s="2511"/>
      <c r="DVY33" s="2511"/>
      <c r="DVZ33" s="2511"/>
      <c r="DWA33" s="2511"/>
      <c r="DWB33" s="2511"/>
      <c r="DWC33" s="2511"/>
      <c r="DWD33" s="2511"/>
      <c r="DWE33" s="2511"/>
      <c r="DWF33" s="2511"/>
      <c r="DWG33" s="2511"/>
      <c r="DWH33" s="2511"/>
      <c r="DWI33" s="2511"/>
      <c r="DWJ33" s="2511"/>
      <c r="DWK33" s="2511"/>
      <c r="DWL33" s="2511"/>
      <c r="DWM33" s="2511"/>
      <c r="DWN33" s="2511"/>
      <c r="DWO33" s="2511"/>
      <c r="DWP33" s="2511"/>
      <c r="DWQ33" s="2511"/>
      <c r="DWR33" s="2511"/>
      <c r="DWS33" s="2511"/>
      <c r="DWT33" s="2511"/>
      <c r="DWU33" s="2511"/>
      <c r="DWV33" s="2511"/>
      <c r="DWW33" s="2511"/>
      <c r="DWX33" s="2511"/>
      <c r="DWY33" s="2511"/>
      <c r="DWZ33" s="2511"/>
      <c r="DXA33" s="2511"/>
      <c r="DXB33" s="2511"/>
      <c r="DXC33" s="2511"/>
      <c r="DXD33" s="2511"/>
      <c r="DXE33" s="2511"/>
      <c r="DXF33" s="2511"/>
      <c r="DXG33" s="2511"/>
      <c r="DXH33" s="2511"/>
      <c r="DXI33" s="2511"/>
      <c r="DXJ33" s="2511"/>
      <c r="DXK33" s="2511"/>
      <c r="DXL33" s="2511"/>
      <c r="DXM33" s="2511"/>
      <c r="DXN33" s="2511"/>
      <c r="DXO33" s="2511"/>
      <c r="DXP33" s="2511"/>
      <c r="DXQ33" s="2511"/>
      <c r="DXR33" s="2511"/>
      <c r="DXS33" s="2511"/>
      <c r="DXT33" s="2511"/>
      <c r="DXU33" s="2511"/>
      <c r="DXV33" s="2511"/>
      <c r="DXW33" s="2511"/>
      <c r="DXX33" s="2511"/>
      <c r="DXY33" s="2511"/>
      <c r="DXZ33" s="2511"/>
      <c r="DYA33" s="2511"/>
      <c r="DYB33" s="2511"/>
      <c r="DYC33" s="2511"/>
      <c r="DYD33" s="2511"/>
      <c r="DYE33" s="2511"/>
      <c r="DYF33" s="2511"/>
      <c r="DYG33" s="2511"/>
      <c r="DYH33" s="2511"/>
      <c r="DYI33" s="2511"/>
      <c r="DYJ33" s="2511"/>
      <c r="DYK33" s="2511"/>
      <c r="DYL33" s="2511"/>
      <c r="DYM33" s="2511"/>
      <c r="DYN33" s="2511"/>
      <c r="DYO33" s="2511"/>
      <c r="DYP33" s="2511"/>
      <c r="DYQ33" s="2511"/>
      <c r="DYR33" s="2511"/>
      <c r="DYS33" s="2511"/>
      <c r="DYT33" s="2511"/>
      <c r="DYU33" s="2511"/>
      <c r="DYV33" s="2511"/>
      <c r="DYW33" s="2511"/>
      <c r="DYX33" s="2511"/>
      <c r="DYY33" s="2511"/>
      <c r="DYZ33" s="2511"/>
      <c r="DZA33" s="2511"/>
      <c r="DZB33" s="2511"/>
      <c r="DZC33" s="2511"/>
      <c r="DZD33" s="2511"/>
      <c r="DZE33" s="2511"/>
      <c r="DZF33" s="2511"/>
      <c r="DZG33" s="2511"/>
      <c r="DZH33" s="2511"/>
      <c r="DZI33" s="2511"/>
      <c r="DZJ33" s="2511"/>
      <c r="DZK33" s="2511"/>
      <c r="DZL33" s="2511"/>
      <c r="DZM33" s="2511"/>
      <c r="DZN33" s="2511"/>
      <c r="DZO33" s="2511"/>
      <c r="DZP33" s="2511"/>
      <c r="DZQ33" s="2511"/>
      <c r="DZR33" s="2511"/>
      <c r="DZS33" s="2511"/>
      <c r="DZT33" s="2511"/>
      <c r="DZU33" s="2511"/>
      <c r="DZV33" s="2511"/>
      <c r="DZW33" s="2511"/>
      <c r="DZX33" s="2511"/>
      <c r="DZY33" s="2511"/>
      <c r="DZZ33" s="2511"/>
      <c r="EAA33" s="2511"/>
      <c r="EAB33" s="2511"/>
      <c r="EAC33" s="2511"/>
      <c r="EAD33" s="2511"/>
      <c r="EAE33" s="2511"/>
      <c r="EAF33" s="2511"/>
      <c r="EAG33" s="2511"/>
      <c r="EAH33" s="2511"/>
      <c r="EAI33" s="2511"/>
      <c r="EAJ33" s="2511"/>
      <c r="EAK33" s="2511"/>
      <c r="EAL33" s="2511"/>
      <c r="EAM33" s="2511"/>
      <c r="EAN33" s="2511"/>
      <c r="EAO33" s="2511"/>
      <c r="EAP33" s="2511"/>
      <c r="EAQ33" s="2511"/>
      <c r="EAR33" s="2511"/>
      <c r="EAS33" s="2511"/>
      <c r="EAT33" s="2511"/>
      <c r="EAU33" s="2511"/>
      <c r="EAV33" s="2511"/>
      <c r="EAW33" s="2511"/>
      <c r="EAX33" s="2511"/>
      <c r="EAY33" s="2511"/>
      <c r="EAZ33" s="2511"/>
      <c r="EBA33" s="2511"/>
      <c r="EBB33" s="2511"/>
      <c r="EBC33" s="2511"/>
      <c r="EBD33" s="2511"/>
      <c r="EBE33" s="2511"/>
      <c r="EBF33" s="2511"/>
      <c r="EBG33" s="2511"/>
      <c r="EBH33" s="2511"/>
      <c r="EBI33" s="2511"/>
      <c r="EBJ33" s="2511"/>
      <c r="EBK33" s="2511"/>
      <c r="EBL33" s="2511"/>
      <c r="EBM33" s="2511"/>
      <c r="EBN33" s="2511"/>
      <c r="EBO33" s="2511"/>
      <c r="EBP33" s="2511"/>
      <c r="EBQ33" s="2511"/>
      <c r="EBR33" s="2511"/>
      <c r="EBS33" s="2511"/>
      <c r="EBT33" s="2511"/>
      <c r="EBU33" s="2511"/>
      <c r="EBV33" s="2511"/>
      <c r="EBW33" s="2511"/>
      <c r="EBX33" s="2511"/>
      <c r="EBY33" s="2511"/>
      <c r="EBZ33" s="2511"/>
      <c r="ECA33" s="2511"/>
      <c r="ECB33" s="2511"/>
      <c r="ECC33" s="2511"/>
      <c r="ECD33" s="2511"/>
      <c r="ECE33" s="2511"/>
      <c r="ECF33" s="2511"/>
      <c r="ECG33" s="2511"/>
      <c r="ECH33" s="2511"/>
      <c r="ECI33" s="2511"/>
      <c r="ECJ33" s="2511"/>
      <c r="ECK33" s="2511"/>
      <c r="ECL33" s="2511"/>
      <c r="ECM33" s="2511"/>
      <c r="ECN33" s="2511"/>
      <c r="ECO33" s="2511"/>
      <c r="ECP33" s="2511"/>
      <c r="ECQ33" s="2511"/>
      <c r="ECR33" s="2511"/>
      <c r="ECS33" s="2511"/>
      <c r="ECT33" s="2511"/>
      <c r="ECU33" s="2511"/>
      <c r="ECV33" s="2511"/>
      <c r="ECW33" s="2511"/>
      <c r="ECX33" s="2511"/>
      <c r="ECY33" s="2511"/>
      <c r="ECZ33" s="2511"/>
      <c r="EDA33" s="2511"/>
      <c r="EDB33" s="2511"/>
      <c r="EDC33" s="2511"/>
      <c r="EDD33" s="2511"/>
      <c r="EDE33" s="2511"/>
      <c r="EDF33" s="2511"/>
      <c r="EDG33" s="2511"/>
      <c r="EDH33" s="2511"/>
      <c r="EDI33" s="2511"/>
      <c r="EDJ33" s="2511"/>
      <c r="EDK33" s="2511"/>
      <c r="EDL33" s="2511"/>
      <c r="EDM33" s="2511"/>
      <c r="EDN33" s="2511"/>
      <c r="EDO33" s="2511"/>
      <c r="EDP33" s="2511"/>
      <c r="EDQ33" s="2511"/>
      <c r="EDR33" s="2511"/>
      <c r="EDS33" s="2511"/>
      <c r="EDT33" s="2511"/>
      <c r="EDU33" s="2511"/>
      <c r="EDV33" s="2511"/>
      <c r="EDW33" s="2511"/>
      <c r="EDX33" s="2511"/>
      <c r="EDY33" s="2511"/>
      <c r="EDZ33" s="2511"/>
      <c r="EEA33" s="2511"/>
      <c r="EEB33" s="2511"/>
      <c r="EEC33" s="2511"/>
      <c r="EED33" s="2511"/>
      <c r="EEE33" s="2511"/>
      <c r="EEF33" s="2511"/>
      <c r="EEG33" s="2511"/>
      <c r="EEH33" s="2511"/>
      <c r="EEI33" s="2511"/>
      <c r="EEJ33" s="2511"/>
      <c r="EEK33" s="2511"/>
      <c r="EEL33" s="2511"/>
      <c r="EEM33" s="2511"/>
      <c r="EEN33" s="2511"/>
      <c r="EEO33" s="2511"/>
      <c r="EEP33" s="2511"/>
      <c r="EEQ33" s="2511"/>
      <c r="EER33" s="2511"/>
      <c r="EES33" s="2511"/>
      <c r="EET33" s="2511"/>
      <c r="EEU33" s="2511"/>
      <c r="EEV33" s="2511"/>
      <c r="EEW33" s="2511"/>
      <c r="EEX33" s="2511"/>
      <c r="EEY33" s="2511"/>
      <c r="EEZ33" s="2511"/>
      <c r="EFA33" s="2511"/>
      <c r="EFB33" s="2511"/>
      <c r="EFC33" s="2511"/>
      <c r="EFD33" s="2511"/>
      <c r="EFE33" s="2511"/>
      <c r="EFF33" s="2511"/>
      <c r="EFG33" s="2511"/>
      <c r="EFH33" s="2511"/>
      <c r="EFI33" s="2511"/>
      <c r="EFJ33" s="2511"/>
      <c r="EFK33" s="2511"/>
      <c r="EFL33" s="2511"/>
      <c r="EFM33" s="2511"/>
      <c r="EFN33" s="2511"/>
      <c r="EFO33" s="2511"/>
      <c r="EFP33" s="2511"/>
      <c r="EFQ33" s="2511"/>
      <c r="EFR33" s="2511"/>
      <c r="EFS33" s="2511"/>
      <c r="EFT33" s="2511"/>
      <c r="EFU33" s="2511"/>
      <c r="EFV33" s="2511"/>
      <c r="EFW33" s="2511"/>
      <c r="EFX33" s="2511"/>
      <c r="EFY33" s="2511"/>
      <c r="EFZ33" s="2511"/>
      <c r="EGA33" s="2511"/>
      <c r="EGB33" s="2511"/>
      <c r="EGC33" s="2511"/>
      <c r="EGD33" s="2511"/>
      <c r="EGE33" s="2511"/>
      <c r="EGF33" s="2511"/>
      <c r="EGG33" s="2511"/>
      <c r="EGH33" s="2511"/>
      <c r="EGI33" s="2511"/>
      <c r="EGJ33" s="2511"/>
      <c r="EGK33" s="2511"/>
      <c r="EGL33" s="2511"/>
      <c r="EGM33" s="2511"/>
      <c r="EGN33" s="2511"/>
      <c r="EGO33" s="2511"/>
      <c r="EGP33" s="2511"/>
      <c r="EGQ33" s="2511"/>
      <c r="EGR33" s="2511"/>
      <c r="EGS33" s="2511"/>
      <c r="EGT33" s="2511"/>
      <c r="EGU33" s="2511"/>
      <c r="EGV33" s="2511"/>
      <c r="EGW33" s="2511"/>
      <c r="EGX33" s="2511"/>
      <c r="EGY33" s="2511"/>
      <c r="EGZ33" s="2511"/>
      <c r="EHA33" s="2511"/>
      <c r="EHB33" s="2511"/>
      <c r="EHC33" s="2511"/>
      <c r="EHD33" s="2511"/>
      <c r="EHE33" s="2511"/>
      <c r="EHF33" s="2511"/>
      <c r="EHG33" s="2511"/>
      <c r="EHH33" s="2511"/>
      <c r="EHI33" s="2511"/>
      <c r="EHJ33" s="2511"/>
      <c r="EHK33" s="2511"/>
      <c r="EHL33" s="2511"/>
      <c r="EHM33" s="2511"/>
      <c r="EHN33" s="2511"/>
      <c r="EHO33" s="2511"/>
      <c r="EHP33" s="2511"/>
      <c r="EHQ33" s="2511"/>
      <c r="EHR33" s="2511"/>
      <c r="EHS33" s="2511"/>
      <c r="EHT33" s="2511"/>
      <c r="EHU33" s="2511"/>
      <c r="EHV33" s="2511"/>
      <c r="EHW33" s="2511"/>
      <c r="EHX33" s="2511"/>
      <c r="EHY33" s="2511"/>
      <c r="EHZ33" s="2511"/>
      <c r="EIA33" s="2511"/>
      <c r="EIB33" s="2511"/>
      <c r="EIC33" s="2511"/>
      <c r="EID33" s="2511"/>
      <c r="EIE33" s="2511"/>
      <c r="EIF33" s="2511"/>
      <c r="EIG33" s="2511"/>
      <c r="EIH33" s="2511"/>
      <c r="EII33" s="2511"/>
      <c r="EIJ33" s="2511"/>
      <c r="EIK33" s="2511"/>
      <c r="EIL33" s="2511"/>
      <c r="EIM33" s="2511"/>
      <c r="EIN33" s="2511"/>
      <c r="EIO33" s="2511"/>
      <c r="EIP33" s="2511"/>
      <c r="EIQ33" s="2511"/>
      <c r="EIR33" s="2511"/>
      <c r="EIS33" s="2511"/>
      <c r="EIT33" s="2511"/>
      <c r="EIU33" s="2511"/>
      <c r="EIV33" s="2511"/>
      <c r="EIW33" s="2511"/>
      <c r="EIX33" s="2511"/>
      <c r="EIY33" s="2511"/>
      <c r="EIZ33" s="2511"/>
      <c r="EJA33" s="2511"/>
      <c r="EJB33" s="2511"/>
      <c r="EJC33" s="2511"/>
      <c r="EJD33" s="2511"/>
      <c r="EJE33" s="2511"/>
      <c r="EJF33" s="2511"/>
      <c r="EJG33" s="2511"/>
      <c r="EJH33" s="2511"/>
      <c r="EJI33" s="2511"/>
      <c r="EJJ33" s="2511"/>
      <c r="EJK33" s="2511"/>
      <c r="EJL33" s="2511"/>
      <c r="EJM33" s="2511"/>
      <c r="EJN33" s="2511"/>
      <c r="EJO33" s="2511"/>
      <c r="EJP33" s="2511"/>
      <c r="EJQ33" s="2511"/>
      <c r="EJR33" s="2511"/>
      <c r="EJS33" s="2511"/>
      <c r="EJT33" s="2511"/>
      <c r="EJU33" s="2511"/>
      <c r="EJV33" s="2511"/>
      <c r="EJW33" s="2511"/>
      <c r="EJX33" s="2511"/>
      <c r="EJY33" s="2511"/>
      <c r="EJZ33" s="2511"/>
      <c r="EKA33" s="2511"/>
      <c r="EKB33" s="2511"/>
      <c r="EKC33" s="2511"/>
      <c r="EKD33" s="2511"/>
      <c r="EKE33" s="2511"/>
      <c r="EKF33" s="2511"/>
      <c r="EKG33" s="2511"/>
      <c r="EKH33" s="2511"/>
      <c r="EKI33" s="2511"/>
      <c r="EKJ33" s="2511"/>
      <c r="EKK33" s="2511"/>
      <c r="EKL33" s="2511"/>
      <c r="EKM33" s="2511"/>
      <c r="EKN33" s="2511"/>
      <c r="EKO33" s="2511"/>
      <c r="EKP33" s="2511"/>
      <c r="EKQ33" s="2511"/>
      <c r="EKR33" s="2511"/>
      <c r="EKS33" s="2511"/>
      <c r="EKT33" s="2511"/>
      <c r="EKU33" s="2511"/>
      <c r="EKV33" s="2511"/>
      <c r="EKW33" s="2511"/>
      <c r="EKX33" s="2511"/>
      <c r="EKY33" s="2511"/>
      <c r="EKZ33" s="2511"/>
      <c r="ELA33" s="2511"/>
      <c r="ELB33" s="2511"/>
      <c r="ELC33" s="2511"/>
      <c r="ELD33" s="2511"/>
      <c r="ELE33" s="2511"/>
      <c r="ELF33" s="2511"/>
      <c r="ELG33" s="2511"/>
      <c r="ELH33" s="2511"/>
      <c r="ELI33" s="2511"/>
      <c r="ELJ33" s="2511"/>
      <c r="ELK33" s="2511"/>
      <c r="ELL33" s="2511"/>
      <c r="ELM33" s="2511"/>
      <c r="ELN33" s="2511"/>
      <c r="ELO33" s="2511"/>
      <c r="ELP33" s="2511"/>
      <c r="ELQ33" s="2511"/>
      <c r="ELR33" s="2511"/>
      <c r="ELS33" s="2511"/>
      <c r="ELT33" s="2511"/>
      <c r="ELU33" s="2511"/>
      <c r="ELV33" s="2511"/>
      <c r="ELW33" s="2511"/>
      <c r="ELX33" s="2511"/>
      <c r="ELY33" s="2511"/>
      <c r="ELZ33" s="2511"/>
      <c r="EMA33" s="2511"/>
      <c r="EMB33" s="2511"/>
      <c r="EMC33" s="2511"/>
      <c r="EMD33" s="2511"/>
      <c r="EME33" s="2511"/>
      <c r="EMF33" s="2511"/>
      <c r="EMG33" s="2511"/>
      <c r="EMH33" s="2511"/>
      <c r="EMI33" s="2511"/>
      <c r="EMJ33" s="2511"/>
      <c r="EMK33" s="2511"/>
      <c r="EML33" s="2511"/>
      <c r="EMM33" s="2511"/>
      <c r="EMN33" s="2511"/>
      <c r="EMO33" s="2511"/>
      <c r="EMP33" s="2511"/>
      <c r="EMQ33" s="2511"/>
      <c r="EMR33" s="2511"/>
      <c r="EMS33" s="2511"/>
      <c r="EMT33" s="2511"/>
      <c r="EMU33" s="2511"/>
      <c r="EMV33" s="2511"/>
      <c r="EMW33" s="2511"/>
      <c r="EMX33" s="2511"/>
      <c r="EMY33" s="2511"/>
      <c r="EMZ33" s="2511"/>
      <c r="ENA33" s="2511"/>
      <c r="ENB33" s="2511"/>
      <c r="ENC33" s="2511"/>
      <c r="END33" s="2511"/>
      <c r="ENE33" s="2511"/>
      <c r="ENF33" s="2511"/>
      <c r="ENG33" s="2511"/>
      <c r="ENH33" s="2511"/>
      <c r="ENI33" s="2511"/>
      <c r="ENJ33" s="2511"/>
      <c r="ENK33" s="2511"/>
      <c r="ENL33" s="2511"/>
      <c r="ENM33" s="2511"/>
      <c r="ENN33" s="2511"/>
      <c r="ENO33" s="2511"/>
      <c r="ENP33" s="2511"/>
      <c r="ENQ33" s="2511"/>
      <c r="ENR33" s="2511"/>
      <c r="ENS33" s="2511"/>
      <c r="ENT33" s="2511"/>
      <c r="ENU33" s="2511"/>
      <c r="ENV33" s="2511"/>
      <c r="ENW33" s="2511"/>
      <c r="ENX33" s="2511"/>
      <c r="ENY33" s="2511"/>
      <c r="ENZ33" s="2511"/>
      <c r="EOA33" s="2511"/>
      <c r="EOB33" s="2511"/>
      <c r="EOC33" s="2511"/>
      <c r="EOD33" s="2511"/>
      <c r="EOE33" s="2511"/>
      <c r="EOF33" s="2511"/>
      <c r="EOG33" s="2511"/>
      <c r="EOH33" s="2511"/>
      <c r="EOI33" s="2511"/>
      <c r="EOJ33" s="2511"/>
      <c r="EOK33" s="2511"/>
      <c r="EOL33" s="2511"/>
      <c r="EOM33" s="2511"/>
      <c r="EON33" s="2511"/>
      <c r="EOO33" s="2511"/>
      <c r="EOP33" s="2511"/>
      <c r="EOQ33" s="2511"/>
      <c r="EOR33" s="2511"/>
      <c r="EOS33" s="2511"/>
      <c r="EOT33" s="2511"/>
      <c r="EOU33" s="2511"/>
      <c r="EOV33" s="2511"/>
      <c r="EOW33" s="2511"/>
      <c r="EOX33" s="2511"/>
      <c r="EOY33" s="2511"/>
      <c r="EOZ33" s="2511"/>
      <c r="EPA33" s="2511"/>
      <c r="EPB33" s="2511"/>
      <c r="EPC33" s="2511"/>
      <c r="EPD33" s="2511"/>
      <c r="EPE33" s="2511"/>
      <c r="EPF33" s="2511"/>
      <c r="EPG33" s="2511"/>
      <c r="EPH33" s="2511"/>
      <c r="EPI33" s="2511"/>
      <c r="EPJ33" s="2511"/>
      <c r="EPK33" s="2511"/>
      <c r="EPL33" s="2511"/>
      <c r="EPM33" s="2511"/>
      <c r="EPN33" s="2511"/>
      <c r="EPO33" s="2511"/>
      <c r="EPP33" s="2511"/>
      <c r="EPQ33" s="2511"/>
      <c r="EPR33" s="2511"/>
      <c r="EPS33" s="2511"/>
      <c r="EPT33" s="2511"/>
      <c r="EPU33" s="2511"/>
      <c r="EPV33" s="2511"/>
      <c r="EPW33" s="2511"/>
      <c r="EPX33" s="2511"/>
      <c r="EPY33" s="2511"/>
      <c r="EPZ33" s="2511"/>
      <c r="EQA33" s="2511"/>
      <c r="EQB33" s="2511"/>
      <c r="EQC33" s="2511"/>
      <c r="EQD33" s="2511"/>
      <c r="EQE33" s="2511"/>
      <c r="EQF33" s="2511"/>
      <c r="EQG33" s="2511"/>
      <c r="EQH33" s="2511"/>
      <c r="EQI33" s="2511"/>
      <c r="EQJ33" s="2511"/>
      <c r="EQK33" s="2511"/>
      <c r="EQL33" s="2511"/>
      <c r="EQM33" s="2511"/>
      <c r="EQN33" s="2511"/>
      <c r="EQO33" s="2511"/>
      <c r="EQP33" s="2511"/>
      <c r="EQQ33" s="2511"/>
      <c r="EQR33" s="2511"/>
      <c r="EQS33" s="2511"/>
      <c r="EQT33" s="2511"/>
      <c r="EQU33" s="2511"/>
      <c r="EQV33" s="2511"/>
      <c r="EQW33" s="2511"/>
      <c r="EQX33" s="2511"/>
      <c r="EQY33" s="2511"/>
      <c r="EQZ33" s="2511"/>
      <c r="ERA33" s="2511"/>
      <c r="ERB33" s="2511"/>
      <c r="ERC33" s="2511"/>
      <c r="ERD33" s="2511"/>
      <c r="ERE33" s="2511"/>
      <c r="ERF33" s="2511"/>
      <c r="ERG33" s="2511"/>
      <c r="ERH33" s="2511"/>
      <c r="ERI33" s="2511"/>
      <c r="ERJ33" s="2511"/>
      <c r="ERK33" s="2511"/>
      <c r="ERL33" s="2511"/>
      <c r="ERM33" s="2511"/>
      <c r="ERN33" s="2511"/>
      <c r="ERO33" s="2511"/>
      <c r="ERP33" s="2511"/>
      <c r="ERQ33" s="2511"/>
      <c r="ERR33" s="2511"/>
      <c r="ERS33" s="2511"/>
      <c r="ERT33" s="2511"/>
      <c r="ERU33" s="2511"/>
      <c r="ERV33" s="2511"/>
      <c r="ERW33" s="2511"/>
      <c r="ERX33" s="2511"/>
      <c r="ERY33" s="2511"/>
      <c r="ERZ33" s="2511"/>
      <c r="ESA33" s="2511"/>
      <c r="ESB33" s="2511"/>
      <c r="ESC33" s="2511"/>
      <c r="ESD33" s="2511"/>
      <c r="ESE33" s="2511"/>
      <c r="ESF33" s="2511"/>
      <c r="ESG33" s="2511"/>
      <c r="ESH33" s="2511"/>
      <c r="ESI33" s="2511"/>
      <c r="ESJ33" s="2511"/>
      <c r="ESK33" s="2511"/>
      <c r="ESL33" s="2511"/>
      <c r="ESM33" s="2511"/>
      <c r="ESN33" s="2511"/>
      <c r="ESO33" s="2511"/>
      <c r="ESP33" s="2511"/>
      <c r="ESQ33" s="2511"/>
      <c r="ESR33" s="2511"/>
      <c r="ESS33" s="2511"/>
      <c r="EST33" s="2511"/>
      <c r="ESU33" s="2511"/>
      <c r="ESV33" s="2511"/>
      <c r="ESW33" s="2511"/>
      <c r="ESX33" s="2511"/>
      <c r="ESY33" s="2511"/>
      <c r="ESZ33" s="2511"/>
      <c r="ETA33" s="2511"/>
      <c r="ETB33" s="2511"/>
      <c r="ETC33" s="2511"/>
      <c r="ETD33" s="2511"/>
      <c r="ETE33" s="2511"/>
      <c r="ETF33" s="2511"/>
      <c r="ETG33" s="2511"/>
      <c r="ETH33" s="2511"/>
      <c r="ETI33" s="2511"/>
      <c r="ETJ33" s="2511"/>
      <c r="ETK33" s="2511"/>
      <c r="ETL33" s="2511"/>
      <c r="ETM33" s="2511"/>
      <c r="ETN33" s="2511"/>
      <c r="ETO33" s="2511"/>
      <c r="ETP33" s="2511"/>
      <c r="ETQ33" s="2511"/>
      <c r="ETR33" s="2511"/>
      <c r="ETS33" s="2511"/>
      <c r="ETT33" s="2511"/>
      <c r="ETU33" s="2511"/>
      <c r="ETV33" s="2511"/>
      <c r="ETW33" s="2511"/>
      <c r="ETX33" s="2511"/>
      <c r="ETY33" s="2511"/>
      <c r="ETZ33" s="2511"/>
      <c r="EUA33" s="2511"/>
      <c r="EUB33" s="2511"/>
      <c r="EUC33" s="2511"/>
      <c r="EUD33" s="2511"/>
      <c r="EUE33" s="2511"/>
      <c r="EUF33" s="2511"/>
      <c r="EUG33" s="2511"/>
      <c r="EUH33" s="2511"/>
      <c r="EUI33" s="2511"/>
      <c r="EUJ33" s="2511"/>
      <c r="EUK33" s="2511"/>
      <c r="EUL33" s="2511"/>
      <c r="EUM33" s="2511"/>
      <c r="EUN33" s="2511"/>
      <c r="EUO33" s="2511"/>
      <c r="EUP33" s="2511"/>
      <c r="EUQ33" s="2511"/>
      <c r="EUR33" s="2511"/>
      <c r="EUS33" s="2511"/>
      <c r="EUT33" s="2511"/>
      <c r="EUU33" s="2511"/>
      <c r="EUV33" s="2511"/>
      <c r="EUW33" s="2511"/>
      <c r="EUX33" s="2511"/>
      <c r="EUY33" s="2511"/>
      <c r="EUZ33" s="2511"/>
      <c r="EVA33" s="2511"/>
      <c r="EVB33" s="2511"/>
      <c r="EVC33" s="2511"/>
      <c r="EVD33" s="2511"/>
      <c r="EVE33" s="2511"/>
      <c r="EVF33" s="2511"/>
      <c r="EVG33" s="2511"/>
      <c r="EVH33" s="2511"/>
      <c r="EVI33" s="2511"/>
      <c r="EVJ33" s="2511"/>
      <c r="EVK33" s="2511"/>
      <c r="EVL33" s="2511"/>
      <c r="EVM33" s="2511"/>
      <c r="EVN33" s="2511"/>
      <c r="EVO33" s="2511"/>
      <c r="EVP33" s="2511"/>
      <c r="EVQ33" s="2511"/>
      <c r="EVR33" s="2511"/>
      <c r="EVS33" s="2511"/>
      <c r="EVT33" s="2511"/>
      <c r="EVU33" s="2511"/>
      <c r="EVV33" s="2511"/>
      <c r="EVW33" s="2511"/>
      <c r="EVX33" s="2511"/>
      <c r="EVY33" s="2511"/>
      <c r="EVZ33" s="2511"/>
      <c r="EWA33" s="2511"/>
      <c r="EWB33" s="2511"/>
      <c r="EWC33" s="2511"/>
      <c r="EWD33" s="2511"/>
      <c r="EWE33" s="2511"/>
      <c r="EWF33" s="2511"/>
      <c r="EWG33" s="2511"/>
      <c r="EWH33" s="2511"/>
      <c r="EWI33" s="2511"/>
      <c r="EWJ33" s="2511"/>
      <c r="EWK33" s="2511"/>
      <c r="EWL33" s="2511"/>
      <c r="EWM33" s="2511"/>
      <c r="EWN33" s="2511"/>
      <c r="EWO33" s="2511"/>
      <c r="EWP33" s="2511"/>
      <c r="EWQ33" s="2511"/>
      <c r="EWR33" s="2511"/>
      <c r="EWS33" s="2511"/>
      <c r="EWT33" s="2511"/>
      <c r="EWU33" s="2511"/>
      <c r="EWV33" s="2511"/>
      <c r="EWW33" s="2511"/>
      <c r="EWX33" s="2511"/>
      <c r="EWY33" s="2511"/>
      <c r="EWZ33" s="2511"/>
      <c r="EXA33" s="2511"/>
      <c r="EXB33" s="2511"/>
      <c r="EXC33" s="2511"/>
      <c r="EXD33" s="2511"/>
      <c r="EXE33" s="2511"/>
      <c r="EXF33" s="2511"/>
      <c r="EXG33" s="2511"/>
      <c r="EXH33" s="2511"/>
      <c r="EXI33" s="2511"/>
      <c r="EXJ33" s="2511"/>
      <c r="EXK33" s="2511"/>
      <c r="EXL33" s="2511"/>
      <c r="EXM33" s="2511"/>
      <c r="EXN33" s="2511"/>
      <c r="EXO33" s="2511"/>
      <c r="EXP33" s="2511"/>
      <c r="EXQ33" s="2511"/>
      <c r="EXR33" s="2511"/>
      <c r="EXS33" s="2511"/>
      <c r="EXT33" s="2511"/>
      <c r="EXU33" s="2511"/>
      <c r="EXV33" s="2511"/>
      <c r="EXW33" s="2511"/>
      <c r="EXX33" s="2511"/>
      <c r="EXY33" s="2511"/>
      <c r="EXZ33" s="2511"/>
      <c r="EYA33" s="2511"/>
      <c r="EYB33" s="2511"/>
      <c r="EYC33" s="2511"/>
      <c r="EYD33" s="2511"/>
      <c r="EYE33" s="2511"/>
      <c r="EYF33" s="2511"/>
      <c r="EYG33" s="2511"/>
      <c r="EYH33" s="2511"/>
      <c r="EYI33" s="2511"/>
      <c r="EYJ33" s="2511"/>
      <c r="EYK33" s="2511"/>
      <c r="EYL33" s="2511"/>
      <c r="EYM33" s="2511"/>
      <c r="EYN33" s="2511"/>
      <c r="EYO33" s="2511"/>
      <c r="EYP33" s="2511"/>
      <c r="EYQ33" s="2511"/>
      <c r="EYR33" s="2511"/>
      <c r="EYS33" s="2511"/>
      <c r="EYT33" s="2511"/>
      <c r="EYU33" s="2511"/>
      <c r="EYV33" s="2511"/>
      <c r="EYW33" s="2511"/>
      <c r="EYX33" s="2511"/>
      <c r="EYY33" s="2511"/>
      <c r="EYZ33" s="2511"/>
      <c r="EZA33" s="2511"/>
      <c r="EZB33" s="2511"/>
      <c r="EZC33" s="2511"/>
      <c r="EZD33" s="2511"/>
      <c r="EZE33" s="2511"/>
      <c r="EZF33" s="2511"/>
      <c r="EZG33" s="2511"/>
      <c r="EZH33" s="2511"/>
      <c r="EZI33" s="2511"/>
      <c r="EZJ33" s="2511"/>
      <c r="EZK33" s="2511"/>
      <c r="EZL33" s="2511"/>
      <c r="EZM33" s="2511"/>
      <c r="EZN33" s="2511"/>
      <c r="EZO33" s="2511"/>
      <c r="EZP33" s="2511"/>
      <c r="EZQ33" s="2511"/>
      <c r="EZR33" s="2511"/>
      <c r="EZS33" s="2511"/>
      <c r="EZT33" s="2511"/>
      <c r="EZU33" s="2511"/>
      <c r="EZV33" s="2511"/>
      <c r="EZW33" s="2511"/>
      <c r="EZX33" s="2511"/>
      <c r="EZY33" s="2511"/>
      <c r="EZZ33" s="2511"/>
      <c r="FAA33" s="2511"/>
      <c r="FAB33" s="2511"/>
      <c r="FAC33" s="2511"/>
      <c r="FAD33" s="2511"/>
      <c r="FAE33" s="2511"/>
      <c r="FAF33" s="2511"/>
      <c r="FAG33" s="2511"/>
      <c r="FAH33" s="2511"/>
      <c r="FAI33" s="2511"/>
      <c r="FAJ33" s="2511"/>
      <c r="FAK33" s="2511"/>
      <c r="FAL33" s="2511"/>
      <c r="FAM33" s="2511"/>
      <c r="FAN33" s="2511"/>
      <c r="FAO33" s="2511"/>
      <c r="FAP33" s="2511"/>
      <c r="FAQ33" s="2511"/>
      <c r="FAR33" s="2511"/>
      <c r="FAS33" s="2511"/>
      <c r="FAT33" s="2511"/>
      <c r="FAU33" s="2511"/>
      <c r="FAV33" s="2511"/>
      <c r="FAW33" s="2511"/>
      <c r="FAX33" s="2511"/>
      <c r="FAY33" s="2511"/>
      <c r="FAZ33" s="2511"/>
      <c r="FBA33" s="2511"/>
      <c r="FBB33" s="2511"/>
      <c r="FBC33" s="2511"/>
      <c r="FBD33" s="2511"/>
      <c r="FBE33" s="2511"/>
      <c r="FBF33" s="2511"/>
      <c r="FBG33" s="2511"/>
      <c r="FBH33" s="2511"/>
      <c r="FBI33" s="2511"/>
      <c r="FBJ33" s="2511"/>
      <c r="FBK33" s="2511"/>
      <c r="FBL33" s="2511"/>
      <c r="FBM33" s="2511"/>
      <c r="FBN33" s="2511"/>
      <c r="FBO33" s="2511"/>
      <c r="FBP33" s="2511"/>
      <c r="FBQ33" s="2511"/>
      <c r="FBR33" s="2511"/>
      <c r="FBS33" s="2511"/>
      <c r="FBT33" s="2511"/>
      <c r="FBU33" s="2511"/>
      <c r="FBV33" s="2511"/>
      <c r="FBW33" s="2511"/>
      <c r="FBX33" s="2511"/>
      <c r="FBY33" s="2511"/>
      <c r="FBZ33" s="2511"/>
      <c r="FCA33" s="2511"/>
      <c r="FCB33" s="2511"/>
      <c r="FCC33" s="2511"/>
      <c r="FCD33" s="2511"/>
      <c r="FCE33" s="2511"/>
      <c r="FCF33" s="2511"/>
      <c r="FCG33" s="2511"/>
      <c r="FCH33" s="2511"/>
      <c r="FCI33" s="2511"/>
      <c r="FCJ33" s="2511"/>
      <c r="FCK33" s="2511"/>
      <c r="FCL33" s="2511"/>
      <c r="FCM33" s="2511"/>
      <c r="FCN33" s="2511"/>
      <c r="FCO33" s="2511"/>
      <c r="FCP33" s="2511"/>
      <c r="FCQ33" s="2511"/>
      <c r="FCR33" s="2511"/>
      <c r="FCS33" s="2511"/>
      <c r="FCT33" s="2511"/>
      <c r="FCU33" s="2511"/>
      <c r="FCV33" s="2511"/>
      <c r="FCW33" s="2511"/>
      <c r="FCX33" s="2511"/>
      <c r="FCY33" s="2511"/>
      <c r="FCZ33" s="2511"/>
      <c r="FDA33" s="2511"/>
      <c r="FDB33" s="2511"/>
      <c r="FDC33" s="2511"/>
      <c r="FDD33" s="2511"/>
      <c r="FDE33" s="2511"/>
      <c r="FDF33" s="2511"/>
      <c r="FDG33" s="2511"/>
      <c r="FDH33" s="2511"/>
      <c r="FDI33" s="2511"/>
      <c r="FDJ33" s="2511"/>
      <c r="FDK33" s="2511"/>
      <c r="FDL33" s="2511"/>
      <c r="FDM33" s="2511"/>
      <c r="FDN33" s="2511"/>
      <c r="FDO33" s="2511"/>
      <c r="FDP33" s="2511"/>
      <c r="FDQ33" s="2511"/>
      <c r="FDR33" s="2511"/>
      <c r="FDS33" s="2511"/>
      <c r="FDT33" s="2511"/>
      <c r="FDU33" s="2511"/>
      <c r="FDV33" s="2511"/>
      <c r="FDW33" s="2511"/>
      <c r="FDX33" s="2511"/>
      <c r="FDY33" s="2511"/>
      <c r="FDZ33" s="2511"/>
      <c r="FEA33" s="2511"/>
      <c r="FEB33" s="2511"/>
      <c r="FEC33" s="2511"/>
      <c r="FED33" s="2511"/>
      <c r="FEE33" s="2511"/>
      <c r="FEF33" s="2511"/>
      <c r="FEG33" s="2511"/>
      <c r="FEH33" s="2511"/>
      <c r="FEI33" s="2511"/>
      <c r="FEJ33" s="2511"/>
      <c r="FEK33" s="2511"/>
      <c r="FEL33" s="2511"/>
      <c r="FEM33" s="2511"/>
      <c r="FEN33" s="2511"/>
      <c r="FEO33" s="2511"/>
      <c r="FEP33" s="2511"/>
      <c r="FEQ33" s="2511"/>
      <c r="FER33" s="2511"/>
      <c r="FES33" s="2511"/>
      <c r="FET33" s="2511"/>
      <c r="FEU33" s="2511"/>
      <c r="FEV33" s="2511"/>
      <c r="FEW33" s="2511"/>
      <c r="FEX33" s="2511"/>
      <c r="FEY33" s="2511"/>
      <c r="FEZ33" s="2511"/>
      <c r="FFA33" s="2511"/>
      <c r="FFB33" s="2511"/>
      <c r="FFC33" s="2511"/>
      <c r="FFD33" s="2511"/>
      <c r="FFE33" s="2511"/>
      <c r="FFF33" s="2511"/>
      <c r="FFG33" s="2511"/>
      <c r="FFH33" s="2511"/>
      <c r="FFI33" s="2511"/>
      <c r="FFJ33" s="2511"/>
      <c r="FFK33" s="2511"/>
      <c r="FFL33" s="2511"/>
      <c r="FFM33" s="2511"/>
      <c r="FFN33" s="2511"/>
      <c r="FFO33" s="2511"/>
      <c r="FFP33" s="2511"/>
      <c r="FFQ33" s="2511"/>
      <c r="FFR33" s="2511"/>
      <c r="FFS33" s="2511"/>
      <c r="FFT33" s="2511"/>
      <c r="FFU33" s="2511"/>
      <c r="FFV33" s="2511"/>
      <c r="FFW33" s="2511"/>
      <c r="FFX33" s="2511"/>
      <c r="FFY33" s="2511"/>
      <c r="FFZ33" s="2511"/>
      <c r="FGA33" s="2511"/>
      <c r="FGB33" s="2511"/>
      <c r="FGC33" s="2511"/>
      <c r="FGD33" s="2511"/>
      <c r="FGE33" s="2511"/>
      <c r="FGF33" s="2511"/>
      <c r="FGG33" s="2511"/>
      <c r="FGH33" s="2511"/>
      <c r="FGI33" s="2511"/>
      <c r="FGJ33" s="2511"/>
      <c r="FGK33" s="2511"/>
      <c r="FGL33" s="2511"/>
      <c r="FGM33" s="2511"/>
      <c r="FGN33" s="2511"/>
      <c r="FGO33" s="2511"/>
      <c r="FGP33" s="2511"/>
      <c r="FGQ33" s="2511"/>
      <c r="FGR33" s="2511"/>
      <c r="FGS33" s="2511"/>
      <c r="FGT33" s="2511"/>
      <c r="FGU33" s="2511"/>
      <c r="FGV33" s="2511"/>
      <c r="FGW33" s="2511"/>
      <c r="FGX33" s="2511"/>
      <c r="FGY33" s="2511"/>
      <c r="FGZ33" s="2511"/>
      <c r="FHA33" s="2511"/>
      <c r="FHB33" s="2511"/>
      <c r="FHC33" s="2511"/>
      <c r="FHD33" s="2511"/>
      <c r="FHE33" s="2511"/>
      <c r="FHF33" s="2511"/>
      <c r="FHG33" s="2511"/>
      <c r="FHH33" s="2511"/>
      <c r="FHI33" s="2511"/>
      <c r="FHJ33" s="2511"/>
      <c r="FHK33" s="2511"/>
      <c r="FHL33" s="2511"/>
      <c r="FHM33" s="2511"/>
      <c r="FHN33" s="2511"/>
      <c r="FHO33" s="2511"/>
      <c r="FHP33" s="2511"/>
      <c r="FHQ33" s="2511"/>
      <c r="FHR33" s="2511"/>
      <c r="FHS33" s="2511"/>
      <c r="FHT33" s="2511"/>
      <c r="FHU33" s="2511"/>
      <c r="FHV33" s="2511"/>
      <c r="FHW33" s="2511"/>
      <c r="FHX33" s="2511"/>
      <c r="FHY33" s="2511"/>
      <c r="FHZ33" s="2511"/>
      <c r="FIA33" s="2511"/>
      <c r="FIB33" s="2511"/>
      <c r="FIC33" s="2511"/>
      <c r="FID33" s="2511"/>
      <c r="FIE33" s="2511"/>
      <c r="FIF33" s="2511"/>
      <c r="FIG33" s="2511"/>
      <c r="FIH33" s="2511"/>
      <c r="FII33" s="2511"/>
      <c r="FIJ33" s="2511"/>
      <c r="FIK33" s="2511"/>
      <c r="FIL33" s="2511"/>
      <c r="FIM33" s="2511"/>
      <c r="FIN33" s="2511"/>
      <c r="FIO33" s="2511"/>
      <c r="FIP33" s="2511"/>
      <c r="FIQ33" s="2511"/>
      <c r="FIR33" s="2511"/>
      <c r="FIS33" s="2511"/>
      <c r="FIT33" s="2511"/>
      <c r="FIU33" s="2511"/>
      <c r="FIV33" s="2511"/>
      <c r="FIW33" s="2511"/>
      <c r="FIX33" s="2511"/>
      <c r="FIY33" s="2511"/>
      <c r="FIZ33" s="2511"/>
      <c r="FJA33" s="2511"/>
      <c r="FJB33" s="2511"/>
      <c r="FJC33" s="2511"/>
      <c r="FJD33" s="2511"/>
      <c r="FJE33" s="2511"/>
      <c r="FJF33" s="2511"/>
      <c r="FJG33" s="2511"/>
      <c r="FJH33" s="2511"/>
      <c r="FJI33" s="2511"/>
      <c r="FJJ33" s="2511"/>
      <c r="FJK33" s="2511"/>
      <c r="FJL33" s="2511"/>
      <c r="FJM33" s="2511"/>
      <c r="FJN33" s="2511"/>
      <c r="FJO33" s="2511"/>
      <c r="FJP33" s="2511"/>
      <c r="FJQ33" s="2511"/>
      <c r="FJR33" s="2511"/>
      <c r="FJS33" s="2511"/>
      <c r="FJT33" s="2511"/>
      <c r="FJU33" s="2511"/>
      <c r="FJV33" s="2511"/>
      <c r="FJW33" s="2511"/>
      <c r="FJX33" s="2511"/>
      <c r="FJY33" s="2511"/>
      <c r="FJZ33" s="2511"/>
      <c r="FKA33" s="2511"/>
      <c r="FKB33" s="2511"/>
      <c r="FKC33" s="2511"/>
      <c r="FKD33" s="2511"/>
      <c r="FKE33" s="2511"/>
      <c r="FKF33" s="2511"/>
      <c r="FKG33" s="2511"/>
      <c r="FKH33" s="2511"/>
      <c r="FKI33" s="2511"/>
      <c r="FKJ33" s="2511"/>
      <c r="FKK33" s="2511"/>
      <c r="FKL33" s="2511"/>
      <c r="FKM33" s="2511"/>
      <c r="FKN33" s="2511"/>
      <c r="FKO33" s="2511"/>
      <c r="FKP33" s="2511"/>
      <c r="FKQ33" s="2511"/>
      <c r="FKR33" s="2511"/>
      <c r="FKS33" s="2511"/>
      <c r="FKT33" s="2511"/>
      <c r="FKU33" s="2511"/>
      <c r="FKV33" s="2511"/>
      <c r="FKW33" s="2511"/>
      <c r="FKX33" s="2511"/>
      <c r="FKY33" s="2511"/>
      <c r="FKZ33" s="2511"/>
      <c r="FLA33" s="2511"/>
      <c r="FLB33" s="2511"/>
      <c r="FLC33" s="2511"/>
      <c r="FLD33" s="2511"/>
      <c r="FLE33" s="2511"/>
      <c r="FLF33" s="2511"/>
      <c r="FLG33" s="2511"/>
      <c r="FLH33" s="2511"/>
      <c r="FLI33" s="2511"/>
      <c r="FLJ33" s="2511"/>
      <c r="FLK33" s="2511"/>
      <c r="FLL33" s="2511"/>
      <c r="FLM33" s="2511"/>
      <c r="FLN33" s="2511"/>
      <c r="FLO33" s="2511"/>
      <c r="FLP33" s="2511"/>
      <c r="FLQ33" s="2511"/>
      <c r="FLR33" s="2511"/>
      <c r="FLS33" s="2511"/>
      <c r="FLT33" s="2511"/>
      <c r="FLU33" s="2511"/>
      <c r="FLV33" s="2511"/>
      <c r="FLW33" s="2511"/>
      <c r="FLX33" s="2511"/>
      <c r="FLY33" s="2511"/>
      <c r="FLZ33" s="2511"/>
      <c r="FMA33" s="2511"/>
      <c r="FMB33" s="2511"/>
      <c r="FMC33" s="2511"/>
      <c r="FMD33" s="2511"/>
      <c r="FME33" s="2511"/>
      <c r="FMF33" s="2511"/>
      <c r="FMG33" s="2511"/>
      <c r="FMH33" s="2511"/>
      <c r="FMI33" s="2511"/>
      <c r="FMJ33" s="2511"/>
      <c r="FMK33" s="2511"/>
      <c r="FML33" s="2511"/>
      <c r="FMM33" s="2511"/>
      <c r="FMN33" s="2511"/>
      <c r="FMO33" s="2511"/>
      <c r="FMP33" s="2511"/>
      <c r="FMQ33" s="2511"/>
      <c r="FMR33" s="2511"/>
      <c r="FMS33" s="2511"/>
      <c r="FMT33" s="2511"/>
      <c r="FMU33" s="2511"/>
      <c r="FMV33" s="2511"/>
      <c r="FMW33" s="2511"/>
      <c r="FMX33" s="2511"/>
      <c r="FMY33" s="2511"/>
      <c r="FMZ33" s="2511"/>
      <c r="FNA33" s="2511"/>
      <c r="FNB33" s="2511"/>
      <c r="FNC33" s="2511"/>
      <c r="FND33" s="2511"/>
      <c r="FNE33" s="2511"/>
      <c r="FNF33" s="2511"/>
      <c r="FNG33" s="2511"/>
      <c r="FNH33" s="2511"/>
      <c r="FNI33" s="2511"/>
      <c r="FNJ33" s="2511"/>
      <c r="FNK33" s="2511"/>
      <c r="FNL33" s="2511"/>
      <c r="FNM33" s="2511"/>
      <c r="FNN33" s="2511"/>
      <c r="FNO33" s="2511"/>
      <c r="FNP33" s="2511"/>
      <c r="FNQ33" s="2511"/>
      <c r="FNR33" s="2511"/>
      <c r="FNS33" s="2511"/>
      <c r="FNT33" s="2511"/>
      <c r="FNU33" s="2511"/>
      <c r="FNV33" s="2511"/>
      <c r="FNW33" s="2511"/>
      <c r="FNX33" s="2511"/>
      <c r="FNY33" s="2511"/>
      <c r="FNZ33" s="2511"/>
      <c r="FOA33" s="2511"/>
      <c r="FOB33" s="2511"/>
      <c r="FOC33" s="2511"/>
      <c r="FOD33" s="2511"/>
      <c r="FOE33" s="2511"/>
      <c r="FOF33" s="2511"/>
      <c r="FOG33" s="2511"/>
      <c r="FOH33" s="2511"/>
      <c r="FOI33" s="2511"/>
      <c r="FOJ33" s="2511"/>
      <c r="FOK33" s="2511"/>
      <c r="FOL33" s="2511"/>
      <c r="FOM33" s="2511"/>
      <c r="FON33" s="2511"/>
      <c r="FOO33" s="2511"/>
      <c r="FOP33" s="2511"/>
      <c r="FOQ33" s="2511"/>
      <c r="FOR33" s="2511"/>
      <c r="FOS33" s="2511"/>
      <c r="FOT33" s="2511"/>
      <c r="FOU33" s="2511"/>
      <c r="FOV33" s="2511"/>
      <c r="FOW33" s="2511"/>
      <c r="FOX33" s="2511"/>
      <c r="FOY33" s="2511"/>
      <c r="FOZ33" s="2511"/>
      <c r="FPA33" s="2511"/>
      <c r="FPB33" s="2511"/>
      <c r="FPC33" s="2511"/>
      <c r="FPD33" s="2511"/>
      <c r="FPE33" s="2511"/>
      <c r="FPF33" s="2511"/>
      <c r="FPG33" s="2511"/>
      <c r="FPH33" s="2511"/>
      <c r="FPI33" s="2511"/>
      <c r="FPJ33" s="2511"/>
      <c r="FPK33" s="2511"/>
      <c r="FPL33" s="2511"/>
      <c r="FPM33" s="2511"/>
      <c r="FPN33" s="2511"/>
      <c r="FPO33" s="2511"/>
      <c r="FPP33" s="2511"/>
      <c r="FPQ33" s="2511"/>
      <c r="FPR33" s="2511"/>
      <c r="FPS33" s="2511"/>
      <c r="FPT33" s="2511"/>
      <c r="FPU33" s="2511"/>
      <c r="FPV33" s="2511"/>
      <c r="FPW33" s="2511"/>
      <c r="FPX33" s="2511"/>
      <c r="FPY33" s="2511"/>
      <c r="FPZ33" s="2511"/>
      <c r="FQA33" s="2511"/>
      <c r="FQB33" s="2511"/>
      <c r="FQC33" s="2511"/>
      <c r="FQD33" s="2511"/>
      <c r="FQE33" s="2511"/>
      <c r="FQF33" s="2511"/>
      <c r="FQG33" s="2511"/>
      <c r="FQH33" s="2511"/>
      <c r="FQI33" s="2511"/>
      <c r="FQJ33" s="2511"/>
      <c r="FQK33" s="2511"/>
      <c r="FQL33" s="2511"/>
      <c r="FQM33" s="2511"/>
      <c r="FQN33" s="2511"/>
      <c r="FQO33" s="2511"/>
      <c r="FQP33" s="2511"/>
      <c r="FQQ33" s="2511"/>
      <c r="FQR33" s="2511"/>
      <c r="FQS33" s="2511"/>
      <c r="FQT33" s="2511"/>
      <c r="FQU33" s="2511"/>
      <c r="FQV33" s="2511"/>
      <c r="FQW33" s="2511"/>
      <c r="FQX33" s="2511"/>
      <c r="FQY33" s="2511"/>
      <c r="FQZ33" s="2511"/>
      <c r="FRA33" s="2511"/>
      <c r="FRB33" s="2511"/>
      <c r="FRC33" s="2511"/>
      <c r="FRD33" s="2511"/>
      <c r="FRE33" s="2511"/>
      <c r="FRF33" s="2511"/>
      <c r="FRG33" s="2511"/>
      <c r="FRH33" s="2511"/>
      <c r="FRI33" s="2511"/>
      <c r="FRJ33" s="2511"/>
      <c r="FRK33" s="2511"/>
      <c r="FRL33" s="2511"/>
      <c r="FRM33" s="2511"/>
      <c r="FRN33" s="2511"/>
      <c r="FRO33" s="2511"/>
      <c r="FRP33" s="2511"/>
      <c r="FRQ33" s="2511"/>
      <c r="FRR33" s="2511"/>
      <c r="FRS33" s="2511"/>
      <c r="FRT33" s="2511"/>
      <c r="FRU33" s="2511"/>
      <c r="FRV33" s="2511"/>
      <c r="FRW33" s="2511"/>
      <c r="FRX33" s="2511"/>
      <c r="FRY33" s="2511"/>
      <c r="FRZ33" s="2511"/>
      <c r="FSA33" s="2511"/>
      <c r="FSB33" s="2511"/>
      <c r="FSC33" s="2511"/>
      <c r="FSD33" s="2511"/>
      <c r="FSE33" s="2511"/>
      <c r="FSF33" s="2511"/>
      <c r="FSG33" s="2511"/>
      <c r="FSH33" s="2511"/>
      <c r="FSI33" s="2511"/>
      <c r="FSJ33" s="2511"/>
      <c r="FSK33" s="2511"/>
      <c r="FSL33" s="2511"/>
      <c r="FSM33" s="2511"/>
      <c r="FSN33" s="2511"/>
      <c r="FSO33" s="2511"/>
      <c r="FSP33" s="2511"/>
      <c r="FSQ33" s="2511"/>
      <c r="FSR33" s="2511"/>
      <c r="FSS33" s="2511"/>
      <c r="FST33" s="2511"/>
      <c r="FSU33" s="2511"/>
      <c r="FSV33" s="2511"/>
      <c r="FSW33" s="2511"/>
      <c r="FSX33" s="2511"/>
      <c r="FSY33" s="2511"/>
      <c r="FSZ33" s="2511"/>
      <c r="FTA33" s="2511"/>
      <c r="FTB33" s="2511"/>
      <c r="FTC33" s="2511"/>
      <c r="FTD33" s="2511"/>
      <c r="FTE33" s="2511"/>
      <c r="FTF33" s="2511"/>
      <c r="FTG33" s="2511"/>
      <c r="FTH33" s="2511"/>
      <c r="FTI33" s="2511"/>
      <c r="FTJ33" s="2511"/>
      <c r="FTK33" s="2511"/>
      <c r="FTL33" s="2511"/>
      <c r="FTM33" s="2511"/>
      <c r="FTN33" s="2511"/>
      <c r="FTO33" s="2511"/>
      <c r="FTP33" s="2511"/>
      <c r="FTQ33" s="2511"/>
      <c r="FTR33" s="2511"/>
      <c r="FTS33" s="2511"/>
      <c r="FTT33" s="2511"/>
      <c r="FTU33" s="2511"/>
      <c r="FTV33" s="2511"/>
      <c r="FTW33" s="2511"/>
      <c r="FTX33" s="2511"/>
      <c r="FTY33" s="2511"/>
      <c r="FTZ33" s="2511"/>
      <c r="FUA33" s="2511"/>
      <c r="FUB33" s="2511"/>
      <c r="FUC33" s="2511"/>
      <c r="FUD33" s="2511"/>
      <c r="FUE33" s="2511"/>
      <c r="FUF33" s="2511"/>
      <c r="FUG33" s="2511"/>
      <c r="FUH33" s="2511"/>
      <c r="FUI33" s="2511"/>
      <c r="FUJ33" s="2511"/>
      <c r="FUK33" s="2511"/>
      <c r="FUL33" s="2511"/>
      <c r="FUM33" s="2511"/>
      <c r="FUN33" s="2511"/>
      <c r="FUO33" s="2511"/>
      <c r="FUP33" s="2511"/>
      <c r="FUQ33" s="2511"/>
      <c r="FUR33" s="2511"/>
      <c r="FUS33" s="2511"/>
      <c r="FUT33" s="2511"/>
      <c r="FUU33" s="2511"/>
      <c r="FUV33" s="2511"/>
      <c r="FUW33" s="2511"/>
      <c r="FUX33" s="2511"/>
      <c r="FUY33" s="2511"/>
      <c r="FUZ33" s="2511"/>
      <c r="FVA33" s="2511"/>
      <c r="FVB33" s="2511"/>
      <c r="FVC33" s="2511"/>
      <c r="FVD33" s="2511"/>
      <c r="FVE33" s="2511"/>
      <c r="FVF33" s="2511"/>
      <c r="FVG33" s="2511"/>
      <c r="FVH33" s="2511"/>
      <c r="FVI33" s="2511"/>
      <c r="FVJ33" s="2511"/>
      <c r="FVK33" s="2511"/>
      <c r="FVL33" s="2511"/>
      <c r="FVM33" s="2511"/>
      <c r="FVN33" s="2511"/>
      <c r="FVO33" s="2511"/>
      <c r="FVP33" s="2511"/>
      <c r="FVQ33" s="2511"/>
      <c r="FVR33" s="2511"/>
      <c r="FVS33" s="2511"/>
      <c r="FVT33" s="2511"/>
      <c r="FVU33" s="2511"/>
      <c r="FVV33" s="2511"/>
      <c r="FVW33" s="2511"/>
      <c r="FVX33" s="2511"/>
      <c r="FVY33" s="2511"/>
      <c r="FVZ33" s="2511"/>
      <c r="FWA33" s="2511"/>
      <c r="FWB33" s="2511"/>
      <c r="FWC33" s="2511"/>
      <c r="FWD33" s="2511"/>
      <c r="FWE33" s="2511"/>
      <c r="FWF33" s="2511"/>
      <c r="FWG33" s="2511"/>
      <c r="FWH33" s="2511"/>
      <c r="FWI33" s="2511"/>
      <c r="FWJ33" s="2511"/>
      <c r="FWK33" s="2511"/>
      <c r="FWL33" s="2511"/>
      <c r="FWM33" s="2511"/>
      <c r="FWN33" s="2511"/>
      <c r="FWO33" s="2511"/>
      <c r="FWP33" s="2511"/>
      <c r="FWQ33" s="2511"/>
      <c r="FWR33" s="2511"/>
      <c r="FWS33" s="2511"/>
      <c r="FWT33" s="2511"/>
      <c r="FWU33" s="2511"/>
      <c r="FWV33" s="2511"/>
      <c r="FWW33" s="2511"/>
      <c r="FWX33" s="2511"/>
      <c r="FWY33" s="2511"/>
      <c r="FWZ33" s="2511"/>
      <c r="FXA33" s="2511"/>
      <c r="FXB33" s="2511"/>
      <c r="FXC33" s="2511"/>
      <c r="FXD33" s="2511"/>
      <c r="FXE33" s="2511"/>
      <c r="FXF33" s="2511"/>
      <c r="FXG33" s="2511"/>
      <c r="FXH33" s="2511"/>
      <c r="FXI33" s="2511"/>
      <c r="FXJ33" s="2511"/>
      <c r="FXK33" s="2511"/>
      <c r="FXL33" s="2511"/>
      <c r="FXM33" s="2511"/>
      <c r="FXN33" s="2511"/>
      <c r="FXO33" s="2511"/>
      <c r="FXP33" s="2511"/>
      <c r="FXQ33" s="2511"/>
      <c r="FXR33" s="2511"/>
      <c r="FXS33" s="2511"/>
      <c r="FXT33" s="2511"/>
      <c r="FXU33" s="2511"/>
      <c r="FXV33" s="2511"/>
      <c r="FXW33" s="2511"/>
      <c r="FXX33" s="2511"/>
      <c r="FXY33" s="2511"/>
      <c r="FXZ33" s="2511"/>
      <c r="FYA33" s="2511"/>
      <c r="FYB33" s="2511"/>
      <c r="FYC33" s="2511"/>
      <c r="FYD33" s="2511"/>
      <c r="FYE33" s="2511"/>
      <c r="FYF33" s="2511"/>
      <c r="FYG33" s="2511"/>
      <c r="FYH33" s="2511"/>
      <c r="FYI33" s="2511"/>
      <c r="FYJ33" s="2511"/>
      <c r="FYK33" s="2511"/>
      <c r="FYL33" s="2511"/>
      <c r="FYM33" s="2511"/>
      <c r="FYN33" s="2511"/>
      <c r="FYO33" s="2511"/>
      <c r="FYP33" s="2511"/>
      <c r="FYQ33" s="2511"/>
      <c r="FYR33" s="2511"/>
      <c r="FYS33" s="2511"/>
      <c r="FYT33" s="2511"/>
      <c r="FYU33" s="2511"/>
      <c r="FYV33" s="2511"/>
      <c r="FYW33" s="2511"/>
      <c r="FYX33" s="2511"/>
      <c r="FYY33" s="2511"/>
      <c r="FYZ33" s="2511"/>
      <c r="FZA33" s="2511"/>
      <c r="FZB33" s="2511"/>
      <c r="FZC33" s="2511"/>
      <c r="FZD33" s="2511"/>
      <c r="FZE33" s="2511"/>
      <c r="FZF33" s="2511"/>
      <c r="FZG33" s="2511"/>
      <c r="FZH33" s="2511"/>
      <c r="FZI33" s="2511"/>
      <c r="FZJ33" s="2511"/>
      <c r="FZK33" s="2511"/>
      <c r="FZL33" s="2511"/>
      <c r="FZM33" s="2511"/>
      <c r="FZN33" s="2511"/>
      <c r="FZO33" s="2511"/>
      <c r="FZP33" s="2511"/>
      <c r="FZQ33" s="2511"/>
      <c r="FZR33" s="2511"/>
      <c r="FZS33" s="2511"/>
      <c r="FZT33" s="2511"/>
      <c r="FZU33" s="2511"/>
      <c r="FZV33" s="2511"/>
      <c r="FZW33" s="2511"/>
      <c r="FZX33" s="2511"/>
      <c r="FZY33" s="2511"/>
      <c r="FZZ33" s="2511"/>
      <c r="GAA33" s="2511"/>
      <c r="GAB33" s="2511"/>
      <c r="GAC33" s="2511"/>
      <c r="GAD33" s="2511"/>
      <c r="GAE33" s="2511"/>
      <c r="GAF33" s="2511"/>
      <c r="GAG33" s="2511"/>
      <c r="GAH33" s="2511"/>
      <c r="GAI33" s="2511"/>
      <c r="GAJ33" s="2511"/>
      <c r="GAK33" s="2511"/>
      <c r="GAL33" s="2511"/>
      <c r="GAM33" s="2511"/>
      <c r="GAN33" s="2511"/>
      <c r="GAO33" s="2511"/>
      <c r="GAP33" s="2511"/>
      <c r="GAQ33" s="2511"/>
      <c r="GAR33" s="2511"/>
      <c r="GAS33" s="2511"/>
      <c r="GAT33" s="2511"/>
      <c r="GAU33" s="2511"/>
      <c r="GAV33" s="2511"/>
      <c r="GAW33" s="2511"/>
      <c r="GAX33" s="2511"/>
      <c r="GAY33" s="2511"/>
      <c r="GAZ33" s="2511"/>
      <c r="GBA33" s="2511"/>
      <c r="GBB33" s="2511"/>
      <c r="GBC33" s="2511"/>
      <c r="GBD33" s="2511"/>
      <c r="GBE33" s="2511"/>
      <c r="GBF33" s="2511"/>
      <c r="GBG33" s="2511"/>
      <c r="GBH33" s="2511"/>
      <c r="GBI33" s="2511"/>
      <c r="GBJ33" s="2511"/>
      <c r="GBK33" s="2511"/>
      <c r="GBL33" s="2511"/>
      <c r="GBM33" s="2511"/>
      <c r="GBN33" s="2511"/>
      <c r="GBO33" s="2511"/>
      <c r="GBP33" s="2511"/>
      <c r="GBQ33" s="2511"/>
      <c r="GBR33" s="2511"/>
      <c r="GBS33" s="2511"/>
      <c r="GBT33" s="2511"/>
      <c r="GBU33" s="2511"/>
      <c r="GBV33" s="2511"/>
      <c r="GBW33" s="2511"/>
      <c r="GBX33" s="2511"/>
      <c r="GBY33" s="2511"/>
      <c r="GBZ33" s="2511"/>
      <c r="GCA33" s="2511"/>
      <c r="GCB33" s="2511"/>
      <c r="GCC33" s="2511"/>
      <c r="GCD33" s="2511"/>
      <c r="GCE33" s="2511"/>
      <c r="GCF33" s="2511"/>
      <c r="GCG33" s="2511"/>
      <c r="GCH33" s="2511"/>
      <c r="GCI33" s="2511"/>
      <c r="GCJ33" s="2511"/>
      <c r="GCK33" s="2511"/>
      <c r="GCL33" s="2511"/>
      <c r="GCM33" s="2511"/>
      <c r="GCN33" s="2511"/>
      <c r="GCO33" s="2511"/>
      <c r="GCP33" s="2511"/>
      <c r="GCQ33" s="2511"/>
      <c r="GCR33" s="2511"/>
      <c r="GCS33" s="2511"/>
      <c r="GCT33" s="2511"/>
      <c r="GCU33" s="2511"/>
      <c r="GCV33" s="2511"/>
      <c r="GCW33" s="2511"/>
      <c r="GCX33" s="2511"/>
      <c r="GCY33" s="2511"/>
      <c r="GCZ33" s="2511"/>
      <c r="GDA33" s="2511"/>
      <c r="GDB33" s="2511"/>
      <c r="GDC33" s="2511"/>
      <c r="GDD33" s="2511"/>
      <c r="GDE33" s="2511"/>
      <c r="GDF33" s="2511"/>
      <c r="GDG33" s="2511"/>
      <c r="GDH33" s="2511"/>
      <c r="GDI33" s="2511"/>
      <c r="GDJ33" s="2511"/>
      <c r="GDK33" s="2511"/>
      <c r="GDL33" s="2511"/>
      <c r="GDM33" s="2511"/>
      <c r="GDN33" s="2511"/>
      <c r="GDO33" s="2511"/>
      <c r="GDP33" s="2511"/>
      <c r="GDQ33" s="2511"/>
      <c r="GDR33" s="2511"/>
      <c r="GDS33" s="2511"/>
      <c r="GDT33" s="2511"/>
      <c r="GDU33" s="2511"/>
      <c r="GDV33" s="2511"/>
      <c r="GDW33" s="2511"/>
      <c r="GDX33" s="2511"/>
      <c r="GDY33" s="2511"/>
      <c r="GDZ33" s="2511"/>
      <c r="GEA33" s="2511"/>
      <c r="GEB33" s="2511"/>
      <c r="GEC33" s="2511"/>
      <c r="GED33" s="2511"/>
      <c r="GEE33" s="2511"/>
      <c r="GEF33" s="2511"/>
      <c r="GEG33" s="2511"/>
      <c r="GEH33" s="2511"/>
      <c r="GEI33" s="2511"/>
      <c r="GEJ33" s="2511"/>
      <c r="GEK33" s="2511"/>
      <c r="GEL33" s="2511"/>
      <c r="GEM33" s="2511"/>
      <c r="GEN33" s="2511"/>
      <c r="GEO33" s="2511"/>
      <c r="GEP33" s="2511"/>
      <c r="GEQ33" s="2511"/>
      <c r="GER33" s="2511"/>
      <c r="GES33" s="2511"/>
      <c r="GET33" s="2511"/>
      <c r="GEU33" s="2511"/>
      <c r="GEV33" s="2511"/>
      <c r="GEW33" s="2511"/>
      <c r="GEX33" s="2511"/>
      <c r="GEY33" s="2511"/>
      <c r="GEZ33" s="2511"/>
      <c r="GFA33" s="2511"/>
      <c r="GFB33" s="2511"/>
      <c r="GFC33" s="2511"/>
      <c r="GFD33" s="2511"/>
      <c r="GFE33" s="2511"/>
      <c r="GFF33" s="2511"/>
      <c r="GFG33" s="2511"/>
      <c r="GFH33" s="2511"/>
      <c r="GFI33" s="2511"/>
      <c r="GFJ33" s="2511"/>
      <c r="GFK33" s="2511"/>
      <c r="GFL33" s="2511"/>
      <c r="GFM33" s="2511"/>
      <c r="GFN33" s="2511"/>
      <c r="GFO33" s="2511"/>
      <c r="GFP33" s="2511"/>
      <c r="GFQ33" s="2511"/>
      <c r="GFR33" s="2511"/>
      <c r="GFS33" s="2511"/>
      <c r="GFT33" s="2511"/>
      <c r="GFU33" s="2511"/>
      <c r="GFV33" s="2511"/>
      <c r="GFW33" s="2511"/>
      <c r="GFX33" s="2511"/>
      <c r="GFY33" s="2511"/>
      <c r="GFZ33" s="2511"/>
      <c r="GGA33" s="2511"/>
      <c r="GGB33" s="2511"/>
      <c r="GGC33" s="2511"/>
      <c r="GGD33" s="2511"/>
      <c r="GGE33" s="2511"/>
      <c r="GGF33" s="2511"/>
      <c r="GGG33" s="2511"/>
      <c r="GGH33" s="2511"/>
      <c r="GGI33" s="2511"/>
      <c r="GGJ33" s="2511"/>
      <c r="GGK33" s="2511"/>
      <c r="GGL33" s="2511"/>
      <c r="GGM33" s="2511"/>
      <c r="GGN33" s="2511"/>
      <c r="GGO33" s="2511"/>
      <c r="GGP33" s="2511"/>
      <c r="GGQ33" s="2511"/>
      <c r="GGR33" s="2511"/>
      <c r="GGS33" s="2511"/>
      <c r="GGT33" s="2511"/>
      <c r="GGU33" s="2511"/>
      <c r="GGV33" s="2511"/>
      <c r="GGW33" s="2511"/>
      <c r="GGX33" s="2511"/>
      <c r="GGY33" s="2511"/>
      <c r="GGZ33" s="2511"/>
      <c r="GHA33" s="2511"/>
      <c r="GHB33" s="2511"/>
      <c r="GHC33" s="2511"/>
      <c r="GHD33" s="2511"/>
      <c r="GHE33" s="2511"/>
      <c r="GHF33" s="2511"/>
      <c r="GHG33" s="2511"/>
      <c r="GHH33" s="2511"/>
      <c r="GHI33" s="2511"/>
      <c r="GHJ33" s="2511"/>
      <c r="GHK33" s="2511"/>
      <c r="GHL33" s="2511"/>
      <c r="GHM33" s="2511"/>
      <c r="GHN33" s="2511"/>
      <c r="GHO33" s="2511"/>
      <c r="GHP33" s="2511"/>
      <c r="GHQ33" s="2511"/>
      <c r="GHR33" s="2511"/>
      <c r="GHS33" s="2511"/>
      <c r="GHT33" s="2511"/>
      <c r="GHU33" s="2511"/>
      <c r="GHV33" s="2511"/>
      <c r="GHW33" s="2511"/>
      <c r="GHX33" s="2511"/>
      <c r="GHY33" s="2511"/>
      <c r="GHZ33" s="2511"/>
      <c r="GIA33" s="2511"/>
      <c r="GIB33" s="2511"/>
      <c r="GIC33" s="2511"/>
      <c r="GID33" s="2511"/>
      <c r="GIE33" s="2511"/>
      <c r="GIF33" s="2511"/>
      <c r="GIG33" s="2511"/>
      <c r="GIH33" s="2511"/>
      <c r="GII33" s="2511"/>
      <c r="GIJ33" s="2511"/>
      <c r="GIK33" s="2511"/>
      <c r="GIL33" s="2511"/>
      <c r="GIM33" s="2511"/>
      <c r="GIN33" s="2511"/>
      <c r="GIO33" s="2511"/>
      <c r="GIP33" s="2511"/>
      <c r="GIQ33" s="2511"/>
      <c r="GIR33" s="2511"/>
      <c r="GIS33" s="2511"/>
      <c r="GIT33" s="2511"/>
      <c r="GIU33" s="2511"/>
      <c r="GIV33" s="2511"/>
      <c r="GIW33" s="2511"/>
      <c r="GIX33" s="2511"/>
      <c r="GIY33" s="2511"/>
      <c r="GIZ33" s="2511"/>
      <c r="GJA33" s="2511"/>
      <c r="GJB33" s="2511"/>
      <c r="GJC33" s="2511"/>
      <c r="GJD33" s="2511"/>
      <c r="GJE33" s="2511"/>
      <c r="GJF33" s="2511"/>
      <c r="GJG33" s="2511"/>
      <c r="GJH33" s="2511"/>
      <c r="GJI33" s="2511"/>
      <c r="GJJ33" s="2511"/>
      <c r="GJK33" s="2511"/>
      <c r="GJL33" s="2511"/>
      <c r="GJM33" s="2511"/>
      <c r="GJN33" s="2511"/>
      <c r="GJO33" s="2511"/>
      <c r="GJP33" s="2511"/>
      <c r="GJQ33" s="2511"/>
      <c r="GJR33" s="2511"/>
      <c r="GJS33" s="2511"/>
      <c r="GJT33" s="2511"/>
      <c r="GJU33" s="2511"/>
      <c r="GJV33" s="2511"/>
      <c r="GJW33" s="2511"/>
      <c r="GJX33" s="2511"/>
      <c r="GJY33" s="2511"/>
      <c r="GJZ33" s="2511"/>
      <c r="GKA33" s="2511"/>
      <c r="GKB33" s="2511"/>
      <c r="GKC33" s="2511"/>
      <c r="GKD33" s="2511"/>
      <c r="GKE33" s="2511"/>
      <c r="GKF33" s="2511"/>
      <c r="GKG33" s="2511"/>
      <c r="GKH33" s="2511"/>
      <c r="GKI33" s="2511"/>
      <c r="GKJ33" s="2511"/>
      <c r="GKK33" s="2511"/>
      <c r="GKL33" s="2511"/>
      <c r="GKM33" s="2511"/>
      <c r="GKN33" s="2511"/>
      <c r="GKO33" s="2511"/>
      <c r="GKP33" s="2511"/>
      <c r="GKQ33" s="2511"/>
      <c r="GKR33" s="2511"/>
      <c r="GKS33" s="2511"/>
      <c r="GKT33" s="2511"/>
      <c r="GKU33" s="2511"/>
      <c r="GKV33" s="2511"/>
      <c r="GKW33" s="2511"/>
      <c r="GKX33" s="2511"/>
      <c r="GKY33" s="2511"/>
      <c r="GKZ33" s="2511"/>
      <c r="GLA33" s="2511"/>
      <c r="GLB33" s="2511"/>
      <c r="GLC33" s="2511"/>
      <c r="GLD33" s="2511"/>
      <c r="GLE33" s="2511"/>
      <c r="GLF33" s="2511"/>
      <c r="GLG33" s="2511"/>
      <c r="GLH33" s="2511"/>
      <c r="GLI33" s="2511"/>
      <c r="GLJ33" s="2511"/>
      <c r="GLK33" s="2511"/>
      <c r="GLL33" s="2511"/>
      <c r="GLM33" s="2511"/>
      <c r="GLN33" s="2511"/>
      <c r="GLO33" s="2511"/>
      <c r="GLP33" s="2511"/>
      <c r="GLQ33" s="2511"/>
      <c r="GLR33" s="2511"/>
      <c r="GLS33" s="2511"/>
      <c r="GLT33" s="2511"/>
      <c r="GLU33" s="2511"/>
      <c r="GLV33" s="2511"/>
      <c r="GLW33" s="2511"/>
      <c r="GLX33" s="2511"/>
      <c r="GLY33" s="2511"/>
      <c r="GLZ33" s="2511"/>
      <c r="GMA33" s="2511"/>
      <c r="GMB33" s="2511"/>
      <c r="GMC33" s="2511"/>
      <c r="GMD33" s="2511"/>
      <c r="GME33" s="2511"/>
      <c r="GMF33" s="2511"/>
      <c r="GMG33" s="2511"/>
      <c r="GMH33" s="2511"/>
      <c r="GMI33" s="2511"/>
      <c r="GMJ33" s="2511"/>
      <c r="GMK33" s="2511"/>
      <c r="GML33" s="2511"/>
      <c r="GMM33" s="2511"/>
      <c r="GMN33" s="2511"/>
      <c r="GMO33" s="2511"/>
      <c r="GMP33" s="2511"/>
      <c r="GMQ33" s="2511"/>
      <c r="GMR33" s="2511"/>
      <c r="GMS33" s="2511"/>
      <c r="GMT33" s="2511"/>
      <c r="GMU33" s="2511"/>
      <c r="GMV33" s="2511"/>
      <c r="GMW33" s="2511"/>
      <c r="GMX33" s="2511"/>
      <c r="GMY33" s="2511"/>
      <c r="GMZ33" s="2511"/>
      <c r="GNA33" s="2511"/>
      <c r="GNB33" s="2511"/>
      <c r="GNC33" s="2511"/>
      <c r="GND33" s="2511"/>
      <c r="GNE33" s="2511"/>
      <c r="GNF33" s="2511"/>
      <c r="GNG33" s="2511"/>
      <c r="GNH33" s="2511"/>
      <c r="GNI33" s="2511"/>
      <c r="GNJ33" s="2511"/>
      <c r="GNK33" s="2511"/>
      <c r="GNL33" s="2511"/>
      <c r="GNM33" s="2511"/>
      <c r="GNN33" s="2511"/>
      <c r="GNO33" s="2511"/>
      <c r="GNP33" s="2511"/>
      <c r="GNQ33" s="2511"/>
      <c r="GNR33" s="2511"/>
      <c r="GNS33" s="2511"/>
      <c r="GNT33" s="2511"/>
      <c r="GNU33" s="2511"/>
      <c r="GNV33" s="2511"/>
      <c r="GNW33" s="2511"/>
      <c r="GNX33" s="2511"/>
      <c r="GNY33" s="2511"/>
      <c r="GNZ33" s="2511"/>
      <c r="GOA33" s="2511"/>
      <c r="GOB33" s="2511"/>
      <c r="GOC33" s="2511"/>
      <c r="GOD33" s="2511"/>
      <c r="GOE33" s="2511"/>
      <c r="GOF33" s="2511"/>
      <c r="GOG33" s="2511"/>
      <c r="GOH33" s="2511"/>
      <c r="GOI33" s="2511"/>
      <c r="GOJ33" s="2511"/>
      <c r="GOK33" s="2511"/>
      <c r="GOL33" s="2511"/>
      <c r="GOM33" s="2511"/>
      <c r="GON33" s="2511"/>
      <c r="GOO33" s="2511"/>
      <c r="GOP33" s="2511"/>
      <c r="GOQ33" s="2511"/>
      <c r="GOR33" s="2511"/>
      <c r="GOS33" s="2511"/>
      <c r="GOT33" s="2511"/>
      <c r="GOU33" s="2511"/>
      <c r="GOV33" s="2511"/>
      <c r="GOW33" s="2511"/>
      <c r="GOX33" s="2511"/>
      <c r="GOY33" s="2511"/>
      <c r="GOZ33" s="2511"/>
      <c r="GPA33" s="2511"/>
      <c r="GPB33" s="2511"/>
      <c r="GPC33" s="2511"/>
      <c r="GPD33" s="2511"/>
      <c r="GPE33" s="2511"/>
      <c r="GPF33" s="2511"/>
      <c r="GPG33" s="2511"/>
      <c r="GPH33" s="2511"/>
      <c r="GPI33" s="2511"/>
      <c r="GPJ33" s="2511"/>
      <c r="GPK33" s="2511"/>
      <c r="GPL33" s="2511"/>
      <c r="GPM33" s="2511"/>
      <c r="GPN33" s="2511"/>
      <c r="GPO33" s="2511"/>
      <c r="GPP33" s="2511"/>
      <c r="GPQ33" s="2511"/>
      <c r="GPR33" s="2511"/>
      <c r="GPS33" s="2511"/>
      <c r="GPT33" s="2511"/>
      <c r="GPU33" s="2511"/>
      <c r="GPV33" s="2511"/>
      <c r="GPW33" s="2511"/>
      <c r="GPX33" s="2511"/>
      <c r="GPY33" s="2511"/>
      <c r="GPZ33" s="2511"/>
      <c r="GQA33" s="2511"/>
      <c r="GQB33" s="2511"/>
      <c r="GQC33" s="2511"/>
      <c r="GQD33" s="2511"/>
      <c r="GQE33" s="2511"/>
      <c r="GQF33" s="2511"/>
      <c r="GQG33" s="2511"/>
      <c r="GQH33" s="2511"/>
      <c r="GQI33" s="2511"/>
      <c r="GQJ33" s="2511"/>
      <c r="GQK33" s="2511"/>
      <c r="GQL33" s="2511"/>
      <c r="GQM33" s="2511"/>
      <c r="GQN33" s="2511"/>
      <c r="GQO33" s="2511"/>
      <c r="GQP33" s="2511"/>
      <c r="GQQ33" s="2511"/>
      <c r="GQR33" s="2511"/>
      <c r="GQS33" s="2511"/>
      <c r="GQT33" s="2511"/>
      <c r="GQU33" s="2511"/>
      <c r="GQV33" s="2511"/>
      <c r="GQW33" s="2511"/>
      <c r="GQX33" s="2511"/>
      <c r="GQY33" s="2511"/>
      <c r="GQZ33" s="2511"/>
      <c r="GRA33" s="2511"/>
      <c r="GRB33" s="2511"/>
      <c r="GRC33" s="2511"/>
      <c r="GRD33" s="2511"/>
      <c r="GRE33" s="2511"/>
      <c r="GRF33" s="2511"/>
      <c r="GRG33" s="2511"/>
      <c r="GRH33" s="2511"/>
      <c r="GRI33" s="2511"/>
      <c r="GRJ33" s="2511"/>
      <c r="GRK33" s="2511"/>
      <c r="GRL33" s="2511"/>
      <c r="GRM33" s="2511"/>
      <c r="GRN33" s="2511"/>
      <c r="GRO33" s="2511"/>
      <c r="GRP33" s="2511"/>
      <c r="GRQ33" s="2511"/>
      <c r="GRR33" s="2511"/>
      <c r="GRS33" s="2511"/>
      <c r="GRT33" s="2511"/>
      <c r="GRU33" s="2511"/>
      <c r="GRV33" s="2511"/>
      <c r="GRW33" s="2511"/>
      <c r="GRX33" s="2511"/>
      <c r="GRY33" s="2511"/>
      <c r="GRZ33" s="2511"/>
      <c r="GSA33" s="2511"/>
      <c r="GSB33" s="2511"/>
      <c r="GSC33" s="2511"/>
      <c r="GSD33" s="2511"/>
      <c r="GSE33" s="2511"/>
      <c r="GSF33" s="2511"/>
      <c r="GSG33" s="2511"/>
      <c r="GSH33" s="2511"/>
      <c r="GSI33" s="2511"/>
      <c r="GSJ33" s="2511"/>
      <c r="GSK33" s="2511"/>
      <c r="GSL33" s="2511"/>
      <c r="GSM33" s="2511"/>
      <c r="GSN33" s="2511"/>
      <c r="GSO33" s="2511"/>
      <c r="GSP33" s="2511"/>
      <c r="GSQ33" s="2511"/>
      <c r="GSR33" s="2511"/>
      <c r="GSS33" s="2511"/>
      <c r="GST33" s="2511"/>
      <c r="GSU33" s="2511"/>
      <c r="GSV33" s="2511"/>
      <c r="GSW33" s="2511"/>
      <c r="GSX33" s="2511"/>
      <c r="GSY33" s="2511"/>
      <c r="GSZ33" s="2511"/>
      <c r="GTA33" s="2511"/>
      <c r="GTB33" s="2511"/>
      <c r="GTC33" s="2511"/>
      <c r="GTD33" s="2511"/>
      <c r="GTE33" s="2511"/>
      <c r="GTF33" s="2511"/>
      <c r="GTG33" s="2511"/>
      <c r="GTH33" s="2511"/>
      <c r="GTI33" s="2511"/>
      <c r="GTJ33" s="2511"/>
      <c r="GTK33" s="2511"/>
      <c r="GTL33" s="2511"/>
      <c r="GTM33" s="2511"/>
      <c r="GTN33" s="2511"/>
      <c r="GTO33" s="2511"/>
      <c r="GTP33" s="2511"/>
      <c r="GTQ33" s="2511"/>
      <c r="GTR33" s="2511"/>
      <c r="GTS33" s="2511"/>
      <c r="GTT33" s="2511"/>
      <c r="GTU33" s="2511"/>
      <c r="GTV33" s="2511"/>
      <c r="GTW33" s="2511"/>
      <c r="GTX33" s="2511"/>
      <c r="GTY33" s="2511"/>
      <c r="GTZ33" s="2511"/>
      <c r="GUA33" s="2511"/>
      <c r="GUB33" s="2511"/>
      <c r="GUC33" s="2511"/>
      <c r="GUD33" s="2511"/>
      <c r="GUE33" s="2511"/>
      <c r="GUF33" s="2511"/>
      <c r="GUG33" s="2511"/>
      <c r="GUH33" s="2511"/>
      <c r="GUI33" s="2511"/>
      <c r="GUJ33" s="2511"/>
      <c r="GUK33" s="2511"/>
      <c r="GUL33" s="2511"/>
      <c r="GUM33" s="2511"/>
      <c r="GUN33" s="2511"/>
      <c r="GUO33" s="2511"/>
      <c r="GUP33" s="2511"/>
      <c r="GUQ33" s="2511"/>
      <c r="GUR33" s="2511"/>
      <c r="GUS33" s="2511"/>
      <c r="GUT33" s="2511"/>
      <c r="GUU33" s="2511"/>
      <c r="GUV33" s="2511"/>
      <c r="GUW33" s="2511"/>
      <c r="GUX33" s="2511"/>
      <c r="GUY33" s="2511"/>
      <c r="GUZ33" s="2511"/>
      <c r="GVA33" s="2511"/>
      <c r="GVB33" s="2511"/>
      <c r="GVC33" s="2511"/>
      <c r="GVD33" s="2511"/>
      <c r="GVE33" s="2511"/>
      <c r="GVF33" s="2511"/>
      <c r="GVG33" s="2511"/>
      <c r="GVH33" s="2511"/>
      <c r="GVI33" s="2511"/>
      <c r="GVJ33" s="2511"/>
      <c r="GVK33" s="2511"/>
      <c r="GVL33" s="2511"/>
      <c r="GVM33" s="2511"/>
      <c r="GVN33" s="2511"/>
      <c r="GVO33" s="2511"/>
      <c r="GVP33" s="2511"/>
      <c r="GVQ33" s="2511"/>
      <c r="GVR33" s="2511"/>
      <c r="GVS33" s="2511"/>
      <c r="GVT33" s="2511"/>
      <c r="GVU33" s="2511"/>
      <c r="GVV33" s="2511"/>
      <c r="GVW33" s="2511"/>
      <c r="GVX33" s="2511"/>
      <c r="GVY33" s="2511"/>
      <c r="GVZ33" s="2511"/>
      <c r="GWA33" s="2511"/>
      <c r="GWB33" s="2511"/>
      <c r="GWC33" s="2511"/>
      <c r="GWD33" s="2511"/>
      <c r="GWE33" s="2511"/>
      <c r="GWF33" s="2511"/>
      <c r="GWG33" s="2511"/>
      <c r="GWH33" s="2511"/>
      <c r="GWI33" s="2511"/>
      <c r="GWJ33" s="2511"/>
      <c r="GWK33" s="2511"/>
      <c r="GWL33" s="2511"/>
      <c r="GWM33" s="2511"/>
      <c r="GWN33" s="2511"/>
      <c r="GWO33" s="2511"/>
      <c r="GWP33" s="2511"/>
      <c r="GWQ33" s="2511"/>
      <c r="GWR33" s="2511"/>
      <c r="GWS33" s="2511"/>
      <c r="GWT33" s="2511"/>
      <c r="GWU33" s="2511"/>
      <c r="GWV33" s="2511"/>
      <c r="GWW33" s="2511"/>
      <c r="GWX33" s="2511"/>
      <c r="GWY33" s="2511"/>
      <c r="GWZ33" s="2511"/>
      <c r="GXA33" s="2511"/>
      <c r="GXB33" s="2511"/>
      <c r="GXC33" s="2511"/>
      <c r="GXD33" s="2511"/>
      <c r="GXE33" s="2511"/>
      <c r="GXF33" s="2511"/>
      <c r="GXG33" s="2511"/>
      <c r="GXH33" s="2511"/>
      <c r="GXI33" s="2511"/>
      <c r="GXJ33" s="2511"/>
      <c r="GXK33" s="2511"/>
      <c r="GXL33" s="2511"/>
      <c r="GXM33" s="2511"/>
      <c r="GXN33" s="2511"/>
      <c r="GXO33" s="2511"/>
      <c r="GXP33" s="2511"/>
      <c r="GXQ33" s="2511"/>
      <c r="GXR33" s="2511"/>
      <c r="GXS33" s="2511"/>
      <c r="GXT33" s="2511"/>
      <c r="GXU33" s="2511"/>
      <c r="GXV33" s="2511"/>
      <c r="GXW33" s="2511"/>
      <c r="GXX33" s="2511"/>
      <c r="GXY33" s="2511"/>
      <c r="GXZ33" s="2511"/>
      <c r="GYA33" s="2511"/>
      <c r="GYB33" s="2511"/>
      <c r="GYC33" s="2511"/>
      <c r="GYD33" s="2511"/>
      <c r="GYE33" s="2511"/>
      <c r="GYF33" s="2511"/>
      <c r="GYG33" s="2511"/>
      <c r="GYH33" s="2511"/>
      <c r="GYI33" s="2511"/>
      <c r="GYJ33" s="2511"/>
      <c r="GYK33" s="2511"/>
      <c r="GYL33" s="2511"/>
      <c r="GYM33" s="2511"/>
      <c r="GYN33" s="2511"/>
      <c r="GYO33" s="2511"/>
      <c r="GYP33" s="2511"/>
      <c r="GYQ33" s="2511"/>
      <c r="GYR33" s="2511"/>
      <c r="GYS33" s="2511"/>
      <c r="GYT33" s="2511"/>
      <c r="GYU33" s="2511"/>
      <c r="GYV33" s="2511"/>
      <c r="GYW33" s="2511"/>
      <c r="GYX33" s="2511"/>
      <c r="GYY33" s="2511"/>
      <c r="GYZ33" s="2511"/>
      <c r="GZA33" s="2511"/>
      <c r="GZB33" s="2511"/>
      <c r="GZC33" s="2511"/>
      <c r="GZD33" s="2511"/>
      <c r="GZE33" s="2511"/>
      <c r="GZF33" s="2511"/>
      <c r="GZG33" s="2511"/>
      <c r="GZH33" s="2511"/>
      <c r="GZI33" s="2511"/>
      <c r="GZJ33" s="2511"/>
      <c r="GZK33" s="2511"/>
      <c r="GZL33" s="2511"/>
      <c r="GZM33" s="2511"/>
      <c r="GZN33" s="2511"/>
      <c r="GZO33" s="2511"/>
      <c r="GZP33" s="2511"/>
      <c r="GZQ33" s="2511"/>
      <c r="GZR33" s="2511"/>
      <c r="GZS33" s="2511"/>
      <c r="GZT33" s="2511"/>
      <c r="GZU33" s="2511"/>
      <c r="GZV33" s="2511"/>
      <c r="GZW33" s="2511"/>
      <c r="GZX33" s="2511"/>
      <c r="GZY33" s="2511"/>
      <c r="GZZ33" s="2511"/>
      <c r="HAA33" s="2511"/>
      <c r="HAB33" s="2511"/>
      <c r="HAC33" s="2511"/>
      <c r="HAD33" s="2511"/>
      <c r="HAE33" s="2511"/>
      <c r="HAF33" s="2511"/>
      <c r="HAG33" s="2511"/>
      <c r="HAH33" s="2511"/>
      <c r="HAI33" s="2511"/>
      <c r="HAJ33" s="2511"/>
      <c r="HAK33" s="2511"/>
      <c r="HAL33" s="2511"/>
      <c r="HAM33" s="2511"/>
      <c r="HAN33" s="2511"/>
      <c r="HAO33" s="2511"/>
      <c r="HAP33" s="2511"/>
      <c r="HAQ33" s="2511"/>
      <c r="HAR33" s="2511"/>
      <c r="HAS33" s="2511"/>
      <c r="HAT33" s="2511"/>
      <c r="HAU33" s="2511"/>
      <c r="HAV33" s="2511"/>
      <c r="HAW33" s="2511"/>
      <c r="HAX33" s="2511"/>
      <c r="HAY33" s="2511"/>
      <c r="HAZ33" s="2511"/>
      <c r="HBA33" s="2511"/>
      <c r="HBB33" s="2511"/>
      <c r="HBC33" s="2511"/>
      <c r="HBD33" s="2511"/>
      <c r="HBE33" s="2511"/>
      <c r="HBF33" s="2511"/>
      <c r="HBG33" s="2511"/>
      <c r="HBH33" s="2511"/>
      <c r="HBI33" s="2511"/>
      <c r="HBJ33" s="2511"/>
      <c r="HBK33" s="2511"/>
      <c r="HBL33" s="2511"/>
      <c r="HBM33" s="2511"/>
      <c r="HBN33" s="2511"/>
      <c r="HBO33" s="2511"/>
      <c r="HBP33" s="2511"/>
      <c r="HBQ33" s="2511"/>
      <c r="HBR33" s="2511"/>
      <c r="HBS33" s="2511"/>
      <c r="HBT33" s="2511"/>
      <c r="HBU33" s="2511"/>
      <c r="HBV33" s="2511"/>
      <c r="HBW33" s="2511"/>
      <c r="HBX33" s="2511"/>
      <c r="HBY33" s="2511"/>
      <c r="HBZ33" s="2511"/>
      <c r="HCA33" s="2511"/>
      <c r="HCB33" s="2511"/>
      <c r="HCC33" s="2511"/>
      <c r="HCD33" s="2511"/>
      <c r="HCE33" s="2511"/>
      <c r="HCF33" s="2511"/>
      <c r="HCG33" s="2511"/>
      <c r="HCH33" s="2511"/>
      <c r="HCI33" s="2511"/>
      <c r="HCJ33" s="2511"/>
      <c r="HCK33" s="2511"/>
      <c r="HCL33" s="2511"/>
      <c r="HCM33" s="2511"/>
      <c r="HCN33" s="2511"/>
      <c r="HCO33" s="2511"/>
      <c r="HCP33" s="2511"/>
      <c r="HCQ33" s="2511"/>
      <c r="HCR33" s="2511"/>
      <c r="HCS33" s="2511"/>
      <c r="HCT33" s="2511"/>
      <c r="HCU33" s="2511"/>
      <c r="HCV33" s="2511"/>
      <c r="HCW33" s="2511"/>
      <c r="HCX33" s="2511"/>
      <c r="HCY33" s="2511"/>
      <c r="HCZ33" s="2511"/>
      <c r="HDA33" s="2511"/>
      <c r="HDB33" s="2511"/>
      <c r="HDC33" s="2511"/>
      <c r="HDD33" s="2511"/>
      <c r="HDE33" s="2511"/>
      <c r="HDF33" s="2511"/>
      <c r="HDG33" s="2511"/>
      <c r="HDH33" s="2511"/>
      <c r="HDI33" s="2511"/>
      <c r="HDJ33" s="2511"/>
      <c r="HDK33" s="2511"/>
      <c r="HDL33" s="2511"/>
      <c r="HDM33" s="2511"/>
      <c r="HDN33" s="2511"/>
      <c r="HDO33" s="2511"/>
      <c r="HDP33" s="2511"/>
      <c r="HDQ33" s="2511"/>
      <c r="HDR33" s="2511"/>
      <c r="HDS33" s="2511"/>
      <c r="HDT33" s="2511"/>
      <c r="HDU33" s="2511"/>
      <c r="HDV33" s="2511"/>
      <c r="HDW33" s="2511"/>
      <c r="HDX33" s="2511"/>
      <c r="HDY33" s="2511"/>
      <c r="HDZ33" s="2511"/>
      <c r="HEA33" s="2511"/>
      <c r="HEB33" s="2511"/>
      <c r="HEC33" s="2511"/>
      <c r="HED33" s="2511"/>
      <c r="HEE33" s="2511"/>
      <c r="HEF33" s="2511"/>
      <c r="HEG33" s="2511"/>
      <c r="HEH33" s="2511"/>
      <c r="HEI33" s="2511"/>
      <c r="HEJ33" s="2511"/>
      <c r="HEK33" s="2511"/>
      <c r="HEL33" s="2511"/>
      <c r="HEM33" s="2511"/>
      <c r="HEN33" s="2511"/>
      <c r="HEO33" s="2511"/>
      <c r="HEP33" s="2511"/>
      <c r="HEQ33" s="2511"/>
      <c r="HER33" s="2511"/>
      <c r="HES33" s="2511"/>
      <c r="HET33" s="2511"/>
      <c r="HEU33" s="2511"/>
      <c r="HEV33" s="2511"/>
      <c r="HEW33" s="2511"/>
      <c r="HEX33" s="2511"/>
      <c r="HEY33" s="2511"/>
      <c r="HEZ33" s="2511"/>
      <c r="HFA33" s="2511"/>
      <c r="HFB33" s="2511"/>
      <c r="HFC33" s="2511"/>
      <c r="HFD33" s="2511"/>
      <c r="HFE33" s="2511"/>
      <c r="HFF33" s="2511"/>
      <c r="HFG33" s="2511"/>
      <c r="HFH33" s="2511"/>
      <c r="HFI33" s="2511"/>
      <c r="HFJ33" s="2511"/>
      <c r="HFK33" s="2511"/>
      <c r="HFL33" s="2511"/>
      <c r="HFM33" s="2511"/>
      <c r="HFN33" s="2511"/>
      <c r="HFO33" s="2511"/>
      <c r="HFP33" s="2511"/>
      <c r="HFQ33" s="2511"/>
      <c r="HFR33" s="2511"/>
      <c r="HFS33" s="2511"/>
      <c r="HFT33" s="2511"/>
      <c r="HFU33" s="2511"/>
      <c r="HFV33" s="2511"/>
      <c r="HFW33" s="2511"/>
      <c r="HFX33" s="2511"/>
      <c r="HFY33" s="2511"/>
      <c r="HFZ33" s="2511"/>
      <c r="HGA33" s="2511"/>
      <c r="HGB33" s="2511"/>
      <c r="HGC33" s="2511"/>
      <c r="HGD33" s="2511"/>
      <c r="HGE33" s="2511"/>
      <c r="HGF33" s="2511"/>
      <c r="HGG33" s="2511"/>
      <c r="HGH33" s="2511"/>
      <c r="HGI33" s="2511"/>
      <c r="HGJ33" s="2511"/>
      <c r="HGK33" s="2511"/>
      <c r="HGL33" s="2511"/>
      <c r="HGM33" s="2511"/>
      <c r="HGN33" s="2511"/>
      <c r="HGO33" s="2511"/>
      <c r="HGP33" s="2511"/>
      <c r="HGQ33" s="2511"/>
      <c r="HGR33" s="2511"/>
      <c r="HGS33" s="2511"/>
      <c r="HGT33" s="2511"/>
      <c r="HGU33" s="2511"/>
      <c r="HGV33" s="2511"/>
      <c r="HGW33" s="2511"/>
      <c r="HGX33" s="2511"/>
      <c r="HGY33" s="2511"/>
      <c r="HGZ33" s="2511"/>
      <c r="HHA33" s="2511"/>
      <c r="HHB33" s="2511"/>
      <c r="HHC33" s="2511"/>
      <c r="HHD33" s="2511"/>
      <c r="HHE33" s="2511"/>
      <c r="HHF33" s="2511"/>
      <c r="HHG33" s="2511"/>
      <c r="HHH33" s="2511"/>
      <c r="HHI33" s="2511"/>
      <c r="HHJ33" s="2511"/>
      <c r="HHK33" s="2511"/>
      <c r="HHL33" s="2511"/>
      <c r="HHM33" s="2511"/>
      <c r="HHN33" s="2511"/>
      <c r="HHO33" s="2511"/>
      <c r="HHP33" s="2511"/>
      <c r="HHQ33" s="2511"/>
      <c r="HHR33" s="2511"/>
      <c r="HHS33" s="2511"/>
      <c r="HHT33" s="2511"/>
      <c r="HHU33" s="2511"/>
      <c r="HHV33" s="2511"/>
      <c r="HHW33" s="2511"/>
      <c r="HHX33" s="2511"/>
      <c r="HHY33" s="2511"/>
      <c r="HHZ33" s="2511"/>
      <c r="HIA33" s="2511"/>
      <c r="HIB33" s="2511"/>
      <c r="HIC33" s="2511"/>
      <c r="HID33" s="2511"/>
      <c r="HIE33" s="2511"/>
      <c r="HIF33" s="2511"/>
      <c r="HIG33" s="2511"/>
      <c r="HIH33" s="2511"/>
      <c r="HII33" s="2511"/>
      <c r="HIJ33" s="2511"/>
      <c r="HIK33" s="2511"/>
      <c r="HIL33" s="2511"/>
      <c r="HIM33" s="2511"/>
      <c r="HIN33" s="2511"/>
      <c r="HIO33" s="2511"/>
      <c r="HIP33" s="2511"/>
      <c r="HIQ33" s="2511"/>
      <c r="HIR33" s="2511"/>
      <c r="HIS33" s="2511"/>
      <c r="HIT33" s="2511"/>
      <c r="HIU33" s="2511"/>
      <c r="HIV33" s="2511"/>
      <c r="HIW33" s="2511"/>
      <c r="HIX33" s="2511"/>
      <c r="HIY33" s="2511"/>
      <c r="HIZ33" s="2511"/>
      <c r="HJA33" s="2511"/>
      <c r="HJB33" s="2511"/>
      <c r="HJC33" s="2511"/>
      <c r="HJD33" s="2511"/>
      <c r="HJE33" s="2511"/>
      <c r="HJF33" s="2511"/>
      <c r="HJG33" s="2511"/>
      <c r="HJH33" s="2511"/>
      <c r="HJI33" s="2511"/>
      <c r="HJJ33" s="2511"/>
      <c r="HJK33" s="2511"/>
      <c r="HJL33" s="2511"/>
      <c r="HJM33" s="2511"/>
      <c r="HJN33" s="2511"/>
      <c r="HJO33" s="2511"/>
      <c r="HJP33" s="2511"/>
      <c r="HJQ33" s="2511"/>
      <c r="HJR33" s="2511"/>
      <c r="HJS33" s="2511"/>
      <c r="HJT33" s="2511"/>
      <c r="HJU33" s="2511"/>
      <c r="HJV33" s="2511"/>
      <c r="HJW33" s="2511"/>
      <c r="HJX33" s="2511"/>
      <c r="HJY33" s="2511"/>
      <c r="HJZ33" s="2511"/>
      <c r="HKA33" s="2511"/>
      <c r="HKB33" s="2511"/>
      <c r="HKC33" s="2511"/>
      <c r="HKD33" s="2511"/>
      <c r="HKE33" s="2511"/>
      <c r="HKF33" s="2511"/>
      <c r="HKG33" s="2511"/>
      <c r="HKH33" s="2511"/>
      <c r="HKI33" s="2511"/>
      <c r="HKJ33" s="2511"/>
      <c r="HKK33" s="2511"/>
      <c r="HKL33" s="2511"/>
      <c r="HKM33" s="2511"/>
      <c r="HKN33" s="2511"/>
      <c r="HKO33" s="2511"/>
      <c r="HKP33" s="2511"/>
      <c r="HKQ33" s="2511"/>
      <c r="HKR33" s="2511"/>
      <c r="HKS33" s="2511"/>
      <c r="HKT33" s="2511"/>
      <c r="HKU33" s="2511"/>
      <c r="HKV33" s="2511"/>
      <c r="HKW33" s="2511"/>
      <c r="HKX33" s="2511"/>
      <c r="HKY33" s="2511"/>
      <c r="HKZ33" s="2511"/>
      <c r="HLA33" s="2511"/>
      <c r="HLB33" s="2511"/>
      <c r="HLC33" s="2511"/>
      <c r="HLD33" s="2511"/>
      <c r="HLE33" s="2511"/>
      <c r="HLF33" s="2511"/>
      <c r="HLG33" s="2511"/>
      <c r="HLH33" s="2511"/>
      <c r="HLI33" s="2511"/>
      <c r="HLJ33" s="2511"/>
      <c r="HLK33" s="2511"/>
      <c r="HLL33" s="2511"/>
      <c r="HLM33" s="2511"/>
      <c r="HLN33" s="2511"/>
      <c r="HLO33" s="2511"/>
      <c r="HLP33" s="2511"/>
      <c r="HLQ33" s="2511"/>
      <c r="HLR33" s="2511"/>
      <c r="HLS33" s="2511"/>
      <c r="HLT33" s="2511"/>
      <c r="HLU33" s="2511"/>
      <c r="HLV33" s="2511"/>
      <c r="HLW33" s="2511"/>
      <c r="HLX33" s="2511"/>
      <c r="HLY33" s="2511"/>
      <c r="HLZ33" s="2511"/>
      <c r="HMA33" s="2511"/>
      <c r="HMB33" s="2511"/>
      <c r="HMC33" s="2511"/>
      <c r="HMD33" s="2511"/>
      <c r="HME33" s="2511"/>
      <c r="HMF33" s="2511"/>
      <c r="HMG33" s="2511"/>
      <c r="HMH33" s="2511"/>
      <c r="HMI33" s="2511"/>
      <c r="HMJ33" s="2511"/>
      <c r="HMK33" s="2511"/>
      <c r="HML33" s="2511"/>
      <c r="HMM33" s="2511"/>
      <c r="HMN33" s="2511"/>
      <c r="HMO33" s="2511"/>
      <c r="HMP33" s="2511"/>
      <c r="HMQ33" s="2511"/>
      <c r="HMR33" s="2511"/>
      <c r="HMS33" s="2511"/>
      <c r="HMT33" s="2511"/>
      <c r="HMU33" s="2511"/>
      <c r="HMV33" s="2511"/>
      <c r="HMW33" s="2511"/>
      <c r="HMX33" s="2511"/>
      <c r="HMY33" s="2511"/>
      <c r="HMZ33" s="2511"/>
      <c r="HNA33" s="2511"/>
      <c r="HNB33" s="2511"/>
      <c r="HNC33" s="2511"/>
      <c r="HND33" s="2511"/>
      <c r="HNE33" s="2511"/>
      <c r="HNF33" s="2511"/>
      <c r="HNG33" s="2511"/>
      <c r="HNH33" s="2511"/>
      <c r="HNI33" s="2511"/>
      <c r="HNJ33" s="2511"/>
      <c r="HNK33" s="2511"/>
      <c r="HNL33" s="2511"/>
      <c r="HNM33" s="2511"/>
      <c r="HNN33" s="2511"/>
      <c r="HNO33" s="2511"/>
      <c r="HNP33" s="2511"/>
      <c r="HNQ33" s="2511"/>
      <c r="HNR33" s="2511"/>
      <c r="HNS33" s="2511"/>
      <c r="HNT33" s="2511"/>
      <c r="HNU33" s="2511"/>
      <c r="HNV33" s="2511"/>
      <c r="HNW33" s="2511"/>
      <c r="HNX33" s="2511"/>
      <c r="HNY33" s="2511"/>
      <c r="HNZ33" s="2511"/>
      <c r="HOA33" s="2511"/>
      <c r="HOB33" s="2511"/>
      <c r="HOC33" s="2511"/>
      <c r="HOD33" s="2511"/>
      <c r="HOE33" s="2511"/>
      <c r="HOF33" s="2511"/>
      <c r="HOG33" s="2511"/>
      <c r="HOH33" s="2511"/>
      <c r="HOI33" s="2511"/>
      <c r="HOJ33" s="2511"/>
      <c r="HOK33" s="2511"/>
      <c r="HOL33" s="2511"/>
      <c r="HOM33" s="2511"/>
      <c r="HON33" s="2511"/>
      <c r="HOO33" s="2511"/>
      <c r="HOP33" s="2511"/>
      <c r="HOQ33" s="2511"/>
      <c r="HOR33" s="2511"/>
      <c r="HOS33" s="2511"/>
      <c r="HOT33" s="2511"/>
      <c r="HOU33" s="2511"/>
      <c r="HOV33" s="2511"/>
      <c r="HOW33" s="2511"/>
      <c r="HOX33" s="2511"/>
      <c r="HOY33" s="2511"/>
      <c r="HOZ33" s="2511"/>
      <c r="HPA33" s="2511"/>
      <c r="HPB33" s="2511"/>
      <c r="HPC33" s="2511"/>
      <c r="HPD33" s="2511"/>
      <c r="HPE33" s="2511"/>
      <c r="HPF33" s="2511"/>
      <c r="HPG33" s="2511"/>
      <c r="HPH33" s="2511"/>
      <c r="HPI33" s="2511"/>
      <c r="HPJ33" s="2511"/>
      <c r="HPK33" s="2511"/>
      <c r="HPL33" s="2511"/>
      <c r="HPM33" s="2511"/>
      <c r="HPN33" s="2511"/>
      <c r="HPO33" s="2511"/>
      <c r="HPP33" s="2511"/>
      <c r="HPQ33" s="2511"/>
      <c r="HPR33" s="2511"/>
      <c r="HPS33" s="2511"/>
      <c r="HPT33" s="2511"/>
      <c r="HPU33" s="2511"/>
      <c r="HPV33" s="2511"/>
      <c r="HPW33" s="2511"/>
      <c r="HPX33" s="2511"/>
      <c r="HPY33" s="2511"/>
      <c r="HPZ33" s="2511"/>
      <c r="HQA33" s="2511"/>
      <c r="HQB33" s="2511"/>
      <c r="HQC33" s="2511"/>
      <c r="HQD33" s="2511"/>
      <c r="HQE33" s="2511"/>
      <c r="HQF33" s="2511"/>
      <c r="HQG33" s="2511"/>
      <c r="HQH33" s="2511"/>
      <c r="HQI33" s="2511"/>
      <c r="HQJ33" s="2511"/>
      <c r="HQK33" s="2511"/>
      <c r="HQL33" s="2511"/>
      <c r="HQM33" s="2511"/>
      <c r="HQN33" s="2511"/>
      <c r="HQO33" s="2511"/>
      <c r="HQP33" s="2511"/>
      <c r="HQQ33" s="2511"/>
      <c r="HQR33" s="2511"/>
      <c r="HQS33" s="2511"/>
      <c r="HQT33" s="2511"/>
      <c r="HQU33" s="2511"/>
      <c r="HQV33" s="2511"/>
      <c r="HQW33" s="2511"/>
      <c r="HQX33" s="2511"/>
      <c r="HQY33" s="2511"/>
      <c r="HQZ33" s="2511"/>
      <c r="HRA33" s="2511"/>
      <c r="HRB33" s="2511"/>
      <c r="HRC33" s="2511"/>
      <c r="HRD33" s="2511"/>
      <c r="HRE33" s="2511"/>
      <c r="HRF33" s="2511"/>
      <c r="HRG33" s="2511"/>
      <c r="HRH33" s="2511"/>
      <c r="HRI33" s="2511"/>
      <c r="HRJ33" s="2511"/>
      <c r="HRK33" s="2511"/>
      <c r="HRL33" s="2511"/>
      <c r="HRM33" s="2511"/>
      <c r="HRN33" s="2511"/>
      <c r="HRO33" s="2511"/>
      <c r="HRP33" s="2511"/>
      <c r="HRQ33" s="2511"/>
      <c r="HRR33" s="2511"/>
      <c r="HRS33" s="2511"/>
      <c r="HRT33" s="2511"/>
      <c r="HRU33" s="2511"/>
      <c r="HRV33" s="2511"/>
      <c r="HRW33" s="2511"/>
      <c r="HRX33" s="2511"/>
      <c r="HRY33" s="2511"/>
      <c r="HRZ33" s="2511"/>
      <c r="HSA33" s="2511"/>
      <c r="HSB33" s="2511"/>
      <c r="HSC33" s="2511"/>
      <c r="HSD33" s="2511"/>
      <c r="HSE33" s="2511"/>
      <c r="HSF33" s="2511"/>
      <c r="HSG33" s="2511"/>
      <c r="HSH33" s="2511"/>
      <c r="HSI33" s="2511"/>
      <c r="HSJ33" s="2511"/>
      <c r="HSK33" s="2511"/>
      <c r="HSL33" s="2511"/>
      <c r="HSM33" s="2511"/>
      <c r="HSN33" s="2511"/>
      <c r="HSO33" s="2511"/>
      <c r="HSP33" s="2511"/>
      <c r="HSQ33" s="2511"/>
      <c r="HSR33" s="2511"/>
      <c r="HSS33" s="2511"/>
      <c r="HST33" s="2511"/>
      <c r="HSU33" s="2511"/>
      <c r="HSV33" s="2511"/>
      <c r="HSW33" s="2511"/>
      <c r="HSX33" s="2511"/>
      <c r="HSY33" s="2511"/>
      <c r="HSZ33" s="2511"/>
      <c r="HTA33" s="2511"/>
      <c r="HTB33" s="2511"/>
      <c r="HTC33" s="2511"/>
      <c r="HTD33" s="2511"/>
      <c r="HTE33" s="2511"/>
      <c r="HTF33" s="2511"/>
      <c r="HTG33" s="2511"/>
      <c r="HTH33" s="2511"/>
      <c r="HTI33" s="2511"/>
      <c r="HTJ33" s="2511"/>
      <c r="HTK33" s="2511"/>
      <c r="HTL33" s="2511"/>
      <c r="HTM33" s="2511"/>
      <c r="HTN33" s="2511"/>
      <c r="HTO33" s="2511"/>
      <c r="HTP33" s="2511"/>
      <c r="HTQ33" s="2511"/>
      <c r="HTR33" s="2511"/>
      <c r="HTS33" s="2511"/>
      <c r="HTT33" s="2511"/>
      <c r="HTU33" s="2511"/>
      <c r="HTV33" s="2511"/>
      <c r="HTW33" s="2511"/>
      <c r="HTX33" s="2511"/>
      <c r="HTY33" s="2511"/>
      <c r="HTZ33" s="2511"/>
      <c r="HUA33" s="2511"/>
      <c r="HUB33" s="2511"/>
      <c r="HUC33" s="2511"/>
      <c r="HUD33" s="2511"/>
      <c r="HUE33" s="2511"/>
      <c r="HUF33" s="2511"/>
      <c r="HUG33" s="2511"/>
      <c r="HUH33" s="2511"/>
      <c r="HUI33" s="2511"/>
      <c r="HUJ33" s="2511"/>
      <c r="HUK33" s="2511"/>
      <c r="HUL33" s="2511"/>
      <c r="HUM33" s="2511"/>
      <c r="HUN33" s="2511"/>
      <c r="HUO33" s="2511"/>
      <c r="HUP33" s="2511"/>
      <c r="HUQ33" s="2511"/>
      <c r="HUR33" s="2511"/>
      <c r="HUS33" s="2511"/>
      <c r="HUT33" s="2511"/>
      <c r="HUU33" s="2511"/>
      <c r="HUV33" s="2511"/>
      <c r="HUW33" s="2511"/>
      <c r="HUX33" s="2511"/>
      <c r="HUY33" s="2511"/>
      <c r="HUZ33" s="2511"/>
      <c r="HVA33" s="2511"/>
      <c r="HVB33" s="2511"/>
      <c r="HVC33" s="2511"/>
      <c r="HVD33" s="2511"/>
      <c r="HVE33" s="2511"/>
      <c r="HVF33" s="2511"/>
      <c r="HVG33" s="2511"/>
      <c r="HVH33" s="2511"/>
      <c r="HVI33" s="2511"/>
      <c r="HVJ33" s="2511"/>
      <c r="HVK33" s="2511"/>
      <c r="HVL33" s="2511"/>
      <c r="HVM33" s="2511"/>
      <c r="HVN33" s="2511"/>
      <c r="HVO33" s="2511"/>
      <c r="HVP33" s="2511"/>
      <c r="HVQ33" s="2511"/>
      <c r="HVR33" s="2511"/>
      <c r="HVS33" s="2511"/>
      <c r="HVT33" s="2511"/>
      <c r="HVU33" s="2511"/>
      <c r="HVV33" s="2511"/>
      <c r="HVW33" s="2511"/>
      <c r="HVX33" s="2511"/>
      <c r="HVY33" s="2511"/>
      <c r="HVZ33" s="2511"/>
      <c r="HWA33" s="2511"/>
      <c r="HWB33" s="2511"/>
      <c r="HWC33" s="2511"/>
      <c r="HWD33" s="2511"/>
      <c r="HWE33" s="2511"/>
      <c r="HWF33" s="2511"/>
      <c r="HWG33" s="2511"/>
      <c r="HWH33" s="2511"/>
      <c r="HWI33" s="2511"/>
      <c r="HWJ33" s="2511"/>
      <c r="HWK33" s="2511"/>
      <c r="HWL33" s="2511"/>
      <c r="HWM33" s="2511"/>
      <c r="HWN33" s="2511"/>
      <c r="HWO33" s="2511"/>
      <c r="HWP33" s="2511"/>
      <c r="HWQ33" s="2511"/>
      <c r="HWR33" s="2511"/>
      <c r="HWS33" s="2511"/>
      <c r="HWT33" s="2511"/>
      <c r="HWU33" s="2511"/>
      <c r="HWV33" s="2511"/>
      <c r="HWW33" s="2511"/>
      <c r="HWX33" s="2511"/>
      <c r="HWY33" s="2511"/>
      <c r="HWZ33" s="2511"/>
      <c r="HXA33" s="2511"/>
      <c r="HXB33" s="2511"/>
      <c r="HXC33" s="2511"/>
      <c r="HXD33" s="2511"/>
      <c r="HXE33" s="2511"/>
      <c r="HXF33" s="2511"/>
      <c r="HXG33" s="2511"/>
      <c r="HXH33" s="2511"/>
      <c r="HXI33" s="2511"/>
      <c r="HXJ33" s="2511"/>
      <c r="HXK33" s="2511"/>
      <c r="HXL33" s="2511"/>
      <c r="HXM33" s="2511"/>
      <c r="HXN33" s="2511"/>
      <c r="HXO33" s="2511"/>
      <c r="HXP33" s="2511"/>
      <c r="HXQ33" s="2511"/>
      <c r="HXR33" s="2511"/>
      <c r="HXS33" s="2511"/>
      <c r="HXT33" s="2511"/>
      <c r="HXU33" s="2511"/>
      <c r="HXV33" s="2511"/>
      <c r="HXW33" s="2511"/>
      <c r="HXX33" s="2511"/>
      <c r="HXY33" s="2511"/>
      <c r="HXZ33" s="2511"/>
      <c r="HYA33" s="2511"/>
      <c r="HYB33" s="2511"/>
      <c r="HYC33" s="2511"/>
      <c r="HYD33" s="2511"/>
      <c r="HYE33" s="2511"/>
      <c r="HYF33" s="2511"/>
      <c r="HYG33" s="2511"/>
      <c r="HYH33" s="2511"/>
      <c r="HYI33" s="2511"/>
      <c r="HYJ33" s="2511"/>
      <c r="HYK33" s="2511"/>
      <c r="HYL33" s="2511"/>
      <c r="HYM33" s="2511"/>
      <c r="HYN33" s="2511"/>
      <c r="HYO33" s="2511"/>
      <c r="HYP33" s="2511"/>
      <c r="HYQ33" s="2511"/>
      <c r="HYR33" s="2511"/>
      <c r="HYS33" s="2511"/>
      <c r="HYT33" s="2511"/>
      <c r="HYU33" s="2511"/>
      <c r="HYV33" s="2511"/>
      <c r="HYW33" s="2511"/>
      <c r="HYX33" s="2511"/>
      <c r="HYY33" s="2511"/>
      <c r="HYZ33" s="2511"/>
      <c r="HZA33" s="2511"/>
      <c r="HZB33" s="2511"/>
      <c r="HZC33" s="2511"/>
      <c r="HZD33" s="2511"/>
      <c r="HZE33" s="2511"/>
      <c r="HZF33" s="2511"/>
      <c r="HZG33" s="2511"/>
      <c r="HZH33" s="2511"/>
      <c r="HZI33" s="2511"/>
      <c r="HZJ33" s="2511"/>
      <c r="HZK33" s="2511"/>
      <c r="HZL33" s="2511"/>
      <c r="HZM33" s="2511"/>
      <c r="HZN33" s="2511"/>
      <c r="HZO33" s="2511"/>
      <c r="HZP33" s="2511"/>
      <c r="HZQ33" s="2511"/>
      <c r="HZR33" s="2511"/>
      <c r="HZS33" s="2511"/>
      <c r="HZT33" s="2511"/>
      <c r="HZU33" s="2511"/>
      <c r="HZV33" s="2511"/>
      <c r="HZW33" s="2511"/>
      <c r="HZX33" s="2511"/>
      <c r="HZY33" s="2511"/>
      <c r="HZZ33" s="2511"/>
      <c r="IAA33" s="2511"/>
      <c r="IAB33" s="2511"/>
      <c r="IAC33" s="2511"/>
      <c r="IAD33" s="2511"/>
      <c r="IAE33" s="2511"/>
      <c r="IAF33" s="2511"/>
      <c r="IAG33" s="2511"/>
      <c r="IAH33" s="2511"/>
      <c r="IAI33" s="2511"/>
      <c r="IAJ33" s="2511"/>
      <c r="IAK33" s="2511"/>
      <c r="IAL33" s="2511"/>
      <c r="IAM33" s="2511"/>
      <c r="IAN33" s="2511"/>
      <c r="IAO33" s="2511"/>
      <c r="IAP33" s="2511"/>
      <c r="IAQ33" s="2511"/>
      <c r="IAR33" s="2511"/>
      <c r="IAS33" s="2511"/>
      <c r="IAT33" s="2511"/>
      <c r="IAU33" s="2511"/>
      <c r="IAV33" s="2511"/>
      <c r="IAW33" s="2511"/>
      <c r="IAX33" s="2511"/>
      <c r="IAY33" s="2511"/>
      <c r="IAZ33" s="2511"/>
      <c r="IBA33" s="2511"/>
      <c r="IBB33" s="2511"/>
      <c r="IBC33" s="2511"/>
      <c r="IBD33" s="2511"/>
      <c r="IBE33" s="2511"/>
      <c r="IBF33" s="2511"/>
      <c r="IBG33" s="2511"/>
      <c r="IBH33" s="2511"/>
      <c r="IBI33" s="2511"/>
      <c r="IBJ33" s="2511"/>
      <c r="IBK33" s="2511"/>
      <c r="IBL33" s="2511"/>
      <c r="IBM33" s="2511"/>
      <c r="IBN33" s="2511"/>
      <c r="IBO33" s="2511"/>
      <c r="IBP33" s="2511"/>
      <c r="IBQ33" s="2511"/>
      <c r="IBR33" s="2511"/>
      <c r="IBS33" s="2511"/>
      <c r="IBT33" s="2511"/>
      <c r="IBU33" s="2511"/>
      <c r="IBV33" s="2511"/>
      <c r="IBW33" s="2511"/>
      <c r="IBX33" s="2511"/>
      <c r="IBY33" s="2511"/>
      <c r="IBZ33" s="2511"/>
      <c r="ICA33" s="2511"/>
      <c r="ICB33" s="2511"/>
      <c r="ICC33" s="2511"/>
      <c r="ICD33" s="2511"/>
      <c r="ICE33" s="2511"/>
      <c r="ICF33" s="2511"/>
      <c r="ICG33" s="2511"/>
      <c r="ICH33" s="2511"/>
      <c r="ICI33" s="2511"/>
      <c r="ICJ33" s="2511"/>
      <c r="ICK33" s="2511"/>
      <c r="ICL33" s="2511"/>
      <c r="ICM33" s="2511"/>
      <c r="ICN33" s="2511"/>
      <c r="ICO33" s="2511"/>
      <c r="ICP33" s="2511"/>
      <c r="ICQ33" s="2511"/>
      <c r="ICR33" s="2511"/>
      <c r="ICS33" s="2511"/>
      <c r="ICT33" s="2511"/>
      <c r="ICU33" s="2511"/>
      <c r="ICV33" s="2511"/>
      <c r="ICW33" s="2511"/>
      <c r="ICX33" s="2511"/>
      <c r="ICY33" s="2511"/>
      <c r="ICZ33" s="2511"/>
      <c r="IDA33" s="2511"/>
      <c r="IDB33" s="2511"/>
      <c r="IDC33" s="2511"/>
      <c r="IDD33" s="2511"/>
      <c r="IDE33" s="2511"/>
      <c r="IDF33" s="2511"/>
      <c r="IDG33" s="2511"/>
      <c r="IDH33" s="2511"/>
      <c r="IDI33" s="2511"/>
      <c r="IDJ33" s="2511"/>
      <c r="IDK33" s="2511"/>
      <c r="IDL33" s="2511"/>
      <c r="IDM33" s="2511"/>
      <c r="IDN33" s="2511"/>
      <c r="IDO33" s="2511"/>
      <c r="IDP33" s="2511"/>
      <c r="IDQ33" s="2511"/>
      <c r="IDR33" s="2511"/>
      <c r="IDS33" s="2511"/>
      <c r="IDT33" s="2511"/>
      <c r="IDU33" s="2511"/>
      <c r="IDV33" s="2511"/>
      <c r="IDW33" s="2511"/>
      <c r="IDX33" s="2511"/>
      <c r="IDY33" s="2511"/>
      <c r="IDZ33" s="2511"/>
      <c r="IEA33" s="2511"/>
      <c r="IEB33" s="2511"/>
      <c r="IEC33" s="2511"/>
      <c r="IED33" s="2511"/>
      <c r="IEE33" s="2511"/>
      <c r="IEF33" s="2511"/>
      <c r="IEG33" s="2511"/>
      <c r="IEH33" s="2511"/>
      <c r="IEI33" s="2511"/>
      <c r="IEJ33" s="2511"/>
      <c r="IEK33" s="2511"/>
      <c r="IEL33" s="2511"/>
      <c r="IEM33" s="2511"/>
      <c r="IEN33" s="2511"/>
      <c r="IEO33" s="2511"/>
      <c r="IEP33" s="2511"/>
      <c r="IEQ33" s="2511"/>
      <c r="IER33" s="2511"/>
      <c r="IES33" s="2511"/>
      <c r="IET33" s="2511"/>
      <c r="IEU33" s="2511"/>
      <c r="IEV33" s="2511"/>
      <c r="IEW33" s="2511"/>
      <c r="IEX33" s="2511"/>
      <c r="IEY33" s="2511"/>
      <c r="IEZ33" s="2511"/>
      <c r="IFA33" s="2511"/>
      <c r="IFB33" s="2511"/>
      <c r="IFC33" s="2511"/>
      <c r="IFD33" s="2511"/>
      <c r="IFE33" s="2511"/>
      <c r="IFF33" s="2511"/>
      <c r="IFG33" s="2511"/>
      <c r="IFH33" s="2511"/>
      <c r="IFI33" s="2511"/>
      <c r="IFJ33" s="2511"/>
      <c r="IFK33" s="2511"/>
      <c r="IFL33" s="2511"/>
      <c r="IFM33" s="2511"/>
      <c r="IFN33" s="2511"/>
      <c r="IFO33" s="2511"/>
      <c r="IFP33" s="2511"/>
      <c r="IFQ33" s="2511"/>
      <c r="IFR33" s="2511"/>
      <c r="IFS33" s="2511"/>
      <c r="IFT33" s="2511"/>
      <c r="IFU33" s="2511"/>
      <c r="IFV33" s="2511"/>
      <c r="IFW33" s="2511"/>
      <c r="IFX33" s="2511"/>
      <c r="IFY33" s="2511"/>
      <c r="IFZ33" s="2511"/>
      <c r="IGA33" s="2511"/>
      <c r="IGB33" s="2511"/>
      <c r="IGC33" s="2511"/>
      <c r="IGD33" s="2511"/>
      <c r="IGE33" s="2511"/>
      <c r="IGF33" s="2511"/>
      <c r="IGG33" s="2511"/>
      <c r="IGH33" s="2511"/>
      <c r="IGI33" s="2511"/>
      <c r="IGJ33" s="2511"/>
      <c r="IGK33" s="2511"/>
      <c r="IGL33" s="2511"/>
      <c r="IGM33" s="2511"/>
      <c r="IGN33" s="2511"/>
      <c r="IGO33" s="2511"/>
      <c r="IGP33" s="2511"/>
      <c r="IGQ33" s="2511"/>
      <c r="IGR33" s="2511"/>
      <c r="IGS33" s="2511"/>
      <c r="IGT33" s="2511"/>
      <c r="IGU33" s="2511"/>
      <c r="IGV33" s="2511"/>
      <c r="IGW33" s="2511"/>
      <c r="IGX33" s="2511"/>
      <c r="IGY33" s="2511"/>
      <c r="IGZ33" s="2511"/>
      <c r="IHA33" s="2511"/>
      <c r="IHB33" s="2511"/>
      <c r="IHC33" s="2511"/>
      <c r="IHD33" s="2511"/>
      <c r="IHE33" s="2511"/>
      <c r="IHF33" s="2511"/>
      <c r="IHG33" s="2511"/>
      <c r="IHH33" s="2511"/>
      <c r="IHI33" s="2511"/>
      <c r="IHJ33" s="2511"/>
      <c r="IHK33" s="2511"/>
      <c r="IHL33" s="2511"/>
      <c r="IHM33" s="2511"/>
      <c r="IHN33" s="2511"/>
      <c r="IHO33" s="2511"/>
      <c r="IHP33" s="2511"/>
      <c r="IHQ33" s="2511"/>
      <c r="IHR33" s="2511"/>
      <c r="IHS33" s="2511"/>
      <c r="IHT33" s="2511"/>
      <c r="IHU33" s="2511"/>
      <c r="IHV33" s="2511"/>
      <c r="IHW33" s="2511"/>
      <c r="IHX33" s="2511"/>
      <c r="IHY33" s="2511"/>
      <c r="IHZ33" s="2511"/>
      <c r="IIA33" s="2511"/>
      <c r="IIB33" s="2511"/>
      <c r="IIC33" s="2511"/>
      <c r="IID33" s="2511"/>
      <c r="IIE33" s="2511"/>
      <c r="IIF33" s="2511"/>
      <c r="IIG33" s="2511"/>
      <c r="IIH33" s="2511"/>
      <c r="III33" s="2511"/>
      <c r="IIJ33" s="2511"/>
      <c r="IIK33" s="2511"/>
      <c r="IIL33" s="2511"/>
      <c r="IIM33" s="2511"/>
      <c r="IIN33" s="2511"/>
      <c r="IIO33" s="2511"/>
      <c r="IIP33" s="2511"/>
      <c r="IIQ33" s="2511"/>
      <c r="IIR33" s="2511"/>
      <c r="IIS33" s="2511"/>
      <c r="IIT33" s="2511"/>
      <c r="IIU33" s="2511"/>
      <c r="IIV33" s="2511"/>
      <c r="IIW33" s="2511"/>
      <c r="IIX33" s="2511"/>
      <c r="IIY33" s="2511"/>
      <c r="IIZ33" s="2511"/>
      <c r="IJA33" s="2511"/>
      <c r="IJB33" s="2511"/>
      <c r="IJC33" s="2511"/>
      <c r="IJD33" s="2511"/>
      <c r="IJE33" s="2511"/>
      <c r="IJF33" s="2511"/>
      <c r="IJG33" s="2511"/>
      <c r="IJH33" s="2511"/>
      <c r="IJI33" s="2511"/>
      <c r="IJJ33" s="2511"/>
      <c r="IJK33" s="2511"/>
      <c r="IJL33" s="2511"/>
      <c r="IJM33" s="2511"/>
      <c r="IJN33" s="2511"/>
      <c r="IJO33" s="2511"/>
      <c r="IJP33" s="2511"/>
      <c r="IJQ33" s="2511"/>
      <c r="IJR33" s="2511"/>
      <c r="IJS33" s="2511"/>
      <c r="IJT33" s="2511"/>
      <c r="IJU33" s="2511"/>
      <c r="IJV33" s="2511"/>
      <c r="IJW33" s="2511"/>
      <c r="IJX33" s="2511"/>
      <c r="IJY33" s="2511"/>
      <c r="IJZ33" s="2511"/>
      <c r="IKA33" s="2511"/>
      <c r="IKB33" s="2511"/>
      <c r="IKC33" s="2511"/>
      <c r="IKD33" s="2511"/>
      <c r="IKE33" s="2511"/>
      <c r="IKF33" s="2511"/>
      <c r="IKG33" s="2511"/>
      <c r="IKH33" s="2511"/>
      <c r="IKI33" s="2511"/>
      <c r="IKJ33" s="2511"/>
      <c r="IKK33" s="2511"/>
      <c r="IKL33" s="2511"/>
      <c r="IKM33" s="2511"/>
      <c r="IKN33" s="2511"/>
      <c r="IKO33" s="2511"/>
      <c r="IKP33" s="2511"/>
      <c r="IKQ33" s="2511"/>
      <c r="IKR33" s="2511"/>
      <c r="IKS33" s="2511"/>
      <c r="IKT33" s="2511"/>
      <c r="IKU33" s="2511"/>
      <c r="IKV33" s="2511"/>
      <c r="IKW33" s="2511"/>
      <c r="IKX33" s="2511"/>
      <c r="IKY33" s="2511"/>
      <c r="IKZ33" s="2511"/>
      <c r="ILA33" s="2511"/>
      <c r="ILB33" s="2511"/>
      <c r="ILC33" s="2511"/>
      <c r="ILD33" s="2511"/>
      <c r="ILE33" s="2511"/>
      <c r="ILF33" s="2511"/>
      <c r="ILG33" s="2511"/>
      <c r="ILH33" s="2511"/>
      <c r="ILI33" s="2511"/>
      <c r="ILJ33" s="2511"/>
      <c r="ILK33" s="2511"/>
      <c r="ILL33" s="2511"/>
      <c r="ILM33" s="2511"/>
      <c r="ILN33" s="2511"/>
      <c r="ILO33" s="2511"/>
      <c r="ILP33" s="2511"/>
      <c r="ILQ33" s="2511"/>
      <c r="ILR33" s="2511"/>
      <c r="ILS33" s="2511"/>
      <c r="ILT33" s="2511"/>
      <c r="ILU33" s="2511"/>
      <c r="ILV33" s="2511"/>
      <c r="ILW33" s="2511"/>
      <c r="ILX33" s="2511"/>
      <c r="ILY33" s="2511"/>
      <c r="ILZ33" s="2511"/>
      <c r="IMA33" s="2511"/>
      <c r="IMB33" s="2511"/>
      <c r="IMC33" s="2511"/>
      <c r="IMD33" s="2511"/>
      <c r="IME33" s="2511"/>
      <c r="IMF33" s="2511"/>
      <c r="IMG33" s="2511"/>
      <c r="IMH33" s="2511"/>
      <c r="IMI33" s="2511"/>
      <c r="IMJ33" s="2511"/>
      <c r="IMK33" s="2511"/>
      <c r="IML33" s="2511"/>
      <c r="IMM33" s="2511"/>
      <c r="IMN33" s="2511"/>
      <c r="IMO33" s="2511"/>
      <c r="IMP33" s="2511"/>
      <c r="IMQ33" s="2511"/>
      <c r="IMR33" s="2511"/>
      <c r="IMS33" s="2511"/>
      <c r="IMT33" s="2511"/>
      <c r="IMU33" s="2511"/>
      <c r="IMV33" s="2511"/>
      <c r="IMW33" s="2511"/>
      <c r="IMX33" s="2511"/>
      <c r="IMY33" s="2511"/>
      <c r="IMZ33" s="2511"/>
      <c r="INA33" s="2511"/>
      <c r="INB33" s="2511"/>
      <c r="INC33" s="2511"/>
      <c r="IND33" s="2511"/>
      <c r="INE33" s="2511"/>
      <c r="INF33" s="2511"/>
      <c r="ING33" s="2511"/>
      <c r="INH33" s="2511"/>
      <c r="INI33" s="2511"/>
      <c r="INJ33" s="2511"/>
      <c r="INK33" s="2511"/>
      <c r="INL33" s="2511"/>
      <c r="INM33" s="2511"/>
      <c r="INN33" s="2511"/>
      <c r="INO33" s="2511"/>
      <c r="INP33" s="2511"/>
      <c r="INQ33" s="2511"/>
      <c r="INR33" s="2511"/>
      <c r="INS33" s="2511"/>
      <c r="INT33" s="2511"/>
      <c r="INU33" s="2511"/>
      <c r="INV33" s="2511"/>
      <c r="INW33" s="2511"/>
      <c r="INX33" s="2511"/>
      <c r="INY33" s="2511"/>
      <c r="INZ33" s="2511"/>
      <c r="IOA33" s="2511"/>
      <c r="IOB33" s="2511"/>
      <c r="IOC33" s="2511"/>
      <c r="IOD33" s="2511"/>
      <c r="IOE33" s="2511"/>
      <c r="IOF33" s="2511"/>
      <c r="IOG33" s="2511"/>
      <c r="IOH33" s="2511"/>
      <c r="IOI33" s="2511"/>
      <c r="IOJ33" s="2511"/>
      <c r="IOK33" s="2511"/>
      <c r="IOL33" s="2511"/>
      <c r="IOM33" s="2511"/>
      <c r="ION33" s="2511"/>
      <c r="IOO33" s="2511"/>
      <c r="IOP33" s="2511"/>
      <c r="IOQ33" s="2511"/>
      <c r="IOR33" s="2511"/>
      <c r="IOS33" s="2511"/>
      <c r="IOT33" s="2511"/>
      <c r="IOU33" s="2511"/>
      <c r="IOV33" s="2511"/>
      <c r="IOW33" s="2511"/>
      <c r="IOX33" s="2511"/>
      <c r="IOY33" s="2511"/>
      <c r="IOZ33" s="2511"/>
      <c r="IPA33" s="2511"/>
      <c r="IPB33" s="2511"/>
      <c r="IPC33" s="2511"/>
      <c r="IPD33" s="2511"/>
      <c r="IPE33" s="2511"/>
      <c r="IPF33" s="2511"/>
      <c r="IPG33" s="2511"/>
      <c r="IPH33" s="2511"/>
      <c r="IPI33" s="2511"/>
      <c r="IPJ33" s="2511"/>
      <c r="IPK33" s="2511"/>
      <c r="IPL33" s="2511"/>
      <c r="IPM33" s="2511"/>
      <c r="IPN33" s="2511"/>
      <c r="IPO33" s="2511"/>
      <c r="IPP33" s="2511"/>
      <c r="IPQ33" s="2511"/>
      <c r="IPR33" s="2511"/>
      <c r="IPS33" s="2511"/>
      <c r="IPT33" s="2511"/>
      <c r="IPU33" s="2511"/>
      <c r="IPV33" s="2511"/>
      <c r="IPW33" s="2511"/>
      <c r="IPX33" s="2511"/>
      <c r="IPY33" s="2511"/>
      <c r="IPZ33" s="2511"/>
      <c r="IQA33" s="2511"/>
      <c r="IQB33" s="2511"/>
      <c r="IQC33" s="2511"/>
      <c r="IQD33" s="2511"/>
      <c r="IQE33" s="2511"/>
      <c r="IQF33" s="2511"/>
      <c r="IQG33" s="2511"/>
      <c r="IQH33" s="2511"/>
      <c r="IQI33" s="2511"/>
      <c r="IQJ33" s="2511"/>
      <c r="IQK33" s="2511"/>
      <c r="IQL33" s="2511"/>
      <c r="IQM33" s="2511"/>
      <c r="IQN33" s="2511"/>
      <c r="IQO33" s="2511"/>
      <c r="IQP33" s="2511"/>
      <c r="IQQ33" s="2511"/>
      <c r="IQR33" s="2511"/>
      <c r="IQS33" s="2511"/>
      <c r="IQT33" s="2511"/>
      <c r="IQU33" s="2511"/>
      <c r="IQV33" s="2511"/>
      <c r="IQW33" s="2511"/>
      <c r="IQX33" s="2511"/>
      <c r="IQY33" s="2511"/>
      <c r="IQZ33" s="2511"/>
      <c r="IRA33" s="2511"/>
      <c r="IRB33" s="2511"/>
      <c r="IRC33" s="2511"/>
      <c r="IRD33" s="2511"/>
      <c r="IRE33" s="2511"/>
      <c r="IRF33" s="2511"/>
      <c r="IRG33" s="2511"/>
      <c r="IRH33" s="2511"/>
      <c r="IRI33" s="2511"/>
      <c r="IRJ33" s="2511"/>
      <c r="IRK33" s="2511"/>
      <c r="IRL33" s="2511"/>
      <c r="IRM33" s="2511"/>
      <c r="IRN33" s="2511"/>
      <c r="IRO33" s="2511"/>
      <c r="IRP33" s="2511"/>
      <c r="IRQ33" s="2511"/>
      <c r="IRR33" s="2511"/>
      <c r="IRS33" s="2511"/>
      <c r="IRT33" s="2511"/>
      <c r="IRU33" s="2511"/>
      <c r="IRV33" s="2511"/>
      <c r="IRW33" s="2511"/>
      <c r="IRX33" s="2511"/>
      <c r="IRY33" s="2511"/>
      <c r="IRZ33" s="2511"/>
      <c r="ISA33" s="2511"/>
      <c r="ISB33" s="2511"/>
      <c r="ISC33" s="2511"/>
      <c r="ISD33" s="2511"/>
      <c r="ISE33" s="2511"/>
      <c r="ISF33" s="2511"/>
      <c r="ISG33" s="2511"/>
      <c r="ISH33" s="2511"/>
      <c r="ISI33" s="2511"/>
      <c r="ISJ33" s="2511"/>
      <c r="ISK33" s="2511"/>
      <c r="ISL33" s="2511"/>
      <c r="ISM33" s="2511"/>
      <c r="ISN33" s="2511"/>
      <c r="ISO33" s="2511"/>
      <c r="ISP33" s="2511"/>
      <c r="ISQ33" s="2511"/>
      <c r="ISR33" s="2511"/>
      <c r="ISS33" s="2511"/>
      <c r="IST33" s="2511"/>
      <c r="ISU33" s="2511"/>
      <c r="ISV33" s="2511"/>
      <c r="ISW33" s="2511"/>
      <c r="ISX33" s="2511"/>
      <c r="ISY33" s="2511"/>
      <c r="ISZ33" s="2511"/>
      <c r="ITA33" s="2511"/>
      <c r="ITB33" s="2511"/>
      <c r="ITC33" s="2511"/>
      <c r="ITD33" s="2511"/>
      <c r="ITE33" s="2511"/>
      <c r="ITF33" s="2511"/>
      <c r="ITG33" s="2511"/>
      <c r="ITH33" s="2511"/>
      <c r="ITI33" s="2511"/>
      <c r="ITJ33" s="2511"/>
      <c r="ITK33" s="2511"/>
      <c r="ITL33" s="2511"/>
      <c r="ITM33" s="2511"/>
      <c r="ITN33" s="2511"/>
      <c r="ITO33" s="2511"/>
      <c r="ITP33" s="2511"/>
      <c r="ITQ33" s="2511"/>
      <c r="ITR33" s="2511"/>
      <c r="ITS33" s="2511"/>
      <c r="ITT33" s="2511"/>
      <c r="ITU33" s="2511"/>
      <c r="ITV33" s="2511"/>
      <c r="ITW33" s="2511"/>
      <c r="ITX33" s="2511"/>
      <c r="ITY33" s="2511"/>
      <c r="ITZ33" s="2511"/>
      <c r="IUA33" s="2511"/>
      <c r="IUB33" s="2511"/>
      <c r="IUC33" s="2511"/>
      <c r="IUD33" s="2511"/>
      <c r="IUE33" s="2511"/>
      <c r="IUF33" s="2511"/>
      <c r="IUG33" s="2511"/>
      <c r="IUH33" s="2511"/>
      <c r="IUI33" s="2511"/>
      <c r="IUJ33" s="2511"/>
      <c r="IUK33" s="2511"/>
      <c r="IUL33" s="2511"/>
      <c r="IUM33" s="2511"/>
      <c r="IUN33" s="2511"/>
      <c r="IUO33" s="2511"/>
      <c r="IUP33" s="2511"/>
      <c r="IUQ33" s="2511"/>
      <c r="IUR33" s="2511"/>
      <c r="IUS33" s="2511"/>
      <c r="IUT33" s="2511"/>
      <c r="IUU33" s="2511"/>
      <c r="IUV33" s="2511"/>
      <c r="IUW33" s="2511"/>
      <c r="IUX33" s="2511"/>
      <c r="IUY33" s="2511"/>
      <c r="IUZ33" s="2511"/>
      <c r="IVA33" s="2511"/>
      <c r="IVB33" s="2511"/>
      <c r="IVC33" s="2511"/>
      <c r="IVD33" s="2511"/>
      <c r="IVE33" s="2511"/>
      <c r="IVF33" s="2511"/>
      <c r="IVG33" s="2511"/>
      <c r="IVH33" s="2511"/>
      <c r="IVI33" s="2511"/>
      <c r="IVJ33" s="2511"/>
      <c r="IVK33" s="2511"/>
      <c r="IVL33" s="2511"/>
      <c r="IVM33" s="2511"/>
      <c r="IVN33" s="2511"/>
      <c r="IVO33" s="2511"/>
      <c r="IVP33" s="2511"/>
      <c r="IVQ33" s="2511"/>
      <c r="IVR33" s="2511"/>
      <c r="IVS33" s="2511"/>
      <c r="IVT33" s="2511"/>
      <c r="IVU33" s="2511"/>
      <c r="IVV33" s="2511"/>
      <c r="IVW33" s="2511"/>
      <c r="IVX33" s="2511"/>
      <c r="IVY33" s="2511"/>
      <c r="IVZ33" s="2511"/>
      <c r="IWA33" s="2511"/>
      <c r="IWB33" s="2511"/>
      <c r="IWC33" s="2511"/>
      <c r="IWD33" s="2511"/>
      <c r="IWE33" s="2511"/>
      <c r="IWF33" s="2511"/>
      <c r="IWG33" s="2511"/>
      <c r="IWH33" s="2511"/>
      <c r="IWI33" s="2511"/>
      <c r="IWJ33" s="2511"/>
      <c r="IWK33" s="2511"/>
      <c r="IWL33" s="2511"/>
      <c r="IWM33" s="2511"/>
      <c r="IWN33" s="2511"/>
      <c r="IWO33" s="2511"/>
      <c r="IWP33" s="2511"/>
      <c r="IWQ33" s="2511"/>
      <c r="IWR33" s="2511"/>
      <c r="IWS33" s="2511"/>
      <c r="IWT33" s="2511"/>
      <c r="IWU33" s="2511"/>
      <c r="IWV33" s="2511"/>
      <c r="IWW33" s="2511"/>
      <c r="IWX33" s="2511"/>
      <c r="IWY33" s="2511"/>
      <c r="IWZ33" s="2511"/>
      <c r="IXA33" s="2511"/>
      <c r="IXB33" s="2511"/>
      <c r="IXC33" s="2511"/>
      <c r="IXD33" s="2511"/>
      <c r="IXE33" s="2511"/>
      <c r="IXF33" s="2511"/>
      <c r="IXG33" s="2511"/>
      <c r="IXH33" s="2511"/>
      <c r="IXI33" s="2511"/>
      <c r="IXJ33" s="2511"/>
      <c r="IXK33" s="2511"/>
      <c r="IXL33" s="2511"/>
      <c r="IXM33" s="2511"/>
      <c r="IXN33" s="2511"/>
      <c r="IXO33" s="2511"/>
      <c r="IXP33" s="2511"/>
      <c r="IXQ33" s="2511"/>
      <c r="IXR33" s="2511"/>
      <c r="IXS33" s="2511"/>
      <c r="IXT33" s="2511"/>
      <c r="IXU33" s="2511"/>
      <c r="IXV33" s="2511"/>
      <c r="IXW33" s="2511"/>
      <c r="IXX33" s="2511"/>
      <c r="IXY33" s="2511"/>
      <c r="IXZ33" s="2511"/>
      <c r="IYA33" s="2511"/>
      <c r="IYB33" s="2511"/>
      <c r="IYC33" s="2511"/>
      <c r="IYD33" s="2511"/>
      <c r="IYE33" s="2511"/>
      <c r="IYF33" s="2511"/>
      <c r="IYG33" s="2511"/>
      <c r="IYH33" s="2511"/>
      <c r="IYI33" s="2511"/>
      <c r="IYJ33" s="2511"/>
      <c r="IYK33" s="2511"/>
      <c r="IYL33" s="2511"/>
      <c r="IYM33" s="2511"/>
      <c r="IYN33" s="2511"/>
      <c r="IYO33" s="2511"/>
      <c r="IYP33" s="2511"/>
      <c r="IYQ33" s="2511"/>
      <c r="IYR33" s="2511"/>
      <c r="IYS33" s="2511"/>
      <c r="IYT33" s="2511"/>
      <c r="IYU33" s="2511"/>
      <c r="IYV33" s="2511"/>
      <c r="IYW33" s="2511"/>
      <c r="IYX33" s="2511"/>
      <c r="IYY33" s="2511"/>
      <c r="IYZ33" s="2511"/>
      <c r="IZA33" s="2511"/>
      <c r="IZB33" s="2511"/>
      <c r="IZC33" s="2511"/>
      <c r="IZD33" s="2511"/>
      <c r="IZE33" s="2511"/>
      <c r="IZF33" s="2511"/>
      <c r="IZG33" s="2511"/>
      <c r="IZH33" s="2511"/>
      <c r="IZI33" s="2511"/>
      <c r="IZJ33" s="2511"/>
      <c r="IZK33" s="2511"/>
      <c r="IZL33" s="2511"/>
      <c r="IZM33" s="2511"/>
      <c r="IZN33" s="2511"/>
      <c r="IZO33" s="2511"/>
      <c r="IZP33" s="2511"/>
      <c r="IZQ33" s="2511"/>
      <c r="IZR33" s="2511"/>
      <c r="IZS33" s="2511"/>
      <c r="IZT33" s="2511"/>
      <c r="IZU33" s="2511"/>
      <c r="IZV33" s="2511"/>
      <c r="IZW33" s="2511"/>
      <c r="IZX33" s="2511"/>
      <c r="IZY33" s="2511"/>
      <c r="IZZ33" s="2511"/>
      <c r="JAA33" s="2511"/>
      <c r="JAB33" s="2511"/>
      <c r="JAC33" s="2511"/>
      <c r="JAD33" s="2511"/>
      <c r="JAE33" s="2511"/>
      <c r="JAF33" s="2511"/>
      <c r="JAG33" s="2511"/>
      <c r="JAH33" s="2511"/>
      <c r="JAI33" s="2511"/>
      <c r="JAJ33" s="2511"/>
      <c r="JAK33" s="2511"/>
      <c r="JAL33" s="2511"/>
      <c r="JAM33" s="2511"/>
      <c r="JAN33" s="2511"/>
      <c r="JAO33" s="2511"/>
      <c r="JAP33" s="2511"/>
      <c r="JAQ33" s="2511"/>
      <c r="JAR33" s="2511"/>
      <c r="JAS33" s="2511"/>
      <c r="JAT33" s="2511"/>
      <c r="JAU33" s="2511"/>
      <c r="JAV33" s="2511"/>
      <c r="JAW33" s="2511"/>
      <c r="JAX33" s="2511"/>
      <c r="JAY33" s="2511"/>
      <c r="JAZ33" s="2511"/>
      <c r="JBA33" s="2511"/>
      <c r="JBB33" s="2511"/>
      <c r="JBC33" s="2511"/>
      <c r="JBD33" s="2511"/>
      <c r="JBE33" s="2511"/>
      <c r="JBF33" s="2511"/>
      <c r="JBG33" s="2511"/>
      <c r="JBH33" s="2511"/>
      <c r="JBI33" s="2511"/>
      <c r="JBJ33" s="2511"/>
      <c r="JBK33" s="2511"/>
      <c r="JBL33" s="2511"/>
      <c r="JBM33" s="2511"/>
      <c r="JBN33" s="2511"/>
      <c r="JBO33" s="2511"/>
      <c r="JBP33" s="2511"/>
      <c r="JBQ33" s="2511"/>
      <c r="JBR33" s="2511"/>
      <c r="JBS33" s="2511"/>
      <c r="JBT33" s="2511"/>
      <c r="JBU33" s="2511"/>
      <c r="JBV33" s="2511"/>
      <c r="JBW33" s="2511"/>
      <c r="JBX33" s="2511"/>
      <c r="JBY33" s="2511"/>
      <c r="JBZ33" s="2511"/>
      <c r="JCA33" s="2511"/>
      <c r="JCB33" s="2511"/>
      <c r="JCC33" s="2511"/>
      <c r="JCD33" s="2511"/>
      <c r="JCE33" s="2511"/>
      <c r="JCF33" s="2511"/>
      <c r="JCG33" s="2511"/>
      <c r="JCH33" s="2511"/>
      <c r="JCI33" s="2511"/>
      <c r="JCJ33" s="2511"/>
      <c r="JCK33" s="2511"/>
      <c r="JCL33" s="2511"/>
      <c r="JCM33" s="2511"/>
      <c r="JCN33" s="2511"/>
      <c r="JCO33" s="2511"/>
      <c r="JCP33" s="2511"/>
      <c r="JCQ33" s="2511"/>
      <c r="JCR33" s="2511"/>
      <c r="JCS33" s="2511"/>
      <c r="JCT33" s="2511"/>
      <c r="JCU33" s="2511"/>
      <c r="JCV33" s="2511"/>
      <c r="JCW33" s="2511"/>
      <c r="JCX33" s="2511"/>
      <c r="JCY33" s="2511"/>
      <c r="JCZ33" s="2511"/>
      <c r="JDA33" s="2511"/>
      <c r="JDB33" s="2511"/>
      <c r="JDC33" s="2511"/>
      <c r="JDD33" s="2511"/>
      <c r="JDE33" s="2511"/>
      <c r="JDF33" s="2511"/>
      <c r="JDG33" s="2511"/>
      <c r="JDH33" s="2511"/>
      <c r="JDI33" s="2511"/>
      <c r="JDJ33" s="2511"/>
      <c r="JDK33" s="2511"/>
      <c r="JDL33" s="2511"/>
      <c r="JDM33" s="2511"/>
      <c r="JDN33" s="2511"/>
      <c r="JDO33" s="2511"/>
      <c r="JDP33" s="2511"/>
      <c r="JDQ33" s="2511"/>
      <c r="JDR33" s="2511"/>
      <c r="JDS33" s="2511"/>
      <c r="JDT33" s="2511"/>
      <c r="JDU33" s="2511"/>
      <c r="JDV33" s="2511"/>
      <c r="JDW33" s="2511"/>
      <c r="JDX33" s="2511"/>
      <c r="JDY33" s="2511"/>
      <c r="JDZ33" s="2511"/>
      <c r="JEA33" s="2511"/>
      <c r="JEB33" s="2511"/>
      <c r="JEC33" s="2511"/>
      <c r="JED33" s="2511"/>
      <c r="JEE33" s="2511"/>
      <c r="JEF33" s="2511"/>
      <c r="JEG33" s="2511"/>
      <c r="JEH33" s="2511"/>
      <c r="JEI33" s="2511"/>
      <c r="JEJ33" s="2511"/>
      <c r="JEK33" s="2511"/>
      <c r="JEL33" s="2511"/>
      <c r="JEM33" s="2511"/>
      <c r="JEN33" s="2511"/>
      <c r="JEO33" s="2511"/>
      <c r="JEP33" s="2511"/>
      <c r="JEQ33" s="2511"/>
      <c r="JER33" s="2511"/>
      <c r="JES33" s="2511"/>
      <c r="JET33" s="2511"/>
      <c r="JEU33" s="2511"/>
      <c r="JEV33" s="2511"/>
      <c r="JEW33" s="2511"/>
      <c r="JEX33" s="2511"/>
      <c r="JEY33" s="2511"/>
      <c r="JEZ33" s="2511"/>
      <c r="JFA33" s="2511"/>
      <c r="JFB33" s="2511"/>
      <c r="JFC33" s="2511"/>
      <c r="JFD33" s="2511"/>
      <c r="JFE33" s="2511"/>
      <c r="JFF33" s="2511"/>
      <c r="JFG33" s="2511"/>
      <c r="JFH33" s="2511"/>
      <c r="JFI33" s="2511"/>
      <c r="JFJ33" s="2511"/>
      <c r="JFK33" s="2511"/>
      <c r="JFL33" s="2511"/>
      <c r="JFM33" s="2511"/>
      <c r="JFN33" s="2511"/>
      <c r="JFO33" s="2511"/>
      <c r="JFP33" s="2511"/>
      <c r="JFQ33" s="2511"/>
      <c r="JFR33" s="2511"/>
      <c r="JFS33" s="2511"/>
      <c r="JFT33" s="2511"/>
      <c r="JFU33" s="2511"/>
      <c r="JFV33" s="2511"/>
      <c r="JFW33" s="2511"/>
      <c r="JFX33" s="2511"/>
      <c r="JFY33" s="2511"/>
      <c r="JFZ33" s="2511"/>
      <c r="JGA33" s="2511"/>
      <c r="JGB33" s="2511"/>
      <c r="JGC33" s="2511"/>
      <c r="JGD33" s="2511"/>
      <c r="JGE33" s="2511"/>
      <c r="JGF33" s="2511"/>
      <c r="JGG33" s="2511"/>
      <c r="JGH33" s="2511"/>
      <c r="JGI33" s="2511"/>
      <c r="JGJ33" s="2511"/>
      <c r="JGK33" s="2511"/>
      <c r="JGL33" s="2511"/>
      <c r="JGM33" s="2511"/>
      <c r="JGN33" s="2511"/>
      <c r="JGO33" s="2511"/>
      <c r="JGP33" s="2511"/>
      <c r="JGQ33" s="2511"/>
      <c r="JGR33" s="2511"/>
      <c r="JGS33" s="2511"/>
      <c r="JGT33" s="2511"/>
      <c r="JGU33" s="2511"/>
      <c r="JGV33" s="2511"/>
      <c r="JGW33" s="2511"/>
      <c r="JGX33" s="2511"/>
      <c r="JGY33" s="2511"/>
      <c r="JGZ33" s="2511"/>
      <c r="JHA33" s="2511"/>
      <c r="JHB33" s="2511"/>
      <c r="JHC33" s="2511"/>
      <c r="JHD33" s="2511"/>
      <c r="JHE33" s="2511"/>
      <c r="JHF33" s="2511"/>
      <c r="JHG33" s="2511"/>
      <c r="JHH33" s="2511"/>
      <c r="JHI33" s="2511"/>
      <c r="JHJ33" s="2511"/>
      <c r="JHK33" s="2511"/>
      <c r="JHL33" s="2511"/>
      <c r="JHM33" s="2511"/>
      <c r="JHN33" s="2511"/>
      <c r="JHO33" s="2511"/>
      <c r="JHP33" s="2511"/>
      <c r="JHQ33" s="2511"/>
      <c r="JHR33" s="2511"/>
      <c r="JHS33" s="2511"/>
      <c r="JHT33" s="2511"/>
      <c r="JHU33" s="2511"/>
      <c r="JHV33" s="2511"/>
      <c r="JHW33" s="2511"/>
      <c r="JHX33" s="2511"/>
      <c r="JHY33" s="2511"/>
      <c r="JHZ33" s="2511"/>
      <c r="JIA33" s="2511"/>
      <c r="JIB33" s="2511"/>
      <c r="JIC33" s="2511"/>
      <c r="JID33" s="2511"/>
      <c r="JIE33" s="2511"/>
      <c r="JIF33" s="2511"/>
      <c r="JIG33" s="2511"/>
      <c r="JIH33" s="2511"/>
      <c r="JII33" s="2511"/>
      <c r="JIJ33" s="2511"/>
      <c r="JIK33" s="2511"/>
      <c r="JIL33" s="2511"/>
      <c r="JIM33" s="2511"/>
      <c r="JIN33" s="2511"/>
      <c r="JIO33" s="2511"/>
      <c r="JIP33" s="2511"/>
      <c r="JIQ33" s="2511"/>
      <c r="JIR33" s="2511"/>
      <c r="JIS33" s="2511"/>
      <c r="JIT33" s="2511"/>
      <c r="JIU33" s="2511"/>
      <c r="JIV33" s="2511"/>
      <c r="JIW33" s="2511"/>
      <c r="JIX33" s="2511"/>
      <c r="JIY33" s="2511"/>
      <c r="JIZ33" s="2511"/>
      <c r="JJA33" s="2511"/>
      <c r="JJB33" s="2511"/>
      <c r="JJC33" s="2511"/>
      <c r="JJD33" s="2511"/>
      <c r="JJE33" s="2511"/>
      <c r="JJF33" s="2511"/>
      <c r="JJG33" s="2511"/>
      <c r="JJH33" s="2511"/>
      <c r="JJI33" s="2511"/>
      <c r="JJJ33" s="2511"/>
      <c r="JJK33" s="2511"/>
      <c r="JJL33" s="2511"/>
      <c r="JJM33" s="2511"/>
      <c r="JJN33" s="2511"/>
      <c r="JJO33" s="2511"/>
      <c r="JJP33" s="2511"/>
      <c r="JJQ33" s="2511"/>
      <c r="JJR33" s="2511"/>
      <c r="JJS33" s="2511"/>
      <c r="JJT33" s="2511"/>
      <c r="JJU33" s="2511"/>
      <c r="JJV33" s="2511"/>
      <c r="JJW33" s="2511"/>
      <c r="JJX33" s="2511"/>
      <c r="JJY33" s="2511"/>
      <c r="JJZ33" s="2511"/>
      <c r="JKA33" s="2511"/>
      <c r="JKB33" s="2511"/>
      <c r="JKC33" s="2511"/>
      <c r="JKD33" s="2511"/>
      <c r="JKE33" s="2511"/>
      <c r="JKF33" s="2511"/>
      <c r="JKG33" s="2511"/>
      <c r="JKH33" s="2511"/>
      <c r="JKI33" s="2511"/>
      <c r="JKJ33" s="2511"/>
      <c r="JKK33" s="2511"/>
      <c r="JKL33" s="2511"/>
      <c r="JKM33" s="2511"/>
      <c r="JKN33" s="2511"/>
      <c r="JKO33" s="2511"/>
      <c r="JKP33" s="2511"/>
      <c r="JKQ33" s="2511"/>
      <c r="JKR33" s="2511"/>
      <c r="JKS33" s="2511"/>
      <c r="JKT33" s="2511"/>
      <c r="JKU33" s="2511"/>
      <c r="JKV33" s="2511"/>
      <c r="JKW33" s="2511"/>
      <c r="JKX33" s="2511"/>
      <c r="JKY33" s="2511"/>
      <c r="JKZ33" s="2511"/>
      <c r="JLA33" s="2511"/>
      <c r="JLB33" s="2511"/>
      <c r="JLC33" s="2511"/>
      <c r="JLD33" s="2511"/>
      <c r="JLE33" s="2511"/>
      <c r="JLF33" s="2511"/>
      <c r="JLG33" s="2511"/>
      <c r="JLH33" s="2511"/>
      <c r="JLI33" s="2511"/>
      <c r="JLJ33" s="2511"/>
      <c r="JLK33" s="2511"/>
      <c r="JLL33" s="2511"/>
      <c r="JLM33" s="2511"/>
      <c r="JLN33" s="2511"/>
      <c r="JLO33" s="2511"/>
      <c r="JLP33" s="2511"/>
      <c r="JLQ33" s="2511"/>
      <c r="JLR33" s="2511"/>
      <c r="JLS33" s="2511"/>
      <c r="JLT33" s="2511"/>
      <c r="JLU33" s="2511"/>
      <c r="JLV33" s="2511"/>
      <c r="JLW33" s="2511"/>
      <c r="JLX33" s="2511"/>
      <c r="JLY33" s="2511"/>
      <c r="JLZ33" s="2511"/>
      <c r="JMA33" s="2511"/>
      <c r="JMB33" s="2511"/>
      <c r="JMC33" s="2511"/>
      <c r="JMD33" s="2511"/>
      <c r="JME33" s="2511"/>
      <c r="JMF33" s="2511"/>
      <c r="JMG33" s="2511"/>
      <c r="JMH33" s="2511"/>
      <c r="JMI33" s="2511"/>
      <c r="JMJ33" s="2511"/>
      <c r="JMK33" s="2511"/>
      <c r="JML33" s="2511"/>
      <c r="JMM33" s="2511"/>
      <c r="JMN33" s="2511"/>
      <c r="JMO33" s="2511"/>
      <c r="JMP33" s="2511"/>
      <c r="JMQ33" s="2511"/>
      <c r="JMR33" s="2511"/>
      <c r="JMS33" s="2511"/>
      <c r="JMT33" s="2511"/>
      <c r="JMU33" s="2511"/>
      <c r="JMV33" s="2511"/>
      <c r="JMW33" s="2511"/>
      <c r="JMX33" s="2511"/>
      <c r="JMY33" s="2511"/>
      <c r="JMZ33" s="2511"/>
      <c r="JNA33" s="2511"/>
      <c r="JNB33" s="2511"/>
      <c r="JNC33" s="2511"/>
      <c r="JND33" s="2511"/>
      <c r="JNE33" s="2511"/>
      <c r="JNF33" s="2511"/>
      <c r="JNG33" s="2511"/>
      <c r="JNH33" s="2511"/>
      <c r="JNI33" s="2511"/>
      <c r="JNJ33" s="2511"/>
      <c r="JNK33" s="2511"/>
      <c r="JNL33" s="2511"/>
      <c r="JNM33" s="2511"/>
      <c r="JNN33" s="2511"/>
      <c r="JNO33" s="2511"/>
      <c r="JNP33" s="2511"/>
      <c r="JNQ33" s="2511"/>
      <c r="JNR33" s="2511"/>
      <c r="JNS33" s="2511"/>
      <c r="JNT33" s="2511"/>
      <c r="JNU33" s="2511"/>
      <c r="JNV33" s="2511"/>
      <c r="JNW33" s="2511"/>
      <c r="JNX33" s="2511"/>
      <c r="JNY33" s="2511"/>
      <c r="JNZ33" s="2511"/>
      <c r="JOA33" s="2511"/>
      <c r="JOB33" s="2511"/>
      <c r="JOC33" s="2511"/>
      <c r="JOD33" s="2511"/>
      <c r="JOE33" s="2511"/>
      <c r="JOF33" s="2511"/>
      <c r="JOG33" s="2511"/>
      <c r="JOH33" s="2511"/>
      <c r="JOI33" s="2511"/>
      <c r="JOJ33" s="2511"/>
      <c r="JOK33" s="2511"/>
      <c r="JOL33" s="2511"/>
      <c r="JOM33" s="2511"/>
      <c r="JON33" s="2511"/>
      <c r="JOO33" s="2511"/>
      <c r="JOP33" s="2511"/>
      <c r="JOQ33" s="2511"/>
      <c r="JOR33" s="2511"/>
      <c r="JOS33" s="2511"/>
      <c r="JOT33" s="2511"/>
      <c r="JOU33" s="2511"/>
      <c r="JOV33" s="2511"/>
      <c r="JOW33" s="2511"/>
      <c r="JOX33" s="2511"/>
      <c r="JOY33" s="2511"/>
      <c r="JOZ33" s="2511"/>
      <c r="JPA33" s="2511"/>
      <c r="JPB33" s="2511"/>
      <c r="JPC33" s="2511"/>
      <c r="JPD33" s="2511"/>
      <c r="JPE33" s="2511"/>
      <c r="JPF33" s="2511"/>
      <c r="JPG33" s="2511"/>
      <c r="JPH33" s="2511"/>
      <c r="JPI33" s="2511"/>
      <c r="JPJ33" s="2511"/>
      <c r="JPK33" s="2511"/>
      <c r="JPL33" s="2511"/>
      <c r="JPM33" s="2511"/>
      <c r="JPN33" s="2511"/>
      <c r="JPO33" s="2511"/>
      <c r="JPP33" s="2511"/>
      <c r="JPQ33" s="2511"/>
      <c r="JPR33" s="2511"/>
      <c r="JPS33" s="2511"/>
      <c r="JPT33" s="2511"/>
      <c r="JPU33" s="2511"/>
      <c r="JPV33" s="2511"/>
      <c r="JPW33" s="2511"/>
      <c r="JPX33" s="2511"/>
      <c r="JPY33" s="2511"/>
      <c r="JPZ33" s="2511"/>
      <c r="JQA33" s="2511"/>
      <c r="JQB33" s="2511"/>
      <c r="JQC33" s="2511"/>
      <c r="JQD33" s="2511"/>
      <c r="JQE33" s="2511"/>
      <c r="JQF33" s="2511"/>
      <c r="JQG33" s="2511"/>
      <c r="JQH33" s="2511"/>
      <c r="JQI33" s="2511"/>
      <c r="JQJ33" s="2511"/>
      <c r="JQK33" s="2511"/>
      <c r="JQL33" s="2511"/>
      <c r="JQM33" s="2511"/>
      <c r="JQN33" s="2511"/>
      <c r="JQO33" s="2511"/>
      <c r="JQP33" s="2511"/>
      <c r="JQQ33" s="2511"/>
      <c r="JQR33" s="2511"/>
      <c r="JQS33" s="2511"/>
      <c r="JQT33" s="2511"/>
      <c r="JQU33" s="2511"/>
      <c r="JQV33" s="2511"/>
      <c r="JQW33" s="2511"/>
      <c r="JQX33" s="2511"/>
      <c r="JQY33" s="2511"/>
      <c r="JQZ33" s="2511"/>
      <c r="JRA33" s="2511"/>
      <c r="JRB33" s="2511"/>
      <c r="JRC33" s="2511"/>
      <c r="JRD33" s="2511"/>
      <c r="JRE33" s="2511"/>
      <c r="JRF33" s="2511"/>
      <c r="JRG33" s="2511"/>
      <c r="JRH33" s="2511"/>
      <c r="JRI33" s="2511"/>
      <c r="JRJ33" s="2511"/>
      <c r="JRK33" s="2511"/>
      <c r="JRL33" s="2511"/>
      <c r="JRM33" s="2511"/>
      <c r="JRN33" s="2511"/>
      <c r="JRO33" s="2511"/>
      <c r="JRP33" s="2511"/>
      <c r="JRQ33" s="2511"/>
      <c r="JRR33" s="2511"/>
      <c r="JRS33" s="2511"/>
      <c r="JRT33" s="2511"/>
      <c r="JRU33" s="2511"/>
      <c r="JRV33" s="2511"/>
      <c r="JRW33" s="2511"/>
      <c r="JRX33" s="2511"/>
      <c r="JRY33" s="2511"/>
      <c r="JRZ33" s="2511"/>
      <c r="JSA33" s="2511"/>
      <c r="JSB33" s="2511"/>
      <c r="JSC33" s="2511"/>
      <c r="JSD33" s="2511"/>
      <c r="JSE33" s="2511"/>
      <c r="JSF33" s="2511"/>
      <c r="JSG33" s="2511"/>
      <c r="JSH33" s="2511"/>
      <c r="JSI33" s="2511"/>
      <c r="JSJ33" s="2511"/>
      <c r="JSK33" s="2511"/>
      <c r="JSL33" s="2511"/>
      <c r="JSM33" s="2511"/>
      <c r="JSN33" s="2511"/>
      <c r="JSO33" s="2511"/>
      <c r="JSP33" s="2511"/>
      <c r="JSQ33" s="2511"/>
      <c r="JSR33" s="2511"/>
      <c r="JSS33" s="2511"/>
      <c r="JST33" s="2511"/>
      <c r="JSU33" s="2511"/>
      <c r="JSV33" s="2511"/>
      <c r="JSW33" s="2511"/>
      <c r="JSX33" s="2511"/>
      <c r="JSY33" s="2511"/>
      <c r="JSZ33" s="2511"/>
      <c r="JTA33" s="2511"/>
      <c r="JTB33" s="2511"/>
      <c r="JTC33" s="2511"/>
      <c r="JTD33" s="2511"/>
      <c r="JTE33" s="2511"/>
      <c r="JTF33" s="2511"/>
      <c r="JTG33" s="2511"/>
      <c r="JTH33" s="2511"/>
      <c r="JTI33" s="2511"/>
      <c r="JTJ33" s="2511"/>
      <c r="JTK33" s="2511"/>
      <c r="JTL33" s="2511"/>
      <c r="JTM33" s="2511"/>
      <c r="JTN33" s="2511"/>
      <c r="JTO33" s="2511"/>
      <c r="JTP33" s="2511"/>
      <c r="JTQ33" s="2511"/>
      <c r="JTR33" s="2511"/>
      <c r="JTS33" s="2511"/>
      <c r="JTT33" s="2511"/>
      <c r="JTU33" s="2511"/>
      <c r="JTV33" s="2511"/>
      <c r="JTW33" s="2511"/>
      <c r="JTX33" s="2511"/>
      <c r="JTY33" s="2511"/>
      <c r="JTZ33" s="2511"/>
      <c r="JUA33" s="2511"/>
      <c r="JUB33" s="2511"/>
      <c r="JUC33" s="2511"/>
      <c r="JUD33" s="2511"/>
      <c r="JUE33" s="2511"/>
      <c r="JUF33" s="2511"/>
      <c r="JUG33" s="2511"/>
      <c r="JUH33" s="2511"/>
      <c r="JUI33" s="2511"/>
      <c r="JUJ33" s="2511"/>
      <c r="JUK33" s="2511"/>
      <c r="JUL33" s="2511"/>
      <c r="JUM33" s="2511"/>
      <c r="JUN33" s="2511"/>
      <c r="JUO33" s="2511"/>
      <c r="JUP33" s="2511"/>
      <c r="JUQ33" s="2511"/>
      <c r="JUR33" s="2511"/>
      <c r="JUS33" s="2511"/>
      <c r="JUT33" s="2511"/>
      <c r="JUU33" s="2511"/>
      <c r="JUV33" s="2511"/>
      <c r="JUW33" s="2511"/>
      <c r="JUX33" s="2511"/>
      <c r="JUY33" s="2511"/>
      <c r="JUZ33" s="2511"/>
      <c r="JVA33" s="2511"/>
      <c r="JVB33" s="2511"/>
      <c r="JVC33" s="2511"/>
      <c r="JVD33" s="2511"/>
      <c r="JVE33" s="2511"/>
      <c r="JVF33" s="2511"/>
      <c r="JVG33" s="2511"/>
      <c r="JVH33" s="2511"/>
      <c r="JVI33" s="2511"/>
      <c r="JVJ33" s="2511"/>
      <c r="JVK33" s="2511"/>
      <c r="JVL33" s="2511"/>
      <c r="JVM33" s="2511"/>
      <c r="JVN33" s="2511"/>
      <c r="JVO33" s="2511"/>
      <c r="JVP33" s="2511"/>
      <c r="JVQ33" s="2511"/>
      <c r="JVR33" s="2511"/>
      <c r="JVS33" s="2511"/>
      <c r="JVT33" s="2511"/>
      <c r="JVU33" s="2511"/>
      <c r="JVV33" s="2511"/>
      <c r="JVW33" s="2511"/>
      <c r="JVX33" s="2511"/>
      <c r="JVY33" s="2511"/>
      <c r="JVZ33" s="2511"/>
      <c r="JWA33" s="2511"/>
      <c r="JWB33" s="2511"/>
      <c r="JWC33" s="2511"/>
      <c r="JWD33" s="2511"/>
      <c r="JWE33" s="2511"/>
      <c r="JWF33" s="2511"/>
      <c r="JWG33" s="2511"/>
      <c r="JWH33" s="2511"/>
      <c r="JWI33" s="2511"/>
      <c r="JWJ33" s="2511"/>
      <c r="JWK33" s="2511"/>
      <c r="JWL33" s="2511"/>
      <c r="JWM33" s="2511"/>
      <c r="JWN33" s="2511"/>
      <c r="JWO33" s="2511"/>
      <c r="JWP33" s="2511"/>
      <c r="JWQ33" s="2511"/>
      <c r="JWR33" s="2511"/>
      <c r="JWS33" s="2511"/>
      <c r="JWT33" s="2511"/>
      <c r="JWU33" s="2511"/>
      <c r="JWV33" s="2511"/>
      <c r="JWW33" s="2511"/>
      <c r="JWX33" s="2511"/>
      <c r="JWY33" s="2511"/>
      <c r="JWZ33" s="2511"/>
      <c r="JXA33" s="2511"/>
      <c r="JXB33" s="2511"/>
      <c r="JXC33" s="2511"/>
      <c r="JXD33" s="2511"/>
      <c r="JXE33" s="2511"/>
      <c r="JXF33" s="2511"/>
      <c r="JXG33" s="2511"/>
      <c r="JXH33" s="2511"/>
      <c r="JXI33" s="2511"/>
      <c r="JXJ33" s="2511"/>
      <c r="JXK33" s="2511"/>
      <c r="JXL33" s="2511"/>
      <c r="JXM33" s="2511"/>
      <c r="JXN33" s="2511"/>
      <c r="JXO33" s="2511"/>
      <c r="JXP33" s="2511"/>
      <c r="JXQ33" s="2511"/>
      <c r="JXR33" s="2511"/>
      <c r="JXS33" s="2511"/>
      <c r="JXT33" s="2511"/>
      <c r="JXU33" s="2511"/>
      <c r="JXV33" s="2511"/>
      <c r="JXW33" s="2511"/>
      <c r="JXX33" s="2511"/>
      <c r="JXY33" s="2511"/>
      <c r="JXZ33" s="2511"/>
      <c r="JYA33" s="2511"/>
      <c r="JYB33" s="2511"/>
      <c r="JYC33" s="2511"/>
      <c r="JYD33" s="2511"/>
      <c r="JYE33" s="2511"/>
      <c r="JYF33" s="2511"/>
      <c r="JYG33" s="2511"/>
      <c r="JYH33" s="2511"/>
      <c r="JYI33" s="2511"/>
      <c r="JYJ33" s="2511"/>
      <c r="JYK33" s="2511"/>
      <c r="JYL33" s="2511"/>
      <c r="JYM33" s="2511"/>
      <c r="JYN33" s="2511"/>
      <c r="JYO33" s="2511"/>
      <c r="JYP33" s="2511"/>
      <c r="JYQ33" s="2511"/>
      <c r="JYR33" s="2511"/>
      <c r="JYS33" s="2511"/>
      <c r="JYT33" s="2511"/>
      <c r="JYU33" s="2511"/>
      <c r="JYV33" s="2511"/>
      <c r="JYW33" s="2511"/>
      <c r="JYX33" s="2511"/>
      <c r="JYY33" s="2511"/>
      <c r="JYZ33" s="2511"/>
      <c r="JZA33" s="2511"/>
      <c r="JZB33" s="2511"/>
      <c r="JZC33" s="2511"/>
      <c r="JZD33" s="2511"/>
      <c r="JZE33" s="2511"/>
      <c r="JZF33" s="2511"/>
      <c r="JZG33" s="2511"/>
      <c r="JZH33" s="2511"/>
      <c r="JZI33" s="2511"/>
      <c r="JZJ33" s="2511"/>
      <c r="JZK33" s="2511"/>
      <c r="JZL33" s="2511"/>
      <c r="JZM33" s="2511"/>
      <c r="JZN33" s="2511"/>
      <c r="JZO33" s="2511"/>
      <c r="JZP33" s="2511"/>
      <c r="JZQ33" s="2511"/>
      <c r="JZR33" s="2511"/>
      <c r="JZS33" s="2511"/>
      <c r="JZT33" s="2511"/>
      <c r="JZU33" s="2511"/>
      <c r="JZV33" s="2511"/>
      <c r="JZW33" s="2511"/>
      <c r="JZX33" s="2511"/>
      <c r="JZY33" s="2511"/>
      <c r="JZZ33" s="2511"/>
      <c r="KAA33" s="2511"/>
      <c r="KAB33" s="2511"/>
      <c r="KAC33" s="2511"/>
      <c r="KAD33" s="2511"/>
      <c r="KAE33" s="2511"/>
      <c r="KAF33" s="2511"/>
      <c r="KAG33" s="2511"/>
      <c r="KAH33" s="2511"/>
      <c r="KAI33" s="2511"/>
      <c r="KAJ33" s="2511"/>
      <c r="KAK33" s="2511"/>
      <c r="KAL33" s="2511"/>
      <c r="KAM33" s="2511"/>
      <c r="KAN33" s="2511"/>
      <c r="KAO33" s="2511"/>
      <c r="KAP33" s="2511"/>
      <c r="KAQ33" s="2511"/>
      <c r="KAR33" s="2511"/>
      <c r="KAS33" s="2511"/>
      <c r="KAT33" s="2511"/>
      <c r="KAU33" s="2511"/>
      <c r="KAV33" s="2511"/>
      <c r="KAW33" s="2511"/>
      <c r="KAX33" s="2511"/>
      <c r="KAY33" s="2511"/>
      <c r="KAZ33" s="2511"/>
      <c r="KBA33" s="2511"/>
      <c r="KBB33" s="2511"/>
      <c r="KBC33" s="2511"/>
      <c r="KBD33" s="2511"/>
      <c r="KBE33" s="2511"/>
      <c r="KBF33" s="2511"/>
      <c r="KBG33" s="2511"/>
      <c r="KBH33" s="2511"/>
      <c r="KBI33" s="2511"/>
      <c r="KBJ33" s="2511"/>
      <c r="KBK33" s="2511"/>
      <c r="KBL33" s="2511"/>
      <c r="KBM33" s="2511"/>
      <c r="KBN33" s="2511"/>
      <c r="KBO33" s="2511"/>
      <c r="KBP33" s="2511"/>
      <c r="KBQ33" s="2511"/>
      <c r="KBR33" s="2511"/>
      <c r="KBS33" s="2511"/>
      <c r="KBT33" s="2511"/>
      <c r="KBU33" s="2511"/>
      <c r="KBV33" s="2511"/>
      <c r="KBW33" s="2511"/>
      <c r="KBX33" s="2511"/>
      <c r="KBY33" s="2511"/>
      <c r="KBZ33" s="2511"/>
      <c r="KCA33" s="2511"/>
      <c r="KCB33" s="2511"/>
      <c r="KCC33" s="2511"/>
      <c r="KCD33" s="2511"/>
      <c r="KCE33" s="2511"/>
      <c r="KCF33" s="2511"/>
      <c r="KCG33" s="2511"/>
      <c r="KCH33" s="2511"/>
      <c r="KCI33" s="2511"/>
      <c r="KCJ33" s="2511"/>
      <c r="KCK33" s="2511"/>
      <c r="KCL33" s="2511"/>
      <c r="KCM33" s="2511"/>
      <c r="KCN33" s="2511"/>
      <c r="KCO33" s="2511"/>
      <c r="KCP33" s="2511"/>
      <c r="KCQ33" s="2511"/>
      <c r="KCR33" s="2511"/>
      <c r="KCS33" s="2511"/>
      <c r="KCT33" s="2511"/>
      <c r="KCU33" s="2511"/>
      <c r="KCV33" s="2511"/>
      <c r="KCW33" s="2511"/>
      <c r="KCX33" s="2511"/>
      <c r="KCY33" s="2511"/>
      <c r="KCZ33" s="2511"/>
      <c r="KDA33" s="2511"/>
      <c r="KDB33" s="2511"/>
      <c r="KDC33" s="2511"/>
      <c r="KDD33" s="2511"/>
      <c r="KDE33" s="2511"/>
      <c r="KDF33" s="2511"/>
      <c r="KDG33" s="2511"/>
      <c r="KDH33" s="2511"/>
      <c r="KDI33" s="2511"/>
      <c r="KDJ33" s="2511"/>
      <c r="KDK33" s="2511"/>
      <c r="KDL33" s="2511"/>
      <c r="KDM33" s="2511"/>
      <c r="KDN33" s="2511"/>
      <c r="KDO33" s="2511"/>
      <c r="KDP33" s="2511"/>
      <c r="KDQ33" s="2511"/>
      <c r="KDR33" s="2511"/>
      <c r="KDS33" s="2511"/>
      <c r="KDT33" s="2511"/>
      <c r="KDU33" s="2511"/>
      <c r="KDV33" s="2511"/>
      <c r="KDW33" s="2511"/>
      <c r="KDX33" s="2511"/>
      <c r="KDY33" s="2511"/>
      <c r="KDZ33" s="2511"/>
      <c r="KEA33" s="2511"/>
      <c r="KEB33" s="2511"/>
      <c r="KEC33" s="2511"/>
      <c r="KED33" s="2511"/>
      <c r="KEE33" s="2511"/>
      <c r="KEF33" s="2511"/>
      <c r="KEG33" s="2511"/>
      <c r="KEH33" s="2511"/>
      <c r="KEI33" s="2511"/>
      <c r="KEJ33" s="2511"/>
      <c r="KEK33" s="2511"/>
      <c r="KEL33" s="2511"/>
      <c r="KEM33" s="2511"/>
      <c r="KEN33" s="2511"/>
      <c r="KEO33" s="2511"/>
      <c r="KEP33" s="2511"/>
      <c r="KEQ33" s="2511"/>
      <c r="KER33" s="2511"/>
      <c r="KES33" s="2511"/>
      <c r="KET33" s="2511"/>
      <c r="KEU33" s="2511"/>
      <c r="KEV33" s="2511"/>
      <c r="KEW33" s="2511"/>
      <c r="KEX33" s="2511"/>
      <c r="KEY33" s="2511"/>
      <c r="KEZ33" s="2511"/>
      <c r="KFA33" s="2511"/>
      <c r="KFB33" s="2511"/>
      <c r="KFC33" s="2511"/>
      <c r="KFD33" s="2511"/>
      <c r="KFE33" s="2511"/>
      <c r="KFF33" s="2511"/>
      <c r="KFG33" s="2511"/>
      <c r="KFH33" s="2511"/>
      <c r="KFI33" s="2511"/>
      <c r="KFJ33" s="2511"/>
      <c r="KFK33" s="2511"/>
      <c r="KFL33" s="2511"/>
      <c r="KFM33" s="2511"/>
      <c r="KFN33" s="2511"/>
      <c r="KFO33" s="2511"/>
      <c r="KFP33" s="2511"/>
      <c r="KFQ33" s="2511"/>
      <c r="KFR33" s="2511"/>
      <c r="KFS33" s="2511"/>
      <c r="KFT33" s="2511"/>
      <c r="KFU33" s="2511"/>
      <c r="KFV33" s="2511"/>
      <c r="KFW33" s="2511"/>
      <c r="KFX33" s="2511"/>
      <c r="KFY33" s="2511"/>
      <c r="KFZ33" s="2511"/>
      <c r="KGA33" s="2511"/>
      <c r="KGB33" s="2511"/>
      <c r="KGC33" s="2511"/>
      <c r="KGD33" s="2511"/>
      <c r="KGE33" s="2511"/>
      <c r="KGF33" s="2511"/>
      <c r="KGG33" s="2511"/>
      <c r="KGH33" s="2511"/>
      <c r="KGI33" s="2511"/>
      <c r="KGJ33" s="2511"/>
      <c r="KGK33" s="2511"/>
      <c r="KGL33" s="2511"/>
      <c r="KGM33" s="2511"/>
      <c r="KGN33" s="2511"/>
      <c r="KGO33" s="2511"/>
      <c r="KGP33" s="2511"/>
      <c r="KGQ33" s="2511"/>
      <c r="KGR33" s="2511"/>
      <c r="KGS33" s="2511"/>
      <c r="KGT33" s="2511"/>
      <c r="KGU33" s="2511"/>
      <c r="KGV33" s="2511"/>
      <c r="KGW33" s="2511"/>
      <c r="KGX33" s="2511"/>
      <c r="KGY33" s="2511"/>
      <c r="KGZ33" s="2511"/>
      <c r="KHA33" s="2511"/>
      <c r="KHB33" s="2511"/>
      <c r="KHC33" s="2511"/>
      <c r="KHD33" s="2511"/>
      <c r="KHE33" s="2511"/>
      <c r="KHF33" s="2511"/>
      <c r="KHG33" s="2511"/>
      <c r="KHH33" s="2511"/>
      <c r="KHI33" s="2511"/>
      <c r="KHJ33" s="2511"/>
      <c r="KHK33" s="2511"/>
      <c r="KHL33" s="2511"/>
      <c r="KHM33" s="2511"/>
      <c r="KHN33" s="2511"/>
      <c r="KHO33" s="2511"/>
      <c r="KHP33" s="2511"/>
      <c r="KHQ33" s="2511"/>
      <c r="KHR33" s="2511"/>
      <c r="KHS33" s="2511"/>
      <c r="KHT33" s="2511"/>
      <c r="KHU33" s="2511"/>
      <c r="KHV33" s="2511"/>
      <c r="KHW33" s="2511"/>
      <c r="KHX33" s="2511"/>
      <c r="KHY33" s="2511"/>
      <c r="KHZ33" s="2511"/>
      <c r="KIA33" s="2511"/>
      <c r="KIB33" s="2511"/>
      <c r="KIC33" s="2511"/>
      <c r="KID33" s="2511"/>
      <c r="KIE33" s="2511"/>
      <c r="KIF33" s="2511"/>
      <c r="KIG33" s="2511"/>
      <c r="KIH33" s="2511"/>
      <c r="KII33" s="2511"/>
      <c r="KIJ33" s="2511"/>
      <c r="KIK33" s="2511"/>
      <c r="KIL33" s="2511"/>
      <c r="KIM33" s="2511"/>
      <c r="KIN33" s="2511"/>
      <c r="KIO33" s="2511"/>
      <c r="KIP33" s="2511"/>
      <c r="KIQ33" s="2511"/>
      <c r="KIR33" s="2511"/>
      <c r="KIS33" s="2511"/>
      <c r="KIT33" s="2511"/>
      <c r="KIU33" s="2511"/>
      <c r="KIV33" s="2511"/>
      <c r="KIW33" s="2511"/>
      <c r="KIX33" s="2511"/>
      <c r="KIY33" s="2511"/>
      <c r="KIZ33" s="2511"/>
      <c r="KJA33" s="2511"/>
      <c r="KJB33" s="2511"/>
      <c r="KJC33" s="2511"/>
      <c r="KJD33" s="2511"/>
      <c r="KJE33" s="2511"/>
      <c r="KJF33" s="2511"/>
      <c r="KJG33" s="2511"/>
      <c r="KJH33" s="2511"/>
      <c r="KJI33" s="2511"/>
      <c r="KJJ33" s="2511"/>
      <c r="KJK33" s="2511"/>
      <c r="KJL33" s="2511"/>
      <c r="KJM33" s="2511"/>
      <c r="KJN33" s="2511"/>
      <c r="KJO33" s="2511"/>
      <c r="KJP33" s="2511"/>
      <c r="KJQ33" s="2511"/>
      <c r="KJR33" s="2511"/>
      <c r="KJS33" s="2511"/>
      <c r="KJT33" s="2511"/>
      <c r="KJU33" s="2511"/>
      <c r="KJV33" s="2511"/>
      <c r="KJW33" s="2511"/>
      <c r="KJX33" s="2511"/>
      <c r="KJY33" s="2511"/>
      <c r="KJZ33" s="2511"/>
      <c r="KKA33" s="2511"/>
      <c r="KKB33" s="2511"/>
      <c r="KKC33" s="2511"/>
      <c r="KKD33" s="2511"/>
      <c r="KKE33" s="2511"/>
      <c r="KKF33" s="2511"/>
      <c r="KKG33" s="2511"/>
      <c r="KKH33" s="2511"/>
      <c r="KKI33" s="2511"/>
      <c r="KKJ33" s="2511"/>
      <c r="KKK33" s="2511"/>
      <c r="KKL33" s="2511"/>
      <c r="KKM33" s="2511"/>
      <c r="KKN33" s="2511"/>
      <c r="KKO33" s="2511"/>
      <c r="KKP33" s="2511"/>
      <c r="KKQ33" s="2511"/>
      <c r="KKR33" s="2511"/>
      <c r="KKS33" s="2511"/>
      <c r="KKT33" s="2511"/>
      <c r="KKU33" s="2511"/>
      <c r="KKV33" s="2511"/>
      <c r="KKW33" s="2511"/>
      <c r="KKX33" s="2511"/>
      <c r="KKY33" s="2511"/>
      <c r="KKZ33" s="2511"/>
      <c r="KLA33" s="2511"/>
      <c r="KLB33" s="2511"/>
      <c r="KLC33" s="2511"/>
      <c r="KLD33" s="2511"/>
      <c r="KLE33" s="2511"/>
      <c r="KLF33" s="2511"/>
      <c r="KLG33" s="2511"/>
      <c r="KLH33" s="2511"/>
      <c r="KLI33" s="2511"/>
      <c r="KLJ33" s="2511"/>
      <c r="KLK33" s="2511"/>
      <c r="KLL33" s="2511"/>
      <c r="KLM33" s="2511"/>
      <c r="KLN33" s="2511"/>
      <c r="KLO33" s="2511"/>
      <c r="KLP33" s="2511"/>
      <c r="KLQ33" s="2511"/>
      <c r="KLR33" s="2511"/>
      <c r="KLS33" s="2511"/>
      <c r="KLT33" s="2511"/>
      <c r="KLU33" s="2511"/>
      <c r="KLV33" s="2511"/>
      <c r="KLW33" s="2511"/>
      <c r="KLX33" s="2511"/>
      <c r="KLY33" s="2511"/>
      <c r="KLZ33" s="2511"/>
      <c r="KMA33" s="2511"/>
      <c r="KMB33" s="2511"/>
      <c r="KMC33" s="2511"/>
      <c r="KMD33" s="2511"/>
      <c r="KME33" s="2511"/>
      <c r="KMF33" s="2511"/>
      <c r="KMG33" s="2511"/>
      <c r="KMH33" s="2511"/>
      <c r="KMI33" s="2511"/>
      <c r="KMJ33" s="2511"/>
      <c r="KMK33" s="2511"/>
      <c r="KML33" s="2511"/>
      <c r="KMM33" s="2511"/>
      <c r="KMN33" s="2511"/>
      <c r="KMO33" s="2511"/>
      <c r="KMP33" s="2511"/>
      <c r="KMQ33" s="2511"/>
      <c r="KMR33" s="2511"/>
      <c r="KMS33" s="2511"/>
      <c r="KMT33" s="2511"/>
      <c r="KMU33" s="2511"/>
      <c r="KMV33" s="2511"/>
      <c r="KMW33" s="2511"/>
      <c r="KMX33" s="2511"/>
      <c r="KMY33" s="2511"/>
      <c r="KMZ33" s="2511"/>
      <c r="KNA33" s="2511"/>
      <c r="KNB33" s="2511"/>
      <c r="KNC33" s="2511"/>
      <c r="KND33" s="2511"/>
      <c r="KNE33" s="2511"/>
      <c r="KNF33" s="2511"/>
      <c r="KNG33" s="2511"/>
      <c r="KNH33" s="2511"/>
      <c r="KNI33" s="2511"/>
      <c r="KNJ33" s="2511"/>
      <c r="KNK33" s="2511"/>
      <c r="KNL33" s="2511"/>
      <c r="KNM33" s="2511"/>
      <c r="KNN33" s="2511"/>
      <c r="KNO33" s="2511"/>
      <c r="KNP33" s="2511"/>
      <c r="KNQ33" s="2511"/>
      <c r="KNR33" s="2511"/>
      <c r="KNS33" s="2511"/>
      <c r="KNT33" s="2511"/>
      <c r="KNU33" s="2511"/>
      <c r="KNV33" s="2511"/>
      <c r="KNW33" s="2511"/>
      <c r="KNX33" s="2511"/>
      <c r="KNY33" s="2511"/>
      <c r="KNZ33" s="2511"/>
      <c r="KOA33" s="2511"/>
      <c r="KOB33" s="2511"/>
      <c r="KOC33" s="2511"/>
      <c r="KOD33" s="2511"/>
      <c r="KOE33" s="2511"/>
      <c r="KOF33" s="2511"/>
      <c r="KOG33" s="2511"/>
      <c r="KOH33" s="2511"/>
      <c r="KOI33" s="2511"/>
      <c r="KOJ33" s="2511"/>
      <c r="KOK33" s="2511"/>
      <c r="KOL33" s="2511"/>
      <c r="KOM33" s="2511"/>
      <c r="KON33" s="2511"/>
      <c r="KOO33" s="2511"/>
      <c r="KOP33" s="2511"/>
      <c r="KOQ33" s="2511"/>
      <c r="KOR33" s="2511"/>
      <c r="KOS33" s="2511"/>
      <c r="KOT33" s="2511"/>
      <c r="KOU33" s="2511"/>
      <c r="KOV33" s="2511"/>
      <c r="KOW33" s="2511"/>
      <c r="KOX33" s="2511"/>
      <c r="KOY33" s="2511"/>
      <c r="KOZ33" s="2511"/>
      <c r="KPA33" s="2511"/>
      <c r="KPB33" s="2511"/>
      <c r="KPC33" s="2511"/>
      <c r="KPD33" s="2511"/>
      <c r="KPE33" s="2511"/>
      <c r="KPF33" s="2511"/>
      <c r="KPG33" s="2511"/>
      <c r="KPH33" s="2511"/>
      <c r="KPI33" s="2511"/>
      <c r="KPJ33" s="2511"/>
      <c r="KPK33" s="2511"/>
      <c r="KPL33" s="2511"/>
      <c r="KPM33" s="2511"/>
      <c r="KPN33" s="2511"/>
      <c r="KPO33" s="2511"/>
      <c r="KPP33" s="2511"/>
      <c r="KPQ33" s="2511"/>
      <c r="KPR33" s="2511"/>
      <c r="KPS33" s="2511"/>
      <c r="KPT33" s="2511"/>
      <c r="KPU33" s="2511"/>
      <c r="KPV33" s="2511"/>
      <c r="KPW33" s="2511"/>
      <c r="KPX33" s="2511"/>
      <c r="KPY33" s="2511"/>
      <c r="KPZ33" s="2511"/>
      <c r="KQA33" s="2511"/>
      <c r="KQB33" s="2511"/>
      <c r="KQC33" s="2511"/>
      <c r="KQD33" s="2511"/>
      <c r="KQE33" s="2511"/>
      <c r="KQF33" s="2511"/>
      <c r="KQG33" s="2511"/>
      <c r="KQH33" s="2511"/>
      <c r="KQI33" s="2511"/>
      <c r="KQJ33" s="2511"/>
      <c r="KQK33" s="2511"/>
      <c r="KQL33" s="2511"/>
      <c r="KQM33" s="2511"/>
      <c r="KQN33" s="2511"/>
      <c r="KQO33" s="2511"/>
      <c r="KQP33" s="2511"/>
      <c r="KQQ33" s="2511"/>
      <c r="KQR33" s="2511"/>
      <c r="KQS33" s="2511"/>
      <c r="KQT33" s="2511"/>
      <c r="KQU33" s="2511"/>
      <c r="KQV33" s="2511"/>
      <c r="KQW33" s="2511"/>
      <c r="KQX33" s="2511"/>
      <c r="KQY33" s="2511"/>
      <c r="KQZ33" s="2511"/>
      <c r="KRA33" s="2511"/>
      <c r="KRB33" s="2511"/>
      <c r="KRC33" s="2511"/>
      <c r="KRD33" s="2511"/>
      <c r="KRE33" s="2511"/>
      <c r="KRF33" s="2511"/>
      <c r="KRG33" s="2511"/>
      <c r="KRH33" s="2511"/>
      <c r="KRI33" s="2511"/>
      <c r="KRJ33" s="2511"/>
      <c r="KRK33" s="2511"/>
      <c r="KRL33" s="2511"/>
      <c r="KRM33" s="2511"/>
      <c r="KRN33" s="2511"/>
      <c r="KRO33" s="2511"/>
      <c r="KRP33" s="2511"/>
      <c r="KRQ33" s="2511"/>
      <c r="KRR33" s="2511"/>
      <c r="KRS33" s="2511"/>
      <c r="KRT33" s="2511"/>
      <c r="KRU33" s="2511"/>
      <c r="KRV33" s="2511"/>
      <c r="KRW33" s="2511"/>
      <c r="KRX33" s="2511"/>
      <c r="KRY33" s="2511"/>
      <c r="KRZ33" s="2511"/>
      <c r="KSA33" s="2511"/>
      <c r="KSB33" s="2511"/>
      <c r="KSC33" s="2511"/>
      <c r="KSD33" s="2511"/>
      <c r="KSE33" s="2511"/>
      <c r="KSF33" s="2511"/>
      <c r="KSG33" s="2511"/>
      <c r="KSH33" s="2511"/>
      <c r="KSI33" s="2511"/>
      <c r="KSJ33" s="2511"/>
      <c r="KSK33" s="2511"/>
      <c r="KSL33" s="2511"/>
      <c r="KSM33" s="2511"/>
      <c r="KSN33" s="2511"/>
      <c r="KSO33" s="2511"/>
      <c r="KSP33" s="2511"/>
      <c r="KSQ33" s="2511"/>
      <c r="KSR33" s="2511"/>
      <c r="KSS33" s="2511"/>
      <c r="KST33" s="2511"/>
      <c r="KSU33" s="2511"/>
      <c r="KSV33" s="2511"/>
      <c r="KSW33" s="2511"/>
      <c r="KSX33" s="2511"/>
      <c r="KSY33" s="2511"/>
      <c r="KSZ33" s="2511"/>
      <c r="KTA33" s="2511"/>
      <c r="KTB33" s="2511"/>
      <c r="KTC33" s="2511"/>
      <c r="KTD33" s="2511"/>
      <c r="KTE33" s="2511"/>
      <c r="KTF33" s="2511"/>
      <c r="KTG33" s="2511"/>
      <c r="KTH33" s="2511"/>
      <c r="KTI33" s="2511"/>
      <c r="KTJ33" s="2511"/>
      <c r="KTK33" s="2511"/>
      <c r="KTL33" s="2511"/>
      <c r="KTM33" s="2511"/>
      <c r="KTN33" s="2511"/>
      <c r="KTO33" s="2511"/>
      <c r="KTP33" s="2511"/>
      <c r="KTQ33" s="2511"/>
      <c r="KTR33" s="2511"/>
      <c r="KTS33" s="2511"/>
      <c r="KTT33" s="2511"/>
      <c r="KTU33" s="2511"/>
      <c r="KTV33" s="2511"/>
      <c r="KTW33" s="2511"/>
      <c r="KTX33" s="2511"/>
      <c r="KTY33" s="2511"/>
      <c r="KTZ33" s="2511"/>
      <c r="KUA33" s="2511"/>
      <c r="KUB33" s="2511"/>
      <c r="KUC33" s="2511"/>
      <c r="KUD33" s="2511"/>
      <c r="KUE33" s="2511"/>
      <c r="KUF33" s="2511"/>
      <c r="KUG33" s="2511"/>
      <c r="KUH33" s="2511"/>
      <c r="KUI33" s="2511"/>
      <c r="KUJ33" s="2511"/>
      <c r="KUK33" s="2511"/>
      <c r="KUL33" s="2511"/>
      <c r="KUM33" s="2511"/>
      <c r="KUN33" s="2511"/>
      <c r="KUO33" s="2511"/>
      <c r="KUP33" s="2511"/>
      <c r="KUQ33" s="2511"/>
      <c r="KUR33" s="2511"/>
      <c r="KUS33" s="2511"/>
      <c r="KUT33" s="2511"/>
      <c r="KUU33" s="2511"/>
      <c r="KUV33" s="2511"/>
      <c r="KUW33" s="2511"/>
      <c r="KUX33" s="2511"/>
      <c r="KUY33" s="2511"/>
      <c r="KUZ33" s="2511"/>
      <c r="KVA33" s="2511"/>
      <c r="KVB33" s="2511"/>
      <c r="KVC33" s="2511"/>
      <c r="KVD33" s="2511"/>
      <c r="KVE33" s="2511"/>
      <c r="KVF33" s="2511"/>
      <c r="KVG33" s="2511"/>
      <c r="KVH33" s="2511"/>
      <c r="KVI33" s="2511"/>
      <c r="KVJ33" s="2511"/>
      <c r="KVK33" s="2511"/>
      <c r="KVL33" s="2511"/>
      <c r="KVM33" s="2511"/>
      <c r="KVN33" s="2511"/>
      <c r="KVO33" s="2511"/>
      <c r="KVP33" s="2511"/>
      <c r="KVQ33" s="2511"/>
      <c r="KVR33" s="2511"/>
      <c r="KVS33" s="2511"/>
      <c r="KVT33" s="2511"/>
      <c r="KVU33" s="2511"/>
      <c r="KVV33" s="2511"/>
      <c r="KVW33" s="2511"/>
      <c r="KVX33" s="2511"/>
      <c r="KVY33" s="2511"/>
      <c r="KVZ33" s="2511"/>
      <c r="KWA33" s="2511"/>
      <c r="KWB33" s="2511"/>
      <c r="KWC33" s="2511"/>
      <c r="KWD33" s="2511"/>
      <c r="KWE33" s="2511"/>
      <c r="KWF33" s="2511"/>
      <c r="KWG33" s="2511"/>
      <c r="KWH33" s="2511"/>
      <c r="KWI33" s="2511"/>
      <c r="KWJ33" s="2511"/>
      <c r="KWK33" s="2511"/>
      <c r="KWL33" s="2511"/>
      <c r="KWM33" s="2511"/>
      <c r="KWN33" s="2511"/>
      <c r="KWO33" s="2511"/>
      <c r="KWP33" s="2511"/>
      <c r="KWQ33" s="2511"/>
      <c r="KWR33" s="2511"/>
      <c r="KWS33" s="2511"/>
      <c r="KWT33" s="2511"/>
      <c r="KWU33" s="2511"/>
      <c r="KWV33" s="2511"/>
      <c r="KWW33" s="2511"/>
      <c r="KWX33" s="2511"/>
      <c r="KWY33" s="2511"/>
      <c r="KWZ33" s="2511"/>
      <c r="KXA33" s="2511"/>
      <c r="KXB33" s="2511"/>
      <c r="KXC33" s="2511"/>
      <c r="KXD33" s="2511"/>
      <c r="KXE33" s="2511"/>
      <c r="KXF33" s="2511"/>
      <c r="KXG33" s="2511"/>
      <c r="KXH33" s="2511"/>
      <c r="KXI33" s="2511"/>
      <c r="KXJ33" s="2511"/>
      <c r="KXK33" s="2511"/>
      <c r="KXL33" s="2511"/>
      <c r="KXM33" s="2511"/>
      <c r="KXN33" s="2511"/>
      <c r="KXO33" s="2511"/>
      <c r="KXP33" s="2511"/>
      <c r="KXQ33" s="2511"/>
      <c r="KXR33" s="2511"/>
      <c r="KXS33" s="2511"/>
      <c r="KXT33" s="2511"/>
      <c r="KXU33" s="2511"/>
      <c r="KXV33" s="2511"/>
      <c r="KXW33" s="2511"/>
      <c r="KXX33" s="2511"/>
      <c r="KXY33" s="2511"/>
      <c r="KXZ33" s="2511"/>
      <c r="KYA33" s="2511"/>
      <c r="KYB33" s="2511"/>
      <c r="KYC33" s="2511"/>
      <c r="KYD33" s="2511"/>
      <c r="KYE33" s="2511"/>
      <c r="KYF33" s="2511"/>
      <c r="KYG33" s="2511"/>
      <c r="KYH33" s="2511"/>
      <c r="KYI33" s="2511"/>
      <c r="KYJ33" s="2511"/>
      <c r="KYK33" s="2511"/>
      <c r="KYL33" s="2511"/>
      <c r="KYM33" s="2511"/>
      <c r="KYN33" s="2511"/>
      <c r="KYO33" s="2511"/>
      <c r="KYP33" s="2511"/>
      <c r="KYQ33" s="2511"/>
      <c r="KYR33" s="2511"/>
      <c r="KYS33" s="2511"/>
      <c r="KYT33" s="2511"/>
      <c r="KYU33" s="2511"/>
      <c r="KYV33" s="2511"/>
      <c r="KYW33" s="2511"/>
      <c r="KYX33" s="2511"/>
      <c r="KYY33" s="2511"/>
      <c r="KYZ33" s="2511"/>
      <c r="KZA33" s="2511"/>
      <c r="KZB33" s="2511"/>
      <c r="KZC33" s="2511"/>
      <c r="KZD33" s="2511"/>
      <c r="KZE33" s="2511"/>
      <c r="KZF33" s="2511"/>
      <c r="KZG33" s="2511"/>
      <c r="KZH33" s="2511"/>
      <c r="KZI33" s="2511"/>
      <c r="KZJ33" s="2511"/>
      <c r="KZK33" s="2511"/>
      <c r="KZL33" s="2511"/>
      <c r="KZM33" s="2511"/>
      <c r="KZN33" s="2511"/>
      <c r="KZO33" s="2511"/>
      <c r="KZP33" s="2511"/>
      <c r="KZQ33" s="2511"/>
      <c r="KZR33" s="2511"/>
      <c r="KZS33" s="2511"/>
      <c r="KZT33" s="2511"/>
      <c r="KZU33" s="2511"/>
      <c r="KZV33" s="2511"/>
      <c r="KZW33" s="2511"/>
      <c r="KZX33" s="2511"/>
      <c r="KZY33" s="2511"/>
      <c r="KZZ33" s="2511"/>
      <c r="LAA33" s="2511"/>
      <c r="LAB33" s="2511"/>
      <c r="LAC33" s="2511"/>
      <c r="LAD33" s="2511"/>
      <c r="LAE33" s="2511"/>
      <c r="LAF33" s="2511"/>
      <c r="LAG33" s="2511"/>
      <c r="LAH33" s="2511"/>
      <c r="LAI33" s="2511"/>
      <c r="LAJ33" s="2511"/>
      <c r="LAK33" s="2511"/>
      <c r="LAL33" s="2511"/>
      <c r="LAM33" s="2511"/>
      <c r="LAN33" s="2511"/>
      <c r="LAO33" s="2511"/>
      <c r="LAP33" s="2511"/>
      <c r="LAQ33" s="2511"/>
      <c r="LAR33" s="2511"/>
      <c r="LAS33" s="2511"/>
      <c r="LAT33" s="2511"/>
      <c r="LAU33" s="2511"/>
      <c r="LAV33" s="2511"/>
      <c r="LAW33" s="2511"/>
      <c r="LAX33" s="2511"/>
      <c r="LAY33" s="2511"/>
      <c r="LAZ33" s="2511"/>
      <c r="LBA33" s="2511"/>
      <c r="LBB33" s="2511"/>
      <c r="LBC33" s="2511"/>
      <c r="LBD33" s="2511"/>
      <c r="LBE33" s="2511"/>
      <c r="LBF33" s="2511"/>
      <c r="LBG33" s="2511"/>
      <c r="LBH33" s="2511"/>
      <c r="LBI33" s="2511"/>
      <c r="LBJ33" s="2511"/>
      <c r="LBK33" s="2511"/>
      <c r="LBL33" s="2511"/>
      <c r="LBM33" s="2511"/>
      <c r="LBN33" s="2511"/>
      <c r="LBO33" s="2511"/>
      <c r="LBP33" s="2511"/>
      <c r="LBQ33" s="2511"/>
      <c r="LBR33" s="2511"/>
      <c r="LBS33" s="2511"/>
      <c r="LBT33" s="2511"/>
      <c r="LBU33" s="2511"/>
      <c r="LBV33" s="2511"/>
      <c r="LBW33" s="2511"/>
      <c r="LBX33" s="2511"/>
      <c r="LBY33" s="2511"/>
      <c r="LBZ33" s="2511"/>
      <c r="LCA33" s="2511"/>
      <c r="LCB33" s="2511"/>
      <c r="LCC33" s="2511"/>
      <c r="LCD33" s="2511"/>
      <c r="LCE33" s="2511"/>
      <c r="LCF33" s="2511"/>
      <c r="LCG33" s="2511"/>
      <c r="LCH33" s="2511"/>
      <c r="LCI33" s="2511"/>
      <c r="LCJ33" s="2511"/>
      <c r="LCK33" s="2511"/>
      <c r="LCL33" s="2511"/>
      <c r="LCM33" s="2511"/>
      <c r="LCN33" s="2511"/>
      <c r="LCO33" s="2511"/>
      <c r="LCP33" s="2511"/>
      <c r="LCQ33" s="2511"/>
      <c r="LCR33" s="2511"/>
      <c r="LCS33" s="2511"/>
      <c r="LCT33" s="2511"/>
      <c r="LCU33" s="2511"/>
      <c r="LCV33" s="2511"/>
      <c r="LCW33" s="2511"/>
      <c r="LCX33" s="2511"/>
      <c r="LCY33" s="2511"/>
      <c r="LCZ33" s="2511"/>
      <c r="LDA33" s="2511"/>
      <c r="LDB33" s="2511"/>
      <c r="LDC33" s="2511"/>
      <c r="LDD33" s="2511"/>
      <c r="LDE33" s="2511"/>
      <c r="LDF33" s="2511"/>
      <c r="LDG33" s="2511"/>
      <c r="LDH33" s="2511"/>
      <c r="LDI33" s="2511"/>
      <c r="LDJ33" s="2511"/>
      <c r="LDK33" s="2511"/>
      <c r="LDL33" s="2511"/>
      <c r="LDM33" s="2511"/>
      <c r="LDN33" s="2511"/>
      <c r="LDO33" s="2511"/>
      <c r="LDP33" s="2511"/>
      <c r="LDQ33" s="2511"/>
      <c r="LDR33" s="2511"/>
      <c r="LDS33" s="2511"/>
      <c r="LDT33" s="2511"/>
      <c r="LDU33" s="2511"/>
      <c r="LDV33" s="2511"/>
      <c r="LDW33" s="2511"/>
      <c r="LDX33" s="2511"/>
      <c r="LDY33" s="2511"/>
      <c r="LDZ33" s="2511"/>
      <c r="LEA33" s="2511"/>
      <c r="LEB33" s="2511"/>
      <c r="LEC33" s="2511"/>
      <c r="LED33" s="2511"/>
      <c r="LEE33" s="2511"/>
      <c r="LEF33" s="2511"/>
      <c r="LEG33" s="2511"/>
      <c r="LEH33" s="2511"/>
      <c r="LEI33" s="2511"/>
      <c r="LEJ33" s="2511"/>
      <c r="LEK33" s="2511"/>
      <c r="LEL33" s="2511"/>
      <c r="LEM33" s="2511"/>
      <c r="LEN33" s="2511"/>
      <c r="LEO33" s="2511"/>
      <c r="LEP33" s="2511"/>
      <c r="LEQ33" s="2511"/>
      <c r="LER33" s="2511"/>
      <c r="LES33" s="2511"/>
      <c r="LET33" s="2511"/>
      <c r="LEU33" s="2511"/>
      <c r="LEV33" s="2511"/>
      <c r="LEW33" s="2511"/>
      <c r="LEX33" s="2511"/>
      <c r="LEY33" s="2511"/>
      <c r="LEZ33" s="2511"/>
      <c r="LFA33" s="2511"/>
      <c r="LFB33" s="2511"/>
      <c r="LFC33" s="2511"/>
      <c r="LFD33" s="2511"/>
      <c r="LFE33" s="2511"/>
      <c r="LFF33" s="2511"/>
      <c r="LFG33" s="2511"/>
      <c r="LFH33" s="2511"/>
      <c r="LFI33" s="2511"/>
      <c r="LFJ33" s="2511"/>
      <c r="LFK33" s="2511"/>
      <c r="LFL33" s="2511"/>
      <c r="LFM33" s="2511"/>
      <c r="LFN33" s="2511"/>
      <c r="LFO33" s="2511"/>
      <c r="LFP33" s="2511"/>
      <c r="LFQ33" s="2511"/>
      <c r="LFR33" s="2511"/>
      <c r="LFS33" s="2511"/>
      <c r="LFT33" s="2511"/>
      <c r="LFU33" s="2511"/>
      <c r="LFV33" s="2511"/>
      <c r="LFW33" s="2511"/>
      <c r="LFX33" s="2511"/>
      <c r="LFY33" s="2511"/>
      <c r="LFZ33" s="2511"/>
      <c r="LGA33" s="2511"/>
      <c r="LGB33" s="2511"/>
      <c r="LGC33" s="2511"/>
      <c r="LGD33" s="2511"/>
      <c r="LGE33" s="2511"/>
      <c r="LGF33" s="2511"/>
      <c r="LGG33" s="2511"/>
      <c r="LGH33" s="2511"/>
      <c r="LGI33" s="2511"/>
      <c r="LGJ33" s="2511"/>
      <c r="LGK33" s="2511"/>
      <c r="LGL33" s="2511"/>
      <c r="LGM33" s="2511"/>
      <c r="LGN33" s="2511"/>
      <c r="LGO33" s="2511"/>
      <c r="LGP33" s="2511"/>
      <c r="LGQ33" s="2511"/>
      <c r="LGR33" s="2511"/>
      <c r="LGS33" s="2511"/>
      <c r="LGT33" s="2511"/>
      <c r="LGU33" s="2511"/>
      <c r="LGV33" s="2511"/>
      <c r="LGW33" s="2511"/>
      <c r="LGX33" s="2511"/>
      <c r="LGY33" s="2511"/>
      <c r="LGZ33" s="2511"/>
      <c r="LHA33" s="2511"/>
      <c r="LHB33" s="2511"/>
      <c r="LHC33" s="2511"/>
      <c r="LHD33" s="2511"/>
      <c r="LHE33" s="2511"/>
      <c r="LHF33" s="2511"/>
      <c r="LHG33" s="2511"/>
      <c r="LHH33" s="2511"/>
      <c r="LHI33" s="2511"/>
      <c r="LHJ33" s="2511"/>
      <c r="LHK33" s="2511"/>
      <c r="LHL33" s="2511"/>
      <c r="LHM33" s="2511"/>
      <c r="LHN33" s="2511"/>
      <c r="LHO33" s="2511"/>
      <c r="LHP33" s="2511"/>
      <c r="LHQ33" s="2511"/>
      <c r="LHR33" s="2511"/>
      <c r="LHS33" s="2511"/>
      <c r="LHT33" s="2511"/>
      <c r="LHU33" s="2511"/>
      <c r="LHV33" s="2511"/>
      <c r="LHW33" s="2511"/>
      <c r="LHX33" s="2511"/>
      <c r="LHY33" s="2511"/>
      <c r="LHZ33" s="2511"/>
      <c r="LIA33" s="2511"/>
      <c r="LIB33" s="2511"/>
      <c r="LIC33" s="2511"/>
      <c r="LID33" s="2511"/>
      <c r="LIE33" s="2511"/>
      <c r="LIF33" s="2511"/>
      <c r="LIG33" s="2511"/>
      <c r="LIH33" s="2511"/>
      <c r="LII33" s="2511"/>
      <c r="LIJ33" s="2511"/>
      <c r="LIK33" s="2511"/>
      <c r="LIL33" s="2511"/>
      <c r="LIM33" s="2511"/>
      <c r="LIN33" s="2511"/>
      <c r="LIO33" s="2511"/>
      <c r="LIP33" s="2511"/>
      <c r="LIQ33" s="2511"/>
      <c r="LIR33" s="2511"/>
      <c r="LIS33" s="2511"/>
      <c r="LIT33" s="2511"/>
      <c r="LIU33" s="2511"/>
      <c r="LIV33" s="2511"/>
      <c r="LIW33" s="2511"/>
      <c r="LIX33" s="2511"/>
      <c r="LIY33" s="2511"/>
      <c r="LIZ33" s="2511"/>
      <c r="LJA33" s="2511"/>
      <c r="LJB33" s="2511"/>
      <c r="LJC33" s="2511"/>
      <c r="LJD33" s="2511"/>
      <c r="LJE33" s="2511"/>
      <c r="LJF33" s="2511"/>
      <c r="LJG33" s="2511"/>
      <c r="LJH33" s="2511"/>
      <c r="LJI33" s="2511"/>
      <c r="LJJ33" s="2511"/>
      <c r="LJK33" s="2511"/>
      <c r="LJL33" s="2511"/>
      <c r="LJM33" s="2511"/>
      <c r="LJN33" s="2511"/>
      <c r="LJO33" s="2511"/>
      <c r="LJP33" s="2511"/>
      <c r="LJQ33" s="2511"/>
      <c r="LJR33" s="2511"/>
      <c r="LJS33" s="2511"/>
      <c r="LJT33" s="2511"/>
      <c r="LJU33" s="2511"/>
      <c r="LJV33" s="2511"/>
      <c r="LJW33" s="2511"/>
      <c r="LJX33" s="2511"/>
      <c r="LJY33" s="2511"/>
      <c r="LJZ33" s="2511"/>
      <c r="LKA33" s="2511"/>
      <c r="LKB33" s="2511"/>
      <c r="LKC33" s="2511"/>
      <c r="LKD33" s="2511"/>
      <c r="LKE33" s="2511"/>
      <c r="LKF33" s="2511"/>
      <c r="LKG33" s="2511"/>
      <c r="LKH33" s="2511"/>
      <c r="LKI33" s="2511"/>
      <c r="LKJ33" s="2511"/>
      <c r="LKK33" s="2511"/>
      <c r="LKL33" s="2511"/>
      <c r="LKM33" s="2511"/>
      <c r="LKN33" s="2511"/>
      <c r="LKO33" s="2511"/>
      <c r="LKP33" s="2511"/>
      <c r="LKQ33" s="2511"/>
      <c r="LKR33" s="2511"/>
      <c r="LKS33" s="2511"/>
      <c r="LKT33" s="2511"/>
      <c r="LKU33" s="2511"/>
      <c r="LKV33" s="2511"/>
      <c r="LKW33" s="2511"/>
      <c r="LKX33" s="2511"/>
      <c r="LKY33" s="2511"/>
      <c r="LKZ33" s="2511"/>
      <c r="LLA33" s="2511"/>
      <c r="LLB33" s="2511"/>
      <c r="LLC33" s="2511"/>
      <c r="LLD33" s="2511"/>
      <c r="LLE33" s="2511"/>
      <c r="LLF33" s="2511"/>
      <c r="LLG33" s="2511"/>
      <c r="LLH33" s="2511"/>
      <c r="LLI33" s="2511"/>
      <c r="LLJ33" s="2511"/>
      <c r="LLK33" s="2511"/>
      <c r="LLL33" s="2511"/>
      <c r="LLM33" s="2511"/>
      <c r="LLN33" s="2511"/>
      <c r="LLO33" s="2511"/>
      <c r="LLP33" s="2511"/>
      <c r="LLQ33" s="2511"/>
      <c r="LLR33" s="2511"/>
      <c r="LLS33" s="2511"/>
      <c r="LLT33" s="2511"/>
      <c r="LLU33" s="2511"/>
      <c r="LLV33" s="2511"/>
      <c r="LLW33" s="2511"/>
      <c r="LLX33" s="2511"/>
      <c r="LLY33" s="2511"/>
      <c r="LLZ33" s="2511"/>
      <c r="LMA33" s="2511"/>
      <c r="LMB33" s="2511"/>
      <c r="LMC33" s="2511"/>
      <c r="LMD33" s="2511"/>
      <c r="LME33" s="2511"/>
      <c r="LMF33" s="2511"/>
      <c r="LMG33" s="2511"/>
      <c r="LMH33" s="2511"/>
      <c r="LMI33" s="2511"/>
      <c r="LMJ33" s="2511"/>
      <c r="LMK33" s="2511"/>
      <c r="LML33" s="2511"/>
      <c r="LMM33" s="2511"/>
      <c r="LMN33" s="2511"/>
      <c r="LMO33" s="2511"/>
      <c r="LMP33" s="2511"/>
      <c r="LMQ33" s="2511"/>
      <c r="LMR33" s="2511"/>
      <c r="LMS33" s="2511"/>
      <c r="LMT33" s="2511"/>
      <c r="LMU33" s="2511"/>
      <c r="LMV33" s="2511"/>
      <c r="LMW33" s="2511"/>
      <c r="LMX33" s="2511"/>
      <c r="LMY33" s="2511"/>
      <c r="LMZ33" s="2511"/>
      <c r="LNA33" s="2511"/>
      <c r="LNB33" s="2511"/>
      <c r="LNC33" s="2511"/>
      <c r="LND33" s="2511"/>
      <c r="LNE33" s="2511"/>
      <c r="LNF33" s="2511"/>
      <c r="LNG33" s="2511"/>
      <c r="LNH33" s="2511"/>
      <c r="LNI33" s="2511"/>
      <c r="LNJ33" s="2511"/>
      <c r="LNK33" s="2511"/>
      <c r="LNL33" s="2511"/>
      <c r="LNM33" s="2511"/>
      <c r="LNN33" s="2511"/>
      <c r="LNO33" s="2511"/>
      <c r="LNP33" s="2511"/>
      <c r="LNQ33" s="2511"/>
      <c r="LNR33" s="2511"/>
      <c r="LNS33" s="2511"/>
      <c r="LNT33" s="2511"/>
      <c r="LNU33" s="2511"/>
      <c r="LNV33" s="2511"/>
      <c r="LNW33" s="2511"/>
      <c r="LNX33" s="2511"/>
      <c r="LNY33" s="2511"/>
      <c r="LNZ33" s="2511"/>
      <c r="LOA33" s="2511"/>
      <c r="LOB33" s="2511"/>
      <c r="LOC33" s="2511"/>
      <c r="LOD33" s="2511"/>
      <c r="LOE33" s="2511"/>
      <c r="LOF33" s="2511"/>
      <c r="LOG33" s="2511"/>
      <c r="LOH33" s="2511"/>
      <c r="LOI33" s="2511"/>
      <c r="LOJ33" s="2511"/>
      <c r="LOK33" s="2511"/>
      <c r="LOL33" s="2511"/>
      <c r="LOM33" s="2511"/>
      <c r="LON33" s="2511"/>
      <c r="LOO33" s="2511"/>
      <c r="LOP33" s="2511"/>
      <c r="LOQ33" s="2511"/>
      <c r="LOR33" s="2511"/>
      <c r="LOS33" s="2511"/>
      <c r="LOT33" s="2511"/>
      <c r="LOU33" s="2511"/>
      <c r="LOV33" s="2511"/>
      <c r="LOW33" s="2511"/>
      <c r="LOX33" s="2511"/>
      <c r="LOY33" s="2511"/>
      <c r="LOZ33" s="2511"/>
      <c r="LPA33" s="2511"/>
      <c r="LPB33" s="2511"/>
      <c r="LPC33" s="2511"/>
      <c r="LPD33" s="2511"/>
      <c r="LPE33" s="2511"/>
      <c r="LPF33" s="2511"/>
      <c r="LPG33" s="2511"/>
      <c r="LPH33" s="2511"/>
      <c r="LPI33" s="2511"/>
      <c r="LPJ33" s="2511"/>
      <c r="LPK33" s="2511"/>
      <c r="LPL33" s="2511"/>
      <c r="LPM33" s="2511"/>
      <c r="LPN33" s="2511"/>
      <c r="LPO33" s="2511"/>
      <c r="LPP33" s="2511"/>
      <c r="LPQ33" s="2511"/>
      <c r="LPR33" s="2511"/>
      <c r="LPS33" s="2511"/>
      <c r="LPT33" s="2511"/>
      <c r="LPU33" s="2511"/>
      <c r="LPV33" s="2511"/>
      <c r="LPW33" s="2511"/>
      <c r="LPX33" s="2511"/>
      <c r="LPY33" s="2511"/>
      <c r="LPZ33" s="2511"/>
      <c r="LQA33" s="2511"/>
      <c r="LQB33" s="2511"/>
      <c r="LQC33" s="2511"/>
      <c r="LQD33" s="2511"/>
      <c r="LQE33" s="2511"/>
      <c r="LQF33" s="2511"/>
      <c r="LQG33" s="2511"/>
      <c r="LQH33" s="2511"/>
      <c r="LQI33" s="2511"/>
      <c r="LQJ33" s="2511"/>
      <c r="LQK33" s="2511"/>
      <c r="LQL33" s="2511"/>
      <c r="LQM33" s="2511"/>
      <c r="LQN33" s="2511"/>
      <c r="LQO33" s="2511"/>
      <c r="LQP33" s="2511"/>
      <c r="LQQ33" s="2511"/>
      <c r="LQR33" s="2511"/>
      <c r="LQS33" s="2511"/>
      <c r="LQT33" s="2511"/>
      <c r="LQU33" s="2511"/>
      <c r="LQV33" s="2511"/>
      <c r="LQW33" s="2511"/>
      <c r="LQX33" s="2511"/>
      <c r="LQY33" s="2511"/>
      <c r="LQZ33" s="2511"/>
      <c r="LRA33" s="2511"/>
      <c r="LRB33" s="2511"/>
      <c r="LRC33" s="2511"/>
      <c r="LRD33" s="2511"/>
      <c r="LRE33" s="2511"/>
      <c r="LRF33" s="2511"/>
      <c r="LRG33" s="2511"/>
      <c r="LRH33" s="2511"/>
      <c r="LRI33" s="2511"/>
      <c r="LRJ33" s="2511"/>
      <c r="LRK33" s="2511"/>
      <c r="LRL33" s="2511"/>
      <c r="LRM33" s="2511"/>
      <c r="LRN33" s="2511"/>
      <c r="LRO33" s="2511"/>
      <c r="LRP33" s="2511"/>
      <c r="LRQ33" s="2511"/>
      <c r="LRR33" s="2511"/>
      <c r="LRS33" s="2511"/>
      <c r="LRT33" s="2511"/>
      <c r="LRU33" s="2511"/>
      <c r="LRV33" s="2511"/>
      <c r="LRW33" s="2511"/>
      <c r="LRX33" s="2511"/>
      <c r="LRY33" s="2511"/>
      <c r="LRZ33" s="2511"/>
      <c r="LSA33" s="2511"/>
      <c r="LSB33" s="2511"/>
      <c r="LSC33" s="2511"/>
      <c r="LSD33" s="2511"/>
      <c r="LSE33" s="2511"/>
      <c r="LSF33" s="2511"/>
      <c r="LSG33" s="2511"/>
      <c r="LSH33" s="2511"/>
      <c r="LSI33" s="2511"/>
      <c r="LSJ33" s="2511"/>
      <c r="LSK33" s="2511"/>
      <c r="LSL33" s="2511"/>
      <c r="LSM33" s="2511"/>
      <c r="LSN33" s="2511"/>
      <c r="LSO33" s="2511"/>
      <c r="LSP33" s="2511"/>
      <c r="LSQ33" s="2511"/>
      <c r="LSR33" s="2511"/>
      <c r="LSS33" s="2511"/>
      <c r="LST33" s="2511"/>
      <c r="LSU33" s="2511"/>
      <c r="LSV33" s="2511"/>
      <c r="LSW33" s="2511"/>
      <c r="LSX33" s="2511"/>
      <c r="LSY33" s="2511"/>
      <c r="LSZ33" s="2511"/>
      <c r="LTA33" s="2511"/>
      <c r="LTB33" s="2511"/>
      <c r="LTC33" s="2511"/>
      <c r="LTD33" s="2511"/>
      <c r="LTE33" s="2511"/>
      <c r="LTF33" s="2511"/>
      <c r="LTG33" s="2511"/>
      <c r="LTH33" s="2511"/>
      <c r="LTI33" s="2511"/>
      <c r="LTJ33" s="2511"/>
      <c r="LTK33" s="2511"/>
      <c r="LTL33" s="2511"/>
      <c r="LTM33" s="2511"/>
      <c r="LTN33" s="2511"/>
      <c r="LTO33" s="2511"/>
      <c r="LTP33" s="2511"/>
      <c r="LTQ33" s="2511"/>
      <c r="LTR33" s="2511"/>
      <c r="LTS33" s="2511"/>
      <c r="LTT33" s="2511"/>
      <c r="LTU33" s="2511"/>
      <c r="LTV33" s="2511"/>
      <c r="LTW33" s="2511"/>
      <c r="LTX33" s="2511"/>
      <c r="LTY33" s="2511"/>
      <c r="LTZ33" s="2511"/>
      <c r="LUA33" s="2511"/>
      <c r="LUB33" s="2511"/>
      <c r="LUC33" s="2511"/>
      <c r="LUD33" s="2511"/>
      <c r="LUE33" s="2511"/>
      <c r="LUF33" s="2511"/>
      <c r="LUG33" s="2511"/>
      <c r="LUH33" s="2511"/>
      <c r="LUI33" s="2511"/>
      <c r="LUJ33" s="2511"/>
      <c r="LUK33" s="2511"/>
      <c r="LUL33" s="2511"/>
      <c r="LUM33" s="2511"/>
      <c r="LUN33" s="2511"/>
      <c r="LUO33" s="2511"/>
      <c r="LUP33" s="2511"/>
      <c r="LUQ33" s="2511"/>
      <c r="LUR33" s="2511"/>
      <c r="LUS33" s="2511"/>
      <c r="LUT33" s="2511"/>
      <c r="LUU33" s="2511"/>
      <c r="LUV33" s="2511"/>
      <c r="LUW33" s="2511"/>
      <c r="LUX33" s="2511"/>
      <c r="LUY33" s="2511"/>
      <c r="LUZ33" s="2511"/>
      <c r="LVA33" s="2511"/>
      <c r="LVB33" s="2511"/>
      <c r="LVC33" s="2511"/>
      <c r="LVD33" s="2511"/>
      <c r="LVE33" s="2511"/>
      <c r="LVF33" s="2511"/>
      <c r="LVG33" s="2511"/>
      <c r="LVH33" s="2511"/>
      <c r="LVI33" s="2511"/>
      <c r="LVJ33" s="2511"/>
      <c r="LVK33" s="2511"/>
      <c r="LVL33" s="2511"/>
      <c r="LVM33" s="2511"/>
      <c r="LVN33" s="2511"/>
      <c r="LVO33" s="2511"/>
      <c r="LVP33" s="2511"/>
      <c r="LVQ33" s="2511"/>
      <c r="LVR33" s="2511"/>
      <c r="LVS33" s="2511"/>
      <c r="LVT33" s="2511"/>
      <c r="LVU33" s="2511"/>
      <c r="LVV33" s="2511"/>
      <c r="LVW33" s="2511"/>
      <c r="LVX33" s="2511"/>
      <c r="LVY33" s="2511"/>
      <c r="LVZ33" s="2511"/>
      <c r="LWA33" s="2511"/>
      <c r="LWB33" s="2511"/>
      <c r="LWC33" s="2511"/>
      <c r="LWD33" s="2511"/>
      <c r="LWE33" s="2511"/>
      <c r="LWF33" s="2511"/>
      <c r="LWG33" s="2511"/>
      <c r="LWH33" s="2511"/>
      <c r="LWI33" s="2511"/>
      <c r="LWJ33" s="2511"/>
      <c r="LWK33" s="2511"/>
      <c r="LWL33" s="2511"/>
      <c r="LWM33" s="2511"/>
      <c r="LWN33" s="2511"/>
      <c r="LWO33" s="2511"/>
      <c r="LWP33" s="2511"/>
      <c r="LWQ33" s="2511"/>
      <c r="LWR33" s="2511"/>
      <c r="LWS33" s="2511"/>
      <c r="LWT33" s="2511"/>
      <c r="LWU33" s="2511"/>
      <c r="LWV33" s="2511"/>
      <c r="LWW33" s="2511"/>
      <c r="LWX33" s="2511"/>
      <c r="LWY33" s="2511"/>
      <c r="LWZ33" s="2511"/>
      <c r="LXA33" s="2511"/>
      <c r="LXB33" s="2511"/>
      <c r="LXC33" s="2511"/>
      <c r="LXD33" s="2511"/>
      <c r="LXE33" s="2511"/>
      <c r="LXF33" s="2511"/>
      <c r="LXG33" s="2511"/>
      <c r="LXH33" s="2511"/>
      <c r="LXI33" s="2511"/>
      <c r="LXJ33" s="2511"/>
      <c r="LXK33" s="2511"/>
      <c r="LXL33" s="2511"/>
      <c r="LXM33" s="2511"/>
      <c r="LXN33" s="2511"/>
      <c r="LXO33" s="2511"/>
      <c r="LXP33" s="2511"/>
      <c r="LXQ33" s="2511"/>
      <c r="LXR33" s="2511"/>
      <c r="LXS33" s="2511"/>
      <c r="LXT33" s="2511"/>
      <c r="LXU33" s="2511"/>
      <c r="LXV33" s="2511"/>
      <c r="LXW33" s="2511"/>
      <c r="LXX33" s="2511"/>
      <c r="LXY33" s="2511"/>
      <c r="LXZ33" s="2511"/>
      <c r="LYA33" s="2511"/>
      <c r="LYB33" s="2511"/>
      <c r="LYC33" s="2511"/>
      <c r="LYD33" s="2511"/>
      <c r="LYE33" s="2511"/>
      <c r="LYF33" s="2511"/>
      <c r="LYG33" s="2511"/>
      <c r="LYH33" s="2511"/>
      <c r="LYI33" s="2511"/>
      <c r="LYJ33" s="2511"/>
      <c r="LYK33" s="2511"/>
      <c r="LYL33" s="2511"/>
      <c r="LYM33" s="2511"/>
      <c r="LYN33" s="2511"/>
      <c r="LYO33" s="2511"/>
      <c r="LYP33" s="2511"/>
      <c r="LYQ33" s="2511"/>
      <c r="LYR33" s="2511"/>
      <c r="LYS33" s="2511"/>
      <c r="LYT33" s="2511"/>
      <c r="LYU33" s="2511"/>
      <c r="LYV33" s="2511"/>
      <c r="LYW33" s="2511"/>
      <c r="LYX33" s="2511"/>
      <c r="LYY33" s="2511"/>
      <c r="LYZ33" s="2511"/>
      <c r="LZA33" s="2511"/>
      <c r="LZB33" s="2511"/>
      <c r="LZC33" s="2511"/>
      <c r="LZD33" s="2511"/>
      <c r="LZE33" s="2511"/>
      <c r="LZF33" s="2511"/>
      <c r="LZG33" s="2511"/>
      <c r="LZH33" s="2511"/>
      <c r="LZI33" s="2511"/>
      <c r="LZJ33" s="2511"/>
      <c r="LZK33" s="2511"/>
      <c r="LZL33" s="2511"/>
      <c r="LZM33" s="2511"/>
      <c r="LZN33" s="2511"/>
      <c r="LZO33" s="2511"/>
      <c r="LZP33" s="2511"/>
      <c r="LZQ33" s="2511"/>
      <c r="LZR33" s="2511"/>
      <c r="LZS33" s="2511"/>
      <c r="LZT33" s="2511"/>
      <c r="LZU33" s="2511"/>
      <c r="LZV33" s="2511"/>
      <c r="LZW33" s="2511"/>
      <c r="LZX33" s="2511"/>
      <c r="LZY33" s="2511"/>
      <c r="LZZ33" s="2511"/>
      <c r="MAA33" s="2511"/>
      <c r="MAB33" s="2511"/>
      <c r="MAC33" s="2511"/>
      <c r="MAD33" s="2511"/>
      <c r="MAE33" s="2511"/>
      <c r="MAF33" s="2511"/>
      <c r="MAG33" s="2511"/>
      <c r="MAH33" s="2511"/>
      <c r="MAI33" s="2511"/>
      <c r="MAJ33" s="2511"/>
      <c r="MAK33" s="2511"/>
      <c r="MAL33" s="2511"/>
      <c r="MAM33" s="2511"/>
      <c r="MAN33" s="2511"/>
      <c r="MAO33" s="2511"/>
      <c r="MAP33" s="2511"/>
      <c r="MAQ33" s="2511"/>
      <c r="MAR33" s="2511"/>
      <c r="MAS33" s="2511"/>
      <c r="MAT33" s="2511"/>
      <c r="MAU33" s="2511"/>
      <c r="MAV33" s="2511"/>
      <c r="MAW33" s="2511"/>
      <c r="MAX33" s="2511"/>
      <c r="MAY33" s="2511"/>
      <c r="MAZ33" s="2511"/>
      <c r="MBA33" s="2511"/>
      <c r="MBB33" s="2511"/>
      <c r="MBC33" s="2511"/>
      <c r="MBD33" s="2511"/>
      <c r="MBE33" s="2511"/>
      <c r="MBF33" s="2511"/>
      <c r="MBG33" s="2511"/>
      <c r="MBH33" s="2511"/>
      <c r="MBI33" s="2511"/>
      <c r="MBJ33" s="2511"/>
      <c r="MBK33" s="2511"/>
      <c r="MBL33" s="2511"/>
      <c r="MBM33" s="2511"/>
      <c r="MBN33" s="2511"/>
      <c r="MBO33" s="2511"/>
      <c r="MBP33" s="2511"/>
      <c r="MBQ33" s="2511"/>
      <c r="MBR33" s="2511"/>
      <c r="MBS33" s="2511"/>
      <c r="MBT33" s="2511"/>
      <c r="MBU33" s="2511"/>
      <c r="MBV33" s="2511"/>
      <c r="MBW33" s="2511"/>
      <c r="MBX33" s="2511"/>
      <c r="MBY33" s="2511"/>
      <c r="MBZ33" s="2511"/>
      <c r="MCA33" s="2511"/>
      <c r="MCB33" s="2511"/>
      <c r="MCC33" s="2511"/>
      <c r="MCD33" s="2511"/>
      <c r="MCE33" s="2511"/>
      <c r="MCF33" s="2511"/>
      <c r="MCG33" s="2511"/>
      <c r="MCH33" s="2511"/>
      <c r="MCI33" s="2511"/>
      <c r="MCJ33" s="2511"/>
      <c r="MCK33" s="2511"/>
      <c r="MCL33" s="2511"/>
      <c r="MCM33" s="2511"/>
      <c r="MCN33" s="2511"/>
      <c r="MCO33" s="2511"/>
      <c r="MCP33" s="2511"/>
      <c r="MCQ33" s="2511"/>
      <c r="MCR33" s="2511"/>
      <c r="MCS33" s="2511"/>
      <c r="MCT33" s="2511"/>
      <c r="MCU33" s="2511"/>
      <c r="MCV33" s="2511"/>
      <c r="MCW33" s="2511"/>
      <c r="MCX33" s="2511"/>
      <c r="MCY33" s="2511"/>
      <c r="MCZ33" s="2511"/>
      <c r="MDA33" s="2511"/>
      <c r="MDB33" s="2511"/>
      <c r="MDC33" s="2511"/>
      <c r="MDD33" s="2511"/>
      <c r="MDE33" s="2511"/>
      <c r="MDF33" s="2511"/>
      <c r="MDG33" s="2511"/>
      <c r="MDH33" s="2511"/>
      <c r="MDI33" s="2511"/>
      <c r="MDJ33" s="2511"/>
      <c r="MDK33" s="2511"/>
      <c r="MDL33" s="2511"/>
      <c r="MDM33" s="2511"/>
      <c r="MDN33" s="2511"/>
      <c r="MDO33" s="2511"/>
      <c r="MDP33" s="2511"/>
      <c r="MDQ33" s="2511"/>
      <c r="MDR33" s="2511"/>
      <c r="MDS33" s="2511"/>
      <c r="MDT33" s="2511"/>
      <c r="MDU33" s="2511"/>
      <c r="MDV33" s="2511"/>
      <c r="MDW33" s="2511"/>
      <c r="MDX33" s="2511"/>
      <c r="MDY33" s="2511"/>
      <c r="MDZ33" s="2511"/>
      <c r="MEA33" s="2511"/>
      <c r="MEB33" s="2511"/>
      <c r="MEC33" s="2511"/>
      <c r="MED33" s="2511"/>
      <c r="MEE33" s="2511"/>
      <c r="MEF33" s="2511"/>
      <c r="MEG33" s="2511"/>
      <c r="MEH33" s="2511"/>
      <c r="MEI33" s="2511"/>
      <c r="MEJ33" s="2511"/>
      <c r="MEK33" s="2511"/>
      <c r="MEL33" s="2511"/>
      <c r="MEM33" s="2511"/>
      <c r="MEN33" s="2511"/>
      <c r="MEO33" s="2511"/>
      <c r="MEP33" s="2511"/>
      <c r="MEQ33" s="2511"/>
      <c r="MER33" s="2511"/>
      <c r="MES33" s="2511"/>
      <c r="MET33" s="2511"/>
      <c r="MEU33" s="2511"/>
      <c r="MEV33" s="2511"/>
      <c r="MEW33" s="2511"/>
      <c r="MEX33" s="2511"/>
      <c r="MEY33" s="2511"/>
      <c r="MEZ33" s="2511"/>
      <c r="MFA33" s="2511"/>
      <c r="MFB33" s="2511"/>
      <c r="MFC33" s="2511"/>
      <c r="MFD33" s="2511"/>
      <c r="MFE33" s="2511"/>
      <c r="MFF33" s="2511"/>
      <c r="MFG33" s="2511"/>
      <c r="MFH33" s="2511"/>
      <c r="MFI33" s="2511"/>
      <c r="MFJ33" s="2511"/>
      <c r="MFK33" s="2511"/>
      <c r="MFL33" s="2511"/>
      <c r="MFM33" s="2511"/>
      <c r="MFN33" s="2511"/>
      <c r="MFO33" s="2511"/>
      <c r="MFP33" s="2511"/>
      <c r="MFQ33" s="2511"/>
      <c r="MFR33" s="2511"/>
      <c r="MFS33" s="2511"/>
      <c r="MFT33" s="2511"/>
      <c r="MFU33" s="2511"/>
      <c r="MFV33" s="2511"/>
      <c r="MFW33" s="2511"/>
      <c r="MFX33" s="2511"/>
      <c r="MFY33" s="2511"/>
      <c r="MFZ33" s="2511"/>
      <c r="MGA33" s="2511"/>
      <c r="MGB33" s="2511"/>
      <c r="MGC33" s="2511"/>
      <c r="MGD33" s="2511"/>
      <c r="MGE33" s="2511"/>
      <c r="MGF33" s="2511"/>
      <c r="MGG33" s="2511"/>
      <c r="MGH33" s="2511"/>
      <c r="MGI33" s="2511"/>
      <c r="MGJ33" s="2511"/>
      <c r="MGK33" s="2511"/>
      <c r="MGL33" s="2511"/>
      <c r="MGM33" s="2511"/>
      <c r="MGN33" s="2511"/>
      <c r="MGO33" s="2511"/>
      <c r="MGP33" s="2511"/>
      <c r="MGQ33" s="2511"/>
      <c r="MGR33" s="2511"/>
      <c r="MGS33" s="2511"/>
      <c r="MGT33" s="2511"/>
      <c r="MGU33" s="2511"/>
      <c r="MGV33" s="2511"/>
      <c r="MGW33" s="2511"/>
      <c r="MGX33" s="2511"/>
      <c r="MGY33" s="2511"/>
      <c r="MGZ33" s="2511"/>
      <c r="MHA33" s="2511"/>
      <c r="MHB33" s="2511"/>
      <c r="MHC33" s="2511"/>
      <c r="MHD33" s="2511"/>
      <c r="MHE33" s="2511"/>
      <c r="MHF33" s="2511"/>
      <c r="MHG33" s="2511"/>
      <c r="MHH33" s="2511"/>
      <c r="MHI33" s="2511"/>
      <c r="MHJ33" s="2511"/>
      <c r="MHK33" s="2511"/>
      <c r="MHL33" s="2511"/>
      <c r="MHM33" s="2511"/>
      <c r="MHN33" s="2511"/>
      <c r="MHO33" s="2511"/>
      <c r="MHP33" s="2511"/>
      <c r="MHQ33" s="2511"/>
      <c r="MHR33" s="2511"/>
      <c r="MHS33" s="2511"/>
      <c r="MHT33" s="2511"/>
      <c r="MHU33" s="2511"/>
      <c r="MHV33" s="2511"/>
      <c r="MHW33" s="2511"/>
      <c r="MHX33" s="2511"/>
      <c r="MHY33" s="2511"/>
      <c r="MHZ33" s="2511"/>
      <c r="MIA33" s="2511"/>
      <c r="MIB33" s="2511"/>
      <c r="MIC33" s="2511"/>
      <c r="MID33" s="2511"/>
      <c r="MIE33" s="2511"/>
      <c r="MIF33" s="2511"/>
      <c r="MIG33" s="2511"/>
      <c r="MIH33" s="2511"/>
      <c r="MII33" s="2511"/>
      <c r="MIJ33" s="2511"/>
      <c r="MIK33" s="2511"/>
      <c r="MIL33" s="2511"/>
      <c r="MIM33" s="2511"/>
      <c r="MIN33" s="2511"/>
      <c r="MIO33" s="2511"/>
      <c r="MIP33" s="2511"/>
      <c r="MIQ33" s="2511"/>
      <c r="MIR33" s="2511"/>
      <c r="MIS33" s="2511"/>
      <c r="MIT33" s="2511"/>
      <c r="MIU33" s="2511"/>
      <c r="MIV33" s="2511"/>
      <c r="MIW33" s="2511"/>
      <c r="MIX33" s="2511"/>
      <c r="MIY33" s="2511"/>
      <c r="MIZ33" s="2511"/>
      <c r="MJA33" s="2511"/>
      <c r="MJB33" s="2511"/>
      <c r="MJC33" s="2511"/>
      <c r="MJD33" s="2511"/>
      <c r="MJE33" s="2511"/>
      <c r="MJF33" s="2511"/>
      <c r="MJG33" s="2511"/>
      <c r="MJH33" s="2511"/>
      <c r="MJI33" s="2511"/>
      <c r="MJJ33" s="2511"/>
      <c r="MJK33" s="2511"/>
      <c r="MJL33" s="2511"/>
      <c r="MJM33" s="2511"/>
      <c r="MJN33" s="2511"/>
      <c r="MJO33" s="2511"/>
      <c r="MJP33" s="2511"/>
      <c r="MJQ33" s="2511"/>
      <c r="MJR33" s="2511"/>
      <c r="MJS33" s="2511"/>
      <c r="MJT33" s="2511"/>
      <c r="MJU33" s="2511"/>
      <c r="MJV33" s="2511"/>
      <c r="MJW33" s="2511"/>
      <c r="MJX33" s="2511"/>
      <c r="MJY33" s="2511"/>
      <c r="MJZ33" s="2511"/>
      <c r="MKA33" s="2511"/>
      <c r="MKB33" s="2511"/>
      <c r="MKC33" s="2511"/>
      <c r="MKD33" s="2511"/>
      <c r="MKE33" s="2511"/>
      <c r="MKF33" s="2511"/>
      <c r="MKG33" s="2511"/>
      <c r="MKH33" s="2511"/>
      <c r="MKI33" s="2511"/>
      <c r="MKJ33" s="2511"/>
      <c r="MKK33" s="2511"/>
      <c r="MKL33" s="2511"/>
      <c r="MKM33" s="2511"/>
      <c r="MKN33" s="2511"/>
      <c r="MKO33" s="2511"/>
      <c r="MKP33" s="2511"/>
      <c r="MKQ33" s="2511"/>
      <c r="MKR33" s="2511"/>
      <c r="MKS33" s="2511"/>
      <c r="MKT33" s="2511"/>
      <c r="MKU33" s="2511"/>
      <c r="MKV33" s="2511"/>
      <c r="MKW33" s="2511"/>
      <c r="MKX33" s="2511"/>
      <c r="MKY33" s="2511"/>
      <c r="MKZ33" s="2511"/>
      <c r="MLA33" s="2511"/>
      <c r="MLB33" s="2511"/>
      <c r="MLC33" s="2511"/>
      <c r="MLD33" s="2511"/>
      <c r="MLE33" s="2511"/>
      <c r="MLF33" s="2511"/>
      <c r="MLG33" s="2511"/>
      <c r="MLH33" s="2511"/>
      <c r="MLI33" s="2511"/>
      <c r="MLJ33" s="2511"/>
      <c r="MLK33" s="2511"/>
      <c r="MLL33" s="2511"/>
      <c r="MLM33" s="2511"/>
      <c r="MLN33" s="2511"/>
      <c r="MLO33" s="2511"/>
      <c r="MLP33" s="2511"/>
      <c r="MLQ33" s="2511"/>
      <c r="MLR33" s="2511"/>
      <c r="MLS33" s="2511"/>
      <c r="MLT33" s="2511"/>
      <c r="MLU33" s="2511"/>
      <c r="MLV33" s="2511"/>
      <c r="MLW33" s="2511"/>
      <c r="MLX33" s="2511"/>
      <c r="MLY33" s="2511"/>
      <c r="MLZ33" s="2511"/>
      <c r="MMA33" s="2511"/>
      <c r="MMB33" s="2511"/>
      <c r="MMC33" s="2511"/>
      <c r="MMD33" s="2511"/>
      <c r="MME33" s="2511"/>
      <c r="MMF33" s="2511"/>
      <c r="MMG33" s="2511"/>
      <c r="MMH33" s="2511"/>
      <c r="MMI33" s="2511"/>
      <c r="MMJ33" s="2511"/>
      <c r="MMK33" s="2511"/>
      <c r="MML33" s="2511"/>
      <c r="MMM33" s="2511"/>
      <c r="MMN33" s="2511"/>
      <c r="MMO33" s="2511"/>
      <c r="MMP33" s="2511"/>
      <c r="MMQ33" s="2511"/>
      <c r="MMR33" s="2511"/>
      <c r="MMS33" s="2511"/>
      <c r="MMT33" s="2511"/>
      <c r="MMU33" s="2511"/>
      <c r="MMV33" s="2511"/>
      <c r="MMW33" s="2511"/>
      <c r="MMX33" s="2511"/>
      <c r="MMY33" s="2511"/>
      <c r="MMZ33" s="2511"/>
      <c r="MNA33" s="2511"/>
      <c r="MNB33" s="2511"/>
      <c r="MNC33" s="2511"/>
      <c r="MND33" s="2511"/>
      <c r="MNE33" s="2511"/>
      <c r="MNF33" s="2511"/>
      <c r="MNG33" s="2511"/>
      <c r="MNH33" s="2511"/>
      <c r="MNI33" s="2511"/>
      <c r="MNJ33" s="2511"/>
      <c r="MNK33" s="2511"/>
      <c r="MNL33" s="2511"/>
      <c r="MNM33" s="2511"/>
      <c r="MNN33" s="2511"/>
      <c r="MNO33" s="2511"/>
      <c r="MNP33" s="2511"/>
      <c r="MNQ33" s="2511"/>
      <c r="MNR33" s="2511"/>
      <c r="MNS33" s="2511"/>
      <c r="MNT33" s="2511"/>
      <c r="MNU33" s="2511"/>
      <c r="MNV33" s="2511"/>
      <c r="MNW33" s="2511"/>
      <c r="MNX33" s="2511"/>
      <c r="MNY33" s="2511"/>
      <c r="MNZ33" s="2511"/>
      <c r="MOA33" s="2511"/>
      <c r="MOB33" s="2511"/>
      <c r="MOC33" s="2511"/>
      <c r="MOD33" s="2511"/>
      <c r="MOE33" s="2511"/>
      <c r="MOF33" s="2511"/>
      <c r="MOG33" s="2511"/>
      <c r="MOH33" s="2511"/>
      <c r="MOI33" s="2511"/>
      <c r="MOJ33" s="2511"/>
      <c r="MOK33" s="2511"/>
      <c r="MOL33" s="2511"/>
      <c r="MOM33" s="2511"/>
      <c r="MON33" s="2511"/>
      <c r="MOO33" s="2511"/>
      <c r="MOP33" s="2511"/>
      <c r="MOQ33" s="2511"/>
      <c r="MOR33" s="2511"/>
      <c r="MOS33" s="2511"/>
      <c r="MOT33" s="2511"/>
      <c r="MOU33" s="2511"/>
      <c r="MOV33" s="2511"/>
      <c r="MOW33" s="2511"/>
      <c r="MOX33" s="2511"/>
      <c r="MOY33" s="2511"/>
      <c r="MOZ33" s="2511"/>
      <c r="MPA33" s="2511"/>
      <c r="MPB33" s="2511"/>
      <c r="MPC33" s="2511"/>
      <c r="MPD33" s="2511"/>
      <c r="MPE33" s="2511"/>
      <c r="MPF33" s="2511"/>
      <c r="MPG33" s="2511"/>
      <c r="MPH33" s="2511"/>
      <c r="MPI33" s="2511"/>
      <c r="MPJ33" s="2511"/>
      <c r="MPK33" s="2511"/>
      <c r="MPL33" s="2511"/>
      <c r="MPM33" s="2511"/>
      <c r="MPN33" s="2511"/>
      <c r="MPO33" s="2511"/>
      <c r="MPP33" s="2511"/>
      <c r="MPQ33" s="2511"/>
      <c r="MPR33" s="2511"/>
      <c r="MPS33" s="2511"/>
      <c r="MPT33" s="2511"/>
      <c r="MPU33" s="2511"/>
      <c r="MPV33" s="2511"/>
      <c r="MPW33" s="2511"/>
      <c r="MPX33" s="2511"/>
      <c r="MPY33" s="2511"/>
      <c r="MPZ33" s="2511"/>
      <c r="MQA33" s="2511"/>
      <c r="MQB33" s="2511"/>
      <c r="MQC33" s="2511"/>
      <c r="MQD33" s="2511"/>
      <c r="MQE33" s="2511"/>
      <c r="MQF33" s="2511"/>
      <c r="MQG33" s="2511"/>
      <c r="MQH33" s="2511"/>
      <c r="MQI33" s="2511"/>
      <c r="MQJ33" s="2511"/>
      <c r="MQK33" s="2511"/>
      <c r="MQL33" s="2511"/>
      <c r="MQM33" s="2511"/>
      <c r="MQN33" s="2511"/>
      <c r="MQO33" s="2511"/>
      <c r="MQP33" s="2511"/>
      <c r="MQQ33" s="2511"/>
      <c r="MQR33" s="2511"/>
      <c r="MQS33" s="2511"/>
      <c r="MQT33" s="2511"/>
      <c r="MQU33" s="2511"/>
      <c r="MQV33" s="2511"/>
      <c r="MQW33" s="2511"/>
      <c r="MQX33" s="2511"/>
      <c r="MQY33" s="2511"/>
      <c r="MQZ33" s="2511"/>
      <c r="MRA33" s="2511"/>
      <c r="MRB33" s="2511"/>
      <c r="MRC33" s="2511"/>
      <c r="MRD33" s="2511"/>
      <c r="MRE33" s="2511"/>
      <c r="MRF33" s="2511"/>
      <c r="MRG33" s="2511"/>
      <c r="MRH33" s="2511"/>
      <c r="MRI33" s="2511"/>
      <c r="MRJ33" s="2511"/>
      <c r="MRK33" s="2511"/>
      <c r="MRL33" s="2511"/>
      <c r="MRM33" s="2511"/>
      <c r="MRN33" s="2511"/>
      <c r="MRO33" s="2511"/>
      <c r="MRP33" s="2511"/>
      <c r="MRQ33" s="2511"/>
      <c r="MRR33" s="2511"/>
      <c r="MRS33" s="2511"/>
      <c r="MRT33" s="2511"/>
      <c r="MRU33" s="2511"/>
      <c r="MRV33" s="2511"/>
      <c r="MRW33" s="2511"/>
      <c r="MRX33" s="2511"/>
      <c r="MRY33" s="2511"/>
      <c r="MRZ33" s="2511"/>
      <c r="MSA33" s="2511"/>
      <c r="MSB33" s="2511"/>
      <c r="MSC33" s="2511"/>
      <c r="MSD33" s="2511"/>
      <c r="MSE33" s="2511"/>
      <c r="MSF33" s="2511"/>
      <c r="MSG33" s="2511"/>
      <c r="MSH33" s="2511"/>
      <c r="MSI33" s="2511"/>
      <c r="MSJ33" s="2511"/>
      <c r="MSK33" s="2511"/>
      <c r="MSL33" s="2511"/>
      <c r="MSM33" s="2511"/>
      <c r="MSN33" s="2511"/>
      <c r="MSO33" s="2511"/>
      <c r="MSP33" s="2511"/>
      <c r="MSQ33" s="2511"/>
      <c r="MSR33" s="2511"/>
      <c r="MSS33" s="2511"/>
      <c r="MST33" s="2511"/>
      <c r="MSU33" s="2511"/>
      <c r="MSV33" s="2511"/>
      <c r="MSW33" s="2511"/>
      <c r="MSX33" s="2511"/>
      <c r="MSY33" s="2511"/>
      <c r="MSZ33" s="2511"/>
      <c r="MTA33" s="2511"/>
      <c r="MTB33" s="2511"/>
      <c r="MTC33" s="2511"/>
      <c r="MTD33" s="2511"/>
      <c r="MTE33" s="2511"/>
      <c r="MTF33" s="2511"/>
      <c r="MTG33" s="2511"/>
      <c r="MTH33" s="2511"/>
      <c r="MTI33" s="2511"/>
      <c r="MTJ33" s="2511"/>
      <c r="MTK33" s="2511"/>
      <c r="MTL33" s="2511"/>
      <c r="MTM33" s="2511"/>
      <c r="MTN33" s="2511"/>
      <c r="MTO33" s="2511"/>
      <c r="MTP33" s="2511"/>
      <c r="MTQ33" s="2511"/>
      <c r="MTR33" s="2511"/>
      <c r="MTS33" s="2511"/>
      <c r="MTT33" s="2511"/>
      <c r="MTU33" s="2511"/>
      <c r="MTV33" s="2511"/>
      <c r="MTW33" s="2511"/>
      <c r="MTX33" s="2511"/>
      <c r="MTY33" s="2511"/>
      <c r="MTZ33" s="2511"/>
      <c r="MUA33" s="2511"/>
      <c r="MUB33" s="2511"/>
      <c r="MUC33" s="2511"/>
      <c r="MUD33" s="2511"/>
      <c r="MUE33" s="2511"/>
      <c r="MUF33" s="2511"/>
      <c r="MUG33" s="2511"/>
      <c r="MUH33" s="2511"/>
      <c r="MUI33" s="2511"/>
      <c r="MUJ33" s="2511"/>
      <c r="MUK33" s="2511"/>
      <c r="MUL33" s="2511"/>
      <c r="MUM33" s="2511"/>
      <c r="MUN33" s="2511"/>
      <c r="MUO33" s="2511"/>
      <c r="MUP33" s="2511"/>
      <c r="MUQ33" s="2511"/>
      <c r="MUR33" s="2511"/>
      <c r="MUS33" s="2511"/>
      <c r="MUT33" s="2511"/>
      <c r="MUU33" s="2511"/>
      <c r="MUV33" s="2511"/>
      <c r="MUW33" s="2511"/>
      <c r="MUX33" s="2511"/>
      <c r="MUY33" s="2511"/>
      <c r="MUZ33" s="2511"/>
      <c r="MVA33" s="2511"/>
      <c r="MVB33" s="2511"/>
      <c r="MVC33" s="2511"/>
      <c r="MVD33" s="2511"/>
      <c r="MVE33" s="2511"/>
      <c r="MVF33" s="2511"/>
      <c r="MVG33" s="2511"/>
      <c r="MVH33" s="2511"/>
      <c r="MVI33" s="2511"/>
      <c r="MVJ33" s="2511"/>
      <c r="MVK33" s="2511"/>
      <c r="MVL33" s="2511"/>
      <c r="MVM33" s="2511"/>
      <c r="MVN33" s="2511"/>
      <c r="MVO33" s="2511"/>
      <c r="MVP33" s="2511"/>
      <c r="MVQ33" s="2511"/>
      <c r="MVR33" s="2511"/>
      <c r="MVS33" s="2511"/>
      <c r="MVT33" s="2511"/>
      <c r="MVU33" s="2511"/>
      <c r="MVV33" s="2511"/>
      <c r="MVW33" s="2511"/>
      <c r="MVX33" s="2511"/>
      <c r="MVY33" s="2511"/>
      <c r="MVZ33" s="2511"/>
      <c r="MWA33" s="2511"/>
      <c r="MWB33" s="2511"/>
      <c r="MWC33" s="2511"/>
      <c r="MWD33" s="2511"/>
      <c r="MWE33" s="2511"/>
      <c r="MWF33" s="2511"/>
      <c r="MWG33" s="2511"/>
      <c r="MWH33" s="2511"/>
      <c r="MWI33" s="2511"/>
      <c r="MWJ33" s="2511"/>
      <c r="MWK33" s="2511"/>
      <c r="MWL33" s="2511"/>
      <c r="MWM33" s="2511"/>
      <c r="MWN33" s="2511"/>
      <c r="MWO33" s="2511"/>
      <c r="MWP33" s="2511"/>
      <c r="MWQ33" s="2511"/>
      <c r="MWR33" s="2511"/>
      <c r="MWS33" s="2511"/>
      <c r="MWT33" s="2511"/>
      <c r="MWU33" s="2511"/>
      <c r="MWV33" s="2511"/>
      <c r="MWW33" s="2511"/>
      <c r="MWX33" s="2511"/>
      <c r="MWY33" s="2511"/>
      <c r="MWZ33" s="2511"/>
      <c r="MXA33" s="2511"/>
      <c r="MXB33" s="2511"/>
      <c r="MXC33" s="2511"/>
      <c r="MXD33" s="2511"/>
      <c r="MXE33" s="2511"/>
      <c r="MXF33" s="2511"/>
      <c r="MXG33" s="2511"/>
      <c r="MXH33" s="2511"/>
      <c r="MXI33" s="2511"/>
      <c r="MXJ33" s="2511"/>
      <c r="MXK33" s="2511"/>
      <c r="MXL33" s="2511"/>
      <c r="MXM33" s="2511"/>
      <c r="MXN33" s="2511"/>
      <c r="MXO33" s="2511"/>
      <c r="MXP33" s="2511"/>
      <c r="MXQ33" s="2511"/>
      <c r="MXR33" s="2511"/>
      <c r="MXS33" s="2511"/>
      <c r="MXT33" s="2511"/>
      <c r="MXU33" s="2511"/>
      <c r="MXV33" s="2511"/>
      <c r="MXW33" s="2511"/>
      <c r="MXX33" s="2511"/>
      <c r="MXY33" s="2511"/>
      <c r="MXZ33" s="2511"/>
      <c r="MYA33" s="2511"/>
      <c r="MYB33" s="2511"/>
      <c r="MYC33" s="2511"/>
      <c r="MYD33" s="2511"/>
      <c r="MYE33" s="2511"/>
      <c r="MYF33" s="2511"/>
      <c r="MYG33" s="2511"/>
      <c r="MYH33" s="2511"/>
      <c r="MYI33" s="2511"/>
      <c r="MYJ33" s="2511"/>
      <c r="MYK33" s="2511"/>
      <c r="MYL33" s="2511"/>
      <c r="MYM33" s="2511"/>
      <c r="MYN33" s="2511"/>
      <c r="MYO33" s="2511"/>
      <c r="MYP33" s="2511"/>
      <c r="MYQ33" s="2511"/>
      <c r="MYR33" s="2511"/>
      <c r="MYS33" s="2511"/>
      <c r="MYT33" s="2511"/>
      <c r="MYU33" s="2511"/>
      <c r="MYV33" s="2511"/>
      <c r="MYW33" s="2511"/>
      <c r="MYX33" s="2511"/>
      <c r="MYY33" s="2511"/>
      <c r="MYZ33" s="2511"/>
      <c r="MZA33" s="2511"/>
      <c r="MZB33" s="2511"/>
      <c r="MZC33" s="2511"/>
      <c r="MZD33" s="2511"/>
      <c r="MZE33" s="2511"/>
      <c r="MZF33" s="2511"/>
      <c r="MZG33" s="2511"/>
      <c r="MZH33" s="2511"/>
      <c r="MZI33" s="2511"/>
      <c r="MZJ33" s="2511"/>
      <c r="MZK33" s="2511"/>
      <c r="MZL33" s="2511"/>
      <c r="MZM33" s="2511"/>
      <c r="MZN33" s="2511"/>
      <c r="MZO33" s="2511"/>
      <c r="MZP33" s="2511"/>
      <c r="MZQ33" s="2511"/>
      <c r="MZR33" s="2511"/>
      <c r="MZS33" s="2511"/>
      <c r="MZT33" s="2511"/>
      <c r="MZU33" s="2511"/>
      <c r="MZV33" s="2511"/>
      <c r="MZW33" s="2511"/>
      <c r="MZX33" s="2511"/>
      <c r="MZY33" s="2511"/>
      <c r="MZZ33" s="2511"/>
      <c r="NAA33" s="2511"/>
      <c r="NAB33" s="2511"/>
      <c r="NAC33" s="2511"/>
      <c r="NAD33" s="2511"/>
      <c r="NAE33" s="2511"/>
      <c r="NAF33" s="2511"/>
      <c r="NAG33" s="2511"/>
      <c r="NAH33" s="2511"/>
      <c r="NAI33" s="2511"/>
      <c r="NAJ33" s="2511"/>
      <c r="NAK33" s="2511"/>
      <c r="NAL33" s="2511"/>
      <c r="NAM33" s="2511"/>
      <c r="NAN33" s="2511"/>
      <c r="NAO33" s="2511"/>
      <c r="NAP33" s="2511"/>
      <c r="NAQ33" s="2511"/>
      <c r="NAR33" s="2511"/>
      <c r="NAS33" s="2511"/>
      <c r="NAT33" s="2511"/>
      <c r="NAU33" s="2511"/>
      <c r="NAV33" s="2511"/>
      <c r="NAW33" s="2511"/>
      <c r="NAX33" s="2511"/>
      <c r="NAY33" s="2511"/>
      <c r="NAZ33" s="2511"/>
      <c r="NBA33" s="2511"/>
      <c r="NBB33" s="2511"/>
      <c r="NBC33" s="2511"/>
      <c r="NBD33" s="2511"/>
      <c r="NBE33" s="2511"/>
      <c r="NBF33" s="2511"/>
      <c r="NBG33" s="2511"/>
      <c r="NBH33" s="2511"/>
      <c r="NBI33" s="2511"/>
      <c r="NBJ33" s="2511"/>
      <c r="NBK33" s="2511"/>
      <c r="NBL33" s="2511"/>
      <c r="NBM33" s="2511"/>
      <c r="NBN33" s="2511"/>
      <c r="NBO33" s="2511"/>
      <c r="NBP33" s="2511"/>
      <c r="NBQ33" s="2511"/>
      <c r="NBR33" s="2511"/>
      <c r="NBS33" s="2511"/>
      <c r="NBT33" s="2511"/>
      <c r="NBU33" s="2511"/>
      <c r="NBV33" s="2511"/>
      <c r="NBW33" s="2511"/>
      <c r="NBX33" s="2511"/>
      <c r="NBY33" s="2511"/>
      <c r="NBZ33" s="2511"/>
      <c r="NCA33" s="2511"/>
      <c r="NCB33" s="2511"/>
      <c r="NCC33" s="2511"/>
      <c r="NCD33" s="2511"/>
      <c r="NCE33" s="2511"/>
      <c r="NCF33" s="2511"/>
      <c r="NCG33" s="2511"/>
      <c r="NCH33" s="2511"/>
      <c r="NCI33" s="2511"/>
      <c r="NCJ33" s="2511"/>
      <c r="NCK33" s="2511"/>
      <c r="NCL33" s="2511"/>
      <c r="NCM33" s="2511"/>
      <c r="NCN33" s="2511"/>
      <c r="NCO33" s="2511"/>
      <c r="NCP33" s="2511"/>
      <c r="NCQ33" s="2511"/>
      <c r="NCR33" s="2511"/>
      <c r="NCS33" s="2511"/>
      <c r="NCT33" s="2511"/>
      <c r="NCU33" s="2511"/>
      <c r="NCV33" s="2511"/>
      <c r="NCW33" s="2511"/>
      <c r="NCX33" s="2511"/>
      <c r="NCY33" s="2511"/>
      <c r="NCZ33" s="2511"/>
      <c r="NDA33" s="2511"/>
      <c r="NDB33" s="2511"/>
      <c r="NDC33" s="2511"/>
      <c r="NDD33" s="2511"/>
      <c r="NDE33" s="2511"/>
      <c r="NDF33" s="2511"/>
      <c r="NDG33" s="2511"/>
      <c r="NDH33" s="2511"/>
      <c r="NDI33" s="2511"/>
      <c r="NDJ33" s="2511"/>
      <c r="NDK33" s="2511"/>
      <c r="NDL33" s="2511"/>
      <c r="NDM33" s="2511"/>
      <c r="NDN33" s="2511"/>
      <c r="NDO33" s="2511"/>
      <c r="NDP33" s="2511"/>
      <c r="NDQ33" s="2511"/>
      <c r="NDR33" s="2511"/>
      <c r="NDS33" s="2511"/>
      <c r="NDT33" s="2511"/>
      <c r="NDU33" s="2511"/>
      <c r="NDV33" s="2511"/>
      <c r="NDW33" s="2511"/>
      <c r="NDX33" s="2511"/>
      <c r="NDY33" s="2511"/>
      <c r="NDZ33" s="2511"/>
      <c r="NEA33" s="2511"/>
      <c r="NEB33" s="2511"/>
      <c r="NEC33" s="2511"/>
      <c r="NED33" s="2511"/>
      <c r="NEE33" s="2511"/>
      <c r="NEF33" s="2511"/>
      <c r="NEG33" s="2511"/>
      <c r="NEH33" s="2511"/>
      <c r="NEI33" s="2511"/>
      <c r="NEJ33" s="2511"/>
      <c r="NEK33" s="2511"/>
      <c r="NEL33" s="2511"/>
      <c r="NEM33" s="2511"/>
      <c r="NEN33" s="2511"/>
      <c r="NEO33" s="2511"/>
      <c r="NEP33" s="2511"/>
      <c r="NEQ33" s="2511"/>
      <c r="NER33" s="2511"/>
      <c r="NES33" s="2511"/>
      <c r="NET33" s="2511"/>
      <c r="NEU33" s="2511"/>
      <c r="NEV33" s="2511"/>
      <c r="NEW33" s="2511"/>
      <c r="NEX33" s="2511"/>
      <c r="NEY33" s="2511"/>
      <c r="NEZ33" s="2511"/>
      <c r="NFA33" s="2511"/>
      <c r="NFB33" s="2511"/>
      <c r="NFC33" s="2511"/>
      <c r="NFD33" s="2511"/>
      <c r="NFE33" s="2511"/>
      <c r="NFF33" s="2511"/>
      <c r="NFG33" s="2511"/>
      <c r="NFH33" s="2511"/>
      <c r="NFI33" s="2511"/>
      <c r="NFJ33" s="2511"/>
      <c r="NFK33" s="2511"/>
      <c r="NFL33" s="2511"/>
      <c r="NFM33" s="2511"/>
      <c r="NFN33" s="2511"/>
      <c r="NFO33" s="2511"/>
      <c r="NFP33" s="2511"/>
      <c r="NFQ33" s="2511"/>
      <c r="NFR33" s="2511"/>
      <c r="NFS33" s="2511"/>
      <c r="NFT33" s="2511"/>
      <c r="NFU33" s="2511"/>
      <c r="NFV33" s="2511"/>
      <c r="NFW33" s="2511"/>
      <c r="NFX33" s="2511"/>
      <c r="NFY33" s="2511"/>
      <c r="NFZ33" s="2511"/>
      <c r="NGA33" s="2511"/>
      <c r="NGB33" s="2511"/>
      <c r="NGC33" s="2511"/>
      <c r="NGD33" s="2511"/>
      <c r="NGE33" s="2511"/>
      <c r="NGF33" s="2511"/>
      <c r="NGG33" s="2511"/>
      <c r="NGH33" s="2511"/>
      <c r="NGI33" s="2511"/>
      <c r="NGJ33" s="2511"/>
      <c r="NGK33" s="2511"/>
      <c r="NGL33" s="2511"/>
      <c r="NGM33" s="2511"/>
      <c r="NGN33" s="2511"/>
      <c r="NGO33" s="2511"/>
      <c r="NGP33" s="2511"/>
      <c r="NGQ33" s="2511"/>
      <c r="NGR33" s="2511"/>
      <c r="NGS33" s="2511"/>
      <c r="NGT33" s="2511"/>
      <c r="NGU33" s="2511"/>
      <c r="NGV33" s="2511"/>
      <c r="NGW33" s="2511"/>
      <c r="NGX33" s="2511"/>
      <c r="NGY33" s="2511"/>
      <c r="NGZ33" s="2511"/>
      <c r="NHA33" s="2511"/>
      <c r="NHB33" s="2511"/>
      <c r="NHC33" s="2511"/>
      <c r="NHD33" s="2511"/>
      <c r="NHE33" s="2511"/>
      <c r="NHF33" s="2511"/>
      <c r="NHG33" s="2511"/>
      <c r="NHH33" s="2511"/>
      <c r="NHI33" s="2511"/>
      <c r="NHJ33" s="2511"/>
      <c r="NHK33" s="2511"/>
      <c r="NHL33" s="2511"/>
      <c r="NHM33" s="2511"/>
      <c r="NHN33" s="2511"/>
      <c r="NHO33" s="2511"/>
      <c r="NHP33" s="2511"/>
      <c r="NHQ33" s="2511"/>
      <c r="NHR33" s="2511"/>
      <c r="NHS33" s="2511"/>
      <c r="NHT33" s="2511"/>
      <c r="NHU33" s="2511"/>
      <c r="NHV33" s="2511"/>
      <c r="NHW33" s="2511"/>
      <c r="NHX33" s="2511"/>
      <c r="NHY33" s="2511"/>
      <c r="NHZ33" s="2511"/>
      <c r="NIA33" s="2511"/>
      <c r="NIB33" s="2511"/>
      <c r="NIC33" s="2511"/>
      <c r="NID33" s="2511"/>
      <c r="NIE33" s="2511"/>
      <c r="NIF33" s="2511"/>
      <c r="NIG33" s="2511"/>
      <c r="NIH33" s="2511"/>
      <c r="NII33" s="2511"/>
      <c r="NIJ33" s="2511"/>
      <c r="NIK33" s="2511"/>
      <c r="NIL33" s="2511"/>
      <c r="NIM33" s="2511"/>
      <c r="NIN33" s="2511"/>
      <c r="NIO33" s="2511"/>
      <c r="NIP33" s="2511"/>
      <c r="NIQ33" s="2511"/>
      <c r="NIR33" s="2511"/>
      <c r="NIS33" s="2511"/>
      <c r="NIT33" s="2511"/>
      <c r="NIU33" s="2511"/>
      <c r="NIV33" s="2511"/>
      <c r="NIW33" s="2511"/>
      <c r="NIX33" s="2511"/>
      <c r="NIY33" s="2511"/>
      <c r="NIZ33" s="2511"/>
      <c r="NJA33" s="2511"/>
      <c r="NJB33" s="2511"/>
      <c r="NJC33" s="2511"/>
      <c r="NJD33" s="2511"/>
      <c r="NJE33" s="2511"/>
      <c r="NJF33" s="2511"/>
      <c r="NJG33" s="2511"/>
      <c r="NJH33" s="2511"/>
      <c r="NJI33" s="2511"/>
      <c r="NJJ33" s="2511"/>
      <c r="NJK33" s="2511"/>
      <c r="NJL33" s="2511"/>
      <c r="NJM33" s="2511"/>
      <c r="NJN33" s="2511"/>
      <c r="NJO33" s="2511"/>
      <c r="NJP33" s="2511"/>
      <c r="NJQ33" s="2511"/>
      <c r="NJR33" s="2511"/>
      <c r="NJS33" s="2511"/>
      <c r="NJT33" s="2511"/>
      <c r="NJU33" s="2511"/>
      <c r="NJV33" s="2511"/>
      <c r="NJW33" s="2511"/>
      <c r="NJX33" s="2511"/>
      <c r="NJY33" s="2511"/>
      <c r="NJZ33" s="2511"/>
      <c r="NKA33" s="2511"/>
      <c r="NKB33" s="2511"/>
      <c r="NKC33" s="2511"/>
      <c r="NKD33" s="2511"/>
      <c r="NKE33" s="2511"/>
      <c r="NKF33" s="2511"/>
      <c r="NKG33" s="2511"/>
      <c r="NKH33" s="2511"/>
      <c r="NKI33" s="2511"/>
      <c r="NKJ33" s="2511"/>
      <c r="NKK33" s="2511"/>
      <c r="NKL33" s="2511"/>
      <c r="NKM33" s="2511"/>
      <c r="NKN33" s="2511"/>
      <c r="NKO33" s="2511"/>
      <c r="NKP33" s="2511"/>
      <c r="NKQ33" s="2511"/>
      <c r="NKR33" s="2511"/>
      <c r="NKS33" s="2511"/>
      <c r="NKT33" s="2511"/>
      <c r="NKU33" s="2511"/>
      <c r="NKV33" s="2511"/>
      <c r="NKW33" s="2511"/>
      <c r="NKX33" s="2511"/>
      <c r="NKY33" s="2511"/>
      <c r="NKZ33" s="2511"/>
      <c r="NLA33" s="2511"/>
      <c r="NLB33" s="2511"/>
      <c r="NLC33" s="2511"/>
      <c r="NLD33" s="2511"/>
      <c r="NLE33" s="2511"/>
      <c r="NLF33" s="2511"/>
      <c r="NLG33" s="2511"/>
      <c r="NLH33" s="2511"/>
      <c r="NLI33" s="2511"/>
      <c r="NLJ33" s="2511"/>
      <c r="NLK33" s="2511"/>
      <c r="NLL33" s="2511"/>
      <c r="NLM33" s="2511"/>
      <c r="NLN33" s="2511"/>
      <c r="NLO33" s="2511"/>
      <c r="NLP33" s="2511"/>
      <c r="NLQ33" s="2511"/>
      <c r="NLR33" s="2511"/>
      <c r="NLS33" s="2511"/>
      <c r="NLT33" s="2511"/>
      <c r="NLU33" s="2511"/>
      <c r="NLV33" s="2511"/>
      <c r="NLW33" s="2511"/>
      <c r="NLX33" s="2511"/>
      <c r="NLY33" s="2511"/>
      <c r="NLZ33" s="2511"/>
      <c r="NMA33" s="2511"/>
      <c r="NMB33" s="2511"/>
      <c r="NMC33" s="2511"/>
      <c r="NMD33" s="2511"/>
      <c r="NME33" s="2511"/>
      <c r="NMF33" s="2511"/>
      <c r="NMG33" s="2511"/>
      <c r="NMH33" s="2511"/>
      <c r="NMI33" s="2511"/>
      <c r="NMJ33" s="2511"/>
      <c r="NMK33" s="2511"/>
      <c r="NML33" s="2511"/>
      <c r="NMM33" s="2511"/>
      <c r="NMN33" s="2511"/>
      <c r="NMO33" s="2511"/>
      <c r="NMP33" s="2511"/>
      <c r="NMQ33" s="2511"/>
      <c r="NMR33" s="2511"/>
      <c r="NMS33" s="2511"/>
      <c r="NMT33" s="2511"/>
      <c r="NMU33" s="2511"/>
      <c r="NMV33" s="2511"/>
      <c r="NMW33" s="2511"/>
      <c r="NMX33" s="2511"/>
      <c r="NMY33" s="2511"/>
      <c r="NMZ33" s="2511"/>
      <c r="NNA33" s="2511"/>
      <c r="NNB33" s="2511"/>
      <c r="NNC33" s="2511"/>
      <c r="NND33" s="2511"/>
      <c r="NNE33" s="2511"/>
      <c r="NNF33" s="2511"/>
      <c r="NNG33" s="2511"/>
      <c r="NNH33" s="2511"/>
      <c r="NNI33" s="2511"/>
      <c r="NNJ33" s="2511"/>
      <c r="NNK33" s="2511"/>
      <c r="NNL33" s="2511"/>
      <c r="NNM33" s="2511"/>
      <c r="NNN33" s="2511"/>
      <c r="NNO33" s="2511"/>
      <c r="NNP33" s="2511"/>
      <c r="NNQ33" s="2511"/>
      <c r="NNR33" s="2511"/>
      <c r="NNS33" s="2511"/>
      <c r="NNT33" s="2511"/>
      <c r="NNU33" s="2511"/>
      <c r="NNV33" s="2511"/>
      <c r="NNW33" s="2511"/>
      <c r="NNX33" s="2511"/>
      <c r="NNY33" s="2511"/>
      <c r="NNZ33" s="2511"/>
      <c r="NOA33" s="2511"/>
      <c r="NOB33" s="2511"/>
      <c r="NOC33" s="2511"/>
      <c r="NOD33" s="2511"/>
      <c r="NOE33" s="2511"/>
      <c r="NOF33" s="2511"/>
      <c r="NOG33" s="2511"/>
      <c r="NOH33" s="2511"/>
      <c r="NOI33" s="2511"/>
      <c r="NOJ33" s="2511"/>
      <c r="NOK33" s="2511"/>
      <c r="NOL33" s="2511"/>
      <c r="NOM33" s="2511"/>
      <c r="NON33" s="2511"/>
      <c r="NOO33" s="2511"/>
      <c r="NOP33" s="2511"/>
      <c r="NOQ33" s="2511"/>
      <c r="NOR33" s="2511"/>
      <c r="NOS33" s="2511"/>
      <c r="NOT33" s="2511"/>
      <c r="NOU33" s="2511"/>
      <c r="NOV33" s="2511"/>
      <c r="NOW33" s="2511"/>
      <c r="NOX33" s="2511"/>
      <c r="NOY33" s="2511"/>
      <c r="NOZ33" s="2511"/>
      <c r="NPA33" s="2511"/>
      <c r="NPB33" s="2511"/>
      <c r="NPC33" s="2511"/>
      <c r="NPD33" s="2511"/>
      <c r="NPE33" s="2511"/>
      <c r="NPF33" s="2511"/>
      <c r="NPG33" s="2511"/>
      <c r="NPH33" s="2511"/>
      <c r="NPI33" s="2511"/>
      <c r="NPJ33" s="2511"/>
      <c r="NPK33" s="2511"/>
      <c r="NPL33" s="2511"/>
      <c r="NPM33" s="2511"/>
      <c r="NPN33" s="2511"/>
      <c r="NPO33" s="2511"/>
      <c r="NPP33" s="2511"/>
      <c r="NPQ33" s="2511"/>
      <c r="NPR33" s="2511"/>
      <c r="NPS33" s="2511"/>
      <c r="NPT33" s="2511"/>
      <c r="NPU33" s="2511"/>
      <c r="NPV33" s="2511"/>
      <c r="NPW33" s="2511"/>
      <c r="NPX33" s="2511"/>
      <c r="NPY33" s="2511"/>
      <c r="NPZ33" s="2511"/>
      <c r="NQA33" s="2511"/>
      <c r="NQB33" s="2511"/>
      <c r="NQC33" s="2511"/>
      <c r="NQD33" s="2511"/>
      <c r="NQE33" s="2511"/>
      <c r="NQF33" s="2511"/>
      <c r="NQG33" s="2511"/>
      <c r="NQH33" s="2511"/>
      <c r="NQI33" s="2511"/>
      <c r="NQJ33" s="2511"/>
      <c r="NQK33" s="2511"/>
      <c r="NQL33" s="2511"/>
      <c r="NQM33" s="2511"/>
      <c r="NQN33" s="2511"/>
      <c r="NQO33" s="2511"/>
      <c r="NQP33" s="2511"/>
      <c r="NQQ33" s="2511"/>
      <c r="NQR33" s="2511"/>
      <c r="NQS33" s="2511"/>
      <c r="NQT33" s="2511"/>
      <c r="NQU33" s="2511"/>
      <c r="NQV33" s="2511"/>
      <c r="NQW33" s="2511"/>
      <c r="NQX33" s="2511"/>
      <c r="NQY33" s="2511"/>
      <c r="NQZ33" s="2511"/>
      <c r="NRA33" s="2511"/>
      <c r="NRB33" s="2511"/>
      <c r="NRC33" s="2511"/>
      <c r="NRD33" s="2511"/>
      <c r="NRE33" s="2511"/>
      <c r="NRF33" s="2511"/>
      <c r="NRG33" s="2511"/>
      <c r="NRH33" s="2511"/>
      <c r="NRI33" s="2511"/>
      <c r="NRJ33" s="2511"/>
      <c r="NRK33" s="2511"/>
      <c r="NRL33" s="2511"/>
      <c r="NRM33" s="2511"/>
      <c r="NRN33" s="2511"/>
      <c r="NRO33" s="2511"/>
      <c r="NRP33" s="2511"/>
      <c r="NRQ33" s="2511"/>
      <c r="NRR33" s="2511"/>
      <c r="NRS33" s="2511"/>
      <c r="NRT33" s="2511"/>
      <c r="NRU33" s="2511"/>
      <c r="NRV33" s="2511"/>
      <c r="NRW33" s="2511"/>
      <c r="NRX33" s="2511"/>
      <c r="NRY33" s="2511"/>
      <c r="NRZ33" s="2511"/>
      <c r="NSA33" s="2511"/>
      <c r="NSB33" s="2511"/>
      <c r="NSC33" s="2511"/>
      <c r="NSD33" s="2511"/>
      <c r="NSE33" s="2511"/>
      <c r="NSF33" s="2511"/>
      <c r="NSG33" s="2511"/>
      <c r="NSH33" s="2511"/>
      <c r="NSI33" s="2511"/>
      <c r="NSJ33" s="2511"/>
      <c r="NSK33" s="2511"/>
      <c r="NSL33" s="2511"/>
      <c r="NSM33" s="2511"/>
      <c r="NSN33" s="2511"/>
      <c r="NSO33" s="2511"/>
      <c r="NSP33" s="2511"/>
      <c r="NSQ33" s="2511"/>
      <c r="NSR33" s="2511"/>
      <c r="NSS33" s="2511"/>
      <c r="NST33" s="2511"/>
      <c r="NSU33" s="2511"/>
      <c r="NSV33" s="2511"/>
      <c r="NSW33" s="2511"/>
      <c r="NSX33" s="2511"/>
      <c r="NSY33" s="2511"/>
      <c r="NSZ33" s="2511"/>
      <c r="NTA33" s="2511"/>
      <c r="NTB33" s="2511"/>
      <c r="NTC33" s="2511"/>
      <c r="NTD33" s="2511"/>
      <c r="NTE33" s="2511"/>
      <c r="NTF33" s="2511"/>
      <c r="NTG33" s="2511"/>
      <c r="NTH33" s="2511"/>
      <c r="NTI33" s="2511"/>
      <c r="NTJ33" s="2511"/>
      <c r="NTK33" s="2511"/>
      <c r="NTL33" s="2511"/>
      <c r="NTM33" s="2511"/>
      <c r="NTN33" s="2511"/>
      <c r="NTO33" s="2511"/>
      <c r="NTP33" s="2511"/>
      <c r="NTQ33" s="2511"/>
      <c r="NTR33" s="2511"/>
      <c r="NTS33" s="2511"/>
      <c r="NTT33" s="2511"/>
      <c r="NTU33" s="2511"/>
      <c r="NTV33" s="2511"/>
      <c r="NTW33" s="2511"/>
      <c r="NTX33" s="2511"/>
      <c r="NTY33" s="2511"/>
      <c r="NTZ33" s="2511"/>
      <c r="NUA33" s="2511"/>
      <c r="NUB33" s="2511"/>
      <c r="NUC33" s="2511"/>
      <c r="NUD33" s="2511"/>
      <c r="NUE33" s="2511"/>
      <c r="NUF33" s="2511"/>
      <c r="NUG33" s="2511"/>
      <c r="NUH33" s="2511"/>
      <c r="NUI33" s="2511"/>
      <c r="NUJ33" s="2511"/>
      <c r="NUK33" s="2511"/>
      <c r="NUL33" s="2511"/>
      <c r="NUM33" s="2511"/>
      <c r="NUN33" s="2511"/>
      <c r="NUO33" s="2511"/>
      <c r="NUP33" s="2511"/>
      <c r="NUQ33" s="2511"/>
      <c r="NUR33" s="2511"/>
      <c r="NUS33" s="2511"/>
      <c r="NUT33" s="2511"/>
      <c r="NUU33" s="2511"/>
      <c r="NUV33" s="2511"/>
      <c r="NUW33" s="2511"/>
      <c r="NUX33" s="2511"/>
      <c r="NUY33" s="2511"/>
      <c r="NUZ33" s="2511"/>
      <c r="NVA33" s="2511"/>
      <c r="NVB33" s="2511"/>
      <c r="NVC33" s="2511"/>
      <c r="NVD33" s="2511"/>
      <c r="NVE33" s="2511"/>
      <c r="NVF33" s="2511"/>
      <c r="NVG33" s="2511"/>
      <c r="NVH33" s="2511"/>
      <c r="NVI33" s="2511"/>
      <c r="NVJ33" s="2511"/>
      <c r="NVK33" s="2511"/>
      <c r="NVL33" s="2511"/>
      <c r="NVM33" s="2511"/>
      <c r="NVN33" s="2511"/>
      <c r="NVO33" s="2511"/>
      <c r="NVP33" s="2511"/>
      <c r="NVQ33" s="2511"/>
      <c r="NVR33" s="2511"/>
      <c r="NVS33" s="2511"/>
      <c r="NVT33" s="2511"/>
      <c r="NVU33" s="2511"/>
      <c r="NVV33" s="2511"/>
      <c r="NVW33" s="2511"/>
      <c r="NVX33" s="2511"/>
      <c r="NVY33" s="2511"/>
      <c r="NVZ33" s="2511"/>
      <c r="NWA33" s="2511"/>
      <c r="NWB33" s="2511"/>
      <c r="NWC33" s="2511"/>
      <c r="NWD33" s="2511"/>
      <c r="NWE33" s="2511"/>
      <c r="NWF33" s="2511"/>
      <c r="NWG33" s="2511"/>
      <c r="NWH33" s="2511"/>
      <c r="NWI33" s="2511"/>
      <c r="NWJ33" s="2511"/>
      <c r="NWK33" s="2511"/>
      <c r="NWL33" s="2511"/>
      <c r="NWM33" s="2511"/>
      <c r="NWN33" s="2511"/>
      <c r="NWO33" s="2511"/>
      <c r="NWP33" s="2511"/>
      <c r="NWQ33" s="2511"/>
      <c r="NWR33" s="2511"/>
      <c r="NWS33" s="2511"/>
      <c r="NWT33" s="2511"/>
      <c r="NWU33" s="2511"/>
      <c r="NWV33" s="2511"/>
      <c r="NWW33" s="2511"/>
      <c r="NWX33" s="2511"/>
      <c r="NWY33" s="2511"/>
      <c r="NWZ33" s="2511"/>
      <c r="NXA33" s="2511"/>
      <c r="NXB33" s="2511"/>
      <c r="NXC33" s="2511"/>
      <c r="NXD33" s="2511"/>
      <c r="NXE33" s="2511"/>
      <c r="NXF33" s="2511"/>
      <c r="NXG33" s="2511"/>
      <c r="NXH33" s="2511"/>
      <c r="NXI33" s="2511"/>
      <c r="NXJ33" s="2511"/>
      <c r="NXK33" s="2511"/>
      <c r="NXL33" s="2511"/>
      <c r="NXM33" s="2511"/>
      <c r="NXN33" s="2511"/>
      <c r="NXO33" s="2511"/>
      <c r="NXP33" s="2511"/>
      <c r="NXQ33" s="2511"/>
      <c r="NXR33" s="2511"/>
      <c r="NXS33" s="2511"/>
      <c r="NXT33" s="2511"/>
      <c r="NXU33" s="2511"/>
      <c r="NXV33" s="2511"/>
      <c r="NXW33" s="2511"/>
      <c r="NXX33" s="2511"/>
      <c r="NXY33" s="2511"/>
      <c r="NXZ33" s="2511"/>
      <c r="NYA33" s="2511"/>
      <c r="NYB33" s="2511"/>
      <c r="NYC33" s="2511"/>
      <c r="NYD33" s="2511"/>
      <c r="NYE33" s="2511"/>
      <c r="NYF33" s="2511"/>
      <c r="NYG33" s="2511"/>
      <c r="NYH33" s="2511"/>
      <c r="NYI33" s="2511"/>
      <c r="NYJ33" s="2511"/>
      <c r="NYK33" s="2511"/>
      <c r="NYL33" s="2511"/>
      <c r="NYM33" s="2511"/>
      <c r="NYN33" s="2511"/>
      <c r="NYO33" s="2511"/>
      <c r="NYP33" s="2511"/>
      <c r="NYQ33" s="2511"/>
      <c r="NYR33" s="2511"/>
      <c r="NYS33" s="2511"/>
      <c r="NYT33" s="2511"/>
      <c r="NYU33" s="2511"/>
      <c r="NYV33" s="2511"/>
      <c r="NYW33" s="2511"/>
      <c r="NYX33" s="2511"/>
      <c r="NYY33" s="2511"/>
      <c r="NYZ33" s="2511"/>
      <c r="NZA33" s="2511"/>
      <c r="NZB33" s="2511"/>
      <c r="NZC33" s="2511"/>
      <c r="NZD33" s="2511"/>
      <c r="NZE33" s="2511"/>
      <c r="NZF33" s="2511"/>
      <c r="NZG33" s="2511"/>
      <c r="NZH33" s="2511"/>
      <c r="NZI33" s="2511"/>
      <c r="NZJ33" s="2511"/>
      <c r="NZK33" s="2511"/>
      <c r="NZL33" s="2511"/>
      <c r="NZM33" s="2511"/>
      <c r="NZN33" s="2511"/>
      <c r="NZO33" s="2511"/>
      <c r="NZP33" s="2511"/>
      <c r="NZQ33" s="2511"/>
      <c r="NZR33" s="2511"/>
      <c r="NZS33" s="2511"/>
      <c r="NZT33" s="2511"/>
      <c r="NZU33" s="2511"/>
      <c r="NZV33" s="2511"/>
      <c r="NZW33" s="2511"/>
      <c r="NZX33" s="2511"/>
      <c r="NZY33" s="2511"/>
      <c r="NZZ33" s="2511"/>
      <c r="OAA33" s="2511"/>
      <c r="OAB33" s="2511"/>
      <c r="OAC33" s="2511"/>
      <c r="OAD33" s="2511"/>
      <c r="OAE33" s="2511"/>
      <c r="OAF33" s="2511"/>
      <c r="OAG33" s="2511"/>
      <c r="OAH33" s="2511"/>
      <c r="OAI33" s="2511"/>
      <c r="OAJ33" s="2511"/>
      <c r="OAK33" s="2511"/>
      <c r="OAL33" s="2511"/>
      <c r="OAM33" s="2511"/>
      <c r="OAN33" s="2511"/>
      <c r="OAO33" s="2511"/>
      <c r="OAP33" s="2511"/>
      <c r="OAQ33" s="2511"/>
      <c r="OAR33" s="2511"/>
      <c r="OAS33" s="2511"/>
      <c r="OAT33" s="2511"/>
      <c r="OAU33" s="2511"/>
      <c r="OAV33" s="2511"/>
      <c r="OAW33" s="2511"/>
      <c r="OAX33" s="2511"/>
      <c r="OAY33" s="2511"/>
      <c r="OAZ33" s="2511"/>
      <c r="OBA33" s="2511"/>
      <c r="OBB33" s="2511"/>
      <c r="OBC33" s="2511"/>
      <c r="OBD33" s="2511"/>
      <c r="OBE33" s="2511"/>
      <c r="OBF33" s="2511"/>
      <c r="OBG33" s="2511"/>
      <c r="OBH33" s="2511"/>
      <c r="OBI33" s="2511"/>
      <c r="OBJ33" s="2511"/>
      <c r="OBK33" s="2511"/>
      <c r="OBL33" s="2511"/>
      <c r="OBM33" s="2511"/>
      <c r="OBN33" s="2511"/>
      <c r="OBO33" s="2511"/>
      <c r="OBP33" s="2511"/>
      <c r="OBQ33" s="2511"/>
      <c r="OBR33" s="2511"/>
      <c r="OBS33" s="2511"/>
      <c r="OBT33" s="2511"/>
      <c r="OBU33" s="2511"/>
      <c r="OBV33" s="2511"/>
      <c r="OBW33" s="2511"/>
      <c r="OBX33" s="2511"/>
      <c r="OBY33" s="2511"/>
      <c r="OBZ33" s="2511"/>
      <c r="OCA33" s="2511"/>
      <c r="OCB33" s="2511"/>
      <c r="OCC33" s="2511"/>
      <c r="OCD33" s="2511"/>
      <c r="OCE33" s="2511"/>
      <c r="OCF33" s="2511"/>
      <c r="OCG33" s="2511"/>
      <c r="OCH33" s="2511"/>
      <c r="OCI33" s="2511"/>
      <c r="OCJ33" s="2511"/>
      <c r="OCK33" s="2511"/>
      <c r="OCL33" s="2511"/>
      <c r="OCM33" s="2511"/>
      <c r="OCN33" s="2511"/>
      <c r="OCO33" s="2511"/>
      <c r="OCP33" s="2511"/>
      <c r="OCQ33" s="2511"/>
      <c r="OCR33" s="2511"/>
      <c r="OCS33" s="2511"/>
      <c r="OCT33" s="2511"/>
      <c r="OCU33" s="2511"/>
      <c r="OCV33" s="2511"/>
      <c r="OCW33" s="2511"/>
      <c r="OCX33" s="2511"/>
      <c r="OCY33" s="2511"/>
      <c r="OCZ33" s="2511"/>
      <c r="ODA33" s="2511"/>
      <c r="ODB33" s="2511"/>
      <c r="ODC33" s="2511"/>
      <c r="ODD33" s="2511"/>
      <c r="ODE33" s="2511"/>
      <c r="ODF33" s="2511"/>
      <c r="ODG33" s="2511"/>
      <c r="ODH33" s="2511"/>
      <c r="ODI33" s="2511"/>
      <c r="ODJ33" s="2511"/>
      <c r="ODK33" s="2511"/>
      <c r="ODL33" s="2511"/>
      <c r="ODM33" s="2511"/>
      <c r="ODN33" s="2511"/>
      <c r="ODO33" s="2511"/>
      <c r="ODP33" s="2511"/>
      <c r="ODQ33" s="2511"/>
      <c r="ODR33" s="2511"/>
      <c r="ODS33" s="2511"/>
      <c r="ODT33" s="2511"/>
      <c r="ODU33" s="2511"/>
      <c r="ODV33" s="2511"/>
      <c r="ODW33" s="2511"/>
      <c r="ODX33" s="2511"/>
      <c r="ODY33" s="2511"/>
      <c r="ODZ33" s="2511"/>
      <c r="OEA33" s="2511"/>
      <c r="OEB33" s="2511"/>
      <c r="OEC33" s="2511"/>
      <c r="OED33" s="2511"/>
      <c r="OEE33" s="2511"/>
      <c r="OEF33" s="2511"/>
      <c r="OEG33" s="2511"/>
      <c r="OEH33" s="2511"/>
      <c r="OEI33" s="2511"/>
      <c r="OEJ33" s="2511"/>
      <c r="OEK33" s="2511"/>
      <c r="OEL33" s="2511"/>
      <c r="OEM33" s="2511"/>
      <c r="OEN33" s="2511"/>
      <c r="OEO33" s="2511"/>
      <c r="OEP33" s="2511"/>
      <c r="OEQ33" s="2511"/>
      <c r="OER33" s="2511"/>
      <c r="OES33" s="2511"/>
      <c r="OET33" s="2511"/>
      <c r="OEU33" s="2511"/>
      <c r="OEV33" s="2511"/>
      <c r="OEW33" s="2511"/>
      <c r="OEX33" s="2511"/>
      <c r="OEY33" s="2511"/>
      <c r="OEZ33" s="2511"/>
      <c r="OFA33" s="2511"/>
      <c r="OFB33" s="2511"/>
      <c r="OFC33" s="2511"/>
      <c r="OFD33" s="2511"/>
      <c r="OFE33" s="2511"/>
      <c r="OFF33" s="2511"/>
      <c r="OFG33" s="2511"/>
      <c r="OFH33" s="2511"/>
      <c r="OFI33" s="2511"/>
      <c r="OFJ33" s="2511"/>
      <c r="OFK33" s="2511"/>
      <c r="OFL33" s="2511"/>
      <c r="OFM33" s="2511"/>
      <c r="OFN33" s="2511"/>
      <c r="OFO33" s="2511"/>
      <c r="OFP33" s="2511"/>
      <c r="OFQ33" s="2511"/>
      <c r="OFR33" s="2511"/>
      <c r="OFS33" s="2511"/>
      <c r="OFT33" s="2511"/>
      <c r="OFU33" s="2511"/>
      <c r="OFV33" s="2511"/>
      <c r="OFW33" s="2511"/>
      <c r="OFX33" s="2511"/>
      <c r="OFY33" s="2511"/>
      <c r="OFZ33" s="2511"/>
      <c r="OGA33" s="2511"/>
      <c r="OGB33" s="2511"/>
      <c r="OGC33" s="2511"/>
      <c r="OGD33" s="2511"/>
      <c r="OGE33" s="2511"/>
      <c r="OGF33" s="2511"/>
      <c r="OGG33" s="2511"/>
      <c r="OGH33" s="2511"/>
      <c r="OGI33" s="2511"/>
      <c r="OGJ33" s="2511"/>
      <c r="OGK33" s="2511"/>
      <c r="OGL33" s="2511"/>
      <c r="OGM33" s="2511"/>
      <c r="OGN33" s="2511"/>
      <c r="OGO33" s="2511"/>
      <c r="OGP33" s="2511"/>
      <c r="OGQ33" s="2511"/>
      <c r="OGR33" s="2511"/>
      <c r="OGS33" s="2511"/>
      <c r="OGT33" s="2511"/>
      <c r="OGU33" s="2511"/>
      <c r="OGV33" s="2511"/>
      <c r="OGW33" s="2511"/>
      <c r="OGX33" s="2511"/>
      <c r="OGY33" s="2511"/>
      <c r="OGZ33" s="2511"/>
      <c r="OHA33" s="2511"/>
      <c r="OHB33" s="2511"/>
      <c r="OHC33" s="2511"/>
      <c r="OHD33" s="2511"/>
      <c r="OHE33" s="2511"/>
      <c r="OHF33" s="2511"/>
      <c r="OHG33" s="2511"/>
      <c r="OHH33" s="2511"/>
      <c r="OHI33" s="2511"/>
      <c r="OHJ33" s="2511"/>
      <c r="OHK33" s="2511"/>
      <c r="OHL33" s="2511"/>
      <c r="OHM33" s="2511"/>
      <c r="OHN33" s="2511"/>
      <c r="OHO33" s="2511"/>
      <c r="OHP33" s="2511"/>
      <c r="OHQ33" s="2511"/>
      <c r="OHR33" s="2511"/>
      <c r="OHS33" s="2511"/>
      <c r="OHT33" s="2511"/>
      <c r="OHU33" s="2511"/>
      <c r="OHV33" s="2511"/>
      <c r="OHW33" s="2511"/>
      <c r="OHX33" s="2511"/>
      <c r="OHY33" s="2511"/>
      <c r="OHZ33" s="2511"/>
      <c r="OIA33" s="2511"/>
      <c r="OIB33" s="2511"/>
      <c r="OIC33" s="2511"/>
      <c r="OID33" s="2511"/>
      <c r="OIE33" s="2511"/>
      <c r="OIF33" s="2511"/>
      <c r="OIG33" s="2511"/>
      <c r="OIH33" s="2511"/>
      <c r="OII33" s="2511"/>
      <c r="OIJ33" s="2511"/>
      <c r="OIK33" s="2511"/>
      <c r="OIL33" s="2511"/>
      <c r="OIM33" s="2511"/>
      <c r="OIN33" s="2511"/>
      <c r="OIO33" s="2511"/>
      <c r="OIP33" s="2511"/>
      <c r="OIQ33" s="2511"/>
      <c r="OIR33" s="2511"/>
      <c r="OIS33" s="2511"/>
      <c r="OIT33" s="2511"/>
      <c r="OIU33" s="2511"/>
      <c r="OIV33" s="2511"/>
      <c r="OIW33" s="2511"/>
      <c r="OIX33" s="2511"/>
      <c r="OIY33" s="2511"/>
      <c r="OIZ33" s="2511"/>
      <c r="OJA33" s="2511"/>
      <c r="OJB33" s="2511"/>
      <c r="OJC33" s="2511"/>
      <c r="OJD33" s="2511"/>
      <c r="OJE33" s="2511"/>
      <c r="OJF33" s="2511"/>
      <c r="OJG33" s="2511"/>
      <c r="OJH33" s="2511"/>
      <c r="OJI33" s="2511"/>
      <c r="OJJ33" s="2511"/>
      <c r="OJK33" s="2511"/>
      <c r="OJL33" s="2511"/>
      <c r="OJM33" s="2511"/>
      <c r="OJN33" s="2511"/>
      <c r="OJO33" s="2511"/>
      <c r="OJP33" s="2511"/>
      <c r="OJQ33" s="2511"/>
      <c r="OJR33" s="2511"/>
      <c r="OJS33" s="2511"/>
      <c r="OJT33" s="2511"/>
      <c r="OJU33" s="2511"/>
      <c r="OJV33" s="2511"/>
      <c r="OJW33" s="2511"/>
      <c r="OJX33" s="2511"/>
      <c r="OJY33" s="2511"/>
      <c r="OJZ33" s="2511"/>
      <c r="OKA33" s="2511"/>
      <c r="OKB33" s="2511"/>
      <c r="OKC33" s="2511"/>
      <c r="OKD33" s="2511"/>
      <c r="OKE33" s="2511"/>
      <c r="OKF33" s="2511"/>
      <c r="OKG33" s="2511"/>
      <c r="OKH33" s="2511"/>
      <c r="OKI33" s="2511"/>
      <c r="OKJ33" s="2511"/>
      <c r="OKK33" s="2511"/>
      <c r="OKL33" s="2511"/>
      <c r="OKM33" s="2511"/>
      <c r="OKN33" s="2511"/>
      <c r="OKO33" s="2511"/>
      <c r="OKP33" s="2511"/>
      <c r="OKQ33" s="2511"/>
      <c r="OKR33" s="2511"/>
      <c r="OKS33" s="2511"/>
      <c r="OKT33" s="2511"/>
      <c r="OKU33" s="2511"/>
      <c r="OKV33" s="2511"/>
      <c r="OKW33" s="2511"/>
      <c r="OKX33" s="2511"/>
      <c r="OKY33" s="2511"/>
      <c r="OKZ33" s="2511"/>
      <c r="OLA33" s="2511"/>
      <c r="OLB33" s="2511"/>
      <c r="OLC33" s="2511"/>
      <c r="OLD33" s="2511"/>
      <c r="OLE33" s="2511"/>
      <c r="OLF33" s="2511"/>
      <c r="OLG33" s="2511"/>
      <c r="OLH33" s="2511"/>
      <c r="OLI33" s="2511"/>
      <c r="OLJ33" s="2511"/>
      <c r="OLK33" s="2511"/>
      <c r="OLL33" s="2511"/>
      <c r="OLM33" s="2511"/>
      <c r="OLN33" s="2511"/>
      <c r="OLO33" s="2511"/>
      <c r="OLP33" s="2511"/>
      <c r="OLQ33" s="2511"/>
      <c r="OLR33" s="2511"/>
      <c r="OLS33" s="2511"/>
      <c r="OLT33" s="2511"/>
      <c r="OLU33" s="2511"/>
      <c r="OLV33" s="2511"/>
      <c r="OLW33" s="2511"/>
      <c r="OLX33" s="2511"/>
      <c r="OLY33" s="2511"/>
      <c r="OLZ33" s="2511"/>
      <c r="OMA33" s="2511"/>
      <c r="OMB33" s="2511"/>
      <c r="OMC33" s="2511"/>
      <c r="OMD33" s="2511"/>
      <c r="OME33" s="2511"/>
      <c r="OMF33" s="2511"/>
      <c r="OMG33" s="2511"/>
      <c r="OMH33" s="2511"/>
      <c r="OMI33" s="2511"/>
      <c r="OMJ33" s="2511"/>
      <c r="OMK33" s="2511"/>
      <c r="OML33" s="2511"/>
      <c r="OMM33" s="2511"/>
      <c r="OMN33" s="2511"/>
      <c r="OMO33" s="2511"/>
      <c r="OMP33" s="2511"/>
      <c r="OMQ33" s="2511"/>
      <c r="OMR33" s="2511"/>
      <c r="OMS33" s="2511"/>
      <c r="OMT33" s="2511"/>
      <c r="OMU33" s="2511"/>
      <c r="OMV33" s="2511"/>
      <c r="OMW33" s="2511"/>
      <c r="OMX33" s="2511"/>
      <c r="OMY33" s="2511"/>
      <c r="OMZ33" s="2511"/>
      <c r="ONA33" s="2511"/>
      <c r="ONB33" s="2511"/>
      <c r="ONC33" s="2511"/>
      <c r="OND33" s="2511"/>
      <c r="ONE33" s="2511"/>
      <c r="ONF33" s="2511"/>
      <c r="ONG33" s="2511"/>
      <c r="ONH33" s="2511"/>
      <c r="ONI33" s="2511"/>
      <c r="ONJ33" s="2511"/>
      <c r="ONK33" s="2511"/>
      <c r="ONL33" s="2511"/>
      <c r="ONM33" s="2511"/>
      <c r="ONN33" s="2511"/>
      <c r="ONO33" s="2511"/>
      <c r="ONP33" s="2511"/>
      <c r="ONQ33" s="2511"/>
      <c r="ONR33" s="2511"/>
      <c r="ONS33" s="2511"/>
      <c r="ONT33" s="2511"/>
      <c r="ONU33" s="2511"/>
      <c r="ONV33" s="2511"/>
      <c r="ONW33" s="2511"/>
      <c r="ONX33" s="2511"/>
      <c r="ONY33" s="2511"/>
      <c r="ONZ33" s="2511"/>
      <c r="OOA33" s="2511"/>
      <c r="OOB33" s="2511"/>
      <c r="OOC33" s="2511"/>
      <c r="OOD33" s="2511"/>
      <c r="OOE33" s="2511"/>
      <c r="OOF33" s="2511"/>
      <c r="OOG33" s="2511"/>
      <c r="OOH33" s="2511"/>
      <c r="OOI33" s="2511"/>
      <c r="OOJ33" s="2511"/>
      <c r="OOK33" s="2511"/>
      <c r="OOL33" s="2511"/>
      <c r="OOM33" s="2511"/>
      <c r="OON33" s="2511"/>
      <c r="OOO33" s="2511"/>
      <c r="OOP33" s="2511"/>
      <c r="OOQ33" s="2511"/>
      <c r="OOR33" s="2511"/>
      <c r="OOS33" s="2511"/>
      <c r="OOT33" s="2511"/>
      <c r="OOU33" s="2511"/>
      <c r="OOV33" s="2511"/>
      <c r="OOW33" s="2511"/>
      <c r="OOX33" s="2511"/>
      <c r="OOY33" s="2511"/>
      <c r="OOZ33" s="2511"/>
      <c r="OPA33" s="2511"/>
      <c r="OPB33" s="2511"/>
      <c r="OPC33" s="2511"/>
      <c r="OPD33" s="2511"/>
      <c r="OPE33" s="2511"/>
      <c r="OPF33" s="2511"/>
      <c r="OPG33" s="2511"/>
      <c r="OPH33" s="2511"/>
      <c r="OPI33" s="2511"/>
      <c r="OPJ33" s="2511"/>
      <c r="OPK33" s="2511"/>
      <c r="OPL33" s="2511"/>
      <c r="OPM33" s="2511"/>
      <c r="OPN33" s="2511"/>
      <c r="OPO33" s="2511"/>
      <c r="OPP33" s="2511"/>
      <c r="OPQ33" s="2511"/>
      <c r="OPR33" s="2511"/>
      <c r="OPS33" s="2511"/>
      <c r="OPT33" s="2511"/>
      <c r="OPU33" s="2511"/>
      <c r="OPV33" s="2511"/>
      <c r="OPW33" s="2511"/>
      <c r="OPX33" s="2511"/>
      <c r="OPY33" s="2511"/>
      <c r="OPZ33" s="2511"/>
      <c r="OQA33" s="2511"/>
      <c r="OQB33" s="2511"/>
      <c r="OQC33" s="2511"/>
      <c r="OQD33" s="2511"/>
      <c r="OQE33" s="2511"/>
      <c r="OQF33" s="2511"/>
      <c r="OQG33" s="2511"/>
      <c r="OQH33" s="2511"/>
      <c r="OQI33" s="2511"/>
      <c r="OQJ33" s="2511"/>
      <c r="OQK33" s="2511"/>
      <c r="OQL33" s="2511"/>
      <c r="OQM33" s="2511"/>
      <c r="OQN33" s="2511"/>
      <c r="OQO33" s="2511"/>
      <c r="OQP33" s="2511"/>
      <c r="OQQ33" s="2511"/>
      <c r="OQR33" s="2511"/>
      <c r="OQS33" s="2511"/>
      <c r="OQT33" s="2511"/>
      <c r="OQU33" s="2511"/>
      <c r="OQV33" s="2511"/>
      <c r="OQW33" s="2511"/>
      <c r="OQX33" s="2511"/>
      <c r="OQY33" s="2511"/>
      <c r="OQZ33" s="2511"/>
      <c r="ORA33" s="2511"/>
      <c r="ORB33" s="2511"/>
      <c r="ORC33" s="2511"/>
      <c r="ORD33" s="2511"/>
      <c r="ORE33" s="2511"/>
      <c r="ORF33" s="2511"/>
      <c r="ORG33" s="2511"/>
      <c r="ORH33" s="2511"/>
      <c r="ORI33" s="2511"/>
      <c r="ORJ33" s="2511"/>
      <c r="ORK33" s="2511"/>
      <c r="ORL33" s="2511"/>
      <c r="ORM33" s="2511"/>
      <c r="ORN33" s="2511"/>
      <c r="ORO33" s="2511"/>
      <c r="ORP33" s="2511"/>
      <c r="ORQ33" s="2511"/>
      <c r="ORR33" s="2511"/>
      <c r="ORS33" s="2511"/>
      <c r="ORT33" s="2511"/>
      <c r="ORU33" s="2511"/>
      <c r="ORV33" s="2511"/>
      <c r="ORW33" s="2511"/>
      <c r="ORX33" s="2511"/>
      <c r="ORY33" s="2511"/>
      <c r="ORZ33" s="2511"/>
      <c r="OSA33" s="2511"/>
      <c r="OSB33" s="2511"/>
      <c r="OSC33" s="2511"/>
      <c r="OSD33" s="2511"/>
      <c r="OSE33" s="2511"/>
      <c r="OSF33" s="2511"/>
      <c r="OSG33" s="2511"/>
      <c r="OSH33" s="2511"/>
      <c r="OSI33" s="2511"/>
      <c r="OSJ33" s="2511"/>
      <c r="OSK33" s="2511"/>
      <c r="OSL33" s="2511"/>
      <c r="OSM33" s="2511"/>
      <c r="OSN33" s="2511"/>
      <c r="OSO33" s="2511"/>
      <c r="OSP33" s="2511"/>
      <c r="OSQ33" s="2511"/>
      <c r="OSR33" s="2511"/>
      <c r="OSS33" s="2511"/>
      <c r="OST33" s="2511"/>
      <c r="OSU33" s="2511"/>
      <c r="OSV33" s="2511"/>
      <c r="OSW33" s="2511"/>
      <c r="OSX33" s="2511"/>
      <c r="OSY33" s="2511"/>
      <c r="OSZ33" s="2511"/>
      <c r="OTA33" s="2511"/>
      <c r="OTB33" s="2511"/>
      <c r="OTC33" s="2511"/>
      <c r="OTD33" s="2511"/>
      <c r="OTE33" s="2511"/>
      <c r="OTF33" s="2511"/>
      <c r="OTG33" s="2511"/>
      <c r="OTH33" s="2511"/>
      <c r="OTI33" s="2511"/>
      <c r="OTJ33" s="2511"/>
      <c r="OTK33" s="2511"/>
      <c r="OTL33" s="2511"/>
      <c r="OTM33" s="2511"/>
      <c r="OTN33" s="2511"/>
      <c r="OTO33" s="2511"/>
      <c r="OTP33" s="2511"/>
      <c r="OTQ33" s="2511"/>
      <c r="OTR33" s="2511"/>
      <c r="OTS33" s="2511"/>
      <c r="OTT33" s="2511"/>
      <c r="OTU33" s="2511"/>
      <c r="OTV33" s="2511"/>
      <c r="OTW33" s="2511"/>
      <c r="OTX33" s="2511"/>
      <c r="OTY33" s="2511"/>
      <c r="OTZ33" s="2511"/>
      <c r="OUA33" s="2511"/>
      <c r="OUB33" s="2511"/>
      <c r="OUC33" s="2511"/>
      <c r="OUD33" s="2511"/>
      <c r="OUE33" s="2511"/>
      <c r="OUF33" s="2511"/>
      <c r="OUG33" s="2511"/>
      <c r="OUH33" s="2511"/>
      <c r="OUI33" s="2511"/>
      <c r="OUJ33" s="2511"/>
      <c r="OUK33" s="2511"/>
      <c r="OUL33" s="2511"/>
      <c r="OUM33" s="2511"/>
      <c r="OUN33" s="2511"/>
      <c r="OUO33" s="2511"/>
      <c r="OUP33" s="2511"/>
      <c r="OUQ33" s="2511"/>
      <c r="OUR33" s="2511"/>
      <c r="OUS33" s="2511"/>
      <c r="OUT33" s="2511"/>
      <c r="OUU33" s="2511"/>
      <c r="OUV33" s="2511"/>
      <c r="OUW33" s="2511"/>
      <c r="OUX33" s="2511"/>
      <c r="OUY33" s="2511"/>
      <c r="OUZ33" s="2511"/>
      <c r="OVA33" s="2511"/>
      <c r="OVB33" s="2511"/>
      <c r="OVC33" s="2511"/>
      <c r="OVD33" s="2511"/>
      <c r="OVE33" s="2511"/>
      <c r="OVF33" s="2511"/>
      <c r="OVG33" s="2511"/>
      <c r="OVH33" s="2511"/>
      <c r="OVI33" s="2511"/>
      <c r="OVJ33" s="2511"/>
      <c r="OVK33" s="2511"/>
      <c r="OVL33" s="2511"/>
      <c r="OVM33" s="2511"/>
      <c r="OVN33" s="2511"/>
      <c r="OVO33" s="2511"/>
      <c r="OVP33" s="2511"/>
      <c r="OVQ33" s="2511"/>
      <c r="OVR33" s="2511"/>
      <c r="OVS33" s="2511"/>
      <c r="OVT33" s="2511"/>
      <c r="OVU33" s="2511"/>
      <c r="OVV33" s="2511"/>
      <c r="OVW33" s="2511"/>
      <c r="OVX33" s="2511"/>
      <c r="OVY33" s="2511"/>
      <c r="OVZ33" s="2511"/>
      <c r="OWA33" s="2511"/>
      <c r="OWB33" s="2511"/>
      <c r="OWC33" s="2511"/>
      <c r="OWD33" s="2511"/>
      <c r="OWE33" s="2511"/>
      <c r="OWF33" s="2511"/>
      <c r="OWG33" s="2511"/>
      <c r="OWH33" s="2511"/>
      <c r="OWI33" s="2511"/>
      <c r="OWJ33" s="2511"/>
      <c r="OWK33" s="2511"/>
      <c r="OWL33" s="2511"/>
      <c r="OWM33" s="2511"/>
      <c r="OWN33" s="2511"/>
      <c r="OWO33" s="2511"/>
      <c r="OWP33" s="2511"/>
      <c r="OWQ33" s="2511"/>
      <c r="OWR33" s="2511"/>
      <c r="OWS33" s="2511"/>
      <c r="OWT33" s="2511"/>
      <c r="OWU33" s="2511"/>
      <c r="OWV33" s="2511"/>
      <c r="OWW33" s="2511"/>
      <c r="OWX33" s="2511"/>
      <c r="OWY33" s="2511"/>
      <c r="OWZ33" s="2511"/>
      <c r="OXA33" s="2511"/>
      <c r="OXB33" s="2511"/>
      <c r="OXC33" s="2511"/>
      <c r="OXD33" s="2511"/>
      <c r="OXE33" s="2511"/>
      <c r="OXF33" s="2511"/>
      <c r="OXG33" s="2511"/>
      <c r="OXH33" s="2511"/>
      <c r="OXI33" s="2511"/>
      <c r="OXJ33" s="2511"/>
      <c r="OXK33" s="2511"/>
      <c r="OXL33" s="2511"/>
      <c r="OXM33" s="2511"/>
      <c r="OXN33" s="2511"/>
      <c r="OXO33" s="2511"/>
      <c r="OXP33" s="2511"/>
      <c r="OXQ33" s="2511"/>
      <c r="OXR33" s="2511"/>
      <c r="OXS33" s="2511"/>
      <c r="OXT33" s="2511"/>
      <c r="OXU33" s="2511"/>
      <c r="OXV33" s="2511"/>
      <c r="OXW33" s="2511"/>
      <c r="OXX33" s="2511"/>
      <c r="OXY33" s="2511"/>
      <c r="OXZ33" s="2511"/>
      <c r="OYA33" s="2511"/>
      <c r="OYB33" s="2511"/>
      <c r="OYC33" s="2511"/>
      <c r="OYD33" s="2511"/>
      <c r="OYE33" s="2511"/>
      <c r="OYF33" s="2511"/>
      <c r="OYG33" s="2511"/>
      <c r="OYH33" s="2511"/>
      <c r="OYI33" s="2511"/>
      <c r="OYJ33" s="2511"/>
      <c r="OYK33" s="2511"/>
      <c r="OYL33" s="2511"/>
      <c r="OYM33" s="2511"/>
      <c r="OYN33" s="2511"/>
      <c r="OYO33" s="2511"/>
      <c r="OYP33" s="2511"/>
      <c r="OYQ33" s="2511"/>
      <c r="OYR33" s="2511"/>
      <c r="OYS33" s="2511"/>
      <c r="OYT33" s="2511"/>
      <c r="OYU33" s="2511"/>
      <c r="OYV33" s="2511"/>
      <c r="OYW33" s="2511"/>
      <c r="OYX33" s="2511"/>
      <c r="OYY33" s="2511"/>
      <c r="OYZ33" s="2511"/>
      <c r="OZA33" s="2511"/>
      <c r="OZB33" s="2511"/>
      <c r="OZC33" s="2511"/>
      <c r="OZD33" s="2511"/>
      <c r="OZE33" s="2511"/>
      <c r="OZF33" s="2511"/>
      <c r="OZG33" s="2511"/>
      <c r="OZH33" s="2511"/>
      <c r="OZI33" s="2511"/>
      <c r="OZJ33" s="2511"/>
      <c r="OZK33" s="2511"/>
      <c r="OZL33" s="2511"/>
      <c r="OZM33" s="2511"/>
      <c r="OZN33" s="2511"/>
      <c r="OZO33" s="2511"/>
      <c r="OZP33" s="2511"/>
      <c r="OZQ33" s="2511"/>
      <c r="OZR33" s="2511"/>
      <c r="OZS33" s="2511"/>
      <c r="OZT33" s="2511"/>
      <c r="OZU33" s="2511"/>
      <c r="OZV33" s="2511"/>
      <c r="OZW33" s="2511"/>
      <c r="OZX33" s="2511"/>
      <c r="OZY33" s="2511"/>
      <c r="OZZ33" s="2511"/>
      <c r="PAA33" s="2511"/>
      <c r="PAB33" s="2511"/>
      <c r="PAC33" s="2511"/>
      <c r="PAD33" s="2511"/>
      <c r="PAE33" s="2511"/>
      <c r="PAF33" s="2511"/>
      <c r="PAG33" s="2511"/>
      <c r="PAH33" s="2511"/>
      <c r="PAI33" s="2511"/>
      <c r="PAJ33" s="2511"/>
      <c r="PAK33" s="2511"/>
      <c r="PAL33" s="2511"/>
      <c r="PAM33" s="2511"/>
      <c r="PAN33" s="2511"/>
      <c r="PAO33" s="2511"/>
      <c r="PAP33" s="2511"/>
      <c r="PAQ33" s="2511"/>
      <c r="PAR33" s="2511"/>
      <c r="PAS33" s="2511"/>
      <c r="PAT33" s="2511"/>
      <c r="PAU33" s="2511"/>
      <c r="PAV33" s="2511"/>
      <c r="PAW33" s="2511"/>
      <c r="PAX33" s="2511"/>
      <c r="PAY33" s="2511"/>
      <c r="PAZ33" s="2511"/>
      <c r="PBA33" s="2511"/>
      <c r="PBB33" s="2511"/>
      <c r="PBC33" s="2511"/>
      <c r="PBD33" s="2511"/>
      <c r="PBE33" s="2511"/>
      <c r="PBF33" s="2511"/>
      <c r="PBG33" s="2511"/>
      <c r="PBH33" s="2511"/>
      <c r="PBI33" s="2511"/>
      <c r="PBJ33" s="2511"/>
      <c r="PBK33" s="2511"/>
      <c r="PBL33" s="2511"/>
      <c r="PBM33" s="2511"/>
      <c r="PBN33" s="2511"/>
      <c r="PBO33" s="2511"/>
      <c r="PBP33" s="2511"/>
      <c r="PBQ33" s="2511"/>
      <c r="PBR33" s="2511"/>
      <c r="PBS33" s="2511"/>
      <c r="PBT33" s="2511"/>
      <c r="PBU33" s="2511"/>
      <c r="PBV33" s="2511"/>
      <c r="PBW33" s="2511"/>
      <c r="PBX33" s="2511"/>
      <c r="PBY33" s="2511"/>
      <c r="PBZ33" s="2511"/>
      <c r="PCA33" s="2511"/>
      <c r="PCB33" s="2511"/>
      <c r="PCC33" s="2511"/>
      <c r="PCD33" s="2511"/>
      <c r="PCE33" s="2511"/>
      <c r="PCF33" s="2511"/>
      <c r="PCG33" s="2511"/>
      <c r="PCH33" s="2511"/>
      <c r="PCI33" s="2511"/>
      <c r="PCJ33" s="2511"/>
      <c r="PCK33" s="2511"/>
      <c r="PCL33" s="2511"/>
      <c r="PCM33" s="2511"/>
      <c r="PCN33" s="2511"/>
      <c r="PCO33" s="2511"/>
      <c r="PCP33" s="2511"/>
      <c r="PCQ33" s="2511"/>
      <c r="PCR33" s="2511"/>
      <c r="PCS33" s="2511"/>
      <c r="PCT33" s="2511"/>
      <c r="PCU33" s="2511"/>
      <c r="PCV33" s="2511"/>
      <c r="PCW33" s="2511"/>
      <c r="PCX33" s="2511"/>
      <c r="PCY33" s="2511"/>
      <c r="PCZ33" s="2511"/>
      <c r="PDA33" s="2511"/>
      <c r="PDB33" s="2511"/>
      <c r="PDC33" s="2511"/>
      <c r="PDD33" s="2511"/>
      <c r="PDE33" s="2511"/>
      <c r="PDF33" s="2511"/>
      <c r="PDG33" s="2511"/>
      <c r="PDH33" s="2511"/>
      <c r="PDI33" s="2511"/>
      <c r="PDJ33" s="2511"/>
      <c r="PDK33" s="2511"/>
      <c r="PDL33" s="2511"/>
      <c r="PDM33" s="2511"/>
      <c r="PDN33" s="2511"/>
      <c r="PDO33" s="2511"/>
      <c r="PDP33" s="2511"/>
      <c r="PDQ33" s="2511"/>
      <c r="PDR33" s="2511"/>
      <c r="PDS33" s="2511"/>
      <c r="PDT33" s="2511"/>
      <c r="PDU33" s="2511"/>
      <c r="PDV33" s="2511"/>
      <c r="PDW33" s="2511"/>
      <c r="PDX33" s="2511"/>
      <c r="PDY33" s="2511"/>
      <c r="PDZ33" s="2511"/>
      <c r="PEA33" s="2511"/>
      <c r="PEB33" s="2511"/>
      <c r="PEC33" s="2511"/>
      <c r="PED33" s="2511"/>
      <c r="PEE33" s="2511"/>
      <c r="PEF33" s="2511"/>
      <c r="PEG33" s="2511"/>
      <c r="PEH33" s="2511"/>
      <c r="PEI33" s="2511"/>
      <c r="PEJ33" s="2511"/>
      <c r="PEK33" s="2511"/>
      <c r="PEL33" s="2511"/>
      <c r="PEM33" s="2511"/>
      <c r="PEN33" s="2511"/>
      <c r="PEO33" s="2511"/>
      <c r="PEP33" s="2511"/>
      <c r="PEQ33" s="2511"/>
      <c r="PER33" s="2511"/>
      <c r="PES33" s="2511"/>
      <c r="PET33" s="2511"/>
      <c r="PEU33" s="2511"/>
      <c r="PEV33" s="2511"/>
      <c r="PEW33" s="2511"/>
      <c r="PEX33" s="2511"/>
      <c r="PEY33" s="2511"/>
      <c r="PEZ33" s="2511"/>
      <c r="PFA33" s="2511"/>
      <c r="PFB33" s="2511"/>
      <c r="PFC33" s="2511"/>
      <c r="PFD33" s="2511"/>
      <c r="PFE33" s="2511"/>
      <c r="PFF33" s="2511"/>
      <c r="PFG33" s="2511"/>
      <c r="PFH33" s="2511"/>
      <c r="PFI33" s="2511"/>
      <c r="PFJ33" s="2511"/>
      <c r="PFK33" s="2511"/>
      <c r="PFL33" s="2511"/>
      <c r="PFM33" s="2511"/>
      <c r="PFN33" s="2511"/>
      <c r="PFO33" s="2511"/>
      <c r="PFP33" s="2511"/>
      <c r="PFQ33" s="2511"/>
      <c r="PFR33" s="2511"/>
      <c r="PFS33" s="2511"/>
      <c r="PFT33" s="2511"/>
      <c r="PFU33" s="2511"/>
      <c r="PFV33" s="2511"/>
      <c r="PFW33" s="2511"/>
      <c r="PFX33" s="2511"/>
      <c r="PFY33" s="2511"/>
      <c r="PFZ33" s="2511"/>
      <c r="PGA33" s="2511"/>
      <c r="PGB33" s="2511"/>
      <c r="PGC33" s="2511"/>
      <c r="PGD33" s="2511"/>
      <c r="PGE33" s="2511"/>
      <c r="PGF33" s="2511"/>
      <c r="PGG33" s="2511"/>
      <c r="PGH33" s="2511"/>
      <c r="PGI33" s="2511"/>
      <c r="PGJ33" s="2511"/>
      <c r="PGK33" s="2511"/>
      <c r="PGL33" s="2511"/>
      <c r="PGM33" s="2511"/>
      <c r="PGN33" s="2511"/>
      <c r="PGO33" s="2511"/>
      <c r="PGP33" s="2511"/>
      <c r="PGQ33" s="2511"/>
      <c r="PGR33" s="2511"/>
      <c r="PGS33" s="2511"/>
      <c r="PGT33" s="2511"/>
      <c r="PGU33" s="2511"/>
      <c r="PGV33" s="2511"/>
      <c r="PGW33" s="2511"/>
      <c r="PGX33" s="2511"/>
      <c r="PGY33" s="2511"/>
      <c r="PGZ33" s="2511"/>
      <c r="PHA33" s="2511"/>
      <c r="PHB33" s="2511"/>
      <c r="PHC33" s="2511"/>
      <c r="PHD33" s="2511"/>
      <c r="PHE33" s="2511"/>
      <c r="PHF33" s="2511"/>
      <c r="PHG33" s="2511"/>
      <c r="PHH33" s="2511"/>
      <c r="PHI33" s="2511"/>
      <c r="PHJ33" s="2511"/>
      <c r="PHK33" s="2511"/>
      <c r="PHL33" s="2511"/>
      <c r="PHM33" s="2511"/>
      <c r="PHN33" s="2511"/>
      <c r="PHO33" s="2511"/>
      <c r="PHP33" s="2511"/>
      <c r="PHQ33" s="2511"/>
      <c r="PHR33" s="2511"/>
      <c r="PHS33" s="2511"/>
      <c r="PHT33" s="2511"/>
      <c r="PHU33" s="2511"/>
      <c r="PHV33" s="2511"/>
      <c r="PHW33" s="2511"/>
      <c r="PHX33" s="2511"/>
      <c r="PHY33" s="2511"/>
      <c r="PHZ33" s="2511"/>
      <c r="PIA33" s="2511"/>
      <c r="PIB33" s="2511"/>
      <c r="PIC33" s="2511"/>
      <c r="PID33" s="2511"/>
      <c r="PIE33" s="2511"/>
      <c r="PIF33" s="2511"/>
      <c r="PIG33" s="2511"/>
      <c r="PIH33" s="2511"/>
      <c r="PII33" s="2511"/>
      <c r="PIJ33" s="2511"/>
      <c r="PIK33" s="2511"/>
      <c r="PIL33" s="2511"/>
      <c r="PIM33" s="2511"/>
      <c r="PIN33" s="2511"/>
      <c r="PIO33" s="2511"/>
      <c r="PIP33" s="2511"/>
      <c r="PIQ33" s="2511"/>
      <c r="PIR33" s="2511"/>
      <c r="PIS33" s="2511"/>
      <c r="PIT33" s="2511"/>
      <c r="PIU33" s="2511"/>
      <c r="PIV33" s="2511"/>
      <c r="PIW33" s="2511"/>
      <c r="PIX33" s="2511"/>
      <c r="PIY33" s="2511"/>
      <c r="PIZ33" s="2511"/>
      <c r="PJA33" s="2511"/>
      <c r="PJB33" s="2511"/>
      <c r="PJC33" s="2511"/>
      <c r="PJD33" s="2511"/>
      <c r="PJE33" s="2511"/>
      <c r="PJF33" s="2511"/>
      <c r="PJG33" s="2511"/>
      <c r="PJH33" s="2511"/>
      <c r="PJI33" s="2511"/>
      <c r="PJJ33" s="2511"/>
      <c r="PJK33" s="2511"/>
      <c r="PJL33" s="2511"/>
      <c r="PJM33" s="2511"/>
      <c r="PJN33" s="2511"/>
      <c r="PJO33" s="2511"/>
      <c r="PJP33" s="2511"/>
      <c r="PJQ33" s="2511"/>
      <c r="PJR33" s="2511"/>
      <c r="PJS33" s="2511"/>
      <c r="PJT33" s="2511"/>
      <c r="PJU33" s="2511"/>
      <c r="PJV33" s="2511"/>
      <c r="PJW33" s="2511"/>
      <c r="PJX33" s="2511"/>
      <c r="PJY33" s="2511"/>
      <c r="PJZ33" s="2511"/>
      <c r="PKA33" s="2511"/>
      <c r="PKB33" s="2511"/>
      <c r="PKC33" s="2511"/>
      <c r="PKD33" s="2511"/>
      <c r="PKE33" s="2511"/>
      <c r="PKF33" s="2511"/>
      <c r="PKG33" s="2511"/>
      <c r="PKH33" s="2511"/>
      <c r="PKI33" s="2511"/>
      <c r="PKJ33" s="2511"/>
      <c r="PKK33" s="2511"/>
      <c r="PKL33" s="2511"/>
      <c r="PKM33" s="2511"/>
      <c r="PKN33" s="2511"/>
      <c r="PKO33" s="2511"/>
      <c r="PKP33" s="2511"/>
      <c r="PKQ33" s="2511"/>
      <c r="PKR33" s="2511"/>
      <c r="PKS33" s="2511"/>
      <c r="PKT33" s="2511"/>
      <c r="PKU33" s="2511"/>
      <c r="PKV33" s="2511"/>
      <c r="PKW33" s="2511"/>
      <c r="PKX33" s="2511"/>
      <c r="PKY33" s="2511"/>
      <c r="PKZ33" s="2511"/>
      <c r="PLA33" s="2511"/>
      <c r="PLB33" s="2511"/>
      <c r="PLC33" s="2511"/>
      <c r="PLD33" s="2511"/>
      <c r="PLE33" s="2511"/>
      <c r="PLF33" s="2511"/>
      <c r="PLG33" s="2511"/>
      <c r="PLH33" s="2511"/>
      <c r="PLI33" s="2511"/>
      <c r="PLJ33" s="2511"/>
      <c r="PLK33" s="2511"/>
      <c r="PLL33" s="2511"/>
      <c r="PLM33" s="2511"/>
      <c r="PLN33" s="2511"/>
      <c r="PLO33" s="2511"/>
      <c r="PLP33" s="2511"/>
      <c r="PLQ33" s="2511"/>
      <c r="PLR33" s="2511"/>
      <c r="PLS33" s="2511"/>
      <c r="PLT33" s="2511"/>
      <c r="PLU33" s="2511"/>
      <c r="PLV33" s="2511"/>
      <c r="PLW33" s="2511"/>
      <c r="PLX33" s="2511"/>
      <c r="PLY33" s="2511"/>
      <c r="PLZ33" s="2511"/>
      <c r="PMA33" s="2511"/>
      <c r="PMB33" s="2511"/>
      <c r="PMC33" s="2511"/>
      <c r="PMD33" s="2511"/>
      <c r="PME33" s="2511"/>
      <c r="PMF33" s="2511"/>
      <c r="PMG33" s="2511"/>
      <c r="PMH33" s="2511"/>
      <c r="PMI33" s="2511"/>
      <c r="PMJ33" s="2511"/>
      <c r="PMK33" s="2511"/>
      <c r="PML33" s="2511"/>
      <c r="PMM33" s="2511"/>
      <c r="PMN33" s="2511"/>
      <c r="PMO33" s="2511"/>
      <c r="PMP33" s="2511"/>
      <c r="PMQ33" s="2511"/>
      <c r="PMR33" s="2511"/>
      <c r="PMS33" s="2511"/>
      <c r="PMT33" s="2511"/>
      <c r="PMU33" s="2511"/>
      <c r="PMV33" s="2511"/>
      <c r="PMW33" s="2511"/>
      <c r="PMX33" s="2511"/>
      <c r="PMY33" s="2511"/>
      <c r="PMZ33" s="2511"/>
      <c r="PNA33" s="2511"/>
      <c r="PNB33" s="2511"/>
      <c r="PNC33" s="2511"/>
      <c r="PND33" s="2511"/>
      <c r="PNE33" s="2511"/>
      <c r="PNF33" s="2511"/>
      <c r="PNG33" s="2511"/>
      <c r="PNH33" s="2511"/>
      <c r="PNI33" s="2511"/>
      <c r="PNJ33" s="2511"/>
      <c r="PNK33" s="2511"/>
      <c r="PNL33" s="2511"/>
      <c r="PNM33" s="2511"/>
      <c r="PNN33" s="2511"/>
      <c r="PNO33" s="2511"/>
      <c r="PNP33" s="2511"/>
      <c r="PNQ33" s="2511"/>
      <c r="PNR33" s="2511"/>
      <c r="PNS33" s="2511"/>
      <c r="PNT33" s="2511"/>
      <c r="PNU33" s="2511"/>
      <c r="PNV33" s="2511"/>
      <c r="PNW33" s="2511"/>
      <c r="PNX33" s="2511"/>
      <c r="PNY33" s="2511"/>
      <c r="PNZ33" s="2511"/>
      <c r="POA33" s="2511"/>
      <c r="POB33" s="2511"/>
      <c r="POC33" s="2511"/>
      <c r="POD33" s="2511"/>
      <c r="POE33" s="2511"/>
      <c r="POF33" s="2511"/>
      <c r="POG33" s="2511"/>
      <c r="POH33" s="2511"/>
      <c r="POI33" s="2511"/>
      <c r="POJ33" s="2511"/>
      <c r="POK33" s="2511"/>
      <c r="POL33" s="2511"/>
      <c r="POM33" s="2511"/>
      <c r="PON33" s="2511"/>
      <c r="POO33" s="2511"/>
      <c r="POP33" s="2511"/>
      <c r="POQ33" s="2511"/>
      <c r="POR33" s="2511"/>
      <c r="POS33" s="2511"/>
      <c r="POT33" s="2511"/>
      <c r="POU33" s="2511"/>
      <c r="POV33" s="2511"/>
      <c r="POW33" s="2511"/>
      <c r="POX33" s="2511"/>
      <c r="POY33" s="2511"/>
      <c r="POZ33" s="2511"/>
      <c r="PPA33" s="2511"/>
      <c r="PPB33" s="2511"/>
      <c r="PPC33" s="2511"/>
      <c r="PPD33" s="2511"/>
      <c r="PPE33" s="2511"/>
      <c r="PPF33" s="2511"/>
      <c r="PPG33" s="2511"/>
      <c r="PPH33" s="2511"/>
      <c r="PPI33" s="2511"/>
      <c r="PPJ33" s="2511"/>
      <c r="PPK33" s="2511"/>
      <c r="PPL33" s="2511"/>
      <c r="PPM33" s="2511"/>
      <c r="PPN33" s="2511"/>
      <c r="PPO33" s="2511"/>
      <c r="PPP33" s="2511"/>
      <c r="PPQ33" s="2511"/>
      <c r="PPR33" s="2511"/>
      <c r="PPS33" s="2511"/>
      <c r="PPT33" s="2511"/>
      <c r="PPU33" s="2511"/>
      <c r="PPV33" s="2511"/>
      <c r="PPW33" s="2511"/>
      <c r="PPX33" s="2511"/>
      <c r="PPY33" s="2511"/>
      <c r="PPZ33" s="2511"/>
      <c r="PQA33" s="2511"/>
      <c r="PQB33" s="2511"/>
      <c r="PQC33" s="2511"/>
      <c r="PQD33" s="2511"/>
      <c r="PQE33" s="2511"/>
      <c r="PQF33" s="2511"/>
      <c r="PQG33" s="2511"/>
      <c r="PQH33" s="2511"/>
      <c r="PQI33" s="2511"/>
      <c r="PQJ33" s="2511"/>
      <c r="PQK33" s="2511"/>
      <c r="PQL33" s="2511"/>
      <c r="PQM33" s="2511"/>
      <c r="PQN33" s="2511"/>
      <c r="PQO33" s="2511"/>
      <c r="PQP33" s="2511"/>
      <c r="PQQ33" s="2511"/>
      <c r="PQR33" s="2511"/>
      <c r="PQS33" s="2511"/>
      <c r="PQT33" s="2511"/>
      <c r="PQU33" s="2511"/>
      <c r="PQV33" s="2511"/>
      <c r="PQW33" s="2511"/>
      <c r="PQX33" s="2511"/>
      <c r="PQY33" s="2511"/>
      <c r="PQZ33" s="2511"/>
      <c r="PRA33" s="2511"/>
      <c r="PRB33" s="2511"/>
      <c r="PRC33" s="2511"/>
      <c r="PRD33" s="2511"/>
      <c r="PRE33" s="2511"/>
      <c r="PRF33" s="2511"/>
      <c r="PRG33" s="2511"/>
      <c r="PRH33" s="2511"/>
      <c r="PRI33" s="2511"/>
      <c r="PRJ33" s="2511"/>
      <c r="PRK33" s="2511"/>
      <c r="PRL33" s="2511"/>
      <c r="PRM33" s="2511"/>
      <c r="PRN33" s="2511"/>
      <c r="PRO33" s="2511"/>
      <c r="PRP33" s="2511"/>
      <c r="PRQ33" s="2511"/>
      <c r="PRR33" s="2511"/>
      <c r="PRS33" s="2511"/>
      <c r="PRT33" s="2511"/>
      <c r="PRU33" s="2511"/>
      <c r="PRV33" s="2511"/>
      <c r="PRW33" s="2511"/>
      <c r="PRX33" s="2511"/>
      <c r="PRY33" s="2511"/>
      <c r="PRZ33" s="2511"/>
      <c r="PSA33" s="2511"/>
      <c r="PSB33" s="2511"/>
      <c r="PSC33" s="2511"/>
      <c r="PSD33" s="2511"/>
      <c r="PSE33" s="2511"/>
      <c r="PSF33" s="2511"/>
      <c r="PSG33" s="2511"/>
      <c r="PSH33" s="2511"/>
      <c r="PSI33" s="2511"/>
      <c r="PSJ33" s="2511"/>
      <c r="PSK33" s="2511"/>
      <c r="PSL33" s="2511"/>
      <c r="PSM33" s="2511"/>
      <c r="PSN33" s="2511"/>
      <c r="PSO33" s="2511"/>
      <c r="PSP33" s="2511"/>
      <c r="PSQ33" s="2511"/>
      <c r="PSR33" s="2511"/>
      <c r="PSS33" s="2511"/>
      <c r="PST33" s="2511"/>
      <c r="PSU33" s="2511"/>
      <c r="PSV33" s="2511"/>
      <c r="PSW33" s="2511"/>
      <c r="PSX33" s="2511"/>
      <c r="PSY33" s="2511"/>
      <c r="PSZ33" s="2511"/>
      <c r="PTA33" s="2511"/>
      <c r="PTB33" s="2511"/>
      <c r="PTC33" s="2511"/>
      <c r="PTD33" s="2511"/>
      <c r="PTE33" s="2511"/>
      <c r="PTF33" s="2511"/>
      <c r="PTG33" s="2511"/>
      <c r="PTH33" s="2511"/>
      <c r="PTI33" s="2511"/>
      <c r="PTJ33" s="2511"/>
      <c r="PTK33" s="2511"/>
      <c r="PTL33" s="2511"/>
      <c r="PTM33" s="2511"/>
      <c r="PTN33" s="2511"/>
      <c r="PTO33" s="2511"/>
      <c r="PTP33" s="2511"/>
      <c r="PTQ33" s="2511"/>
      <c r="PTR33" s="2511"/>
      <c r="PTS33" s="2511"/>
      <c r="PTT33" s="2511"/>
      <c r="PTU33" s="2511"/>
      <c r="PTV33" s="2511"/>
      <c r="PTW33" s="2511"/>
      <c r="PTX33" s="2511"/>
      <c r="PTY33" s="2511"/>
      <c r="PTZ33" s="2511"/>
      <c r="PUA33" s="2511"/>
      <c r="PUB33" s="2511"/>
      <c r="PUC33" s="2511"/>
      <c r="PUD33" s="2511"/>
      <c r="PUE33" s="2511"/>
      <c r="PUF33" s="2511"/>
      <c r="PUG33" s="2511"/>
      <c r="PUH33" s="2511"/>
      <c r="PUI33" s="2511"/>
      <c r="PUJ33" s="2511"/>
      <c r="PUK33" s="2511"/>
      <c r="PUL33" s="2511"/>
      <c r="PUM33" s="2511"/>
      <c r="PUN33" s="2511"/>
      <c r="PUO33" s="2511"/>
      <c r="PUP33" s="2511"/>
      <c r="PUQ33" s="2511"/>
      <c r="PUR33" s="2511"/>
      <c r="PUS33" s="2511"/>
      <c r="PUT33" s="2511"/>
      <c r="PUU33" s="2511"/>
      <c r="PUV33" s="2511"/>
      <c r="PUW33" s="2511"/>
      <c r="PUX33" s="2511"/>
      <c r="PUY33" s="2511"/>
      <c r="PUZ33" s="2511"/>
      <c r="PVA33" s="2511"/>
      <c r="PVB33" s="2511"/>
      <c r="PVC33" s="2511"/>
      <c r="PVD33" s="2511"/>
      <c r="PVE33" s="2511"/>
      <c r="PVF33" s="2511"/>
      <c r="PVG33" s="2511"/>
      <c r="PVH33" s="2511"/>
      <c r="PVI33" s="2511"/>
      <c r="PVJ33" s="2511"/>
      <c r="PVK33" s="2511"/>
      <c r="PVL33" s="2511"/>
      <c r="PVM33" s="2511"/>
      <c r="PVN33" s="2511"/>
      <c r="PVO33" s="2511"/>
      <c r="PVP33" s="2511"/>
      <c r="PVQ33" s="2511"/>
      <c r="PVR33" s="2511"/>
      <c r="PVS33" s="2511"/>
      <c r="PVT33" s="2511"/>
      <c r="PVU33" s="2511"/>
      <c r="PVV33" s="2511"/>
      <c r="PVW33" s="2511"/>
      <c r="PVX33" s="2511"/>
      <c r="PVY33" s="2511"/>
      <c r="PVZ33" s="2511"/>
      <c r="PWA33" s="2511"/>
      <c r="PWB33" s="2511"/>
      <c r="PWC33" s="2511"/>
      <c r="PWD33" s="2511"/>
      <c r="PWE33" s="2511"/>
      <c r="PWF33" s="2511"/>
      <c r="PWG33" s="2511"/>
      <c r="PWH33" s="2511"/>
      <c r="PWI33" s="2511"/>
      <c r="PWJ33" s="2511"/>
      <c r="PWK33" s="2511"/>
      <c r="PWL33" s="2511"/>
      <c r="PWM33" s="2511"/>
      <c r="PWN33" s="2511"/>
      <c r="PWO33" s="2511"/>
      <c r="PWP33" s="2511"/>
      <c r="PWQ33" s="2511"/>
      <c r="PWR33" s="2511"/>
      <c r="PWS33" s="2511"/>
      <c r="PWT33" s="2511"/>
      <c r="PWU33" s="2511"/>
      <c r="PWV33" s="2511"/>
      <c r="PWW33" s="2511"/>
      <c r="PWX33" s="2511"/>
      <c r="PWY33" s="2511"/>
      <c r="PWZ33" s="2511"/>
      <c r="PXA33" s="2511"/>
      <c r="PXB33" s="2511"/>
      <c r="PXC33" s="2511"/>
      <c r="PXD33" s="2511"/>
      <c r="PXE33" s="2511"/>
      <c r="PXF33" s="2511"/>
      <c r="PXG33" s="2511"/>
      <c r="PXH33" s="2511"/>
      <c r="PXI33" s="2511"/>
      <c r="PXJ33" s="2511"/>
      <c r="PXK33" s="2511"/>
      <c r="PXL33" s="2511"/>
      <c r="PXM33" s="2511"/>
      <c r="PXN33" s="2511"/>
      <c r="PXO33" s="2511"/>
      <c r="PXP33" s="2511"/>
      <c r="PXQ33" s="2511"/>
      <c r="PXR33" s="2511"/>
      <c r="PXS33" s="2511"/>
      <c r="PXT33" s="2511"/>
      <c r="PXU33" s="2511"/>
      <c r="PXV33" s="2511"/>
      <c r="PXW33" s="2511"/>
      <c r="PXX33" s="2511"/>
      <c r="PXY33" s="2511"/>
      <c r="PXZ33" s="2511"/>
      <c r="PYA33" s="2511"/>
      <c r="PYB33" s="2511"/>
      <c r="PYC33" s="2511"/>
      <c r="PYD33" s="2511"/>
      <c r="PYE33" s="2511"/>
      <c r="PYF33" s="2511"/>
      <c r="PYG33" s="2511"/>
      <c r="PYH33" s="2511"/>
      <c r="PYI33" s="2511"/>
      <c r="PYJ33" s="2511"/>
      <c r="PYK33" s="2511"/>
      <c r="PYL33" s="2511"/>
      <c r="PYM33" s="2511"/>
      <c r="PYN33" s="2511"/>
      <c r="PYO33" s="2511"/>
      <c r="PYP33" s="2511"/>
      <c r="PYQ33" s="2511"/>
      <c r="PYR33" s="2511"/>
      <c r="PYS33" s="2511"/>
      <c r="PYT33" s="2511"/>
      <c r="PYU33" s="2511"/>
      <c r="PYV33" s="2511"/>
      <c r="PYW33" s="2511"/>
      <c r="PYX33" s="2511"/>
      <c r="PYY33" s="2511"/>
      <c r="PYZ33" s="2511"/>
      <c r="PZA33" s="2511"/>
      <c r="PZB33" s="2511"/>
      <c r="PZC33" s="2511"/>
      <c r="PZD33" s="2511"/>
      <c r="PZE33" s="2511"/>
      <c r="PZF33" s="2511"/>
      <c r="PZG33" s="2511"/>
      <c r="PZH33" s="2511"/>
      <c r="PZI33" s="2511"/>
      <c r="PZJ33" s="2511"/>
      <c r="PZK33" s="2511"/>
      <c r="PZL33" s="2511"/>
      <c r="PZM33" s="2511"/>
      <c r="PZN33" s="2511"/>
      <c r="PZO33" s="2511"/>
      <c r="PZP33" s="2511"/>
      <c r="PZQ33" s="2511"/>
      <c r="PZR33" s="2511"/>
      <c r="PZS33" s="2511"/>
      <c r="PZT33" s="2511"/>
      <c r="PZU33" s="2511"/>
      <c r="PZV33" s="2511"/>
      <c r="PZW33" s="2511"/>
      <c r="PZX33" s="2511"/>
      <c r="PZY33" s="2511"/>
      <c r="PZZ33" s="2511"/>
      <c r="QAA33" s="2511"/>
      <c r="QAB33" s="2511"/>
      <c r="QAC33" s="2511"/>
      <c r="QAD33" s="2511"/>
      <c r="QAE33" s="2511"/>
      <c r="QAF33" s="2511"/>
      <c r="QAG33" s="2511"/>
      <c r="QAH33" s="2511"/>
      <c r="QAI33" s="2511"/>
      <c r="QAJ33" s="2511"/>
      <c r="QAK33" s="2511"/>
      <c r="QAL33" s="2511"/>
      <c r="QAM33" s="2511"/>
      <c r="QAN33" s="2511"/>
      <c r="QAO33" s="2511"/>
      <c r="QAP33" s="2511"/>
      <c r="QAQ33" s="2511"/>
      <c r="QAR33" s="2511"/>
      <c r="QAS33" s="2511"/>
      <c r="QAT33" s="2511"/>
      <c r="QAU33" s="2511"/>
      <c r="QAV33" s="2511"/>
      <c r="QAW33" s="2511"/>
      <c r="QAX33" s="2511"/>
      <c r="QAY33" s="2511"/>
      <c r="QAZ33" s="2511"/>
      <c r="QBA33" s="2511"/>
      <c r="QBB33" s="2511"/>
      <c r="QBC33" s="2511"/>
      <c r="QBD33" s="2511"/>
      <c r="QBE33" s="2511"/>
      <c r="QBF33" s="2511"/>
      <c r="QBG33" s="2511"/>
      <c r="QBH33" s="2511"/>
      <c r="QBI33" s="2511"/>
      <c r="QBJ33" s="2511"/>
      <c r="QBK33" s="2511"/>
      <c r="QBL33" s="2511"/>
      <c r="QBM33" s="2511"/>
      <c r="QBN33" s="2511"/>
      <c r="QBO33" s="2511"/>
      <c r="QBP33" s="2511"/>
      <c r="QBQ33" s="2511"/>
      <c r="QBR33" s="2511"/>
      <c r="QBS33" s="2511"/>
      <c r="QBT33" s="2511"/>
      <c r="QBU33" s="2511"/>
      <c r="QBV33" s="2511"/>
      <c r="QBW33" s="2511"/>
      <c r="QBX33" s="2511"/>
      <c r="QBY33" s="2511"/>
      <c r="QBZ33" s="2511"/>
      <c r="QCA33" s="2511"/>
      <c r="QCB33" s="2511"/>
      <c r="QCC33" s="2511"/>
      <c r="QCD33" s="2511"/>
      <c r="QCE33" s="2511"/>
      <c r="QCF33" s="2511"/>
      <c r="QCG33" s="2511"/>
      <c r="QCH33" s="2511"/>
      <c r="QCI33" s="2511"/>
      <c r="QCJ33" s="2511"/>
      <c r="QCK33" s="2511"/>
      <c r="QCL33" s="2511"/>
      <c r="QCM33" s="2511"/>
      <c r="QCN33" s="2511"/>
      <c r="QCO33" s="2511"/>
      <c r="QCP33" s="2511"/>
      <c r="QCQ33" s="2511"/>
      <c r="QCR33" s="2511"/>
      <c r="QCS33" s="2511"/>
      <c r="QCT33" s="2511"/>
      <c r="QCU33" s="2511"/>
      <c r="QCV33" s="2511"/>
      <c r="QCW33" s="2511"/>
      <c r="QCX33" s="2511"/>
      <c r="QCY33" s="2511"/>
      <c r="QCZ33" s="2511"/>
      <c r="QDA33" s="2511"/>
      <c r="QDB33" s="2511"/>
      <c r="QDC33" s="2511"/>
      <c r="QDD33" s="2511"/>
      <c r="QDE33" s="2511"/>
      <c r="QDF33" s="2511"/>
      <c r="QDG33" s="2511"/>
      <c r="QDH33" s="2511"/>
      <c r="QDI33" s="2511"/>
      <c r="QDJ33" s="2511"/>
      <c r="QDK33" s="2511"/>
      <c r="QDL33" s="2511"/>
      <c r="QDM33" s="2511"/>
      <c r="QDN33" s="2511"/>
      <c r="QDO33" s="2511"/>
      <c r="QDP33" s="2511"/>
      <c r="QDQ33" s="2511"/>
      <c r="QDR33" s="2511"/>
      <c r="QDS33" s="2511"/>
      <c r="QDT33" s="2511"/>
      <c r="QDU33" s="2511"/>
      <c r="QDV33" s="2511"/>
      <c r="QDW33" s="2511"/>
      <c r="QDX33" s="2511"/>
      <c r="QDY33" s="2511"/>
      <c r="QDZ33" s="2511"/>
      <c r="QEA33" s="2511"/>
      <c r="QEB33" s="2511"/>
      <c r="QEC33" s="2511"/>
      <c r="QED33" s="2511"/>
      <c r="QEE33" s="2511"/>
      <c r="QEF33" s="2511"/>
      <c r="QEG33" s="2511"/>
      <c r="QEH33" s="2511"/>
      <c r="QEI33" s="2511"/>
      <c r="QEJ33" s="2511"/>
      <c r="QEK33" s="2511"/>
      <c r="QEL33" s="2511"/>
      <c r="QEM33" s="2511"/>
      <c r="QEN33" s="2511"/>
      <c r="QEO33" s="2511"/>
      <c r="QEP33" s="2511"/>
      <c r="QEQ33" s="2511"/>
      <c r="QER33" s="2511"/>
      <c r="QES33" s="2511"/>
      <c r="QET33" s="2511"/>
      <c r="QEU33" s="2511"/>
      <c r="QEV33" s="2511"/>
      <c r="QEW33" s="2511"/>
      <c r="QEX33" s="2511"/>
      <c r="QEY33" s="2511"/>
      <c r="QEZ33" s="2511"/>
      <c r="QFA33" s="2511"/>
      <c r="QFB33" s="2511"/>
      <c r="QFC33" s="2511"/>
      <c r="QFD33" s="2511"/>
      <c r="QFE33" s="2511"/>
      <c r="QFF33" s="2511"/>
      <c r="QFG33" s="2511"/>
      <c r="QFH33" s="2511"/>
      <c r="QFI33" s="2511"/>
      <c r="QFJ33" s="2511"/>
      <c r="QFK33" s="2511"/>
      <c r="QFL33" s="2511"/>
      <c r="QFM33" s="2511"/>
      <c r="QFN33" s="2511"/>
      <c r="QFO33" s="2511"/>
      <c r="QFP33" s="2511"/>
      <c r="QFQ33" s="2511"/>
      <c r="QFR33" s="2511"/>
      <c r="QFS33" s="2511"/>
      <c r="QFT33" s="2511"/>
      <c r="QFU33" s="2511"/>
      <c r="QFV33" s="2511"/>
      <c r="QFW33" s="2511"/>
      <c r="QFX33" s="2511"/>
      <c r="QFY33" s="2511"/>
      <c r="QFZ33" s="2511"/>
      <c r="QGA33" s="2511"/>
      <c r="QGB33" s="2511"/>
      <c r="QGC33" s="2511"/>
      <c r="QGD33" s="2511"/>
      <c r="QGE33" s="2511"/>
      <c r="QGF33" s="2511"/>
      <c r="QGG33" s="2511"/>
      <c r="QGH33" s="2511"/>
      <c r="QGI33" s="2511"/>
      <c r="QGJ33" s="2511"/>
      <c r="QGK33" s="2511"/>
      <c r="QGL33" s="2511"/>
      <c r="QGM33" s="2511"/>
      <c r="QGN33" s="2511"/>
      <c r="QGO33" s="2511"/>
      <c r="QGP33" s="2511"/>
      <c r="QGQ33" s="2511"/>
      <c r="QGR33" s="2511"/>
      <c r="QGS33" s="2511"/>
      <c r="QGT33" s="2511"/>
      <c r="QGU33" s="2511"/>
      <c r="QGV33" s="2511"/>
      <c r="QGW33" s="2511"/>
      <c r="QGX33" s="2511"/>
      <c r="QGY33" s="2511"/>
      <c r="QGZ33" s="2511"/>
      <c r="QHA33" s="2511"/>
      <c r="QHB33" s="2511"/>
      <c r="QHC33" s="2511"/>
      <c r="QHD33" s="2511"/>
      <c r="QHE33" s="2511"/>
      <c r="QHF33" s="2511"/>
      <c r="QHG33" s="2511"/>
      <c r="QHH33" s="2511"/>
      <c r="QHI33" s="2511"/>
      <c r="QHJ33" s="2511"/>
      <c r="QHK33" s="2511"/>
      <c r="QHL33" s="2511"/>
      <c r="QHM33" s="2511"/>
      <c r="QHN33" s="2511"/>
      <c r="QHO33" s="2511"/>
      <c r="QHP33" s="2511"/>
      <c r="QHQ33" s="2511"/>
      <c r="QHR33" s="2511"/>
      <c r="QHS33" s="2511"/>
      <c r="QHT33" s="2511"/>
      <c r="QHU33" s="2511"/>
      <c r="QHV33" s="2511"/>
      <c r="QHW33" s="2511"/>
      <c r="QHX33" s="2511"/>
      <c r="QHY33" s="2511"/>
      <c r="QHZ33" s="2511"/>
      <c r="QIA33" s="2511"/>
      <c r="QIB33" s="2511"/>
      <c r="QIC33" s="2511"/>
      <c r="QID33" s="2511"/>
      <c r="QIE33" s="2511"/>
      <c r="QIF33" s="2511"/>
      <c r="QIG33" s="2511"/>
      <c r="QIH33" s="2511"/>
      <c r="QII33" s="2511"/>
      <c r="QIJ33" s="2511"/>
      <c r="QIK33" s="2511"/>
      <c r="QIL33" s="2511"/>
      <c r="QIM33" s="2511"/>
      <c r="QIN33" s="2511"/>
      <c r="QIO33" s="2511"/>
      <c r="QIP33" s="2511"/>
      <c r="QIQ33" s="2511"/>
      <c r="QIR33" s="2511"/>
      <c r="QIS33" s="2511"/>
      <c r="QIT33" s="2511"/>
      <c r="QIU33" s="2511"/>
      <c r="QIV33" s="2511"/>
      <c r="QIW33" s="2511"/>
      <c r="QIX33" s="2511"/>
      <c r="QIY33" s="2511"/>
      <c r="QIZ33" s="2511"/>
      <c r="QJA33" s="2511"/>
      <c r="QJB33" s="2511"/>
      <c r="QJC33" s="2511"/>
      <c r="QJD33" s="2511"/>
      <c r="QJE33" s="2511"/>
      <c r="QJF33" s="2511"/>
      <c r="QJG33" s="2511"/>
      <c r="QJH33" s="2511"/>
      <c r="QJI33" s="2511"/>
      <c r="QJJ33" s="2511"/>
      <c r="QJK33" s="2511"/>
      <c r="QJL33" s="2511"/>
      <c r="QJM33" s="2511"/>
      <c r="QJN33" s="2511"/>
      <c r="QJO33" s="2511"/>
      <c r="QJP33" s="2511"/>
      <c r="QJQ33" s="2511"/>
      <c r="QJR33" s="2511"/>
      <c r="QJS33" s="2511"/>
      <c r="QJT33" s="2511"/>
      <c r="QJU33" s="2511"/>
      <c r="QJV33" s="2511"/>
      <c r="QJW33" s="2511"/>
      <c r="QJX33" s="2511"/>
      <c r="QJY33" s="2511"/>
      <c r="QJZ33" s="2511"/>
      <c r="QKA33" s="2511"/>
      <c r="QKB33" s="2511"/>
      <c r="QKC33" s="2511"/>
      <c r="QKD33" s="2511"/>
      <c r="QKE33" s="2511"/>
      <c r="QKF33" s="2511"/>
      <c r="QKG33" s="2511"/>
      <c r="QKH33" s="2511"/>
      <c r="QKI33" s="2511"/>
      <c r="QKJ33" s="2511"/>
      <c r="QKK33" s="2511"/>
      <c r="QKL33" s="2511"/>
      <c r="QKM33" s="2511"/>
      <c r="QKN33" s="2511"/>
      <c r="QKO33" s="2511"/>
      <c r="QKP33" s="2511"/>
      <c r="QKQ33" s="2511"/>
      <c r="QKR33" s="2511"/>
      <c r="QKS33" s="2511"/>
      <c r="QKT33" s="2511"/>
      <c r="QKU33" s="2511"/>
      <c r="QKV33" s="2511"/>
      <c r="QKW33" s="2511"/>
      <c r="QKX33" s="2511"/>
      <c r="QKY33" s="2511"/>
      <c r="QKZ33" s="2511"/>
      <c r="QLA33" s="2511"/>
      <c r="QLB33" s="2511"/>
      <c r="QLC33" s="2511"/>
      <c r="QLD33" s="2511"/>
      <c r="QLE33" s="2511"/>
      <c r="QLF33" s="2511"/>
      <c r="QLG33" s="2511"/>
      <c r="QLH33" s="2511"/>
      <c r="QLI33" s="2511"/>
      <c r="QLJ33" s="2511"/>
      <c r="QLK33" s="2511"/>
      <c r="QLL33" s="2511"/>
      <c r="QLM33" s="2511"/>
      <c r="QLN33" s="2511"/>
      <c r="QLO33" s="2511"/>
      <c r="QLP33" s="2511"/>
      <c r="QLQ33" s="2511"/>
      <c r="QLR33" s="2511"/>
      <c r="QLS33" s="2511"/>
      <c r="QLT33" s="2511"/>
      <c r="QLU33" s="2511"/>
      <c r="QLV33" s="2511"/>
      <c r="QLW33" s="2511"/>
      <c r="QLX33" s="2511"/>
      <c r="QLY33" s="2511"/>
      <c r="QLZ33" s="2511"/>
      <c r="QMA33" s="2511"/>
      <c r="QMB33" s="2511"/>
      <c r="QMC33" s="2511"/>
      <c r="QMD33" s="2511"/>
      <c r="QME33" s="2511"/>
      <c r="QMF33" s="2511"/>
      <c r="QMG33" s="2511"/>
      <c r="QMH33" s="2511"/>
      <c r="QMI33" s="2511"/>
      <c r="QMJ33" s="2511"/>
      <c r="QMK33" s="2511"/>
      <c r="QML33" s="2511"/>
      <c r="QMM33" s="2511"/>
      <c r="QMN33" s="2511"/>
      <c r="QMO33" s="2511"/>
      <c r="QMP33" s="2511"/>
      <c r="QMQ33" s="2511"/>
      <c r="QMR33" s="2511"/>
      <c r="QMS33" s="2511"/>
      <c r="QMT33" s="2511"/>
      <c r="QMU33" s="2511"/>
      <c r="QMV33" s="2511"/>
      <c r="QMW33" s="2511"/>
      <c r="QMX33" s="2511"/>
      <c r="QMY33" s="2511"/>
      <c r="QMZ33" s="2511"/>
      <c r="QNA33" s="2511"/>
      <c r="QNB33" s="2511"/>
      <c r="QNC33" s="2511"/>
      <c r="QND33" s="2511"/>
      <c r="QNE33" s="2511"/>
      <c r="QNF33" s="2511"/>
      <c r="QNG33" s="2511"/>
      <c r="QNH33" s="2511"/>
      <c r="QNI33" s="2511"/>
      <c r="QNJ33" s="2511"/>
      <c r="QNK33" s="2511"/>
      <c r="QNL33" s="2511"/>
      <c r="QNM33" s="2511"/>
      <c r="QNN33" s="2511"/>
      <c r="QNO33" s="2511"/>
      <c r="QNP33" s="2511"/>
      <c r="QNQ33" s="2511"/>
      <c r="QNR33" s="2511"/>
      <c r="QNS33" s="2511"/>
      <c r="QNT33" s="2511"/>
      <c r="QNU33" s="2511"/>
      <c r="QNV33" s="2511"/>
      <c r="QNW33" s="2511"/>
      <c r="QNX33" s="2511"/>
      <c r="QNY33" s="2511"/>
      <c r="QNZ33" s="2511"/>
      <c r="QOA33" s="2511"/>
      <c r="QOB33" s="2511"/>
      <c r="QOC33" s="2511"/>
      <c r="QOD33" s="2511"/>
      <c r="QOE33" s="2511"/>
      <c r="QOF33" s="2511"/>
      <c r="QOG33" s="2511"/>
      <c r="QOH33" s="2511"/>
      <c r="QOI33" s="2511"/>
      <c r="QOJ33" s="2511"/>
      <c r="QOK33" s="2511"/>
      <c r="QOL33" s="2511"/>
      <c r="QOM33" s="2511"/>
      <c r="QON33" s="2511"/>
      <c r="QOO33" s="2511"/>
      <c r="QOP33" s="2511"/>
      <c r="QOQ33" s="2511"/>
      <c r="QOR33" s="2511"/>
      <c r="QOS33" s="2511"/>
      <c r="QOT33" s="2511"/>
      <c r="QOU33" s="2511"/>
      <c r="QOV33" s="2511"/>
      <c r="QOW33" s="2511"/>
      <c r="QOX33" s="2511"/>
      <c r="QOY33" s="2511"/>
      <c r="QOZ33" s="2511"/>
      <c r="QPA33" s="2511"/>
      <c r="QPB33" s="2511"/>
      <c r="QPC33" s="2511"/>
      <c r="QPD33" s="2511"/>
      <c r="QPE33" s="2511"/>
      <c r="QPF33" s="2511"/>
      <c r="QPG33" s="2511"/>
      <c r="QPH33" s="2511"/>
      <c r="QPI33" s="2511"/>
      <c r="QPJ33" s="2511"/>
      <c r="QPK33" s="2511"/>
      <c r="QPL33" s="2511"/>
      <c r="QPM33" s="2511"/>
      <c r="QPN33" s="2511"/>
      <c r="QPO33" s="2511"/>
      <c r="QPP33" s="2511"/>
      <c r="QPQ33" s="2511"/>
      <c r="QPR33" s="2511"/>
      <c r="QPS33" s="2511"/>
      <c r="QPT33" s="2511"/>
      <c r="QPU33" s="2511"/>
      <c r="QPV33" s="2511"/>
      <c r="QPW33" s="2511"/>
      <c r="QPX33" s="2511"/>
      <c r="QPY33" s="2511"/>
      <c r="QPZ33" s="2511"/>
      <c r="QQA33" s="2511"/>
      <c r="QQB33" s="2511"/>
      <c r="QQC33" s="2511"/>
      <c r="QQD33" s="2511"/>
      <c r="QQE33" s="2511"/>
      <c r="QQF33" s="2511"/>
      <c r="QQG33" s="2511"/>
      <c r="QQH33" s="2511"/>
      <c r="QQI33" s="2511"/>
      <c r="QQJ33" s="2511"/>
      <c r="QQK33" s="2511"/>
      <c r="QQL33" s="2511"/>
      <c r="QQM33" s="2511"/>
      <c r="QQN33" s="2511"/>
      <c r="QQO33" s="2511"/>
      <c r="QQP33" s="2511"/>
      <c r="QQQ33" s="2511"/>
      <c r="QQR33" s="2511"/>
      <c r="QQS33" s="2511"/>
      <c r="QQT33" s="2511"/>
      <c r="QQU33" s="2511"/>
      <c r="QQV33" s="2511"/>
      <c r="QQW33" s="2511"/>
      <c r="QQX33" s="2511"/>
      <c r="QQY33" s="2511"/>
      <c r="QQZ33" s="2511"/>
      <c r="QRA33" s="2511"/>
      <c r="QRB33" s="2511"/>
      <c r="QRC33" s="2511"/>
      <c r="QRD33" s="2511"/>
      <c r="QRE33" s="2511"/>
      <c r="QRF33" s="2511"/>
      <c r="QRG33" s="2511"/>
      <c r="QRH33" s="2511"/>
      <c r="QRI33" s="2511"/>
      <c r="QRJ33" s="2511"/>
      <c r="QRK33" s="2511"/>
      <c r="QRL33" s="2511"/>
      <c r="QRM33" s="2511"/>
      <c r="QRN33" s="2511"/>
      <c r="QRO33" s="2511"/>
      <c r="QRP33" s="2511"/>
      <c r="QRQ33" s="2511"/>
      <c r="QRR33" s="2511"/>
      <c r="QRS33" s="2511"/>
      <c r="QRT33" s="2511"/>
      <c r="QRU33" s="2511"/>
      <c r="QRV33" s="2511"/>
      <c r="QRW33" s="2511"/>
      <c r="QRX33" s="2511"/>
      <c r="QRY33" s="2511"/>
      <c r="QRZ33" s="2511"/>
      <c r="QSA33" s="2511"/>
      <c r="QSB33" s="2511"/>
      <c r="QSC33" s="2511"/>
      <c r="QSD33" s="2511"/>
      <c r="QSE33" s="2511"/>
      <c r="QSF33" s="2511"/>
      <c r="QSG33" s="2511"/>
      <c r="QSH33" s="2511"/>
      <c r="QSI33" s="2511"/>
      <c r="QSJ33" s="2511"/>
      <c r="QSK33" s="2511"/>
      <c r="QSL33" s="2511"/>
      <c r="QSM33" s="2511"/>
      <c r="QSN33" s="2511"/>
      <c r="QSO33" s="2511"/>
      <c r="QSP33" s="2511"/>
      <c r="QSQ33" s="2511"/>
      <c r="QSR33" s="2511"/>
      <c r="QSS33" s="2511"/>
      <c r="QST33" s="2511"/>
      <c r="QSU33" s="2511"/>
      <c r="QSV33" s="2511"/>
      <c r="QSW33" s="2511"/>
      <c r="QSX33" s="2511"/>
      <c r="QSY33" s="2511"/>
      <c r="QSZ33" s="2511"/>
      <c r="QTA33" s="2511"/>
      <c r="QTB33" s="2511"/>
      <c r="QTC33" s="2511"/>
      <c r="QTD33" s="2511"/>
      <c r="QTE33" s="2511"/>
      <c r="QTF33" s="2511"/>
      <c r="QTG33" s="2511"/>
      <c r="QTH33" s="2511"/>
      <c r="QTI33" s="2511"/>
      <c r="QTJ33" s="2511"/>
      <c r="QTK33" s="2511"/>
      <c r="QTL33" s="2511"/>
      <c r="QTM33" s="2511"/>
      <c r="QTN33" s="2511"/>
      <c r="QTO33" s="2511"/>
      <c r="QTP33" s="2511"/>
      <c r="QTQ33" s="2511"/>
      <c r="QTR33" s="2511"/>
      <c r="QTS33" s="2511"/>
      <c r="QTT33" s="2511"/>
      <c r="QTU33" s="2511"/>
      <c r="QTV33" s="2511"/>
      <c r="QTW33" s="2511"/>
      <c r="QTX33" s="2511"/>
      <c r="QTY33" s="2511"/>
      <c r="QTZ33" s="2511"/>
      <c r="QUA33" s="2511"/>
      <c r="QUB33" s="2511"/>
      <c r="QUC33" s="2511"/>
      <c r="QUD33" s="2511"/>
      <c r="QUE33" s="2511"/>
      <c r="QUF33" s="2511"/>
      <c r="QUG33" s="2511"/>
      <c r="QUH33" s="2511"/>
      <c r="QUI33" s="2511"/>
      <c r="QUJ33" s="2511"/>
      <c r="QUK33" s="2511"/>
      <c r="QUL33" s="2511"/>
      <c r="QUM33" s="2511"/>
      <c r="QUN33" s="2511"/>
      <c r="QUO33" s="2511"/>
      <c r="QUP33" s="2511"/>
      <c r="QUQ33" s="2511"/>
      <c r="QUR33" s="2511"/>
      <c r="QUS33" s="2511"/>
      <c r="QUT33" s="2511"/>
      <c r="QUU33" s="2511"/>
      <c r="QUV33" s="2511"/>
      <c r="QUW33" s="2511"/>
      <c r="QUX33" s="2511"/>
      <c r="QUY33" s="2511"/>
      <c r="QUZ33" s="2511"/>
      <c r="QVA33" s="2511"/>
      <c r="QVB33" s="2511"/>
      <c r="QVC33" s="2511"/>
      <c r="QVD33" s="2511"/>
      <c r="QVE33" s="2511"/>
      <c r="QVF33" s="2511"/>
      <c r="QVG33" s="2511"/>
      <c r="QVH33" s="2511"/>
      <c r="QVI33" s="2511"/>
      <c r="QVJ33" s="2511"/>
      <c r="QVK33" s="2511"/>
      <c r="QVL33" s="2511"/>
      <c r="QVM33" s="2511"/>
      <c r="QVN33" s="2511"/>
      <c r="QVO33" s="2511"/>
      <c r="QVP33" s="2511"/>
      <c r="QVQ33" s="2511"/>
      <c r="QVR33" s="2511"/>
      <c r="QVS33" s="2511"/>
      <c r="QVT33" s="2511"/>
      <c r="QVU33" s="2511"/>
      <c r="QVV33" s="2511"/>
      <c r="QVW33" s="2511"/>
      <c r="QVX33" s="2511"/>
      <c r="QVY33" s="2511"/>
      <c r="QVZ33" s="2511"/>
      <c r="QWA33" s="2511"/>
      <c r="QWB33" s="2511"/>
      <c r="QWC33" s="2511"/>
      <c r="QWD33" s="2511"/>
      <c r="QWE33" s="2511"/>
      <c r="QWF33" s="2511"/>
      <c r="QWG33" s="2511"/>
      <c r="QWH33" s="2511"/>
      <c r="QWI33" s="2511"/>
      <c r="QWJ33" s="2511"/>
      <c r="QWK33" s="2511"/>
      <c r="QWL33" s="2511"/>
      <c r="QWM33" s="2511"/>
      <c r="QWN33" s="2511"/>
      <c r="QWO33" s="2511"/>
      <c r="QWP33" s="2511"/>
      <c r="QWQ33" s="2511"/>
      <c r="QWR33" s="2511"/>
      <c r="QWS33" s="2511"/>
      <c r="QWT33" s="2511"/>
      <c r="QWU33" s="2511"/>
      <c r="QWV33" s="2511"/>
      <c r="QWW33" s="2511"/>
      <c r="QWX33" s="2511"/>
      <c r="QWY33" s="2511"/>
      <c r="QWZ33" s="2511"/>
      <c r="QXA33" s="2511"/>
      <c r="QXB33" s="2511"/>
      <c r="QXC33" s="2511"/>
      <c r="QXD33" s="2511"/>
      <c r="QXE33" s="2511"/>
      <c r="QXF33" s="2511"/>
      <c r="QXG33" s="2511"/>
      <c r="QXH33" s="2511"/>
      <c r="QXI33" s="2511"/>
      <c r="QXJ33" s="2511"/>
      <c r="QXK33" s="2511"/>
      <c r="QXL33" s="2511"/>
      <c r="QXM33" s="2511"/>
      <c r="QXN33" s="2511"/>
      <c r="QXO33" s="2511"/>
      <c r="QXP33" s="2511"/>
      <c r="QXQ33" s="2511"/>
      <c r="QXR33" s="2511"/>
      <c r="QXS33" s="2511"/>
      <c r="QXT33" s="2511"/>
      <c r="QXU33" s="2511"/>
      <c r="QXV33" s="2511"/>
      <c r="QXW33" s="2511"/>
      <c r="QXX33" s="2511"/>
      <c r="QXY33" s="2511"/>
      <c r="QXZ33" s="2511"/>
      <c r="QYA33" s="2511"/>
      <c r="QYB33" s="2511"/>
      <c r="QYC33" s="2511"/>
      <c r="QYD33" s="2511"/>
      <c r="QYE33" s="2511"/>
      <c r="QYF33" s="2511"/>
      <c r="QYG33" s="2511"/>
      <c r="QYH33" s="2511"/>
      <c r="QYI33" s="2511"/>
      <c r="QYJ33" s="2511"/>
      <c r="QYK33" s="2511"/>
      <c r="QYL33" s="2511"/>
      <c r="QYM33" s="2511"/>
      <c r="QYN33" s="2511"/>
      <c r="QYO33" s="2511"/>
      <c r="QYP33" s="2511"/>
      <c r="QYQ33" s="2511"/>
      <c r="QYR33" s="2511"/>
      <c r="QYS33" s="2511"/>
      <c r="QYT33" s="2511"/>
      <c r="QYU33" s="2511"/>
      <c r="QYV33" s="2511"/>
      <c r="QYW33" s="2511"/>
      <c r="QYX33" s="2511"/>
      <c r="QYY33" s="2511"/>
      <c r="QYZ33" s="2511"/>
      <c r="QZA33" s="2511"/>
      <c r="QZB33" s="2511"/>
      <c r="QZC33" s="2511"/>
      <c r="QZD33" s="2511"/>
      <c r="QZE33" s="2511"/>
      <c r="QZF33" s="2511"/>
      <c r="QZG33" s="2511"/>
      <c r="QZH33" s="2511"/>
      <c r="QZI33" s="2511"/>
      <c r="QZJ33" s="2511"/>
      <c r="QZK33" s="2511"/>
      <c r="QZL33" s="2511"/>
      <c r="QZM33" s="2511"/>
      <c r="QZN33" s="2511"/>
      <c r="QZO33" s="2511"/>
      <c r="QZP33" s="2511"/>
      <c r="QZQ33" s="2511"/>
      <c r="QZR33" s="2511"/>
      <c r="QZS33" s="2511"/>
      <c r="QZT33" s="2511"/>
      <c r="QZU33" s="2511"/>
      <c r="QZV33" s="2511"/>
      <c r="QZW33" s="2511"/>
      <c r="QZX33" s="2511"/>
      <c r="QZY33" s="2511"/>
      <c r="QZZ33" s="2511"/>
      <c r="RAA33" s="2511"/>
      <c r="RAB33" s="2511"/>
      <c r="RAC33" s="2511"/>
      <c r="RAD33" s="2511"/>
      <c r="RAE33" s="2511"/>
      <c r="RAF33" s="2511"/>
      <c r="RAG33" s="2511"/>
      <c r="RAH33" s="2511"/>
      <c r="RAI33" s="2511"/>
      <c r="RAJ33" s="2511"/>
      <c r="RAK33" s="2511"/>
      <c r="RAL33" s="2511"/>
      <c r="RAM33" s="2511"/>
      <c r="RAN33" s="2511"/>
      <c r="RAO33" s="2511"/>
      <c r="RAP33" s="2511"/>
      <c r="RAQ33" s="2511"/>
      <c r="RAR33" s="2511"/>
      <c r="RAS33" s="2511"/>
      <c r="RAT33" s="2511"/>
      <c r="RAU33" s="2511"/>
      <c r="RAV33" s="2511"/>
      <c r="RAW33" s="2511"/>
      <c r="RAX33" s="2511"/>
      <c r="RAY33" s="2511"/>
      <c r="RAZ33" s="2511"/>
      <c r="RBA33" s="2511"/>
      <c r="RBB33" s="2511"/>
      <c r="RBC33" s="2511"/>
      <c r="RBD33" s="2511"/>
      <c r="RBE33" s="2511"/>
      <c r="RBF33" s="2511"/>
      <c r="RBG33" s="2511"/>
      <c r="RBH33" s="2511"/>
      <c r="RBI33" s="2511"/>
      <c r="RBJ33" s="2511"/>
      <c r="RBK33" s="2511"/>
      <c r="RBL33" s="2511"/>
      <c r="RBM33" s="2511"/>
      <c r="RBN33" s="2511"/>
      <c r="RBO33" s="2511"/>
      <c r="RBP33" s="2511"/>
      <c r="RBQ33" s="2511"/>
      <c r="RBR33" s="2511"/>
      <c r="RBS33" s="2511"/>
      <c r="RBT33" s="2511"/>
      <c r="RBU33" s="2511"/>
      <c r="RBV33" s="2511"/>
      <c r="RBW33" s="2511"/>
      <c r="RBX33" s="2511"/>
      <c r="RBY33" s="2511"/>
      <c r="RBZ33" s="2511"/>
      <c r="RCA33" s="2511"/>
      <c r="RCB33" s="2511"/>
      <c r="RCC33" s="2511"/>
      <c r="RCD33" s="2511"/>
      <c r="RCE33" s="2511"/>
      <c r="RCF33" s="2511"/>
      <c r="RCG33" s="2511"/>
      <c r="RCH33" s="2511"/>
      <c r="RCI33" s="2511"/>
      <c r="RCJ33" s="2511"/>
      <c r="RCK33" s="2511"/>
      <c r="RCL33" s="2511"/>
      <c r="RCM33" s="2511"/>
      <c r="RCN33" s="2511"/>
      <c r="RCO33" s="2511"/>
      <c r="RCP33" s="2511"/>
      <c r="RCQ33" s="2511"/>
      <c r="RCR33" s="2511"/>
      <c r="RCS33" s="2511"/>
      <c r="RCT33" s="2511"/>
      <c r="RCU33" s="2511"/>
      <c r="RCV33" s="2511"/>
      <c r="RCW33" s="2511"/>
      <c r="RCX33" s="2511"/>
      <c r="RCY33" s="2511"/>
      <c r="RCZ33" s="2511"/>
      <c r="RDA33" s="2511"/>
      <c r="RDB33" s="2511"/>
      <c r="RDC33" s="2511"/>
      <c r="RDD33" s="2511"/>
      <c r="RDE33" s="2511"/>
      <c r="RDF33" s="2511"/>
      <c r="RDG33" s="2511"/>
      <c r="RDH33" s="2511"/>
      <c r="RDI33" s="2511"/>
      <c r="RDJ33" s="2511"/>
      <c r="RDK33" s="2511"/>
      <c r="RDL33" s="2511"/>
      <c r="RDM33" s="2511"/>
      <c r="RDN33" s="2511"/>
      <c r="RDO33" s="2511"/>
      <c r="RDP33" s="2511"/>
      <c r="RDQ33" s="2511"/>
      <c r="RDR33" s="2511"/>
      <c r="RDS33" s="2511"/>
      <c r="RDT33" s="2511"/>
      <c r="RDU33" s="2511"/>
      <c r="RDV33" s="2511"/>
      <c r="RDW33" s="2511"/>
      <c r="RDX33" s="2511"/>
      <c r="RDY33" s="2511"/>
      <c r="RDZ33" s="2511"/>
      <c r="REA33" s="2511"/>
      <c r="REB33" s="2511"/>
      <c r="REC33" s="2511"/>
      <c r="RED33" s="2511"/>
      <c r="REE33" s="2511"/>
      <c r="REF33" s="2511"/>
      <c r="REG33" s="2511"/>
      <c r="REH33" s="2511"/>
      <c r="REI33" s="2511"/>
      <c r="REJ33" s="2511"/>
      <c r="REK33" s="2511"/>
      <c r="REL33" s="2511"/>
      <c r="REM33" s="2511"/>
      <c r="REN33" s="2511"/>
      <c r="REO33" s="2511"/>
      <c r="REP33" s="2511"/>
      <c r="REQ33" s="2511"/>
      <c r="RER33" s="2511"/>
      <c r="RES33" s="2511"/>
      <c r="RET33" s="2511"/>
      <c r="REU33" s="2511"/>
      <c r="REV33" s="2511"/>
      <c r="REW33" s="2511"/>
      <c r="REX33" s="2511"/>
      <c r="REY33" s="2511"/>
      <c r="REZ33" s="2511"/>
      <c r="RFA33" s="2511"/>
      <c r="RFB33" s="2511"/>
      <c r="RFC33" s="2511"/>
      <c r="RFD33" s="2511"/>
      <c r="RFE33" s="2511"/>
      <c r="RFF33" s="2511"/>
      <c r="RFG33" s="2511"/>
      <c r="RFH33" s="2511"/>
      <c r="RFI33" s="2511"/>
      <c r="RFJ33" s="2511"/>
      <c r="RFK33" s="2511"/>
      <c r="RFL33" s="2511"/>
      <c r="RFM33" s="2511"/>
      <c r="RFN33" s="2511"/>
      <c r="RFO33" s="2511"/>
      <c r="RFP33" s="2511"/>
      <c r="RFQ33" s="2511"/>
      <c r="RFR33" s="2511"/>
      <c r="RFS33" s="2511"/>
      <c r="RFT33" s="2511"/>
      <c r="RFU33" s="2511"/>
      <c r="RFV33" s="2511"/>
      <c r="RFW33" s="2511"/>
      <c r="RFX33" s="2511"/>
      <c r="RFY33" s="2511"/>
      <c r="RFZ33" s="2511"/>
      <c r="RGA33" s="2511"/>
      <c r="RGB33" s="2511"/>
      <c r="RGC33" s="2511"/>
      <c r="RGD33" s="2511"/>
      <c r="RGE33" s="2511"/>
      <c r="RGF33" s="2511"/>
      <c r="RGG33" s="2511"/>
      <c r="RGH33" s="2511"/>
      <c r="RGI33" s="2511"/>
      <c r="RGJ33" s="2511"/>
      <c r="RGK33" s="2511"/>
      <c r="RGL33" s="2511"/>
      <c r="RGM33" s="2511"/>
      <c r="RGN33" s="2511"/>
      <c r="RGO33" s="2511"/>
      <c r="RGP33" s="2511"/>
      <c r="RGQ33" s="2511"/>
      <c r="RGR33" s="2511"/>
      <c r="RGS33" s="2511"/>
      <c r="RGT33" s="2511"/>
      <c r="RGU33" s="2511"/>
      <c r="RGV33" s="2511"/>
      <c r="RGW33" s="2511"/>
      <c r="RGX33" s="2511"/>
      <c r="RGY33" s="2511"/>
      <c r="RGZ33" s="2511"/>
      <c r="RHA33" s="2511"/>
      <c r="RHB33" s="2511"/>
      <c r="RHC33" s="2511"/>
      <c r="RHD33" s="2511"/>
      <c r="RHE33" s="2511"/>
      <c r="RHF33" s="2511"/>
      <c r="RHG33" s="2511"/>
      <c r="RHH33" s="2511"/>
      <c r="RHI33" s="2511"/>
      <c r="RHJ33" s="2511"/>
      <c r="RHK33" s="2511"/>
      <c r="RHL33" s="2511"/>
      <c r="RHM33" s="2511"/>
      <c r="RHN33" s="2511"/>
      <c r="RHO33" s="2511"/>
      <c r="RHP33" s="2511"/>
      <c r="RHQ33" s="2511"/>
      <c r="RHR33" s="2511"/>
      <c r="RHS33" s="2511"/>
      <c r="RHT33" s="2511"/>
      <c r="RHU33" s="2511"/>
      <c r="RHV33" s="2511"/>
      <c r="RHW33" s="2511"/>
      <c r="RHX33" s="2511"/>
      <c r="RHY33" s="2511"/>
      <c r="RHZ33" s="2511"/>
      <c r="RIA33" s="2511"/>
      <c r="RIB33" s="2511"/>
      <c r="RIC33" s="2511"/>
      <c r="RID33" s="2511"/>
      <c r="RIE33" s="2511"/>
      <c r="RIF33" s="2511"/>
      <c r="RIG33" s="2511"/>
      <c r="RIH33" s="2511"/>
      <c r="RII33" s="2511"/>
      <c r="RIJ33" s="2511"/>
      <c r="RIK33" s="2511"/>
      <c r="RIL33" s="2511"/>
      <c r="RIM33" s="2511"/>
      <c r="RIN33" s="2511"/>
      <c r="RIO33" s="2511"/>
      <c r="RIP33" s="2511"/>
      <c r="RIQ33" s="2511"/>
      <c r="RIR33" s="2511"/>
      <c r="RIS33" s="2511"/>
      <c r="RIT33" s="2511"/>
      <c r="RIU33" s="2511"/>
      <c r="RIV33" s="2511"/>
      <c r="RIW33" s="2511"/>
      <c r="RIX33" s="2511"/>
      <c r="RIY33" s="2511"/>
      <c r="RIZ33" s="2511"/>
      <c r="RJA33" s="2511"/>
      <c r="RJB33" s="2511"/>
      <c r="RJC33" s="2511"/>
      <c r="RJD33" s="2511"/>
      <c r="RJE33" s="2511"/>
      <c r="RJF33" s="2511"/>
      <c r="RJG33" s="2511"/>
      <c r="RJH33" s="2511"/>
      <c r="RJI33" s="2511"/>
      <c r="RJJ33" s="2511"/>
      <c r="RJK33" s="2511"/>
      <c r="RJL33" s="2511"/>
      <c r="RJM33" s="2511"/>
      <c r="RJN33" s="2511"/>
      <c r="RJO33" s="2511"/>
      <c r="RJP33" s="2511"/>
      <c r="RJQ33" s="2511"/>
      <c r="RJR33" s="2511"/>
      <c r="RJS33" s="2511"/>
      <c r="RJT33" s="2511"/>
      <c r="RJU33" s="2511"/>
      <c r="RJV33" s="2511"/>
      <c r="RJW33" s="2511"/>
      <c r="RJX33" s="2511"/>
      <c r="RJY33" s="2511"/>
      <c r="RJZ33" s="2511"/>
      <c r="RKA33" s="2511"/>
      <c r="RKB33" s="2511"/>
      <c r="RKC33" s="2511"/>
      <c r="RKD33" s="2511"/>
      <c r="RKE33" s="2511"/>
      <c r="RKF33" s="2511"/>
      <c r="RKG33" s="2511"/>
      <c r="RKH33" s="2511"/>
      <c r="RKI33" s="2511"/>
      <c r="RKJ33" s="2511"/>
      <c r="RKK33" s="2511"/>
      <c r="RKL33" s="2511"/>
      <c r="RKM33" s="2511"/>
      <c r="RKN33" s="2511"/>
      <c r="RKO33" s="2511"/>
      <c r="RKP33" s="2511"/>
      <c r="RKQ33" s="2511"/>
      <c r="RKR33" s="2511"/>
      <c r="RKS33" s="2511"/>
      <c r="RKT33" s="2511"/>
      <c r="RKU33" s="2511"/>
      <c r="RKV33" s="2511"/>
      <c r="RKW33" s="2511"/>
      <c r="RKX33" s="2511"/>
      <c r="RKY33" s="2511"/>
      <c r="RKZ33" s="2511"/>
      <c r="RLA33" s="2511"/>
      <c r="RLB33" s="2511"/>
      <c r="RLC33" s="2511"/>
      <c r="RLD33" s="2511"/>
      <c r="RLE33" s="2511"/>
      <c r="RLF33" s="2511"/>
      <c r="RLG33" s="2511"/>
      <c r="RLH33" s="2511"/>
      <c r="RLI33" s="2511"/>
      <c r="RLJ33" s="2511"/>
      <c r="RLK33" s="2511"/>
      <c r="RLL33" s="2511"/>
      <c r="RLM33" s="2511"/>
      <c r="RLN33" s="2511"/>
      <c r="RLO33" s="2511"/>
      <c r="RLP33" s="2511"/>
      <c r="RLQ33" s="2511"/>
      <c r="RLR33" s="2511"/>
      <c r="RLS33" s="2511"/>
      <c r="RLT33" s="2511"/>
      <c r="RLU33" s="2511"/>
      <c r="RLV33" s="2511"/>
      <c r="RLW33" s="2511"/>
      <c r="RLX33" s="2511"/>
      <c r="RLY33" s="2511"/>
      <c r="RLZ33" s="2511"/>
      <c r="RMA33" s="2511"/>
      <c r="RMB33" s="2511"/>
      <c r="RMC33" s="2511"/>
      <c r="RMD33" s="2511"/>
      <c r="RME33" s="2511"/>
      <c r="RMF33" s="2511"/>
      <c r="RMG33" s="2511"/>
      <c r="RMH33" s="2511"/>
      <c r="RMI33" s="2511"/>
      <c r="RMJ33" s="2511"/>
      <c r="RMK33" s="2511"/>
      <c r="RML33" s="2511"/>
      <c r="RMM33" s="2511"/>
      <c r="RMN33" s="2511"/>
      <c r="RMO33" s="2511"/>
      <c r="RMP33" s="2511"/>
      <c r="RMQ33" s="2511"/>
      <c r="RMR33" s="2511"/>
      <c r="RMS33" s="2511"/>
      <c r="RMT33" s="2511"/>
      <c r="RMU33" s="2511"/>
      <c r="RMV33" s="2511"/>
      <c r="RMW33" s="2511"/>
      <c r="RMX33" s="2511"/>
      <c r="RMY33" s="2511"/>
      <c r="RMZ33" s="2511"/>
      <c r="RNA33" s="2511"/>
      <c r="RNB33" s="2511"/>
      <c r="RNC33" s="2511"/>
      <c r="RND33" s="2511"/>
      <c r="RNE33" s="2511"/>
      <c r="RNF33" s="2511"/>
      <c r="RNG33" s="2511"/>
      <c r="RNH33" s="2511"/>
      <c r="RNI33" s="2511"/>
      <c r="RNJ33" s="2511"/>
      <c r="RNK33" s="2511"/>
      <c r="RNL33" s="2511"/>
      <c r="RNM33" s="2511"/>
      <c r="RNN33" s="2511"/>
      <c r="RNO33" s="2511"/>
      <c r="RNP33" s="2511"/>
      <c r="RNQ33" s="2511"/>
      <c r="RNR33" s="2511"/>
      <c r="RNS33" s="2511"/>
      <c r="RNT33" s="2511"/>
      <c r="RNU33" s="2511"/>
      <c r="RNV33" s="2511"/>
      <c r="RNW33" s="2511"/>
      <c r="RNX33" s="2511"/>
      <c r="RNY33" s="2511"/>
      <c r="RNZ33" s="2511"/>
      <c r="ROA33" s="2511"/>
      <c r="ROB33" s="2511"/>
      <c r="ROC33" s="2511"/>
      <c r="ROD33" s="2511"/>
      <c r="ROE33" s="2511"/>
      <c r="ROF33" s="2511"/>
      <c r="ROG33" s="2511"/>
      <c r="ROH33" s="2511"/>
      <c r="ROI33" s="2511"/>
      <c r="ROJ33" s="2511"/>
      <c r="ROK33" s="2511"/>
      <c r="ROL33" s="2511"/>
      <c r="ROM33" s="2511"/>
      <c r="RON33" s="2511"/>
      <c r="ROO33" s="2511"/>
      <c r="ROP33" s="2511"/>
      <c r="ROQ33" s="2511"/>
      <c r="ROR33" s="2511"/>
      <c r="ROS33" s="2511"/>
      <c r="ROT33" s="2511"/>
      <c r="ROU33" s="2511"/>
      <c r="ROV33" s="2511"/>
      <c r="ROW33" s="2511"/>
      <c r="ROX33" s="2511"/>
      <c r="ROY33" s="2511"/>
      <c r="ROZ33" s="2511"/>
      <c r="RPA33" s="2511"/>
      <c r="RPB33" s="2511"/>
      <c r="RPC33" s="2511"/>
      <c r="RPD33" s="2511"/>
      <c r="RPE33" s="2511"/>
      <c r="RPF33" s="2511"/>
      <c r="RPG33" s="2511"/>
      <c r="RPH33" s="2511"/>
      <c r="RPI33" s="2511"/>
      <c r="RPJ33" s="2511"/>
      <c r="RPK33" s="2511"/>
      <c r="RPL33" s="2511"/>
      <c r="RPM33" s="2511"/>
      <c r="RPN33" s="2511"/>
      <c r="RPO33" s="2511"/>
      <c r="RPP33" s="2511"/>
      <c r="RPQ33" s="2511"/>
      <c r="RPR33" s="2511"/>
      <c r="RPS33" s="2511"/>
      <c r="RPT33" s="2511"/>
      <c r="RPU33" s="2511"/>
      <c r="RPV33" s="2511"/>
      <c r="RPW33" s="2511"/>
      <c r="RPX33" s="2511"/>
      <c r="RPY33" s="2511"/>
      <c r="RPZ33" s="2511"/>
      <c r="RQA33" s="2511"/>
      <c r="RQB33" s="2511"/>
      <c r="RQC33" s="2511"/>
      <c r="RQD33" s="2511"/>
      <c r="RQE33" s="2511"/>
      <c r="RQF33" s="2511"/>
      <c r="RQG33" s="2511"/>
      <c r="RQH33" s="2511"/>
      <c r="RQI33" s="2511"/>
      <c r="RQJ33" s="2511"/>
      <c r="RQK33" s="2511"/>
      <c r="RQL33" s="2511"/>
      <c r="RQM33" s="2511"/>
      <c r="RQN33" s="2511"/>
      <c r="RQO33" s="2511"/>
      <c r="RQP33" s="2511"/>
      <c r="RQQ33" s="2511"/>
      <c r="RQR33" s="2511"/>
      <c r="RQS33" s="2511"/>
      <c r="RQT33" s="2511"/>
      <c r="RQU33" s="2511"/>
      <c r="RQV33" s="2511"/>
      <c r="RQW33" s="2511"/>
      <c r="RQX33" s="2511"/>
      <c r="RQY33" s="2511"/>
      <c r="RQZ33" s="2511"/>
      <c r="RRA33" s="2511"/>
      <c r="RRB33" s="2511"/>
      <c r="RRC33" s="2511"/>
      <c r="RRD33" s="2511"/>
      <c r="RRE33" s="2511"/>
      <c r="RRF33" s="2511"/>
      <c r="RRG33" s="2511"/>
      <c r="RRH33" s="2511"/>
      <c r="RRI33" s="2511"/>
      <c r="RRJ33" s="2511"/>
      <c r="RRK33" s="2511"/>
      <c r="RRL33" s="2511"/>
      <c r="RRM33" s="2511"/>
      <c r="RRN33" s="2511"/>
      <c r="RRO33" s="2511"/>
      <c r="RRP33" s="2511"/>
      <c r="RRQ33" s="2511"/>
      <c r="RRR33" s="2511"/>
      <c r="RRS33" s="2511"/>
      <c r="RRT33" s="2511"/>
      <c r="RRU33" s="2511"/>
      <c r="RRV33" s="2511"/>
      <c r="RRW33" s="2511"/>
      <c r="RRX33" s="2511"/>
      <c r="RRY33" s="2511"/>
      <c r="RRZ33" s="2511"/>
      <c r="RSA33" s="2511"/>
      <c r="RSB33" s="2511"/>
      <c r="RSC33" s="2511"/>
      <c r="RSD33" s="2511"/>
      <c r="RSE33" s="2511"/>
      <c r="RSF33" s="2511"/>
      <c r="RSG33" s="2511"/>
      <c r="RSH33" s="2511"/>
      <c r="RSI33" s="2511"/>
      <c r="RSJ33" s="2511"/>
      <c r="RSK33" s="2511"/>
      <c r="RSL33" s="2511"/>
      <c r="RSM33" s="2511"/>
      <c r="RSN33" s="2511"/>
      <c r="RSO33" s="2511"/>
      <c r="RSP33" s="2511"/>
      <c r="RSQ33" s="2511"/>
      <c r="RSR33" s="2511"/>
      <c r="RSS33" s="2511"/>
      <c r="RST33" s="2511"/>
      <c r="RSU33" s="2511"/>
      <c r="RSV33" s="2511"/>
      <c r="RSW33" s="2511"/>
      <c r="RSX33" s="2511"/>
      <c r="RSY33" s="2511"/>
      <c r="RSZ33" s="2511"/>
      <c r="RTA33" s="2511"/>
      <c r="RTB33" s="2511"/>
      <c r="RTC33" s="2511"/>
      <c r="RTD33" s="2511"/>
      <c r="RTE33" s="2511"/>
      <c r="RTF33" s="2511"/>
      <c r="RTG33" s="2511"/>
      <c r="RTH33" s="2511"/>
      <c r="RTI33" s="2511"/>
      <c r="RTJ33" s="2511"/>
      <c r="RTK33" s="2511"/>
      <c r="RTL33" s="2511"/>
      <c r="RTM33" s="2511"/>
      <c r="RTN33" s="2511"/>
      <c r="RTO33" s="2511"/>
      <c r="RTP33" s="2511"/>
      <c r="RTQ33" s="2511"/>
      <c r="RTR33" s="2511"/>
      <c r="RTS33" s="2511"/>
      <c r="RTT33" s="2511"/>
      <c r="RTU33" s="2511"/>
      <c r="RTV33" s="2511"/>
      <c r="RTW33" s="2511"/>
      <c r="RTX33" s="2511"/>
      <c r="RTY33" s="2511"/>
      <c r="RTZ33" s="2511"/>
      <c r="RUA33" s="2511"/>
      <c r="RUB33" s="2511"/>
      <c r="RUC33" s="2511"/>
      <c r="RUD33" s="2511"/>
      <c r="RUE33" s="2511"/>
      <c r="RUF33" s="2511"/>
      <c r="RUG33" s="2511"/>
      <c r="RUH33" s="2511"/>
      <c r="RUI33" s="2511"/>
      <c r="RUJ33" s="2511"/>
      <c r="RUK33" s="2511"/>
      <c r="RUL33" s="2511"/>
      <c r="RUM33" s="2511"/>
      <c r="RUN33" s="2511"/>
      <c r="RUO33" s="2511"/>
      <c r="RUP33" s="2511"/>
      <c r="RUQ33" s="2511"/>
      <c r="RUR33" s="2511"/>
      <c r="RUS33" s="2511"/>
      <c r="RUT33" s="2511"/>
      <c r="RUU33" s="2511"/>
      <c r="RUV33" s="2511"/>
      <c r="RUW33" s="2511"/>
      <c r="RUX33" s="2511"/>
      <c r="RUY33" s="2511"/>
      <c r="RUZ33" s="2511"/>
      <c r="RVA33" s="2511"/>
      <c r="RVB33" s="2511"/>
      <c r="RVC33" s="2511"/>
      <c r="RVD33" s="2511"/>
      <c r="RVE33" s="2511"/>
      <c r="RVF33" s="2511"/>
      <c r="RVG33" s="2511"/>
      <c r="RVH33" s="2511"/>
      <c r="RVI33" s="2511"/>
      <c r="RVJ33" s="2511"/>
      <c r="RVK33" s="2511"/>
      <c r="RVL33" s="2511"/>
      <c r="RVM33" s="2511"/>
      <c r="RVN33" s="2511"/>
      <c r="RVO33" s="2511"/>
      <c r="RVP33" s="2511"/>
      <c r="RVQ33" s="2511"/>
      <c r="RVR33" s="2511"/>
      <c r="RVS33" s="2511"/>
      <c r="RVT33" s="2511"/>
      <c r="RVU33" s="2511"/>
      <c r="RVV33" s="2511"/>
      <c r="RVW33" s="2511"/>
      <c r="RVX33" s="2511"/>
      <c r="RVY33" s="2511"/>
      <c r="RVZ33" s="2511"/>
      <c r="RWA33" s="2511"/>
      <c r="RWB33" s="2511"/>
      <c r="RWC33" s="2511"/>
      <c r="RWD33" s="2511"/>
      <c r="RWE33" s="2511"/>
      <c r="RWF33" s="2511"/>
      <c r="RWG33" s="2511"/>
      <c r="RWH33" s="2511"/>
      <c r="RWI33" s="2511"/>
      <c r="RWJ33" s="2511"/>
      <c r="RWK33" s="2511"/>
      <c r="RWL33" s="2511"/>
      <c r="RWM33" s="2511"/>
      <c r="RWN33" s="2511"/>
      <c r="RWO33" s="2511"/>
      <c r="RWP33" s="2511"/>
      <c r="RWQ33" s="2511"/>
      <c r="RWR33" s="2511"/>
      <c r="RWS33" s="2511"/>
      <c r="RWT33" s="2511"/>
      <c r="RWU33" s="2511"/>
      <c r="RWV33" s="2511"/>
      <c r="RWW33" s="2511"/>
      <c r="RWX33" s="2511"/>
      <c r="RWY33" s="2511"/>
      <c r="RWZ33" s="2511"/>
      <c r="RXA33" s="2511"/>
      <c r="RXB33" s="2511"/>
      <c r="RXC33" s="2511"/>
      <c r="RXD33" s="2511"/>
      <c r="RXE33" s="2511"/>
      <c r="RXF33" s="2511"/>
      <c r="RXG33" s="2511"/>
      <c r="RXH33" s="2511"/>
      <c r="RXI33" s="2511"/>
      <c r="RXJ33" s="2511"/>
      <c r="RXK33" s="2511"/>
      <c r="RXL33" s="2511"/>
      <c r="RXM33" s="2511"/>
      <c r="RXN33" s="2511"/>
      <c r="RXO33" s="2511"/>
      <c r="RXP33" s="2511"/>
      <c r="RXQ33" s="2511"/>
      <c r="RXR33" s="2511"/>
      <c r="RXS33" s="2511"/>
      <c r="RXT33" s="2511"/>
      <c r="RXU33" s="2511"/>
      <c r="RXV33" s="2511"/>
      <c r="RXW33" s="2511"/>
      <c r="RXX33" s="2511"/>
      <c r="RXY33" s="2511"/>
      <c r="RXZ33" s="2511"/>
      <c r="RYA33" s="2511"/>
      <c r="RYB33" s="2511"/>
      <c r="RYC33" s="2511"/>
      <c r="RYD33" s="2511"/>
      <c r="RYE33" s="2511"/>
      <c r="RYF33" s="2511"/>
      <c r="RYG33" s="2511"/>
      <c r="RYH33" s="2511"/>
      <c r="RYI33" s="2511"/>
      <c r="RYJ33" s="2511"/>
      <c r="RYK33" s="2511"/>
      <c r="RYL33" s="2511"/>
      <c r="RYM33" s="2511"/>
      <c r="RYN33" s="2511"/>
      <c r="RYO33" s="2511"/>
      <c r="RYP33" s="2511"/>
      <c r="RYQ33" s="2511"/>
      <c r="RYR33" s="2511"/>
      <c r="RYS33" s="2511"/>
      <c r="RYT33" s="2511"/>
      <c r="RYU33" s="2511"/>
      <c r="RYV33" s="2511"/>
      <c r="RYW33" s="2511"/>
      <c r="RYX33" s="2511"/>
      <c r="RYY33" s="2511"/>
      <c r="RYZ33" s="2511"/>
      <c r="RZA33" s="2511"/>
      <c r="RZB33" s="2511"/>
      <c r="RZC33" s="2511"/>
      <c r="RZD33" s="2511"/>
      <c r="RZE33" s="2511"/>
      <c r="RZF33" s="2511"/>
      <c r="RZG33" s="2511"/>
      <c r="RZH33" s="2511"/>
      <c r="RZI33" s="2511"/>
      <c r="RZJ33" s="2511"/>
      <c r="RZK33" s="2511"/>
      <c r="RZL33" s="2511"/>
      <c r="RZM33" s="2511"/>
      <c r="RZN33" s="2511"/>
      <c r="RZO33" s="2511"/>
      <c r="RZP33" s="2511"/>
      <c r="RZQ33" s="2511"/>
      <c r="RZR33" s="2511"/>
      <c r="RZS33" s="2511"/>
      <c r="RZT33" s="2511"/>
      <c r="RZU33" s="2511"/>
      <c r="RZV33" s="2511"/>
      <c r="RZW33" s="2511"/>
      <c r="RZX33" s="2511"/>
      <c r="RZY33" s="2511"/>
      <c r="RZZ33" s="2511"/>
      <c r="SAA33" s="2511"/>
      <c r="SAB33" s="2511"/>
      <c r="SAC33" s="2511"/>
      <c r="SAD33" s="2511"/>
      <c r="SAE33" s="2511"/>
      <c r="SAF33" s="2511"/>
      <c r="SAG33" s="2511"/>
      <c r="SAH33" s="2511"/>
      <c r="SAI33" s="2511"/>
      <c r="SAJ33" s="2511"/>
      <c r="SAK33" s="2511"/>
      <c r="SAL33" s="2511"/>
      <c r="SAM33" s="2511"/>
      <c r="SAN33" s="2511"/>
      <c r="SAO33" s="2511"/>
      <c r="SAP33" s="2511"/>
      <c r="SAQ33" s="2511"/>
      <c r="SAR33" s="2511"/>
      <c r="SAS33" s="2511"/>
      <c r="SAT33" s="2511"/>
      <c r="SAU33" s="2511"/>
      <c r="SAV33" s="2511"/>
      <c r="SAW33" s="2511"/>
      <c r="SAX33" s="2511"/>
      <c r="SAY33" s="2511"/>
      <c r="SAZ33" s="2511"/>
      <c r="SBA33" s="2511"/>
      <c r="SBB33" s="2511"/>
      <c r="SBC33" s="2511"/>
      <c r="SBD33" s="2511"/>
      <c r="SBE33" s="2511"/>
      <c r="SBF33" s="2511"/>
      <c r="SBG33" s="2511"/>
      <c r="SBH33" s="2511"/>
      <c r="SBI33" s="2511"/>
      <c r="SBJ33" s="2511"/>
      <c r="SBK33" s="2511"/>
      <c r="SBL33" s="2511"/>
      <c r="SBM33" s="2511"/>
      <c r="SBN33" s="2511"/>
      <c r="SBO33" s="2511"/>
      <c r="SBP33" s="2511"/>
      <c r="SBQ33" s="2511"/>
      <c r="SBR33" s="2511"/>
      <c r="SBS33" s="2511"/>
      <c r="SBT33" s="2511"/>
      <c r="SBU33" s="2511"/>
      <c r="SBV33" s="2511"/>
      <c r="SBW33" s="2511"/>
      <c r="SBX33" s="2511"/>
      <c r="SBY33" s="2511"/>
      <c r="SBZ33" s="2511"/>
      <c r="SCA33" s="2511"/>
      <c r="SCB33" s="2511"/>
      <c r="SCC33" s="2511"/>
      <c r="SCD33" s="2511"/>
      <c r="SCE33" s="2511"/>
      <c r="SCF33" s="2511"/>
      <c r="SCG33" s="2511"/>
      <c r="SCH33" s="2511"/>
      <c r="SCI33" s="2511"/>
      <c r="SCJ33" s="2511"/>
      <c r="SCK33" s="2511"/>
      <c r="SCL33" s="2511"/>
      <c r="SCM33" s="2511"/>
      <c r="SCN33" s="2511"/>
      <c r="SCO33" s="2511"/>
      <c r="SCP33" s="2511"/>
      <c r="SCQ33" s="2511"/>
      <c r="SCR33" s="2511"/>
      <c r="SCS33" s="2511"/>
      <c r="SCT33" s="2511"/>
      <c r="SCU33" s="2511"/>
      <c r="SCV33" s="2511"/>
      <c r="SCW33" s="2511"/>
      <c r="SCX33" s="2511"/>
      <c r="SCY33" s="2511"/>
      <c r="SCZ33" s="2511"/>
      <c r="SDA33" s="2511"/>
      <c r="SDB33" s="2511"/>
      <c r="SDC33" s="2511"/>
      <c r="SDD33" s="2511"/>
      <c r="SDE33" s="2511"/>
      <c r="SDF33" s="2511"/>
      <c r="SDG33" s="2511"/>
      <c r="SDH33" s="2511"/>
      <c r="SDI33" s="2511"/>
      <c r="SDJ33" s="2511"/>
      <c r="SDK33" s="2511"/>
      <c r="SDL33" s="2511"/>
      <c r="SDM33" s="2511"/>
      <c r="SDN33" s="2511"/>
      <c r="SDO33" s="2511"/>
      <c r="SDP33" s="2511"/>
      <c r="SDQ33" s="2511"/>
      <c r="SDR33" s="2511"/>
      <c r="SDS33" s="2511"/>
      <c r="SDT33" s="2511"/>
      <c r="SDU33" s="2511"/>
      <c r="SDV33" s="2511"/>
      <c r="SDW33" s="2511"/>
      <c r="SDX33" s="2511"/>
      <c r="SDY33" s="2511"/>
      <c r="SDZ33" s="2511"/>
      <c r="SEA33" s="2511"/>
      <c r="SEB33" s="2511"/>
      <c r="SEC33" s="2511"/>
      <c r="SED33" s="2511"/>
      <c r="SEE33" s="2511"/>
      <c r="SEF33" s="2511"/>
      <c r="SEG33" s="2511"/>
      <c r="SEH33" s="2511"/>
      <c r="SEI33" s="2511"/>
      <c r="SEJ33" s="2511"/>
      <c r="SEK33" s="2511"/>
      <c r="SEL33" s="2511"/>
      <c r="SEM33" s="2511"/>
      <c r="SEN33" s="2511"/>
      <c r="SEO33" s="2511"/>
      <c r="SEP33" s="2511"/>
      <c r="SEQ33" s="2511"/>
      <c r="SER33" s="2511"/>
      <c r="SES33" s="2511"/>
      <c r="SET33" s="2511"/>
      <c r="SEU33" s="2511"/>
      <c r="SEV33" s="2511"/>
      <c r="SEW33" s="2511"/>
      <c r="SEX33" s="2511"/>
      <c r="SEY33" s="2511"/>
      <c r="SEZ33" s="2511"/>
      <c r="SFA33" s="2511"/>
      <c r="SFB33" s="2511"/>
      <c r="SFC33" s="2511"/>
      <c r="SFD33" s="2511"/>
      <c r="SFE33" s="2511"/>
      <c r="SFF33" s="2511"/>
      <c r="SFG33" s="2511"/>
      <c r="SFH33" s="2511"/>
      <c r="SFI33" s="2511"/>
      <c r="SFJ33" s="2511"/>
      <c r="SFK33" s="2511"/>
      <c r="SFL33" s="2511"/>
      <c r="SFM33" s="2511"/>
      <c r="SFN33" s="2511"/>
      <c r="SFO33" s="2511"/>
      <c r="SFP33" s="2511"/>
      <c r="SFQ33" s="2511"/>
      <c r="SFR33" s="2511"/>
      <c r="SFS33" s="2511"/>
      <c r="SFT33" s="2511"/>
      <c r="SFU33" s="2511"/>
      <c r="SFV33" s="2511"/>
      <c r="SFW33" s="2511"/>
      <c r="SFX33" s="2511"/>
      <c r="SFY33" s="2511"/>
      <c r="SFZ33" s="2511"/>
      <c r="SGA33" s="2511"/>
      <c r="SGB33" s="2511"/>
      <c r="SGC33" s="2511"/>
      <c r="SGD33" s="2511"/>
      <c r="SGE33" s="2511"/>
      <c r="SGF33" s="2511"/>
      <c r="SGG33" s="2511"/>
      <c r="SGH33" s="2511"/>
      <c r="SGI33" s="2511"/>
      <c r="SGJ33" s="2511"/>
      <c r="SGK33" s="2511"/>
      <c r="SGL33" s="2511"/>
      <c r="SGM33" s="2511"/>
      <c r="SGN33" s="2511"/>
      <c r="SGO33" s="2511"/>
      <c r="SGP33" s="2511"/>
      <c r="SGQ33" s="2511"/>
      <c r="SGR33" s="2511"/>
      <c r="SGS33" s="2511"/>
      <c r="SGT33" s="2511"/>
      <c r="SGU33" s="2511"/>
      <c r="SGV33" s="2511"/>
      <c r="SGW33" s="2511"/>
      <c r="SGX33" s="2511"/>
      <c r="SGY33" s="2511"/>
      <c r="SGZ33" s="2511"/>
      <c r="SHA33" s="2511"/>
      <c r="SHB33" s="2511"/>
      <c r="SHC33" s="2511"/>
      <c r="SHD33" s="2511"/>
      <c r="SHE33" s="2511"/>
      <c r="SHF33" s="2511"/>
      <c r="SHG33" s="2511"/>
      <c r="SHH33" s="2511"/>
      <c r="SHI33" s="2511"/>
      <c r="SHJ33" s="2511"/>
      <c r="SHK33" s="2511"/>
      <c r="SHL33" s="2511"/>
      <c r="SHM33" s="2511"/>
      <c r="SHN33" s="2511"/>
      <c r="SHO33" s="2511"/>
      <c r="SHP33" s="2511"/>
      <c r="SHQ33" s="2511"/>
      <c r="SHR33" s="2511"/>
      <c r="SHS33" s="2511"/>
      <c r="SHT33" s="2511"/>
      <c r="SHU33" s="2511"/>
      <c r="SHV33" s="2511"/>
      <c r="SHW33" s="2511"/>
      <c r="SHX33" s="2511"/>
      <c r="SHY33" s="2511"/>
      <c r="SHZ33" s="2511"/>
      <c r="SIA33" s="2511"/>
      <c r="SIB33" s="2511"/>
      <c r="SIC33" s="2511"/>
      <c r="SID33" s="2511"/>
      <c r="SIE33" s="2511"/>
      <c r="SIF33" s="2511"/>
      <c r="SIG33" s="2511"/>
      <c r="SIH33" s="2511"/>
      <c r="SII33" s="2511"/>
      <c r="SIJ33" s="2511"/>
      <c r="SIK33" s="2511"/>
      <c r="SIL33" s="2511"/>
      <c r="SIM33" s="2511"/>
      <c r="SIN33" s="2511"/>
      <c r="SIO33" s="2511"/>
      <c r="SIP33" s="2511"/>
      <c r="SIQ33" s="2511"/>
      <c r="SIR33" s="2511"/>
      <c r="SIS33" s="2511"/>
      <c r="SIT33" s="2511"/>
      <c r="SIU33" s="2511"/>
      <c r="SIV33" s="2511"/>
      <c r="SIW33" s="2511"/>
      <c r="SIX33" s="2511"/>
      <c r="SIY33" s="2511"/>
      <c r="SIZ33" s="2511"/>
      <c r="SJA33" s="2511"/>
      <c r="SJB33" s="2511"/>
      <c r="SJC33" s="2511"/>
      <c r="SJD33" s="2511"/>
      <c r="SJE33" s="2511"/>
      <c r="SJF33" s="2511"/>
      <c r="SJG33" s="2511"/>
      <c r="SJH33" s="2511"/>
      <c r="SJI33" s="2511"/>
      <c r="SJJ33" s="2511"/>
      <c r="SJK33" s="2511"/>
      <c r="SJL33" s="2511"/>
      <c r="SJM33" s="2511"/>
      <c r="SJN33" s="2511"/>
      <c r="SJO33" s="2511"/>
      <c r="SJP33" s="2511"/>
      <c r="SJQ33" s="2511"/>
      <c r="SJR33" s="2511"/>
      <c r="SJS33" s="2511"/>
      <c r="SJT33" s="2511"/>
      <c r="SJU33" s="2511"/>
      <c r="SJV33" s="2511"/>
      <c r="SJW33" s="2511"/>
      <c r="SJX33" s="2511"/>
      <c r="SJY33" s="2511"/>
      <c r="SJZ33" s="2511"/>
      <c r="SKA33" s="2511"/>
      <c r="SKB33" s="2511"/>
      <c r="SKC33" s="2511"/>
      <c r="SKD33" s="2511"/>
      <c r="SKE33" s="2511"/>
      <c r="SKF33" s="2511"/>
      <c r="SKG33" s="2511"/>
      <c r="SKH33" s="2511"/>
      <c r="SKI33" s="2511"/>
      <c r="SKJ33" s="2511"/>
      <c r="SKK33" s="2511"/>
      <c r="SKL33" s="2511"/>
      <c r="SKM33" s="2511"/>
      <c r="SKN33" s="2511"/>
      <c r="SKO33" s="2511"/>
      <c r="SKP33" s="2511"/>
      <c r="SKQ33" s="2511"/>
      <c r="SKR33" s="2511"/>
      <c r="SKS33" s="2511"/>
      <c r="SKT33" s="2511"/>
      <c r="SKU33" s="2511"/>
      <c r="SKV33" s="2511"/>
      <c r="SKW33" s="2511"/>
      <c r="SKX33" s="2511"/>
      <c r="SKY33" s="2511"/>
      <c r="SKZ33" s="2511"/>
      <c r="SLA33" s="2511"/>
      <c r="SLB33" s="2511"/>
      <c r="SLC33" s="2511"/>
      <c r="SLD33" s="2511"/>
      <c r="SLE33" s="2511"/>
      <c r="SLF33" s="2511"/>
      <c r="SLG33" s="2511"/>
      <c r="SLH33" s="2511"/>
      <c r="SLI33" s="2511"/>
      <c r="SLJ33" s="2511"/>
      <c r="SLK33" s="2511"/>
      <c r="SLL33" s="2511"/>
      <c r="SLM33" s="2511"/>
      <c r="SLN33" s="2511"/>
      <c r="SLO33" s="2511"/>
      <c r="SLP33" s="2511"/>
      <c r="SLQ33" s="2511"/>
      <c r="SLR33" s="2511"/>
      <c r="SLS33" s="2511"/>
      <c r="SLT33" s="2511"/>
      <c r="SLU33" s="2511"/>
      <c r="SLV33" s="2511"/>
      <c r="SLW33" s="2511"/>
      <c r="SLX33" s="2511"/>
      <c r="SLY33" s="2511"/>
      <c r="SLZ33" s="2511"/>
      <c r="SMA33" s="2511"/>
      <c r="SMB33" s="2511"/>
      <c r="SMC33" s="2511"/>
      <c r="SMD33" s="2511"/>
      <c r="SME33" s="2511"/>
      <c r="SMF33" s="2511"/>
      <c r="SMG33" s="2511"/>
      <c r="SMH33" s="2511"/>
      <c r="SMI33" s="2511"/>
      <c r="SMJ33" s="2511"/>
      <c r="SMK33" s="2511"/>
      <c r="SML33" s="2511"/>
      <c r="SMM33" s="2511"/>
      <c r="SMN33" s="2511"/>
      <c r="SMO33" s="2511"/>
      <c r="SMP33" s="2511"/>
      <c r="SMQ33" s="2511"/>
      <c r="SMR33" s="2511"/>
      <c r="SMS33" s="2511"/>
      <c r="SMT33" s="2511"/>
      <c r="SMU33" s="2511"/>
      <c r="SMV33" s="2511"/>
      <c r="SMW33" s="2511"/>
      <c r="SMX33" s="2511"/>
      <c r="SMY33" s="2511"/>
      <c r="SMZ33" s="2511"/>
      <c r="SNA33" s="2511"/>
      <c r="SNB33" s="2511"/>
      <c r="SNC33" s="2511"/>
      <c r="SND33" s="2511"/>
      <c r="SNE33" s="2511"/>
      <c r="SNF33" s="2511"/>
      <c r="SNG33" s="2511"/>
      <c r="SNH33" s="2511"/>
      <c r="SNI33" s="2511"/>
      <c r="SNJ33" s="2511"/>
      <c r="SNK33" s="2511"/>
      <c r="SNL33" s="2511"/>
      <c r="SNM33" s="2511"/>
      <c r="SNN33" s="2511"/>
      <c r="SNO33" s="2511"/>
      <c r="SNP33" s="2511"/>
      <c r="SNQ33" s="2511"/>
      <c r="SNR33" s="2511"/>
      <c r="SNS33" s="2511"/>
      <c r="SNT33" s="2511"/>
      <c r="SNU33" s="2511"/>
      <c r="SNV33" s="2511"/>
      <c r="SNW33" s="2511"/>
      <c r="SNX33" s="2511"/>
      <c r="SNY33" s="2511"/>
      <c r="SNZ33" s="2511"/>
      <c r="SOA33" s="2511"/>
      <c r="SOB33" s="2511"/>
      <c r="SOC33" s="2511"/>
      <c r="SOD33" s="2511"/>
      <c r="SOE33" s="2511"/>
      <c r="SOF33" s="2511"/>
      <c r="SOG33" s="2511"/>
      <c r="SOH33" s="2511"/>
      <c r="SOI33" s="2511"/>
      <c r="SOJ33" s="2511"/>
      <c r="SOK33" s="2511"/>
      <c r="SOL33" s="2511"/>
      <c r="SOM33" s="2511"/>
      <c r="SON33" s="2511"/>
      <c r="SOO33" s="2511"/>
      <c r="SOP33" s="2511"/>
      <c r="SOQ33" s="2511"/>
      <c r="SOR33" s="2511"/>
      <c r="SOS33" s="2511"/>
      <c r="SOT33" s="2511"/>
      <c r="SOU33" s="2511"/>
      <c r="SOV33" s="2511"/>
      <c r="SOW33" s="2511"/>
      <c r="SOX33" s="2511"/>
      <c r="SOY33" s="2511"/>
      <c r="SOZ33" s="2511"/>
      <c r="SPA33" s="2511"/>
      <c r="SPB33" s="2511"/>
      <c r="SPC33" s="2511"/>
      <c r="SPD33" s="2511"/>
      <c r="SPE33" s="2511"/>
      <c r="SPF33" s="2511"/>
      <c r="SPG33" s="2511"/>
      <c r="SPH33" s="2511"/>
      <c r="SPI33" s="2511"/>
      <c r="SPJ33" s="2511"/>
      <c r="SPK33" s="2511"/>
      <c r="SPL33" s="2511"/>
      <c r="SPM33" s="2511"/>
      <c r="SPN33" s="2511"/>
      <c r="SPO33" s="2511"/>
      <c r="SPP33" s="2511"/>
      <c r="SPQ33" s="2511"/>
      <c r="SPR33" s="2511"/>
      <c r="SPS33" s="2511"/>
      <c r="SPT33" s="2511"/>
      <c r="SPU33" s="2511"/>
      <c r="SPV33" s="2511"/>
      <c r="SPW33" s="2511"/>
      <c r="SPX33" s="2511"/>
      <c r="SPY33" s="2511"/>
      <c r="SPZ33" s="2511"/>
      <c r="SQA33" s="2511"/>
      <c r="SQB33" s="2511"/>
      <c r="SQC33" s="2511"/>
      <c r="SQD33" s="2511"/>
      <c r="SQE33" s="2511"/>
      <c r="SQF33" s="2511"/>
      <c r="SQG33" s="2511"/>
      <c r="SQH33" s="2511"/>
      <c r="SQI33" s="2511"/>
      <c r="SQJ33" s="2511"/>
      <c r="SQK33" s="2511"/>
      <c r="SQL33" s="2511"/>
      <c r="SQM33" s="2511"/>
      <c r="SQN33" s="2511"/>
      <c r="SQO33" s="2511"/>
      <c r="SQP33" s="2511"/>
      <c r="SQQ33" s="2511"/>
      <c r="SQR33" s="2511"/>
      <c r="SQS33" s="2511"/>
      <c r="SQT33" s="2511"/>
      <c r="SQU33" s="2511"/>
      <c r="SQV33" s="2511"/>
      <c r="SQW33" s="2511"/>
      <c r="SQX33" s="2511"/>
      <c r="SQY33" s="2511"/>
      <c r="SQZ33" s="2511"/>
      <c r="SRA33" s="2511"/>
      <c r="SRB33" s="2511"/>
      <c r="SRC33" s="2511"/>
      <c r="SRD33" s="2511"/>
      <c r="SRE33" s="2511"/>
      <c r="SRF33" s="2511"/>
      <c r="SRG33" s="2511"/>
      <c r="SRH33" s="2511"/>
      <c r="SRI33" s="2511"/>
      <c r="SRJ33" s="2511"/>
      <c r="SRK33" s="2511"/>
      <c r="SRL33" s="2511"/>
      <c r="SRM33" s="2511"/>
      <c r="SRN33" s="2511"/>
      <c r="SRO33" s="2511"/>
      <c r="SRP33" s="2511"/>
      <c r="SRQ33" s="2511"/>
      <c r="SRR33" s="2511"/>
      <c r="SRS33" s="2511"/>
      <c r="SRT33" s="2511"/>
      <c r="SRU33" s="2511"/>
      <c r="SRV33" s="2511"/>
      <c r="SRW33" s="2511"/>
      <c r="SRX33" s="2511"/>
      <c r="SRY33" s="2511"/>
      <c r="SRZ33" s="2511"/>
      <c r="SSA33" s="2511"/>
      <c r="SSB33" s="2511"/>
      <c r="SSC33" s="2511"/>
      <c r="SSD33" s="2511"/>
      <c r="SSE33" s="2511"/>
      <c r="SSF33" s="2511"/>
      <c r="SSG33" s="2511"/>
      <c r="SSH33" s="2511"/>
      <c r="SSI33" s="2511"/>
      <c r="SSJ33" s="2511"/>
      <c r="SSK33" s="2511"/>
      <c r="SSL33" s="2511"/>
      <c r="SSM33" s="2511"/>
      <c r="SSN33" s="2511"/>
      <c r="SSO33" s="2511"/>
      <c r="SSP33" s="2511"/>
      <c r="SSQ33" s="2511"/>
      <c r="SSR33" s="2511"/>
      <c r="SSS33" s="2511"/>
      <c r="SST33" s="2511"/>
      <c r="SSU33" s="2511"/>
      <c r="SSV33" s="2511"/>
      <c r="SSW33" s="2511"/>
      <c r="SSX33" s="2511"/>
      <c r="SSY33" s="2511"/>
      <c r="SSZ33" s="2511"/>
      <c r="STA33" s="2511"/>
      <c r="STB33" s="2511"/>
      <c r="STC33" s="2511"/>
      <c r="STD33" s="2511"/>
      <c r="STE33" s="2511"/>
      <c r="STF33" s="2511"/>
      <c r="STG33" s="2511"/>
      <c r="STH33" s="2511"/>
      <c r="STI33" s="2511"/>
      <c r="STJ33" s="2511"/>
      <c r="STK33" s="2511"/>
      <c r="STL33" s="2511"/>
      <c r="STM33" s="2511"/>
      <c r="STN33" s="2511"/>
      <c r="STO33" s="2511"/>
      <c r="STP33" s="2511"/>
      <c r="STQ33" s="2511"/>
      <c r="STR33" s="2511"/>
      <c r="STS33" s="2511"/>
      <c r="STT33" s="2511"/>
      <c r="STU33" s="2511"/>
      <c r="STV33" s="2511"/>
      <c r="STW33" s="2511"/>
      <c r="STX33" s="2511"/>
      <c r="STY33" s="2511"/>
      <c r="STZ33" s="2511"/>
      <c r="SUA33" s="2511"/>
      <c r="SUB33" s="2511"/>
      <c r="SUC33" s="2511"/>
      <c r="SUD33" s="2511"/>
      <c r="SUE33" s="2511"/>
      <c r="SUF33" s="2511"/>
      <c r="SUG33" s="2511"/>
      <c r="SUH33" s="2511"/>
      <c r="SUI33" s="2511"/>
      <c r="SUJ33" s="2511"/>
      <c r="SUK33" s="2511"/>
      <c r="SUL33" s="2511"/>
      <c r="SUM33" s="2511"/>
      <c r="SUN33" s="2511"/>
      <c r="SUO33" s="2511"/>
      <c r="SUP33" s="2511"/>
      <c r="SUQ33" s="2511"/>
      <c r="SUR33" s="2511"/>
      <c r="SUS33" s="2511"/>
      <c r="SUT33" s="2511"/>
      <c r="SUU33" s="2511"/>
      <c r="SUV33" s="2511"/>
      <c r="SUW33" s="2511"/>
      <c r="SUX33" s="2511"/>
      <c r="SUY33" s="2511"/>
      <c r="SUZ33" s="2511"/>
      <c r="SVA33" s="2511"/>
      <c r="SVB33" s="2511"/>
      <c r="SVC33" s="2511"/>
      <c r="SVD33" s="2511"/>
      <c r="SVE33" s="2511"/>
      <c r="SVF33" s="2511"/>
      <c r="SVG33" s="2511"/>
      <c r="SVH33" s="2511"/>
      <c r="SVI33" s="2511"/>
      <c r="SVJ33" s="2511"/>
      <c r="SVK33" s="2511"/>
      <c r="SVL33" s="2511"/>
      <c r="SVM33" s="2511"/>
      <c r="SVN33" s="2511"/>
      <c r="SVO33" s="2511"/>
      <c r="SVP33" s="2511"/>
      <c r="SVQ33" s="2511"/>
      <c r="SVR33" s="2511"/>
      <c r="SVS33" s="2511"/>
      <c r="SVT33" s="2511"/>
      <c r="SVU33" s="2511"/>
      <c r="SVV33" s="2511"/>
      <c r="SVW33" s="2511"/>
      <c r="SVX33" s="2511"/>
      <c r="SVY33" s="2511"/>
      <c r="SVZ33" s="2511"/>
      <c r="SWA33" s="2511"/>
      <c r="SWB33" s="2511"/>
      <c r="SWC33" s="2511"/>
      <c r="SWD33" s="2511"/>
      <c r="SWE33" s="2511"/>
      <c r="SWF33" s="2511"/>
      <c r="SWG33" s="2511"/>
      <c r="SWH33" s="2511"/>
      <c r="SWI33" s="2511"/>
      <c r="SWJ33" s="2511"/>
      <c r="SWK33" s="2511"/>
      <c r="SWL33" s="2511"/>
      <c r="SWM33" s="2511"/>
      <c r="SWN33" s="2511"/>
      <c r="SWO33" s="2511"/>
      <c r="SWP33" s="2511"/>
      <c r="SWQ33" s="2511"/>
      <c r="SWR33" s="2511"/>
      <c r="SWS33" s="2511"/>
      <c r="SWT33" s="2511"/>
      <c r="SWU33" s="2511"/>
      <c r="SWV33" s="2511"/>
      <c r="SWW33" s="2511"/>
      <c r="SWX33" s="2511"/>
      <c r="SWY33" s="2511"/>
      <c r="SWZ33" s="2511"/>
      <c r="SXA33" s="2511"/>
      <c r="SXB33" s="2511"/>
      <c r="SXC33" s="2511"/>
      <c r="SXD33" s="2511"/>
      <c r="SXE33" s="2511"/>
      <c r="SXF33" s="2511"/>
      <c r="SXG33" s="2511"/>
      <c r="SXH33" s="2511"/>
      <c r="SXI33" s="2511"/>
      <c r="SXJ33" s="2511"/>
      <c r="SXK33" s="2511"/>
      <c r="SXL33" s="2511"/>
      <c r="SXM33" s="2511"/>
      <c r="SXN33" s="2511"/>
      <c r="SXO33" s="2511"/>
      <c r="SXP33" s="2511"/>
      <c r="SXQ33" s="2511"/>
      <c r="SXR33" s="2511"/>
      <c r="SXS33" s="2511"/>
      <c r="SXT33" s="2511"/>
      <c r="SXU33" s="2511"/>
      <c r="SXV33" s="2511"/>
      <c r="SXW33" s="2511"/>
      <c r="SXX33" s="2511"/>
      <c r="SXY33" s="2511"/>
      <c r="SXZ33" s="2511"/>
      <c r="SYA33" s="2511"/>
      <c r="SYB33" s="2511"/>
      <c r="SYC33" s="2511"/>
      <c r="SYD33" s="2511"/>
      <c r="SYE33" s="2511"/>
      <c r="SYF33" s="2511"/>
      <c r="SYG33" s="2511"/>
      <c r="SYH33" s="2511"/>
      <c r="SYI33" s="2511"/>
      <c r="SYJ33" s="2511"/>
      <c r="SYK33" s="2511"/>
      <c r="SYL33" s="2511"/>
      <c r="SYM33" s="2511"/>
      <c r="SYN33" s="2511"/>
      <c r="SYO33" s="2511"/>
      <c r="SYP33" s="2511"/>
      <c r="SYQ33" s="2511"/>
      <c r="SYR33" s="2511"/>
      <c r="SYS33" s="2511"/>
      <c r="SYT33" s="2511"/>
      <c r="SYU33" s="2511"/>
      <c r="SYV33" s="2511"/>
      <c r="SYW33" s="2511"/>
      <c r="SYX33" s="2511"/>
      <c r="SYY33" s="2511"/>
      <c r="SYZ33" s="2511"/>
      <c r="SZA33" s="2511"/>
      <c r="SZB33" s="2511"/>
      <c r="SZC33" s="2511"/>
      <c r="SZD33" s="2511"/>
      <c r="SZE33" s="2511"/>
      <c r="SZF33" s="2511"/>
      <c r="SZG33" s="2511"/>
      <c r="SZH33" s="2511"/>
      <c r="SZI33" s="2511"/>
      <c r="SZJ33" s="2511"/>
      <c r="SZK33" s="2511"/>
      <c r="SZL33" s="2511"/>
      <c r="SZM33" s="2511"/>
      <c r="SZN33" s="2511"/>
      <c r="SZO33" s="2511"/>
      <c r="SZP33" s="2511"/>
      <c r="SZQ33" s="2511"/>
      <c r="SZR33" s="2511"/>
      <c r="SZS33" s="2511"/>
      <c r="SZT33" s="2511"/>
      <c r="SZU33" s="2511"/>
      <c r="SZV33" s="2511"/>
      <c r="SZW33" s="2511"/>
      <c r="SZX33" s="2511"/>
      <c r="SZY33" s="2511"/>
      <c r="SZZ33" s="2511"/>
      <c r="TAA33" s="2511"/>
      <c r="TAB33" s="2511"/>
      <c r="TAC33" s="2511"/>
      <c r="TAD33" s="2511"/>
      <c r="TAE33" s="2511"/>
      <c r="TAF33" s="2511"/>
      <c r="TAG33" s="2511"/>
      <c r="TAH33" s="2511"/>
      <c r="TAI33" s="2511"/>
      <c r="TAJ33" s="2511"/>
      <c r="TAK33" s="2511"/>
      <c r="TAL33" s="2511"/>
      <c r="TAM33" s="2511"/>
      <c r="TAN33" s="2511"/>
      <c r="TAO33" s="2511"/>
      <c r="TAP33" s="2511"/>
      <c r="TAQ33" s="2511"/>
      <c r="TAR33" s="2511"/>
      <c r="TAS33" s="2511"/>
      <c r="TAT33" s="2511"/>
      <c r="TAU33" s="2511"/>
      <c r="TAV33" s="2511"/>
      <c r="TAW33" s="2511"/>
      <c r="TAX33" s="2511"/>
      <c r="TAY33" s="2511"/>
      <c r="TAZ33" s="2511"/>
      <c r="TBA33" s="2511"/>
      <c r="TBB33" s="2511"/>
      <c r="TBC33" s="2511"/>
      <c r="TBD33" s="2511"/>
      <c r="TBE33" s="2511"/>
      <c r="TBF33" s="2511"/>
      <c r="TBG33" s="2511"/>
      <c r="TBH33" s="2511"/>
      <c r="TBI33" s="2511"/>
      <c r="TBJ33" s="2511"/>
      <c r="TBK33" s="2511"/>
      <c r="TBL33" s="2511"/>
      <c r="TBM33" s="2511"/>
      <c r="TBN33" s="2511"/>
      <c r="TBO33" s="2511"/>
      <c r="TBP33" s="2511"/>
      <c r="TBQ33" s="2511"/>
      <c r="TBR33" s="2511"/>
      <c r="TBS33" s="2511"/>
      <c r="TBT33" s="2511"/>
      <c r="TBU33" s="2511"/>
      <c r="TBV33" s="2511"/>
      <c r="TBW33" s="2511"/>
      <c r="TBX33" s="2511"/>
      <c r="TBY33" s="2511"/>
      <c r="TBZ33" s="2511"/>
      <c r="TCA33" s="2511"/>
      <c r="TCB33" s="2511"/>
      <c r="TCC33" s="2511"/>
      <c r="TCD33" s="2511"/>
      <c r="TCE33" s="2511"/>
      <c r="TCF33" s="2511"/>
      <c r="TCG33" s="2511"/>
      <c r="TCH33" s="2511"/>
      <c r="TCI33" s="2511"/>
      <c r="TCJ33" s="2511"/>
      <c r="TCK33" s="2511"/>
      <c r="TCL33" s="2511"/>
      <c r="TCM33" s="2511"/>
      <c r="TCN33" s="2511"/>
      <c r="TCO33" s="2511"/>
      <c r="TCP33" s="2511"/>
      <c r="TCQ33" s="2511"/>
      <c r="TCR33" s="2511"/>
      <c r="TCS33" s="2511"/>
      <c r="TCT33" s="2511"/>
      <c r="TCU33" s="2511"/>
      <c r="TCV33" s="2511"/>
      <c r="TCW33" s="2511"/>
      <c r="TCX33" s="2511"/>
      <c r="TCY33" s="2511"/>
      <c r="TCZ33" s="2511"/>
      <c r="TDA33" s="2511"/>
      <c r="TDB33" s="2511"/>
      <c r="TDC33" s="2511"/>
      <c r="TDD33" s="2511"/>
      <c r="TDE33" s="2511"/>
      <c r="TDF33" s="2511"/>
      <c r="TDG33" s="2511"/>
      <c r="TDH33" s="2511"/>
      <c r="TDI33" s="2511"/>
      <c r="TDJ33" s="2511"/>
      <c r="TDK33" s="2511"/>
      <c r="TDL33" s="2511"/>
      <c r="TDM33" s="2511"/>
      <c r="TDN33" s="2511"/>
      <c r="TDO33" s="2511"/>
      <c r="TDP33" s="2511"/>
      <c r="TDQ33" s="2511"/>
      <c r="TDR33" s="2511"/>
      <c r="TDS33" s="2511"/>
      <c r="TDT33" s="2511"/>
      <c r="TDU33" s="2511"/>
      <c r="TDV33" s="2511"/>
      <c r="TDW33" s="2511"/>
      <c r="TDX33" s="2511"/>
      <c r="TDY33" s="2511"/>
      <c r="TDZ33" s="2511"/>
      <c r="TEA33" s="2511"/>
      <c r="TEB33" s="2511"/>
      <c r="TEC33" s="2511"/>
      <c r="TED33" s="2511"/>
      <c r="TEE33" s="2511"/>
      <c r="TEF33" s="2511"/>
      <c r="TEG33" s="2511"/>
      <c r="TEH33" s="2511"/>
      <c r="TEI33" s="2511"/>
      <c r="TEJ33" s="2511"/>
      <c r="TEK33" s="2511"/>
      <c r="TEL33" s="2511"/>
      <c r="TEM33" s="2511"/>
      <c r="TEN33" s="2511"/>
      <c r="TEO33" s="2511"/>
      <c r="TEP33" s="2511"/>
      <c r="TEQ33" s="2511"/>
      <c r="TER33" s="2511"/>
      <c r="TES33" s="2511"/>
      <c r="TET33" s="2511"/>
      <c r="TEU33" s="2511"/>
      <c r="TEV33" s="2511"/>
      <c r="TEW33" s="2511"/>
      <c r="TEX33" s="2511"/>
      <c r="TEY33" s="2511"/>
      <c r="TEZ33" s="2511"/>
      <c r="TFA33" s="2511"/>
      <c r="TFB33" s="2511"/>
      <c r="TFC33" s="2511"/>
      <c r="TFD33" s="2511"/>
      <c r="TFE33" s="2511"/>
      <c r="TFF33" s="2511"/>
      <c r="TFG33" s="2511"/>
      <c r="TFH33" s="2511"/>
      <c r="TFI33" s="2511"/>
      <c r="TFJ33" s="2511"/>
      <c r="TFK33" s="2511"/>
      <c r="TFL33" s="2511"/>
      <c r="TFM33" s="2511"/>
      <c r="TFN33" s="2511"/>
      <c r="TFO33" s="2511"/>
      <c r="TFP33" s="2511"/>
      <c r="TFQ33" s="2511"/>
      <c r="TFR33" s="2511"/>
      <c r="TFS33" s="2511"/>
      <c r="TFT33" s="2511"/>
      <c r="TFU33" s="2511"/>
      <c r="TFV33" s="2511"/>
      <c r="TFW33" s="2511"/>
      <c r="TFX33" s="2511"/>
      <c r="TFY33" s="2511"/>
      <c r="TFZ33" s="2511"/>
      <c r="TGA33" s="2511"/>
      <c r="TGB33" s="2511"/>
      <c r="TGC33" s="2511"/>
      <c r="TGD33" s="2511"/>
      <c r="TGE33" s="2511"/>
      <c r="TGF33" s="2511"/>
      <c r="TGG33" s="2511"/>
      <c r="TGH33" s="2511"/>
      <c r="TGI33" s="2511"/>
      <c r="TGJ33" s="2511"/>
      <c r="TGK33" s="2511"/>
      <c r="TGL33" s="2511"/>
      <c r="TGM33" s="2511"/>
      <c r="TGN33" s="2511"/>
      <c r="TGO33" s="2511"/>
      <c r="TGP33" s="2511"/>
      <c r="TGQ33" s="2511"/>
      <c r="TGR33" s="2511"/>
      <c r="TGS33" s="2511"/>
      <c r="TGT33" s="2511"/>
      <c r="TGU33" s="2511"/>
      <c r="TGV33" s="2511"/>
      <c r="TGW33" s="2511"/>
      <c r="TGX33" s="2511"/>
      <c r="TGY33" s="2511"/>
      <c r="TGZ33" s="2511"/>
      <c r="THA33" s="2511"/>
      <c r="THB33" s="2511"/>
      <c r="THC33" s="2511"/>
      <c r="THD33" s="2511"/>
      <c r="THE33" s="2511"/>
      <c r="THF33" s="2511"/>
      <c r="THG33" s="2511"/>
      <c r="THH33" s="2511"/>
      <c r="THI33" s="2511"/>
      <c r="THJ33" s="2511"/>
      <c r="THK33" s="2511"/>
      <c r="THL33" s="2511"/>
      <c r="THM33" s="2511"/>
      <c r="THN33" s="2511"/>
      <c r="THO33" s="2511"/>
      <c r="THP33" s="2511"/>
      <c r="THQ33" s="2511"/>
      <c r="THR33" s="2511"/>
      <c r="THS33" s="2511"/>
      <c r="THT33" s="2511"/>
      <c r="THU33" s="2511"/>
      <c r="THV33" s="2511"/>
      <c r="THW33" s="2511"/>
      <c r="THX33" s="2511"/>
      <c r="THY33" s="2511"/>
      <c r="THZ33" s="2511"/>
      <c r="TIA33" s="2511"/>
      <c r="TIB33" s="2511"/>
      <c r="TIC33" s="2511"/>
      <c r="TID33" s="2511"/>
      <c r="TIE33" s="2511"/>
      <c r="TIF33" s="2511"/>
      <c r="TIG33" s="2511"/>
      <c r="TIH33" s="2511"/>
      <c r="TII33" s="2511"/>
      <c r="TIJ33" s="2511"/>
      <c r="TIK33" s="2511"/>
      <c r="TIL33" s="2511"/>
      <c r="TIM33" s="2511"/>
      <c r="TIN33" s="2511"/>
      <c r="TIO33" s="2511"/>
      <c r="TIP33" s="2511"/>
      <c r="TIQ33" s="2511"/>
      <c r="TIR33" s="2511"/>
      <c r="TIS33" s="2511"/>
      <c r="TIT33" s="2511"/>
      <c r="TIU33" s="2511"/>
      <c r="TIV33" s="2511"/>
      <c r="TIW33" s="2511"/>
      <c r="TIX33" s="2511"/>
      <c r="TIY33" s="2511"/>
      <c r="TIZ33" s="2511"/>
      <c r="TJA33" s="2511"/>
      <c r="TJB33" s="2511"/>
      <c r="TJC33" s="2511"/>
      <c r="TJD33" s="2511"/>
      <c r="TJE33" s="2511"/>
      <c r="TJF33" s="2511"/>
      <c r="TJG33" s="2511"/>
      <c r="TJH33" s="2511"/>
      <c r="TJI33" s="2511"/>
      <c r="TJJ33" s="2511"/>
      <c r="TJK33" s="2511"/>
      <c r="TJL33" s="2511"/>
      <c r="TJM33" s="2511"/>
      <c r="TJN33" s="2511"/>
      <c r="TJO33" s="2511"/>
      <c r="TJP33" s="2511"/>
      <c r="TJQ33" s="2511"/>
      <c r="TJR33" s="2511"/>
      <c r="TJS33" s="2511"/>
      <c r="TJT33" s="2511"/>
      <c r="TJU33" s="2511"/>
      <c r="TJV33" s="2511"/>
      <c r="TJW33" s="2511"/>
      <c r="TJX33" s="2511"/>
      <c r="TJY33" s="2511"/>
      <c r="TJZ33" s="2511"/>
      <c r="TKA33" s="2511"/>
      <c r="TKB33" s="2511"/>
      <c r="TKC33" s="2511"/>
      <c r="TKD33" s="2511"/>
      <c r="TKE33" s="2511"/>
      <c r="TKF33" s="2511"/>
      <c r="TKG33" s="2511"/>
      <c r="TKH33" s="2511"/>
      <c r="TKI33" s="2511"/>
      <c r="TKJ33" s="2511"/>
      <c r="TKK33" s="2511"/>
      <c r="TKL33" s="2511"/>
      <c r="TKM33" s="2511"/>
      <c r="TKN33" s="2511"/>
      <c r="TKO33" s="2511"/>
      <c r="TKP33" s="2511"/>
      <c r="TKQ33" s="2511"/>
      <c r="TKR33" s="2511"/>
      <c r="TKS33" s="2511"/>
      <c r="TKT33" s="2511"/>
      <c r="TKU33" s="2511"/>
      <c r="TKV33" s="2511"/>
      <c r="TKW33" s="2511"/>
      <c r="TKX33" s="2511"/>
      <c r="TKY33" s="2511"/>
      <c r="TKZ33" s="2511"/>
      <c r="TLA33" s="2511"/>
      <c r="TLB33" s="2511"/>
      <c r="TLC33" s="2511"/>
      <c r="TLD33" s="2511"/>
      <c r="TLE33" s="2511"/>
      <c r="TLF33" s="2511"/>
      <c r="TLG33" s="2511"/>
      <c r="TLH33" s="2511"/>
      <c r="TLI33" s="2511"/>
      <c r="TLJ33" s="2511"/>
      <c r="TLK33" s="2511"/>
      <c r="TLL33" s="2511"/>
      <c r="TLM33" s="2511"/>
      <c r="TLN33" s="2511"/>
      <c r="TLO33" s="2511"/>
      <c r="TLP33" s="2511"/>
      <c r="TLQ33" s="2511"/>
      <c r="TLR33" s="2511"/>
      <c r="TLS33" s="2511"/>
      <c r="TLT33" s="2511"/>
      <c r="TLU33" s="2511"/>
      <c r="TLV33" s="2511"/>
      <c r="TLW33" s="2511"/>
      <c r="TLX33" s="2511"/>
      <c r="TLY33" s="2511"/>
      <c r="TLZ33" s="2511"/>
      <c r="TMA33" s="2511"/>
      <c r="TMB33" s="2511"/>
      <c r="TMC33" s="2511"/>
      <c r="TMD33" s="2511"/>
      <c r="TME33" s="2511"/>
      <c r="TMF33" s="2511"/>
      <c r="TMG33" s="2511"/>
      <c r="TMH33" s="2511"/>
      <c r="TMI33" s="2511"/>
      <c r="TMJ33" s="2511"/>
      <c r="TMK33" s="2511"/>
      <c r="TML33" s="2511"/>
      <c r="TMM33" s="2511"/>
      <c r="TMN33" s="2511"/>
      <c r="TMO33" s="2511"/>
      <c r="TMP33" s="2511"/>
      <c r="TMQ33" s="2511"/>
      <c r="TMR33" s="2511"/>
      <c r="TMS33" s="2511"/>
      <c r="TMT33" s="2511"/>
      <c r="TMU33" s="2511"/>
      <c r="TMV33" s="2511"/>
      <c r="TMW33" s="2511"/>
      <c r="TMX33" s="2511"/>
      <c r="TMY33" s="2511"/>
      <c r="TMZ33" s="2511"/>
      <c r="TNA33" s="2511"/>
      <c r="TNB33" s="2511"/>
      <c r="TNC33" s="2511"/>
      <c r="TND33" s="2511"/>
      <c r="TNE33" s="2511"/>
      <c r="TNF33" s="2511"/>
      <c r="TNG33" s="2511"/>
      <c r="TNH33" s="2511"/>
      <c r="TNI33" s="2511"/>
      <c r="TNJ33" s="2511"/>
      <c r="TNK33" s="2511"/>
      <c r="TNL33" s="2511"/>
      <c r="TNM33" s="2511"/>
      <c r="TNN33" s="2511"/>
      <c r="TNO33" s="2511"/>
      <c r="TNP33" s="2511"/>
      <c r="TNQ33" s="2511"/>
      <c r="TNR33" s="2511"/>
      <c r="TNS33" s="2511"/>
      <c r="TNT33" s="2511"/>
      <c r="TNU33" s="2511"/>
      <c r="TNV33" s="2511"/>
      <c r="TNW33" s="2511"/>
      <c r="TNX33" s="2511"/>
      <c r="TNY33" s="2511"/>
      <c r="TNZ33" s="2511"/>
      <c r="TOA33" s="2511"/>
      <c r="TOB33" s="2511"/>
      <c r="TOC33" s="2511"/>
      <c r="TOD33" s="2511"/>
      <c r="TOE33" s="2511"/>
      <c r="TOF33" s="2511"/>
      <c r="TOG33" s="2511"/>
      <c r="TOH33" s="2511"/>
      <c r="TOI33" s="2511"/>
      <c r="TOJ33" s="2511"/>
      <c r="TOK33" s="2511"/>
      <c r="TOL33" s="2511"/>
      <c r="TOM33" s="2511"/>
      <c r="TON33" s="2511"/>
      <c r="TOO33" s="2511"/>
      <c r="TOP33" s="2511"/>
      <c r="TOQ33" s="2511"/>
      <c r="TOR33" s="2511"/>
      <c r="TOS33" s="2511"/>
      <c r="TOT33" s="2511"/>
      <c r="TOU33" s="2511"/>
      <c r="TOV33" s="2511"/>
      <c r="TOW33" s="2511"/>
      <c r="TOX33" s="2511"/>
      <c r="TOY33" s="2511"/>
      <c r="TOZ33" s="2511"/>
      <c r="TPA33" s="2511"/>
      <c r="TPB33" s="2511"/>
      <c r="TPC33" s="2511"/>
      <c r="TPD33" s="2511"/>
      <c r="TPE33" s="2511"/>
      <c r="TPF33" s="2511"/>
      <c r="TPG33" s="2511"/>
      <c r="TPH33" s="2511"/>
      <c r="TPI33" s="2511"/>
      <c r="TPJ33" s="2511"/>
      <c r="TPK33" s="2511"/>
      <c r="TPL33" s="2511"/>
      <c r="TPM33" s="2511"/>
      <c r="TPN33" s="2511"/>
      <c r="TPO33" s="2511"/>
      <c r="TPP33" s="2511"/>
      <c r="TPQ33" s="2511"/>
      <c r="TPR33" s="2511"/>
      <c r="TPS33" s="2511"/>
      <c r="TPT33" s="2511"/>
      <c r="TPU33" s="2511"/>
      <c r="TPV33" s="2511"/>
      <c r="TPW33" s="2511"/>
      <c r="TPX33" s="2511"/>
      <c r="TPY33" s="2511"/>
      <c r="TPZ33" s="2511"/>
      <c r="TQA33" s="2511"/>
      <c r="TQB33" s="2511"/>
      <c r="TQC33" s="2511"/>
      <c r="TQD33" s="2511"/>
      <c r="TQE33" s="2511"/>
      <c r="TQF33" s="2511"/>
      <c r="TQG33" s="2511"/>
      <c r="TQH33" s="2511"/>
      <c r="TQI33" s="2511"/>
      <c r="TQJ33" s="2511"/>
      <c r="TQK33" s="2511"/>
      <c r="TQL33" s="2511"/>
      <c r="TQM33" s="2511"/>
      <c r="TQN33" s="2511"/>
      <c r="TQO33" s="2511"/>
      <c r="TQP33" s="2511"/>
      <c r="TQQ33" s="2511"/>
      <c r="TQR33" s="2511"/>
      <c r="TQS33" s="2511"/>
      <c r="TQT33" s="2511"/>
      <c r="TQU33" s="2511"/>
      <c r="TQV33" s="2511"/>
      <c r="TQW33" s="2511"/>
      <c r="TQX33" s="2511"/>
      <c r="TQY33" s="2511"/>
      <c r="TQZ33" s="2511"/>
      <c r="TRA33" s="2511"/>
      <c r="TRB33" s="2511"/>
      <c r="TRC33" s="2511"/>
      <c r="TRD33" s="2511"/>
      <c r="TRE33" s="2511"/>
      <c r="TRF33" s="2511"/>
      <c r="TRG33" s="2511"/>
      <c r="TRH33" s="2511"/>
      <c r="TRI33" s="2511"/>
      <c r="TRJ33" s="2511"/>
      <c r="TRK33" s="2511"/>
      <c r="TRL33" s="2511"/>
      <c r="TRM33" s="2511"/>
      <c r="TRN33" s="2511"/>
      <c r="TRO33" s="2511"/>
      <c r="TRP33" s="2511"/>
      <c r="TRQ33" s="2511"/>
      <c r="TRR33" s="2511"/>
      <c r="TRS33" s="2511"/>
      <c r="TRT33" s="2511"/>
      <c r="TRU33" s="2511"/>
      <c r="TRV33" s="2511"/>
      <c r="TRW33" s="2511"/>
      <c r="TRX33" s="2511"/>
      <c r="TRY33" s="2511"/>
      <c r="TRZ33" s="2511"/>
      <c r="TSA33" s="2511"/>
      <c r="TSB33" s="2511"/>
      <c r="TSC33" s="2511"/>
      <c r="TSD33" s="2511"/>
      <c r="TSE33" s="2511"/>
      <c r="TSF33" s="2511"/>
      <c r="TSG33" s="2511"/>
      <c r="TSH33" s="2511"/>
      <c r="TSI33" s="2511"/>
      <c r="TSJ33" s="2511"/>
      <c r="TSK33" s="2511"/>
      <c r="TSL33" s="2511"/>
      <c r="TSM33" s="2511"/>
      <c r="TSN33" s="2511"/>
      <c r="TSO33" s="2511"/>
      <c r="TSP33" s="2511"/>
      <c r="TSQ33" s="2511"/>
      <c r="TSR33" s="2511"/>
      <c r="TSS33" s="2511"/>
      <c r="TST33" s="2511"/>
      <c r="TSU33" s="2511"/>
      <c r="TSV33" s="2511"/>
      <c r="TSW33" s="2511"/>
      <c r="TSX33" s="2511"/>
      <c r="TSY33" s="2511"/>
      <c r="TSZ33" s="2511"/>
      <c r="TTA33" s="2511"/>
      <c r="TTB33" s="2511"/>
      <c r="TTC33" s="2511"/>
      <c r="TTD33" s="2511"/>
      <c r="TTE33" s="2511"/>
      <c r="TTF33" s="2511"/>
      <c r="TTG33" s="2511"/>
      <c r="TTH33" s="2511"/>
      <c r="TTI33" s="2511"/>
      <c r="TTJ33" s="2511"/>
      <c r="TTK33" s="2511"/>
      <c r="TTL33" s="2511"/>
      <c r="TTM33" s="2511"/>
      <c r="TTN33" s="2511"/>
      <c r="TTO33" s="2511"/>
      <c r="TTP33" s="2511"/>
      <c r="TTQ33" s="2511"/>
      <c r="TTR33" s="2511"/>
      <c r="TTS33" s="2511"/>
      <c r="TTT33" s="2511"/>
      <c r="TTU33" s="2511"/>
      <c r="TTV33" s="2511"/>
      <c r="TTW33" s="2511"/>
      <c r="TTX33" s="2511"/>
      <c r="TTY33" s="2511"/>
      <c r="TTZ33" s="2511"/>
      <c r="TUA33" s="2511"/>
      <c r="TUB33" s="2511"/>
      <c r="TUC33" s="2511"/>
      <c r="TUD33" s="2511"/>
      <c r="TUE33" s="2511"/>
      <c r="TUF33" s="2511"/>
      <c r="TUG33" s="2511"/>
      <c r="TUH33" s="2511"/>
      <c r="TUI33" s="2511"/>
      <c r="TUJ33" s="2511"/>
      <c r="TUK33" s="2511"/>
      <c r="TUL33" s="2511"/>
      <c r="TUM33" s="2511"/>
      <c r="TUN33" s="2511"/>
      <c r="TUO33" s="2511"/>
      <c r="TUP33" s="2511"/>
      <c r="TUQ33" s="2511"/>
      <c r="TUR33" s="2511"/>
      <c r="TUS33" s="2511"/>
      <c r="TUT33" s="2511"/>
      <c r="TUU33" s="2511"/>
      <c r="TUV33" s="2511"/>
      <c r="TUW33" s="2511"/>
      <c r="TUX33" s="2511"/>
      <c r="TUY33" s="2511"/>
      <c r="TUZ33" s="2511"/>
      <c r="TVA33" s="2511"/>
      <c r="TVB33" s="2511"/>
      <c r="TVC33" s="2511"/>
      <c r="TVD33" s="2511"/>
      <c r="TVE33" s="2511"/>
      <c r="TVF33" s="2511"/>
      <c r="TVG33" s="2511"/>
      <c r="TVH33" s="2511"/>
      <c r="TVI33" s="2511"/>
      <c r="TVJ33" s="2511"/>
      <c r="TVK33" s="2511"/>
      <c r="TVL33" s="2511"/>
      <c r="TVM33" s="2511"/>
      <c r="TVN33" s="2511"/>
      <c r="TVO33" s="2511"/>
      <c r="TVP33" s="2511"/>
      <c r="TVQ33" s="2511"/>
      <c r="TVR33" s="2511"/>
      <c r="TVS33" s="2511"/>
      <c r="TVT33" s="2511"/>
      <c r="TVU33" s="2511"/>
      <c r="TVV33" s="2511"/>
      <c r="TVW33" s="2511"/>
      <c r="TVX33" s="2511"/>
      <c r="TVY33" s="2511"/>
      <c r="TVZ33" s="2511"/>
      <c r="TWA33" s="2511"/>
      <c r="TWB33" s="2511"/>
      <c r="TWC33" s="2511"/>
      <c r="TWD33" s="2511"/>
      <c r="TWE33" s="2511"/>
      <c r="TWF33" s="2511"/>
      <c r="TWG33" s="2511"/>
      <c r="TWH33" s="2511"/>
      <c r="TWI33" s="2511"/>
      <c r="TWJ33" s="2511"/>
      <c r="TWK33" s="2511"/>
      <c r="TWL33" s="2511"/>
      <c r="TWM33" s="2511"/>
      <c r="TWN33" s="2511"/>
      <c r="TWO33" s="2511"/>
      <c r="TWP33" s="2511"/>
      <c r="TWQ33" s="2511"/>
      <c r="TWR33" s="2511"/>
      <c r="TWS33" s="2511"/>
      <c r="TWT33" s="2511"/>
      <c r="TWU33" s="2511"/>
      <c r="TWV33" s="2511"/>
      <c r="TWW33" s="2511"/>
      <c r="TWX33" s="2511"/>
      <c r="TWY33" s="2511"/>
      <c r="TWZ33" s="2511"/>
      <c r="TXA33" s="2511"/>
      <c r="TXB33" s="2511"/>
      <c r="TXC33" s="2511"/>
      <c r="TXD33" s="2511"/>
      <c r="TXE33" s="2511"/>
      <c r="TXF33" s="2511"/>
      <c r="TXG33" s="2511"/>
      <c r="TXH33" s="2511"/>
      <c r="TXI33" s="2511"/>
      <c r="TXJ33" s="2511"/>
      <c r="TXK33" s="2511"/>
      <c r="TXL33" s="2511"/>
      <c r="TXM33" s="2511"/>
      <c r="TXN33" s="2511"/>
      <c r="TXO33" s="2511"/>
      <c r="TXP33" s="2511"/>
      <c r="TXQ33" s="2511"/>
      <c r="TXR33" s="2511"/>
      <c r="TXS33" s="2511"/>
      <c r="TXT33" s="2511"/>
      <c r="TXU33" s="2511"/>
      <c r="TXV33" s="2511"/>
      <c r="TXW33" s="2511"/>
      <c r="TXX33" s="2511"/>
      <c r="TXY33" s="2511"/>
      <c r="TXZ33" s="2511"/>
      <c r="TYA33" s="2511"/>
      <c r="TYB33" s="2511"/>
      <c r="TYC33" s="2511"/>
      <c r="TYD33" s="2511"/>
      <c r="TYE33" s="2511"/>
      <c r="TYF33" s="2511"/>
      <c r="TYG33" s="2511"/>
      <c r="TYH33" s="2511"/>
      <c r="TYI33" s="2511"/>
      <c r="TYJ33" s="2511"/>
      <c r="TYK33" s="2511"/>
      <c r="TYL33" s="2511"/>
      <c r="TYM33" s="2511"/>
      <c r="TYN33" s="2511"/>
      <c r="TYO33" s="2511"/>
      <c r="TYP33" s="2511"/>
      <c r="TYQ33" s="2511"/>
      <c r="TYR33" s="2511"/>
      <c r="TYS33" s="2511"/>
      <c r="TYT33" s="2511"/>
      <c r="TYU33" s="2511"/>
      <c r="TYV33" s="2511"/>
      <c r="TYW33" s="2511"/>
      <c r="TYX33" s="2511"/>
      <c r="TYY33" s="2511"/>
      <c r="TYZ33" s="2511"/>
      <c r="TZA33" s="2511"/>
      <c r="TZB33" s="2511"/>
      <c r="TZC33" s="2511"/>
      <c r="TZD33" s="2511"/>
      <c r="TZE33" s="2511"/>
      <c r="TZF33" s="2511"/>
      <c r="TZG33" s="2511"/>
      <c r="TZH33" s="2511"/>
      <c r="TZI33" s="2511"/>
      <c r="TZJ33" s="2511"/>
      <c r="TZK33" s="2511"/>
      <c r="TZL33" s="2511"/>
      <c r="TZM33" s="2511"/>
      <c r="TZN33" s="2511"/>
      <c r="TZO33" s="2511"/>
      <c r="TZP33" s="2511"/>
      <c r="TZQ33" s="2511"/>
      <c r="TZR33" s="2511"/>
      <c r="TZS33" s="2511"/>
      <c r="TZT33" s="2511"/>
      <c r="TZU33" s="2511"/>
      <c r="TZV33" s="2511"/>
      <c r="TZW33" s="2511"/>
      <c r="TZX33" s="2511"/>
      <c r="TZY33" s="2511"/>
      <c r="TZZ33" s="2511"/>
      <c r="UAA33" s="2511"/>
      <c r="UAB33" s="2511"/>
      <c r="UAC33" s="2511"/>
      <c r="UAD33" s="2511"/>
      <c r="UAE33" s="2511"/>
      <c r="UAF33" s="2511"/>
      <c r="UAG33" s="2511"/>
      <c r="UAH33" s="2511"/>
      <c r="UAI33" s="2511"/>
      <c r="UAJ33" s="2511"/>
      <c r="UAK33" s="2511"/>
      <c r="UAL33" s="2511"/>
      <c r="UAM33" s="2511"/>
      <c r="UAN33" s="2511"/>
      <c r="UAO33" s="2511"/>
      <c r="UAP33" s="2511"/>
      <c r="UAQ33" s="2511"/>
      <c r="UAR33" s="2511"/>
      <c r="UAS33" s="2511"/>
      <c r="UAT33" s="2511"/>
      <c r="UAU33" s="2511"/>
      <c r="UAV33" s="2511"/>
      <c r="UAW33" s="2511"/>
      <c r="UAX33" s="2511"/>
      <c r="UAY33" s="2511"/>
      <c r="UAZ33" s="2511"/>
      <c r="UBA33" s="2511"/>
      <c r="UBB33" s="2511"/>
      <c r="UBC33" s="2511"/>
      <c r="UBD33" s="2511"/>
      <c r="UBE33" s="2511"/>
      <c r="UBF33" s="2511"/>
      <c r="UBG33" s="2511"/>
      <c r="UBH33" s="2511"/>
      <c r="UBI33" s="2511"/>
      <c r="UBJ33" s="2511"/>
      <c r="UBK33" s="2511"/>
      <c r="UBL33" s="2511"/>
      <c r="UBM33" s="2511"/>
      <c r="UBN33" s="2511"/>
      <c r="UBO33" s="2511"/>
      <c r="UBP33" s="2511"/>
      <c r="UBQ33" s="2511"/>
      <c r="UBR33" s="2511"/>
      <c r="UBS33" s="2511"/>
      <c r="UBT33" s="2511"/>
      <c r="UBU33" s="2511"/>
      <c r="UBV33" s="2511"/>
      <c r="UBW33" s="2511"/>
      <c r="UBX33" s="2511"/>
      <c r="UBY33" s="2511"/>
      <c r="UBZ33" s="2511"/>
      <c r="UCA33" s="2511"/>
      <c r="UCB33" s="2511"/>
      <c r="UCC33" s="2511"/>
      <c r="UCD33" s="2511"/>
      <c r="UCE33" s="2511"/>
      <c r="UCF33" s="2511"/>
      <c r="UCG33" s="2511"/>
      <c r="UCH33" s="2511"/>
      <c r="UCI33" s="2511"/>
      <c r="UCJ33" s="2511"/>
      <c r="UCK33" s="2511"/>
      <c r="UCL33" s="2511"/>
      <c r="UCM33" s="2511"/>
      <c r="UCN33" s="2511"/>
      <c r="UCO33" s="2511"/>
      <c r="UCP33" s="2511"/>
      <c r="UCQ33" s="2511"/>
      <c r="UCR33" s="2511"/>
      <c r="UCS33" s="2511"/>
      <c r="UCT33" s="2511"/>
      <c r="UCU33" s="2511"/>
      <c r="UCV33" s="2511"/>
      <c r="UCW33" s="2511"/>
      <c r="UCX33" s="2511"/>
      <c r="UCY33" s="2511"/>
      <c r="UCZ33" s="2511"/>
      <c r="UDA33" s="2511"/>
      <c r="UDB33" s="2511"/>
      <c r="UDC33" s="2511"/>
      <c r="UDD33" s="2511"/>
      <c r="UDE33" s="2511"/>
      <c r="UDF33" s="2511"/>
      <c r="UDG33" s="2511"/>
      <c r="UDH33" s="2511"/>
      <c r="UDI33" s="2511"/>
      <c r="UDJ33" s="2511"/>
      <c r="UDK33" s="2511"/>
      <c r="UDL33" s="2511"/>
      <c r="UDM33" s="2511"/>
      <c r="UDN33" s="2511"/>
      <c r="UDO33" s="2511"/>
      <c r="UDP33" s="2511"/>
      <c r="UDQ33" s="2511"/>
      <c r="UDR33" s="2511"/>
      <c r="UDS33" s="2511"/>
      <c r="UDT33" s="2511"/>
      <c r="UDU33" s="2511"/>
      <c r="UDV33" s="2511"/>
      <c r="UDW33" s="2511"/>
      <c r="UDX33" s="2511"/>
      <c r="UDY33" s="2511"/>
      <c r="UDZ33" s="2511"/>
      <c r="UEA33" s="2511"/>
      <c r="UEB33" s="2511"/>
      <c r="UEC33" s="2511"/>
      <c r="UED33" s="2511"/>
      <c r="UEE33" s="2511"/>
      <c r="UEF33" s="2511"/>
      <c r="UEG33" s="2511"/>
      <c r="UEH33" s="2511"/>
      <c r="UEI33" s="2511"/>
      <c r="UEJ33" s="2511"/>
      <c r="UEK33" s="2511"/>
      <c r="UEL33" s="2511"/>
      <c r="UEM33" s="2511"/>
      <c r="UEN33" s="2511"/>
      <c r="UEO33" s="2511"/>
      <c r="UEP33" s="2511"/>
      <c r="UEQ33" s="2511"/>
      <c r="UER33" s="2511"/>
      <c r="UES33" s="2511"/>
      <c r="UET33" s="2511"/>
      <c r="UEU33" s="2511"/>
      <c r="UEV33" s="2511"/>
      <c r="UEW33" s="2511"/>
      <c r="UEX33" s="2511"/>
      <c r="UEY33" s="2511"/>
      <c r="UEZ33" s="2511"/>
      <c r="UFA33" s="2511"/>
      <c r="UFB33" s="2511"/>
      <c r="UFC33" s="2511"/>
      <c r="UFD33" s="2511"/>
      <c r="UFE33" s="2511"/>
      <c r="UFF33" s="2511"/>
      <c r="UFG33" s="2511"/>
      <c r="UFH33" s="2511"/>
      <c r="UFI33" s="2511"/>
      <c r="UFJ33" s="2511"/>
      <c r="UFK33" s="2511"/>
      <c r="UFL33" s="2511"/>
      <c r="UFM33" s="2511"/>
      <c r="UFN33" s="2511"/>
      <c r="UFO33" s="2511"/>
      <c r="UFP33" s="2511"/>
      <c r="UFQ33" s="2511"/>
      <c r="UFR33" s="2511"/>
      <c r="UFS33" s="2511"/>
      <c r="UFT33" s="2511"/>
      <c r="UFU33" s="2511"/>
      <c r="UFV33" s="2511"/>
      <c r="UFW33" s="2511"/>
      <c r="UFX33" s="2511"/>
      <c r="UFY33" s="2511"/>
      <c r="UFZ33" s="2511"/>
      <c r="UGA33" s="2511"/>
      <c r="UGB33" s="2511"/>
      <c r="UGC33" s="2511"/>
      <c r="UGD33" s="2511"/>
      <c r="UGE33" s="2511"/>
      <c r="UGF33" s="2511"/>
      <c r="UGG33" s="2511"/>
      <c r="UGH33" s="2511"/>
      <c r="UGI33" s="2511"/>
      <c r="UGJ33" s="2511"/>
      <c r="UGK33" s="2511"/>
      <c r="UGL33" s="2511"/>
      <c r="UGM33" s="2511"/>
      <c r="UGN33" s="2511"/>
      <c r="UGO33" s="2511"/>
      <c r="UGP33" s="2511"/>
      <c r="UGQ33" s="2511"/>
      <c r="UGR33" s="2511"/>
      <c r="UGS33" s="2511"/>
      <c r="UGT33" s="2511"/>
      <c r="UGU33" s="2511"/>
      <c r="UGV33" s="2511"/>
      <c r="UGW33" s="2511"/>
      <c r="UGX33" s="2511"/>
      <c r="UGY33" s="2511"/>
      <c r="UGZ33" s="2511"/>
      <c r="UHA33" s="2511"/>
      <c r="UHB33" s="2511"/>
      <c r="UHC33" s="2511"/>
      <c r="UHD33" s="2511"/>
      <c r="UHE33" s="2511"/>
      <c r="UHF33" s="2511"/>
      <c r="UHG33" s="2511"/>
      <c r="UHH33" s="2511"/>
      <c r="UHI33" s="2511"/>
      <c r="UHJ33" s="2511"/>
      <c r="UHK33" s="2511"/>
      <c r="UHL33" s="2511"/>
      <c r="UHM33" s="2511"/>
      <c r="UHN33" s="2511"/>
      <c r="UHO33" s="2511"/>
      <c r="UHP33" s="2511"/>
      <c r="UHQ33" s="2511"/>
      <c r="UHR33" s="2511"/>
      <c r="UHS33" s="2511"/>
      <c r="UHT33" s="2511"/>
      <c r="UHU33" s="2511"/>
      <c r="UHV33" s="2511"/>
      <c r="UHW33" s="2511"/>
      <c r="UHX33" s="2511"/>
      <c r="UHY33" s="2511"/>
      <c r="UHZ33" s="2511"/>
      <c r="UIA33" s="2511"/>
      <c r="UIB33" s="2511"/>
      <c r="UIC33" s="2511"/>
      <c r="UID33" s="2511"/>
      <c r="UIE33" s="2511"/>
      <c r="UIF33" s="2511"/>
      <c r="UIG33" s="2511"/>
      <c r="UIH33" s="2511"/>
      <c r="UII33" s="2511"/>
      <c r="UIJ33" s="2511"/>
      <c r="UIK33" s="2511"/>
      <c r="UIL33" s="2511"/>
      <c r="UIM33" s="2511"/>
      <c r="UIN33" s="2511"/>
      <c r="UIO33" s="2511"/>
      <c r="UIP33" s="2511"/>
      <c r="UIQ33" s="2511"/>
      <c r="UIR33" s="2511"/>
      <c r="UIS33" s="2511"/>
      <c r="UIT33" s="2511"/>
      <c r="UIU33" s="2511"/>
      <c r="UIV33" s="2511"/>
      <c r="UIW33" s="2511"/>
      <c r="UIX33" s="2511"/>
      <c r="UIY33" s="2511"/>
      <c r="UIZ33" s="2511"/>
      <c r="UJA33" s="2511"/>
      <c r="UJB33" s="2511"/>
      <c r="UJC33" s="2511"/>
      <c r="UJD33" s="2511"/>
      <c r="UJE33" s="2511"/>
      <c r="UJF33" s="2511"/>
      <c r="UJG33" s="2511"/>
      <c r="UJH33" s="2511"/>
      <c r="UJI33" s="2511"/>
      <c r="UJJ33" s="2511"/>
      <c r="UJK33" s="2511"/>
      <c r="UJL33" s="2511"/>
      <c r="UJM33" s="2511"/>
      <c r="UJN33" s="2511"/>
      <c r="UJO33" s="2511"/>
      <c r="UJP33" s="2511"/>
      <c r="UJQ33" s="2511"/>
      <c r="UJR33" s="2511"/>
      <c r="UJS33" s="2511"/>
      <c r="UJT33" s="2511"/>
      <c r="UJU33" s="2511"/>
      <c r="UJV33" s="2511"/>
      <c r="UJW33" s="2511"/>
      <c r="UJX33" s="2511"/>
      <c r="UJY33" s="2511"/>
      <c r="UJZ33" s="2511"/>
      <c r="UKA33" s="2511"/>
      <c r="UKB33" s="2511"/>
      <c r="UKC33" s="2511"/>
      <c r="UKD33" s="2511"/>
      <c r="UKE33" s="2511"/>
      <c r="UKF33" s="2511"/>
      <c r="UKG33" s="2511"/>
      <c r="UKH33" s="2511"/>
      <c r="UKI33" s="2511"/>
      <c r="UKJ33" s="2511"/>
      <c r="UKK33" s="2511"/>
      <c r="UKL33" s="2511"/>
      <c r="UKM33" s="2511"/>
      <c r="UKN33" s="2511"/>
      <c r="UKO33" s="2511"/>
      <c r="UKP33" s="2511"/>
      <c r="UKQ33" s="2511"/>
      <c r="UKR33" s="2511"/>
      <c r="UKS33" s="2511"/>
      <c r="UKT33" s="2511"/>
      <c r="UKU33" s="2511"/>
      <c r="UKV33" s="2511"/>
      <c r="UKW33" s="2511"/>
      <c r="UKX33" s="2511"/>
      <c r="UKY33" s="2511"/>
      <c r="UKZ33" s="2511"/>
      <c r="ULA33" s="2511"/>
      <c r="ULB33" s="2511"/>
      <c r="ULC33" s="2511"/>
      <c r="ULD33" s="2511"/>
      <c r="ULE33" s="2511"/>
      <c r="ULF33" s="2511"/>
      <c r="ULG33" s="2511"/>
      <c r="ULH33" s="2511"/>
      <c r="ULI33" s="2511"/>
      <c r="ULJ33" s="2511"/>
      <c r="ULK33" s="2511"/>
      <c r="ULL33" s="2511"/>
      <c r="ULM33" s="2511"/>
      <c r="ULN33" s="2511"/>
      <c r="ULO33" s="2511"/>
      <c r="ULP33" s="2511"/>
      <c r="ULQ33" s="2511"/>
      <c r="ULR33" s="2511"/>
      <c r="ULS33" s="2511"/>
      <c r="ULT33" s="2511"/>
      <c r="ULU33" s="2511"/>
      <c r="ULV33" s="2511"/>
      <c r="ULW33" s="2511"/>
      <c r="ULX33" s="2511"/>
      <c r="ULY33" s="2511"/>
      <c r="ULZ33" s="2511"/>
      <c r="UMA33" s="2511"/>
      <c r="UMB33" s="2511"/>
      <c r="UMC33" s="2511"/>
      <c r="UMD33" s="2511"/>
      <c r="UME33" s="2511"/>
      <c r="UMF33" s="2511"/>
      <c r="UMG33" s="2511"/>
      <c r="UMH33" s="2511"/>
      <c r="UMI33" s="2511"/>
      <c r="UMJ33" s="2511"/>
      <c r="UMK33" s="2511"/>
      <c r="UML33" s="2511"/>
      <c r="UMM33" s="2511"/>
      <c r="UMN33" s="2511"/>
      <c r="UMO33" s="2511"/>
      <c r="UMP33" s="2511"/>
      <c r="UMQ33" s="2511"/>
      <c r="UMR33" s="2511"/>
      <c r="UMS33" s="2511"/>
      <c r="UMT33" s="2511"/>
      <c r="UMU33" s="2511"/>
      <c r="UMV33" s="2511"/>
      <c r="UMW33" s="2511"/>
      <c r="UMX33" s="2511"/>
      <c r="UMY33" s="2511"/>
      <c r="UMZ33" s="2511"/>
      <c r="UNA33" s="2511"/>
      <c r="UNB33" s="2511"/>
      <c r="UNC33" s="2511"/>
      <c r="UND33" s="2511"/>
      <c r="UNE33" s="2511"/>
      <c r="UNF33" s="2511"/>
      <c r="UNG33" s="2511"/>
      <c r="UNH33" s="2511"/>
      <c r="UNI33" s="2511"/>
      <c r="UNJ33" s="2511"/>
      <c r="UNK33" s="2511"/>
      <c r="UNL33" s="2511"/>
      <c r="UNM33" s="2511"/>
      <c r="UNN33" s="2511"/>
      <c r="UNO33" s="2511"/>
      <c r="UNP33" s="2511"/>
      <c r="UNQ33" s="2511"/>
      <c r="UNR33" s="2511"/>
      <c r="UNS33" s="2511"/>
      <c r="UNT33" s="2511"/>
      <c r="UNU33" s="2511"/>
      <c r="UNV33" s="2511"/>
      <c r="UNW33" s="2511"/>
      <c r="UNX33" s="2511"/>
      <c r="UNY33" s="2511"/>
      <c r="UNZ33" s="2511"/>
      <c r="UOA33" s="2511"/>
      <c r="UOB33" s="2511"/>
      <c r="UOC33" s="2511"/>
      <c r="UOD33" s="2511"/>
      <c r="UOE33" s="2511"/>
      <c r="UOF33" s="2511"/>
      <c r="UOG33" s="2511"/>
      <c r="UOH33" s="2511"/>
      <c r="UOI33" s="2511"/>
      <c r="UOJ33" s="2511"/>
      <c r="UOK33" s="2511"/>
      <c r="UOL33" s="2511"/>
      <c r="UOM33" s="2511"/>
      <c r="UON33" s="2511"/>
      <c r="UOO33" s="2511"/>
      <c r="UOP33" s="2511"/>
      <c r="UOQ33" s="2511"/>
      <c r="UOR33" s="2511"/>
      <c r="UOS33" s="2511"/>
      <c r="UOT33" s="2511"/>
      <c r="UOU33" s="2511"/>
      <c r="UOV33" s="2511"/>
      <c r="UOW33" s="2511"/>
      <c r="UOX33" s="2511"/>
      <c r="UOY33" s="2511"/>
      <c r="UOZ33" s="2511"/>
      <c r="UPA33" s="2511"/>
      <c r="UPB33" s="2511"/>
      <c r="UPC33" s="2511"/>
      <c r="UPD33" s="2511"/>
      <c r="UPE33" s="2511"/>
      <c r="UPF33" s="2511"/>
      <c r="UPG33" s="2511"/>
      <c r="UPH33" s="2511"/>
      <c r="UPI33" s="2511"/>
      <c r="UPJ33" s="2511"/>
      <c r="UPK33" s="2511"/>
      <c r="UPL33" s="2511"/>
      <c r="UPM33" s="2511"/>
      <c r="UPN33" s="2511"/>
      <c r="UPO33" s="2511"/>
      <c r="UPP33" s="2511"/>
      <c r="UPQ33" s="2511"/>
      <c r="UPR33" s="2511"/>
      <c r="UPS33" s="2511"/>
      <c r="UPT33" s="2511"/>
      <c r="UPU33" s="2511"/>
      <c r="UPV33" s="2511"/>
      <c r="UPW33" s="2511"/>
      <c r="UPX33" s="2511"/>
      <c r="UPY33" s="2511"/>
      <c r="UPZ33" s="2511"/>
      <c r="UQA33" s="2511"/>
      <c r="UQB33" s="2511"/>
      <c r="UQC33" s="2511"/>
      <c r="UQD33" s="2511"/>
      <c r="UQE33" s="2511"/>
      <c r="UQF33" s="2511"/>
      <c r="UQG33" s="2511"/>
      <c r="UQH33" s="2511"/>
      <c r="UQI33" s="2511"/>
      <c r="UQJ33" s="2511"/>
      <c r="UQK33" s="2511"/>
      <c r="UQL33" s="2511"/>
      <c r="UQM33" s="2511"/>
      <c r="UQN33" s="2511"/>
      <c r="UQO33" s="2511"/>
      <c r="UQP33" s="2511"/>
      <c r="UQQ33" s="2511"/>
      <c r="UQR33" s="2511"/>
      <c r="UQS33" s="2511"/>
      <c r="UQT33" s="2511"/>
      <c r="UQU33" s="2511"/>
      <c r="UQV33" s="2511"/>
      <c r="UQW33" s="2511"/>
      <c r="UQX33" s="2511"/>
      <c r="UQY33" s="2511"/>
      <c r="UQZ33" s="2511"/>
      <c r="URA33" s="2511"/>
      <c r="URB33" s="2511"/>
      <c r="URC33" s="2511"/>
      <c r="URD33" s="2511"/>
      <c r="URE33" s="2511"/>
      <c r="URF33" s="2511"/>
      <c r="URG33" s="2511"/>
      <c r="URH33" s="2511"/>
      <c r="URI33" s="2511"/>
      <c r="URJ33" s="2511"/>
      <c r="URK33" s="2511"/>
      <c r="URL33" s="2511"/>
      <c r="URM33" s="2511"/>
      <c r="URN33" s="2511"/>
      <c r="URO33" s="2511"/>
      <c r="URP33" s="2511"/>
      <c r="URQ33" s="2511"/>
      <c r="URR33" s="2511"/>
      <c r="URS33" s="2511"/>
      <c r="URT33" s="2511"/>
      <c r="URU33" s="2511"/>
      <c r="URV33" s="2511"/>
      <c r="URW33" s="2511"/>
      <c r="URX33" s="2511"/>
      <c r="URY33" s="2511"/>
      <c r="URZ33" s="2511"/>
      <c r="USA33" s="2511"/>
      <c r="USB33" s="2511"/>
      <c r="USC33" s="2511"/>
      <c r="USD33" s="2511"/>
      <c r="USE33" s="2511"/>
      <c r="USF33" s="2511"/>
      <c r="USG33" s="2511"/>
      <c r="USH33" s="2511"/>
      <c r="USI33" s="2511"/>
      <c r="USJ33" s="2511"/>
      <c r="USK33" s="2511"/>
      <c r="USL33" s="2511"/>
      <c r="USM33" s="2511"/>
      <c r="USN33" s="2511"/>
      <c r="USO33" s="2511"/>
      <c r="USP33" s="2511"/>
      <c r="USQ33" s="2511"/>
      <c r="USR33" s="2511"/>
      <c r="USS33" s="2511"/>
      <c r="UST33" s="2511"/>
      <c r="USU33" s="2511"/>
      <c r="USV33" s="2511"/>
      <c r="USW33" s="2511"/>
      <c r="USX33" s="2511"/>
      <c r="USY33" s="2511"/>
      <c r="USZ33" s="2511"/>
      <c r="UTA33" s="2511"/>
      <c r="UTB33" s="2511"/>
      <c r="UTC33" s="2511"/>
      <c r="UTD33" s="2511"/>
      <c r="UTE33" s="2511"/>
      <c r="UTF33" s="2511"/>
      <c r="UTG33" s="2511"/>
      <c r="UTH33" s="2511"/>
      <c r="UTI33" s="2511"/>
      <c r="UTJ33" s="2511"/>
      <c r="UTK33" s="2511"/>
      <c r="UTL33" s="2511"/>
      <c r="UTM33" s="2511"/>
      <c r="UTN33" s="2511"/>
      <c r="UTO33" s="2511"/>
      <c r="UTP33" s="2511"/>
      <c r="UTQ33" s="2511"/>
      <c r="UTR33" s="2511"/>
      <c r="UTS33" s="2511"/>
      <c r="UTT33" s="2511"/>
      <c r="UTU33" s="2511"/>
      <c r="UTV33" s="2511"/>
      <c r="UTW33" s="2511"/>
      <c r="UTX33" s="2511"/>
      <c r="UTY33" s="2511"/>
      <c r="UTZ33" s="2511"/>
      <c r="UUA33" s="2511"/>
      <c r="UUB33" s="2511"/>
      <c r="UUC33" s="2511"/>
      <c r="UUD33" s="2511"/>
      <c r="UUE33" s="2511"/>
      <c r="UUF33" s="2511"/>
      <c r="UUG33" s="2511"/>
      <c r="UUH33" s="2511"/>
      <c r="UUI33" s="2511"/>
      <c r="UUJ33" s="2511"/>
      <c r="UUK33" s="2511"/>
      <c r="UUL33" s="2511"/>
      <c r="UUM33" s="2511"/>
      <c r="UUN33" s="2511"/>
      <c r="UUO33" s="2511"/>
      <c r="UUP33" s="2511"/>
      <c r="UUQ33" s="2511"/>
      <c r="UUR33" s="2511"/>
      <c r="UUS33" s="2511"/>
      <c r="UUT33" s="2511"/>
      <c r="UUU33" s="2511"/>
      <c r="UUV33" s="2511"/>
      <c r="UUW33" s="2511"/>
      <c r="UUX33" s="2511"/>
      <c r="UUY33" s="2511"/>
      <c r="UUZ33" s="2511"/>
      <c r="UVA33" s="2511"/>
      <c r="UVB33" s="2511"/>
      <c r="UVC33" s="2511"/>
      <c r="UVD33" s="2511"/>
      <c r="UVE33" s="2511"/>
      <c r="UVF33" s="2511"/>
      <c r="UVG33" s="2511"/>
      <c r="UVH33" s="2511"/>
      <c r="UVI33" s="2511"/>
      <c r="UVJ33" s="2511"/>
      <c r="UVK33" s="2511"/>
      <c r="UVL33" s="2511"/>
      <c r="UVM33" s="2511"/>
      <c r="UVN33" s="2511"/>
      <c r="UVO33" s="2511"/>
      <c r="UVP33" s="2511"/>
      <c r="UVQ33" s="2511"/>
      <c r="UVR33" s="2511"/>
      <c r="UVS33" s="2511"/>
      <c r="UVT33" s="2511"/>
      <c r="UVU33" s="2511"/>
      <c r="UVV33" s="2511"/>
      <c r="UVW33" s="2511"/>
      <c r="UVX33" s="2511"/>
      <c r="UVY33" s="2511"/>
      <c r="UVZ33" s="2511"/>
      <c r="UWA33" s="2511"/>
      <c r="UWB33" s="2511"/>
      <c r="UWC33" s="2511"/>
      <c r="UWD33" s="2511"/>
      <c r="UWE33" s="2511"/>
      <c r="UWF33" s="2511"/>
      <c r="UWG33" s="2511"/>
      <c r="UWH33" s="2511"/>
      <c r="UWI33" s="2511"/>
      <c r="UWJ33" s="2511"/>
      <c r="UWK33" s="2511"/>
      <c r="UWL33" s="2511"/>
      <c r="UWM33" s="2511"/>
      <c r="UWN33" s="2511"/>
      <c r="UWO33" s="2511"/>
      <c r="UWP33" s="2511"/>
      <c r="UWQ33" s="2511"/>
      <c r="UWR33" s="2511"/>
      <c r="UWS33" s="2511"/>
      <c r="UWT33" s="2511"/>
      <c r="UWU33" s="2511"/>
      <c r="UWV33" s="2511"/>
      <c r="UWW33" s="2511"/>
      <c r="UWX33" s="2511"/>
      <c r="UWY33" s="2511"/>
      <c r="UWZ33" s="2511"/>
      <c r="UXA33" s="2511"/>
      <c r="UXB33" s="2511"/>
      <c r="UXC33" s="2511"/>
      <c r="UXD33" s="2511"/>
      <c r="UXE33" s="2511"/>
      <c r="UXF33" s="2511"/>
      <c r="UXG33" s="2511"/>
      <c r="UXH33" s="2511"/>
      <c r="UXI33" s="2511"/>
      <c r="UXJ33" s="2511"/>
      <c r="UXK33" s="2511"/>
      <c r="UXL33" s="2511"/>
      <c r="UXM33" s="2511"/>
      <c r="UXN33" s="2511"/>
      <c r="UXO33" s="2511"/>
      <c r="UXP33" s="2511"/>
      <c r="UXQ33" s="2511"/>
      <c r="UXR33" s="2511"/>
      <c r="UXS33" s="2511"/>
      <c r="UXT33" s="2511"/>
      <c r="UXU33" s="2511"/>
      <c r="UXV33" s="2511"/>
      <c r="UXW33" s="2511"/>
      <c r="UXX33" s="2511"/>
      <c r="UXY33" s="2511"/>
      <c r="UXZ33" s="2511"/>
      <c r="UYA33" s="2511"/>
      <c r="UYB33" s="2511"/>
      <c r="UYC33" s="2511"/>
      <c r="UYD33" s="2511"/>
      <c r="UYE33" s="2511"/>
      <c r="UYF33" s="2511"/>
      <c r="UYG33" s="2511"/>
      <c r="UYH33" s="2511"/>
      <c r="UYI33" s="2511"/>
      <c r="UYJ33" s="2511"/>
      <c r="UYK33" s="2511"/>
      <c r="UYL33" s="2511"/>
      <c r="UYM33" s="2511"/>
      <c r="UYN33" s="2511"/>
      <c r="UYO33" s="2511"/>
      <c r="UYP33" s="2511"/>
      <c r="UYQ33" s="2511"/>
      <c r="UYR33" s="2511"/>
      <c r="UYS33" s="2511"/>
      <c r="UYT33" s="2511"/>
      <c r="UYU33" s="2511"/>
      <c r="UYV33" s="2511"/>
      <c r="UYW33" s="2511"/>
      <c r="UYX33" s="2511"/>
      <c r="UYY33" s="2511"/>
      <c r="UYZ33" s="2511"/>
      <c r="UZA33" s="2511"/>
      <c r="UZB33" s="2511"/>
      <c r="UZC33" s="2511"/>
      <c r="UZD33" s="2511"/>
      <c r="UZE33" s="2511"/>
      <c r="UZF33" s="2511"/>
      <c r="UZG33" s="2511"/>
      <c r="UZH33" s="2511"/>
      <c r="UZI33" s="2511"/>
      <c r="UZJ33" s="2511"/>
      <c r="UZK33" s="2511"/>
      <c r="UZL33" s="2511"/>
      <c r="UZM33" s="2511"/>
      <c r="UZN33" s="2511"/>
      <c r="UZO33" s="2511"/>
      <c r="UZP33" s="2511"/>
      <c r="UZQ33" s="2511"/>
      <c r="UZR33" s="2511"/>
      <c r="UZS33" s="2511"/>
      <c r="UZT33" s="2511"/>
      <c r="UZU33" s="2511"/>
      <c r="UZV33" s="2511"/>
      <c r="UZW33" s="2511"/>
      <c r="UZX33" s="2511"/>
      <c r="UZY33" s="2511"/>
      <c r="UZZ33" s="2511"/>
      <c r="VAA33" s="2511"/>
      <c r="VAB33" s="2511"/>
      <c r="VAC33" s="2511"/>
      <c r="VAD33" s="2511"/>
      <c r="VAE33" s="2511"/>
      <c r="VAF33" s="2511"/>
      <c r="VAG33" s="2511"/>
      <c r="VAH33" s="2511"/>
      <c r="VAI33" s="2511"/>
      <c r="VAJ33" s="2511"/>
      <c r="VAK33" s="2511"/>
      <c r="VAL33" s="2511"/>
      <c r="VAM33" s="2511"/>
      <c r="VAN33" s="2511"/>
      <c r="VAO33" s="2511"/>
      <c r="VAP33" s="2511"/>
      <c r="VAQ33" s="2511"/>
      <c r="VAR33" s="2511"/>
      <c r="VAS33" s="2511"/>
      <c r="VAT33" s="2511"/>
      <c r="VAU33" s="2511"/>
      <c r="VAV33" s="2511"/>
      <c r="VAW33" s="2511"/>
      <c r="VAX33" s="2511"/>
      <c r="VAY33" s="2511"/>
      <c r="VAZ33" s="2511"/>
      <c r="VBA33" s="2511"/>
      <c r="VBB33" s="2511"/>
      <c r="VBC33" s="2511"/>
      <c r="VBD33" s="2511"/>
      <c r="VBE33" s="2511"/>
      <c r="VBF33" s="2511"/>
      <c r="VBG33" s="2511"/>
      <c r="VBH33" s="2511"/>
      <c r="VBI33" s="2511"/>
      <c r="VBJ33" s="2511"/>
      <c r="VBK33" s="2511"/>
      <c r="VBL33" s="2511"/>
      <c r="VBM33" s="2511"/>
      <c r="VBN33" s="2511"/>
      <c r="VBO33" s="2511"/>
      <c r="VBP33" s="2511"/>
      <c r="VBQ33" s="2511"/>
      <c r="VBR33" s="2511"/>
      <c r="VBS33" s="2511"/>
      <c r="VBT33" s="2511"/>
      <c r="VBU33" s="2511"/>
      <c r="VBV33" s="2511"/>
      <c r="VBW33" s="2511"/>
      <c r="VBX33" s="2511"/>
      <c r="VBY33" s="2511"/>
      <c r="VBZ33" s="2511"/>
      <c r="VCA33" s="2511"/>
      <c r="VCB33" s="2511"/>
      <c r="VCC33" s="2511"/>
      <c r="VCD33" s="2511"/>
      <c r="VCE33" s="2511"/>
      <c r="VCF33" s="2511"/>
      <c r="VCG33" s="2511"/>
      <c r="VCH33" s="2511"/>
      <c r="VCI33" s="2511"/>
      <c r="VCJ33" s="2511"/>
      <c r="VCK33" s="2511"/>
      <c r="VCL33" s="2511"/>
      <c r="VCM33" s="2511"/>
      <c r="VCN33" s="2511"/>
      <c r="VCO33" s="2511"/>
      <c r="VCP33" s="2511"/>
      <c r="VCQ33" s="2511"/>
      <c r="VCR33" s="2511"/>
      <c r="VCS33" s="2511"/>
      <c r="VCT33" s="2511"/>
      <c r="VCU33" s="2511"/>
      <c r="VCV33" s="2511"/>
      <c r="VCW33" s="2511"/>
      <c r="VCX33" s="2511"/>
      <c r="VCY33" s="2511"/>
      <c r="VCZ33" s="2511"/>
      <c r="VDA33" s="2511"/>
      <c r="VDB33" s="2511"/>
      <c r="VDC33" s="2511"/>
      <c r="VDD33" s="2511"/>
      <c r="VDE33" s="2511"/>
      <c r="VDF33" s="2511"/>
      <c r="VDG33" s="2511"/>
      <c r="VDH33" s="2511"/>
      <c r="VDI33" s="2511"/>
      <c r="VDJ33" s="2511"/>
      <c r="VDK33" s="2511"/>
      <c r="VDL33" s="2511"/>
      <c r="VDM33" s="2511"/>
      <c r="VDN33" s="2511"/>
      <c r="VDO33" s="2511"/>
      <c r="VDP33" s="2511"/>
      <c r="VDQ33" s="2511"/>
      <c r="VDR33" s="2511"/>
      <c r="VDS33" s="2511"/>
      <c r="VDT33" s="2511"/>
      <c r="VDU33" s="2511"/>
      <c r="VDV33" s="2511"/>
      <c r="VDW33" s="2511"/>
      <c r="VDX33" s="2511"/>
      <c r="VDY33" s="2511"/>
      <c r="VDZ33" s="2511"/>
      <c r="VEA33" s="2511"/>
      <c r="VEB33" s="2511"/>
      <c r="VEC33" s="2511"/>
      <c r="VED33" s="2511"/>
      <c r="VEE33" s="2511"/>
      <c r="VEF33" s="2511"/>
      <c r="VEG33" s="2511"/>
      <c r="VEH33" s="2511"/>
      <c r="VEI33" s="2511"/>
      <c r="VEJ33" s="2511"/>
      <c r="VEK33" s="2511"/>
      <c r="VEL33" s="2511"/>
      <c r="VEM33" s="2511"/>
      <c r="VEN33" s="2511"/>
      <c r="VEO33" s="2511"/>
      <c r="VEP33" s="2511"/>
      <c r="VEQ33" s="2511"/>
      <c r="VER33" s="2511"/>
      <c r="VES33" s="2511"/>
      <c r="VET33" s="2511"/>
      <c r="VEU33" s="2511"/>
      <c r="VEV33" s="2511"/>
      <c r="VEW33" s="2511"/>
      <c r="VEX33" s="2511"/>
      <c r="VEY33" s="2511"/>
      <c r="VEZ33" s="2511"/>
      <c r="VFA33" s="2511"/>
      <c r="VFB33" s="2511"/>
      <c r="VFC33" s="2511"/>
      <c r="VFD33" s="2511"/>
      <c r="VFE33" s="2511"/>
      <c r="VFF33" s="2511"/>
      <c r="VFG33" s="2511"/>
      <c r="VFH33" s="2511"/>
      <c r="VFI33" s="2511"/>
      <c r="VFJ33" s="2511"/>
      <c r="VFK33" s="2511"/>
      <c r="VFL33" s="2511"/>
      <c r="VFM33" s="2511"/>
      <c r="VFN33" s="2511"/>
      <c r="VFO33" s="2511"/>
      <c r="VFP33" s="2511"/>
      <c r="VFQ33" s="2511"/>
      <c r="VFR33" s="2511"/>
      <c r="VFS33" s="2511"/>
      <c r="VFT33" s="2511"/>
      <c r="VFU33" s="2511"/>
      <c r="VFV33" s="2511"/>
      <c r="VFW33" s="2511"/>
      <c r="VFX33" s="2511"/>
      <c r="VFY33" s="2511"/>
      <c r="VFZ33" s="2511"/>
      <c r="VGA33" s="2511"/>
      <c r="VGB33" s="2511"/>
      <c r="VGC33" s="2511"/>
      <c r="VGD33" s="2511"/>
      <c r="VGE33" s="2511"/>
      <c r="VGF33" s="2511"/>
      <c r="VGG33" s="2511"/>
      <c r="VGH33" s="2511"/>
      <c r="VGI33" s="2511"/>
      <c r="VGJ33" s="2511"/>
      <c r="VGK33" s="2511"/>
      <c r="VGL33" s="2511"/>
      <c r="VGM33" s="2511"/>
      <c r="VGN33" s="2511"/>
      <c r="VGO33" s="2511"/>
      <c r="VGP33" s="2511"/>
      <c r="VGQ33" s="2511"/>
      <c r="VGR33" s="2511"/>
      <c r="VGS33" s="2511"/>
      <c r="VGT33" s="2511"/>
      <c r="VGU33" s="2511"/>
      <c r="VGV33" s="2511"/>
      <c r="VGW33" s="2511"/>
      <c r="VGX33" s="2511"/>
      <c r="VGY33" s="2511"/>
      <c r="VGZ33" s="2511"/>
      <c r="VHA33" s="2511"/>
      <c r="VHB33" s="2511"/>
      <c r="VHC33" s="2511"/>
      <c r="VHD33" s="2511"/>
      <c r="VHE33" s="2511"/>
      <c r="VHF33" s="2511"/>
      <c r="VHG33" s="2511"/>
      <c r="VHH33" s="2511"/>
      <c r="VHI33" s="2511"/>
      <c r="VHJ33" s="2511"/>
      <c r="VHK33" s="2511"/>
      <c r="VHL33" s="2511"/>
      <c r="VHM33" s="2511"/>
      <c r="VHN33" s="2511"/>
      <c r="VHO33" s="2511"/>
      <c r="VHP33" s="2511"/>
      <c r="VHQ33" s="2511"/>
      <c r="VHR33" s="2511"/>
      <c r="VHS33" s="2511"/>
      <c r="VHT33" s="2511"/>
      <c r="VHU33" s="2511"/>
      <c r="VHV33" s="2511"/>
      <c r="VHW33" s="2511"/>
      <c r="VHX33" s="2511"/>
      <c r="VHY33" s="2511"/>
      <c r="VHZ33" s="2511"/>
      <c r="VIA33" s="2511"/>
      <c r="VIB33" s="2511"/>
      <c r="VIC33" s="2511"/>
      <c r="VID33" s="2511"/>
      <c r="VIE33" s="2511"/>
      <c r="VIF33" s="2511"/>
      <c r="VIG33" s="2511"/>
      <c r="VIH33" s="2511"/>
      <c r="VII33" s="2511"/>
      <c r="VIJ33" s="2511"/>
      <c r="VIK33" s="2511"/>
      <c r="VIL33" s="2511"/>
      <c r="VIM33" s="2511"/>
      <c r="VIN33" s="2511"/>
      <c r="VIO33" s="2511"/>
      <c r="VIP33" s="2511"/>
      <c r="VIQ33" s="2511"/>
      <c r="VIR33" s="2511"/>
      <c r="VIS33" s="2511"/>
      <c r="VIT33" s="2511"/>
      <c r="VIU33" s="2511"/>
      <c r="VIV33" s="2511"/>
      <c r="VIW33" s="2511"/>
      <c r="VIX33" s="2511"/>
      <c r="VIY33" s="2511"/>
      <c r="VIZ33" s="2511"/>
      <c r="VJA33" s="2511"/>
      <c r="VJB33" s="2511"/>
      <c r="VJC33" s="2511"/>
      <c r="VJD33" s="2511"/>
      <c r="VJE33" s="2511"/>
      <c r="VJF33" s="2511"/>
      <c r="VJG33" s="2511"/>
      <c r="VJH33" s="2511"/>
      <c r="VJI33" s="2511"/>
      <c r="VJJ33" s="2511"/>
      <c r="VJK33" s="2511"/>
      <c r="VJL33" s="2511"/>
      <c r="VJM33" s="2511"/>
      <c r="VJN33" s="2511"/>
      <c r="VJO33" s="2511"/>
      <c r="VJP33" s="2511"/>
      <c r="VJQ33" s="2511"/>
      <c r="VJR33" s="2511"/>
      <c r="VJS33" s="2511"/>
      <c r="VJT33" s="2511"/>
      <c r="VJU33" s="2511"/>
      <c r="VJV33" s="2511"/>
      <c r="VJW33" s="2511"/>
      <c r="VJX33" s="2511"/>
      <c r="VJY33" s="2511"/>
      <c r="VJZ33" s="2511"/>
      <c r="VKA33" s="2511"/>
      <c r="VKB33" s="2511"/>
      <c r="VKC33" s="2511"/>
      <c r="VKD33" s="2511"/>
      <c r="VKE33" s="2511"/>
      <c r="VKF33" s="2511"/>
      <c r="VKG33" s="2511"/>
      <c r="VKH33" s="2511"/>
      <c r="VKI33" s="2511"/>
      <c r="VKJ33" s="2511"/>
      <c r="VKK33" s="2511"/>
      <c r="VKL33" s="2511"/>
      <c r="VKM33" s="2511"/>
      <c r="VKN33" s="2511"/>
      <c r="VKO33" s="2511"/>
      <c r="VKP33" s="2511"/>
      <c r="VKQ33" s="2511"/>
      <c r="VKR33" s="2511"/>
      <c r="VKS33" s="2511"/>
      <c r="VKT33" s="2511"/>
      <c r="VKU33" s="2511"/>
      <c r="VKV33" s="2511"/>
      <c r="VKW33" s="2511"/>
      <c r="VKX33" s="2511"/>
      <c r="VKY33" s="2511"/>
      <c r="VKZ33" s="2511"/>
      <c r="VLA33" s="2511"/>
      <c r="VLB33" s="2511"/>
      <c r="VLC33" s="2511"/>
      <c r="VLD33" s="2511"/>
      <c r="VLE33" s="2511"/>
      <c r="VLF33" s="2511"/>
      <c r="VLG33" s="2511"/>
      <c r="VLH33" s="2511"/>
      <c r="VLI33" s="2511"/>
      <c r="VLJ33" s="2511"/>
      <c r="VLK33" s="2511"/>
      <c r="VLL33" s="2511"/>
      <c r="VLM33" s="2511"/>
      <c r="VLN33" s="2511"/>
      <c r="VLO33" s="2511"/>
      <c r="VLP33" s="2511"/>
      <c r="VLQ33" s="2511"/>
      <c r="VLR33" s="2511"/>
      <c r="VLS33" s="2511"/>
      <c r="VLT33" s="2511"/>
      <c r="VLU33" s="2511"/>
      <c r="VLV33" s="2511"/>
      <c r="VLW33" s="2511"/>
      <c r="VLX33" s="2511"/>
      <c r="VLY33" s="2511"/>
      <c r="VLZ33" s="2511"/>
      <c r="VMA33" s="2511"/>
      <c r="VMB33" s="2511"/>
      <c r="VMC33" s="2511"/>
      <c r="VMD33" s="2511"/>
      <c r="VME33" s="2511"/>
      <c r="VMF33" s="2511"/>
      <c r="VMG33" s="2511"/>
      <c r="VMH33" s="2511"/>
      <c r="VMI33" s="2511"/>
      <c r="VMJ33" s="2511"/>
      <c r="VMK33" s="2511"/>
      <c r="VML33" s="2511"/>
      <c r="VMM33" s="2511"/>
      <c r="VMN33" s="2511"/>
      <c r="VMO33" s="2511"/>
      <c r="VMP33" s="2511"/>
      <c r="VMQ33" s="2511"/>
      <c r="VMR33" s="2511"/>
      <c r="VMS33" s="2511"/>
      <c r="VMT33" s="2511"/>
      <c r="VMU33" s="2511"/>
      <c r="VMV33" s="2511"/>
      <c r="VMW33" s="2511"/>
      <c r="VMX33" s="2511"/>
      <c r="VMY33" s="2511"/>
      <c r="VMZ33" s="2511"/>
      <c r="VNA33" s="2511"/>
      <c r="VNB33" s="2511"/>
      <c r="VNC33" s="2511"/>
      <c r="VND33" s="2511"/>
      <c r="VNE33" s="2511"/>
      <c r="VNF33" s="2511"/>
      <c r="VNG33" s="2511"/>
      <c r="VNH33" s="2511"/>
      <c r="VNI33" s="2511"/>
      <c r="VNJ33" s="2511"/>
      <c r="VNK33" s="2511"/>
      <c r="VNL33" s="2511"/>
      <c r="VNM33" s="2511"/>
      <c r="VNN33" s="2511"/>
      <c r="VNO33" s="2511"/>
      <c r="VNP33" s="2511"/>
      <c r="VNQ33" s="2511"/>
      <c r="VNR33" s="2511"/>
      <c r="VNS33" s="2511"/>
      <c r="VNT33" s="2511"/>
      <c r="VNU33" s="2511"/>
      <c r="VNV33" s="2511"/>
      <c r="VNW33" s="2511"/>
      <c r="VNX33" s="2511"/>
      <c r="VNY33" s="2511"/>
      <c r="VNZ33" s="2511"/>
      <c r="VOA33" s="2511"/>
      <c r="VOB33" s="2511"/>
      <c r="VOC33" s="2511"/>
      <c r="VOD33" s="2511"/>
      <c r="VOE33" s="2511"/>
      <c r="VOF33" s="2511"/>
      <c r="VOG33" s="2511"/>
      <c r="VOH33" s="2511"/>
      <c r="VOI33" s="2511"/>
      <c r="VOJ33" s="2511"/>
      <c r="VOK33" s="2511"/>
      <c r="VOL33" s="2511"/>
      <c r="VOM33" s="2511"/>
      <c r="VON33" s="2511"/>
      <c r="VOO33" s="2511"/>
      <c r="VOP33" s="2511"/>
      <c r="VOQ33" s="2511"/>
      <c r="VOR33" s="2511"/>
      <c r="VOS33" s="2511"/>
      <c r="VOT33" s="2511"/>
      <c r="VOU33" s="2511"/>
      <c r="VOV33" s="2511"/>
      <c r="VOW33" s="2511"/>
      <c r="VOX33" s="2511"/>
      <c r="VOY33" s="2511"/>
      <c r="VOZ33" s="2511"/>
      <c r="VPA33" s="2511"/>
      <c r="VPB33" s="2511"/>
      <c r="VPC33" s="2511"/>
      <c r="VPD33" s="2511"/>
      <c r="VPE33" s="2511"/>
      <c r="VPF33" s="2511"/>
      <c r="VPG33" s="2511"/>
      <c r="VPH33" s="2511"/>
      <c r="VPI33" s="2511"/>
      <c r="VPJ33" s="2511"/>
      <c r="VPK33" s="2511"/>
      <c r="VPL33" s="2511"/>
      <c r="VPM33" s="2511"/>
      <c r="VPN33" s="2511"/>
      <c r="VPO33" s="2511"/>
      <c r="VPP33" s="2511"/>
      <c r="VPQ33" s="2511"/>
      <c r="VPR33" s="2511"/>
      <c r="VPS33" s="2511"/>
      <c r="VPT33" s="2511"/>
      <c r="VPU33" s="2511"/>
      <c r="VPV33" s="2511"/>
      <c r="VPW33" s="2511"/>
      <c r="VPX33" s="2511"/>
      <c r="VPY33" s="2511"/>
      <c r="VPZ33" s="2511"/>
      <c r="VQA33" s="2511"/>
      <c r="VQB33" s="2511"/>
      <c r="VQC33" s="2511"/>
      <c r="VQD33" s="2511"/>
      <c r="VQE33" s="2511"/>
      <c r="VQF33" s="2511"/>
      <c r="VQG33" s="2511"/>
      <c r="VQH33" s="2511"/>
      <c r="VQI33" s="2511"/>
      <c r="VQJ33" s="2511"/>
      <c r="VQK33" s="2511"/>
      <c r="VQL33" s="2511"/>
      <c r="VQM33" s="2511"/>
      <c r="VQN33" s="2511"/>
      <c r="VQO33" s="2511"/>
      <c r="VQP33" s="2511"/>
      <c r="VQQ33" s="2511"/>
      <c r="VQR33" s="2511"/>
      <c r="VQS33" s="2511"/>
      <c r="VQT33" s="2511"/>
      <c r="VQU33" s="2511"/>
      <c r="VQV33" s="2511"/>
      <c r="VQW33" s="2511"/>
      <c r="VQX33" s="2511"/>
      <c r="VQY33" s="2511"/>
      <c r="VQZ33" s="2511"/>
      <c r="VRA33" s="2511"/>
      <c r="VRB33" s="2511"/>
      <c r="VRC33" s="2511"/>
      <c r="VRD33" s="2511"/>
      <c r="VRE33" s="2511"/>
      <c r="VRF33" s="2511"/>
      <c r="VRG33" s="2511"/>
      <c r="VRH33" s="2511"/>
      <c r="VRI33" s="2511"/>
      <c r="VRJ33" s="2511"/>
      <c r="VRK33" s="2511"/>
      <c r="VRL33" s="2511"/>
      <c r="VRM33" s="2511"/>
      <c r="VRN33" s="2511"/>
      <c r="VRO33" s="2511"/>
      <c r="VRP33" s="2511"/>
      <c r="VRQ33" s="2511"/>
      <c r="VRR33" s="2511"/>
      <c r="VRS33" s="2511"/>
      <c r="VRT33" s="2511"/>
      <c r="VRU33" s="2511"/>
      <c r="VRV33" s="2511"/>
      <c r="VRW33" s="2511"/>
      <c r="VRX33" s="2511"/>
      <c r="VRY33" s="2511"/>
      <c r="VRZ33" s="2511"/>
      <c r="VSA33" s="2511"/>
      <c r="VSB33" s="2511"/>
      <c r="VSC33" s="2511"/>
      <c r="VSD33" s="2511"/>
      <c r="VSE33" s="2511"/>
      <c r="VSF33" s="2511"/>
      <c r="VSG33" s="2511"/>
      <c r="VSH33" s="2511"/>
      <c r="VSI33" s="2511"/>
      <c r="VSJ33" s="2511"/>
      <c r="VSK33" s="2511"/>
      <c r="VSL33" s="2511"/>
      <c r="VSM33" s="2511"/>
      <c r="VSN33" s="2511"/>
      <c r="VSO33" s="2511"/>
      <c r="VSP33" s="2511"/>
      <c r="VSQ33" s="2511"/>
      <c r="VSR33" s="2511"/>
      <c r="VSS33" s="2511"/>
      <c r="VST33" s="2511"/>
      <c r="VSU33" s="2511"/>
      <c r="VSV33" s="2511"/>
      <c r="VSW33" s="2511"/>
      <c r="VSX33" s="2511"/>
      <c r="VSY33" s="2511"/>
      <c r="VSZ33" s="2511"/>
      <c r="VTA33" s="2511"/>
      <c r="VTB33" s="2511"/>
      <c r="VTC33" s="2511"/>
      <c r="VTD33" s="2511"/>
      <c r="VTE33" s="2511"/>
      <c r="VTF33" s="2511"/>
      <c r="VTG33" s="2511"/>
      <c r="VTH33" s="2511"/>
      <c r="VTI33" s="2511"/>
      <c r="VTJ33" s="2511"/>
      <c r="VTK33" s="2511"/>
      <c r="VTL33" s="2511"/>
      <c r="VTM33" s="2511"/>
      <c r="VTN33" s="2511"/>
      <c r="VTO33" s="2511"/>
      <c r="VTP33" s="2511"/>
      <c r="VTQ33" s="2511"/>
      <c r="VTR33" s="2511"/>
      <c r="VTS33" s="2511"/>
      <c r="VTT33" s="2511"/>
      <c r="VTU33" s="2511"/>
      <c r="VTV33" s="2511"/>
      <c r="VTW33" s="2511"/>
      <c r="VTX33" s="2511"/>
      <c r="VTY33" s="2511"/>
      <c r="VTZ33" s="2511"/>
      <c r="VUA33" s="2511"/>
      <c r="VUB33" s="2511"/>
      <c r="VUC33" s="2511"/>
      <c r="VUD33" s="2511"/>
      <c r="VUE33" s="2511"/>
      <c r="VUF33" s="2511"/>
      <c r="VUG33" s="2511"/>
      <c r="VUH33" s="2511"/>
      <c r="VUI33" s="2511"/>
      <c r="VUJ33" s="2511"/>
      <c r="VUK33" s="2511"/>
      <c r="VUL33" s="2511"/>
      <c r="VUM33" s="2511"/>
      <c r="VUN33" s="2511"/>
      <c r="VUO33" s="2511"/>
      <c r="VUP33" s="2511"/>
      <c r="VUQ33" s="2511"/>
      <c r="VUR33" s="2511"/>
      <c r="VUS33" s="2511"/>
      <c r="VUT33" s="2511"/>
      <c r="VUU33" s="2511"/>
      <c r="VUV33" s="2511"/>
      <c r="VUW33" s="2511"/>
      <c r="VUX33" s="2511"/>
      <c r="VUY33" s="2511"/>
      <c r="VUZ33" s="2511"/>
      <c r="VVA33" s="2511"/>
      <c r="VVB33" s="2511"/>
      <c r="VVC33" s="2511"/>
      <c r="VVD33" s="2511"/>
      <c r="VVE33" s="2511"/>
      <c r="VVF33" s="2511"/>
      <c r="VVG33" s="2511"/>
      <c r="VVH33" s="2511"/>
      <c r="VVI33" s="2511"/>
      <c r="VVJ33" s="2511"/>
      <c r="VVK33" s="2511"/>
      <c r="VVL33" s="2511"/>
      <c r="VVM33" s="2511"/>
      <c r="VVN33" s="2511"/>
      <c r="VVO33" s="2511"/>
      <c r="VVP33" s="2511"/>
      <c r="VVQ33" s="2511"/>
      <c r="VVR33" s="2511"/>
      <c r="VVS33" s="2511"/>
      <c r="VVT33" s="2511"/>
      <c r="VVU33" s="2511"/>
      <c r="VVV33" s="2511"/>
      <c r="VVW33" s="2511"/>
      <c r="VVX33" s="2511"/>
      <c r="VVY33" s="2511"/>
      <c r="VVZ33" s="2511"/>
      <c r="VWA33" s="2511"/>
      <c r="VWB33" s="2511"/>
      <c r="VWC33" s="2511"/>
      <c r="VWD33" s="2511"/>
      <c r="VWE33" s="2511"/>
      <c r="VWF33" s="2511"/>
      <c r="VWG33" s="2511"/>
      <c r="VWH33" s="2511"/>
      <c r="VWI33" s="2511"/>
      <c r="VWJ33" s="2511"/>
      <c r="VWK33" s="2511"/>
      <c r="VWL33" s="2511"/>
      <c r="VWM33" s="2511"/>
      <c r="VWN33" s="2511"/>
      <c r="VWO33" s="2511"/>
      <c r="VWP33" s="2511"/>
      <c r="VWQ33" s="2511"/>
      <c r="VWR33" s="2511"/>
      <c r="VWS33" s="2511"/>
      <c r="VWT33" s="2511"/>
      <c r="VWU33" s="2511"/>
      <c r="VWV33" s="2511"/>
      <c r="VWW33" s="2511"/>
      <c r="VWX33" s="2511"/>
      <c r="VWY33" s="2511"/>
      <c r="VWZ33" s="2511"/>
      <c r="VXA33" s="2511"/>
      <c r="VXB33" s="2511"/>
      <c r="VXC33" s="2511"/>
      <c r="VXD33" s="2511"/>
      <c r="VXE33" s="2511"/>
      <c r="VXF33" s="2511"/>
      <c r="VXG33" s="2511"/>
      <c r="VXH33" s="2511"/>
      <c r="VXI33" s="2511"/>
      <c r="VXJ33" s="2511"/>
      <c r="VXK33" s="2511"/>
      <c r="VXL33" s="2511"/>
      <c r="VXM33" s="2511"/>
      <c r="VXN33" s="2511"/>
      <c r="VXO33" s="2511"/>
      <c r="VXP33" s="2511"/>
      <c r="VXQ33" s="2511"/>
      <c r="VXR33" s="2511"/>
      <c r="VXS33" s="2511"/>
      <c r="VXT33" s="2511"/>
      <c r="VXU33" s="2511"/>
      <c r="VXV33" s="2511"/>
      <c r="VXW33" s="2511"/>
      <c r="VXX33" s="2511"/>
      <c r="VXY33" s="2511"/>
      <c r="VXZ33" s="2511"/>
      <c r="VYA33" s="2511"/>
      <c r="VYB33" s="2511"/>
      <c r="VYC33" s="2511"/>
      <c r="VYD33" s="2511"/>
      <c r="VYE33" s="2511"/>
      <c r="VYF33" s="2511"/>
      <c r="VYG33" s="2511"/>
      <c r="VYH33" s="2511"/>
      <c r="VYI33" s="2511"/>
      <c r="VYJ33" s="2511"/>
      <c r="VYK33" s="2511"/>
      <c r="VYL33" s="2511"/>
      <c r="VYM33" s="2511"/>
      <c r="VYN33" s="2511"/>
      <c r="VYO33" s="2511"/>
      <c r="VYP33" s="2511"/>
      <c r="VYQ33" s="2511"/>
      <c r="VYR33" s="2511"/>
      <c r="VYS33" s="2511"/>
      <c r="VYT33" s="2511"/>
      <c r="VYU33" s="2511"/>
      <c r="VYV33" s="2511"/>
      <c r="VYW33" s="2511"/>
      <c r="VYX33" s="2511"/>
      <c r="VYY33" s="2511"/>
      <c r="VYZ33" s="2511"/>
      <c r="VZA33" s="2511"/>
      <c r="VZB33" s="2511"/>
      <c r="VZC33" s="2511"/>
      <c r="VZD33" s="2511"/>
      <c r="VZE33" s="2511"/>
      <c r="VZF33" s="2511"/>
      <c r="VZG33" s="2511"/>
      <c r="VZH33" s="2511"/>
      <c r="VZI33" s="2511"/>
      <c r="VZJ33" s="2511"/>
      <c r="VZK33" s="2511"/>
      <c r="VZL33" s="2511"/>
      <c r="VZM33" s="2511"/>
      <c r="VZN33" s="2511"/>
      <c r="VZO33" s="2511"/>
      <c r="VZP33" s="2511"/>
      <c r="VZQ33" s="2511"/>
      <c r="VZR33" s="2511"/>
      <c r="VZS33" s="2511"/>
      <c r="VZT33" s="2511"/>
      <c r="VZU33" s="2511"/>
      <c r="VZV33" s="2511"/>
      <c r="VZW33" s="2511"/>
      <c r="VZX33" s="2511"/>
      <c r="VZY33" s="2511"/>
      <c r="VZZ33" s="2511"/>
      <c r="WAA33" s="2511"/>
      <c r="WAB33" s="2511"/>
      <c r="WAC33" s="2511"/>
      <c r="WAD33" s="2511"/>
      <c r="WAE33" s="2511"/>
      <c r="WAF33" s="2511"/>
      <c r="WAG33" s="2511"/>
      <c r="WAH33" s="2511"/>
      <c r="WAI33" s="2511"/>
      <c r="WAJ33" s="2511"/>
      <c r="WAK33" s="2511"/>
      <c r="WAL33" s="2511"/>
      <c r="WAM33" s="2511"/>
      <c r="WAN33" s="2511"/>
      <c r="WAO33" s="2511"/>
      <c r="WAP33" s="2511"/>
      <c r="WAQ33" s="2511"/>
      <c r="WAR33" s="2511"/>
      <c r="WAS33" s="2511"/>
      <c r="WAT33" s="2511"/>
      <c r="WAU33" s="2511"/>
      <c r="WAV33" s="2511"/>
      <c r="WAW33" s="2511"/>
      <c r="WAX33" s="2511"/>
      <c r="WAY33" s="2511"/>
      <c r="WAZ33" s="2511"/>
      <c r="WBA33" s="2511"/>
      <c r="WBB33" s="2511"/>
      <c r="WBC33" s="2511"/>
      <c r="WBD33" s="2511"/>
      <c r="WBE33" s="2511"/>
      <c r="WBF33" s="2511"/>
      <c r="WBG33" s="2511"/>
      <c r="WBH33" s="2511"/>
      <c r="WBI33" s="2511"/>
      <c r="WBJ33" s="2511"/>
      <c r="WBK33" s="2511"/>
      <c r="WBL33" s="2511"/>
      <c r="WBM33" s="2511"/>
      <c r="WBN33" s="2511"/>
      <c r="WBO33" s="2511"/>
      <c r="WBP33" s="2511"/>
      <c r="WBQ33" s="2511"/>
      <c r="WBR33" s="2511"/>
      <c r="WBS33" s="2511"/>
      <c r="WBT33" s="2511"/>
      <c r="WBU33" s="2511"/>
      <c r="WBV33" s="2511"/>
      <c r="WBW33" s="2511"/>
      <c r="WBX33" s="2511"/>
      <c r="WBY33" s="2511"/>
      <c r="WBZ33" s="2511"/>
      <c r="WCA33" s="2511"/>
      <c r="WCB33" s="2511"/>
      <c r="WCC33" s="2511"/>
      <c r="WCD33" s="2511"/>
      <c r="WCE33" s="2511"/>
      <c r="WCF33" s="2511"/>
      <c r="WCG33" s="2511"/>
      <c r="WCH33" s="2511"/>
      <c r="WCI33" s="2511"/>
      <c r="WCJ33" s="2511"/>
      <c r="WCK33" s="2511"/>
      <c r="WCL33" s="2511"/>
      <c r="WCM33" s="2511"/>
      <c r="WCN33" s="2511"/>
      <c r="WCO33" s="2511"/>
      <c r="WCP33" s="2511"/>
      <c r="WCQ33" s="2511"/>
      <c r="WCR33" s="2511"/>
      <c r="WCS33" s="2511"/>
      <c r="WCT33" s="2511"/>
      <c r="WCU33" s="2511"/>
      <c r="WCV33" s="2511"/>
      <c r="WCW33" s="2511"/>
      <c r="WCX33" s="2511"/>
      <c r="WCY33" s="2511"/>
      <c r="WCZ33" s="2511"/>
      <c r="WDA33" s="2511"/>
      <c r="WDB33" s="2511"/>
      <c r="WDC33" s="2511"/>
      <c r="WDD33" s="2511"/>
      <c r="WDE33" s="2511"/>
      <c r="WDF33" s="2511"/>
      <c r="WDG33" s="2511"/>
      <c r="WDH33" s="2511"/>
      <c r="WDI33" s="2511"/>
      <c r="WDJ33" s="2511"/>
      <c r="WDK33" s="2511"/>
      <c r="WDL33" s="2511"/>
      <c r="WDM33" s="2511"/>
      <c r="WDN33" s="2511"/>
      <c r="WDO33" s="2511"/>
      <c r="WDP33" s="2511"/>
      <c r="WDQ33" s="2511"/>
      <c r="WDR33" s="2511"/>
      <c r="WDS33" s="2511"/>
      <c r="WDT33" s="2511"/>
      <c r="WDU33" s="2511"/>
      <c r="WDV33" s="2511"/>
      <c r="WDW33" s="2511"/>
      <c r="WDX33" s="2511"/>
      <c r="WDY33" s="2511"/>
      <c r="WDZ33" s="2511"/>
      <c r="WEA33" s="2511"/>
      <c r="WEB33" s="2511"/>
      <c r="WEC33" s="2511"/>
      <c r="WED33" s="2511"/>
      <c r="WEE33" s="2511"/>
      <c r="WEF33" s="2511"/>
      <c r="WEG33" s="2511"/>
      <c r="WEH33" s="2511"/>
      <c r="WEI33" s="2511"/>
      <c r="WEJ33" s="2511"/>
      <c r="WEK33" s="2511"/>
      <c r="WEL33" s="2511"/>
      <c r="WEM33" s="2511"/>
      <c r="WEN33" s="2511"/>
      <c r="WEO33" s="2511"/>
      <c r="WEP33" s="2511"/>
      <c r="WEQ33" s="2511"/>
      <c r="WER33" s="2511"/>
      <c r="WES33" s="2511"/>
      <c r="WET33" s="2511"/>
      <c r="WEU33" s="2511"/>
      <c r="WEV33" s="2511"/>
      <c r="WEW33" s="2511"/>
      <c r="WEX33" s="2511"/>
      <c r="WEY33" s="2511"/>
      <c r="WEZ33" s="2511"/>
      <c r="WFA33" s="2511"/>
      <c r="WFB33" s="2511"/>
      <c r="WFC33" s="2511"/>
      <c r="WFD33" s="2511"/>
      <c r="WFE33" s="2511"/>
      <c r="WFF33" s="2511"/>
      <c r="WFG33" s="2511"/>
      <c r="WFH33" s="2511"/>
      <c r="WFI33" s="2511"/>
      <c r="WFJ33" s="2511"/>
      <c r="WFK33" s="2511"/>
      <c r="WFL33" s="2511"/>
      <c r="WFM33" s="2511"/>
      <c r="WFN33" s="2511"/>
      <c r="WFO33" s="2511"/>
      <c r="WFP33" s="2511"/>
      <c r="WFQ33" s="2511"/>
      <c r="WFR33" s="2511"/>
      <c r="WFS33" s="2511"/>
      <c r="WFT33" s="2511"/>
      <c r="WFU33" s="2511"/>
      <c r="WFV33" s="2511"/>
      <c r="WFW33" s="2511"/>
      <c r="WFX33" s="2511"/>
      <c r="WFY33" s="2511"/>
      <c r="WFZ33" s="2511"/>
      <c r="WGA33" s="2511"/>
      <c r="WGB33" s="2511"/>
      <c r="WGC33" s="2511"/>
      <c r="WGD33" s="2511"/>
      <c r="WGE33" s="2511"/>
      <c r="WGF33" s="2511"/>
      <c r="WGG33" s="2511"/>
      <c r="WGH33" s="2511"/>
      <c r="WGI33" s="2511"/>
      <c r="WGJ33" s="2511"/>
      <c r="WGK33" s="2511"/>
      <c r="WGL33" s="2511"/>
      <c r="WGM33" s="2511"/>
      <c r="WGN33" s="2511"/>
      <c r="WGO33" s="2511"/>
      <c r="WGP33" s="2511"/>
      <c r="WGQ33" s="2511"/>
      <c r="WGR33" s="2511"/>
      <c r="WGS33" s="2511"/>
      <c r="WGT33" s="2511"/>
      <c r="WGU33" s="2511"/>
      <c r="WGV33" s="2511"/>
      <c r="WGW33" s="2511"/>
      <c r="WGX33" s="2511"/>
      <c r="WGY33" s="2511"/>
      <c r="WGZ33" s="2511"/>
      <c r="WHA33" s="2511"/>
      <c r="WHB33" s="2511"/>
      <c r="WHC33" s="2511"/>
      <c r="WHD33" s="2511"/>
      <c r="WHE33" s="2511"/>
      <c r="WHF33" s="2511"/>
      <c r="WHG33" s="2511"/>
      <c r="WHH33" s="2511"/>
      <c r="WHI33" s="2511"/>
      <c r="WHJ33" s="2511"/>
      <c r="WHK33" s="2511"/>
      <c r="WHL33" s="2511"/>
      <c r="WHM33" s="2511"/>
      <c r="WHN33" s="2511"/>
      <c r="WHO33" s="2511"/>
      <c r="WHP33" s="2511"/>
      <c r="WHQ33" s="2511"/>
      <c r="WHR33" s="2511"/>
      <c r="WHS33" s="2511"/>
      <c r="WHT33" s="2511"/>
      <c r="WHU33" s="2511"/>
      <c r="WHV33" s="2511"/>
      <c r="WHW33" s="2511"/>
      <c r="WHX33" s="2511"/>
      <c r="WHY33" s="2511"/>
      <c r="WHZ33" s="2511"/>
      <c r="WIA33" s="2511"/>
      <c r="WIB33" s="2511"/>
      <c r="WIC33" s="2511"/>
      <c r="WID33" s="2511"/>
      <c r="WIE33" s="2511"/>
      <c r="WIF33" s="2511"/>
      <c r="WIG33" s="2511"/>
      <c r="WIH33" s="2511"/>
      <c r="WII33" s="2511"/>
      <c r="WIJ33" s="2511"/>
      <c r="WIK33" s="2511"/>
      <c r="WIL33" s="2511"/>
      <c r="WIM33" s="2511"/>
      <c r="WIN33" s="2511"/>
      <c r="WIO33" s="2511"/>
      <c r="WIP33" s="2511"/>
      <c r="WIQ33" s="2511"/>
      <c r="WIR33" s="2511"/>
      <c r="WIS33" s="2511"/>
      <c r="WIT33" s="2511"/>
      <c r="WIU33" s="2511"/>
      <c r="WIV33" s="2511"/>
      <c r="WIW33" s="2511"/>
      <c r="WIX33" s="2511"/>
      <c r="WIY33" s="2511"/>
      <c r="WIZ33" s="2511"/>
      <c r="WJA33" s="2511"/>
      <c r="WJB33" s="2511"/>
      <c r="WJC33" s="2511"/>
      <c r="WJD33" s="2511"/>
      <c r="WJE33" s="2511"/>
      <c r="WJF33" s="2511"/>
      <c r="WJG33" s="2511"/>
      <c r="WJH33" s="2511"/>
      <c r="WJI33" s="2511"/>
      <c r="WJJ33" s="2511"/>
      <c r="WJK33" s="2511"/>
      <c r="WJL33" s="2511"/>
      <c r="WJM33" s="2511"/>
      <c r="WJN33" s="2511"/>
      <c r="WJO33" s="2511"/>
      <c r="WJP33" s="2511"/>
      <c r="WJQ33" s="2511"/>
      <c r="WJR33" s="2511"/>
      <c r="WJS33" s="2511"/>
      <c r="WJT33" s="2511"/>
      <c r="WJU33" s="2511"/>
      <c r="WJV33" s="2511"/>
      <c r="WJW33" s="2511"/>
      <c r="WJX33" s="2511"/>
      <c r="WJY33" s="2511"/>
      <c r="WJZ33" s="2511"/>
      <c r="WKA33" s="2511"/>
      <c r="WKB33" s="2511"/>
      <c r="WKC33" s="2511"/>
      <c r="WKD33" s="2511"/>
      <c r="WKE33" s="2511"/>
      <c r="WKF33" s="2511"/>
      <c r="WKG33" s="2511"/>
      <c r="WKH33" s="2511"/>
      <c r="WKI33" s="2511"/>
      <c r="WKJ33" s="2511"/>
      <c r="WKK33" s="2511"/>
      <c r="WKL33" s="2511"/>
      <c r="WKM33" s="2511"/>
      <c r="WKN33" s="2511"/>
      <c r="WKO33" s="2511"/>
      <c r="WKP33" s="2511"/>
      <c r="WKQ33" s="2511"/>
      <c r="WKR33" s="2511"/>
      <c r="WKS33" s="2511"/>
      <c r="WKT33" s="2511"/>
      <c r="WKU33" s="2511"/>
      <c r="WKV33" s="2511"/>
      <c r="WKW33" s="2511"/>
      <c r="WKX33" s="2511"/>
      <c r="WKY33" s="2511"/>
      <c r="WKZ33" s="2511"/>
      <c r="WLA33" s="2511"/>
      <c r="WLB33" s="2511"/>
      <c r="WLC33" s="2511"/>
      <c r="WLD33" s="2511"/>
      <c r="WLE33" s="2511"/>
      <c r="WLF33" s="2511"/>
      <c r="WLG33" s="2511"/>
      <c r="WLH33" s="2511"/>
      <c r="WLI33" s="2511"/>
      <c r="WLJ33" s="2511"/>
      <c r="WLK33" s="2511"/>
      <c r="WLL33" s="2511"/>
      <c r="WLM33" s="2511"/>
      <c r="WLN33" s="2511"/>
      <c r="WLO33" s="2511"/>
      <c r="WLP33" s="2511"/>
      <c r="WLQ33" s="2511"/>
      <c r="WLR33" s="2511"/>
      <c r="WLS33" s="2511"/>
      <c r="WLT33" s="2511"/>
      <c r="WLU33" s="2511"/>
      <c r="WLV33" s="2511"/>
      <c r="WLW33" s="2511"/>
      <c r="WLX33" s="2511"/>
      <c r="WLY33" s="2511"/>
      <c r="WLZ33" s="2511"/>
      <c r="WMA33" s="2511"/>
      <c r="WMB33" s="2511"/>
      <c r="WMC33" s="2511"/>
      <c r="WMD33" s="2511"/>
      <c r="WME33" s="2511"/>
      <c r="WMF33" s="2511"/>
      <c r="WMG33" s="2511"/>
      <c r="WMH33" s="2511"/>
      <c r="WMI33" s="2511"/>
      <c r="WMJ33" s="2511"/>
      <c r="WMK33" s="2511"/>
      <c r="WML33" s="2511"/>
      <c r="WMM33" s="2511"/>
      <c r="WMN33" s="2511"/>
      <c r="WMO33" s="2511"/>
      <c r="WMP33" s="2511"/>
      <c r="WMQ33" s="2511"/>
      <c r="WMR33" s="2511"/>
      <c r="WMS33" s="2511"/>
      <c r="WMT33" s="2511"/>
      <c r="WMU33" s="2511"/>
      <c r="WMV33" s="2511"/>
      <c r="WMW33" s="2511"/>
      <c r="WMX33" s="2511"/>
      <c r="WMY33" s="2511"/>
      <c r="WMZ33" s="2511"/>
      <c r="WNA33" s="2511"/>
      <c r="WNB33" s="2511"/>
      <c r="WNC33" s="2511"/>
      <c r="WND33" s="2511"/>
      <c r="WNE33" s="2511"/>
      <c r="WNF33" s="2511"/>
      <c r="WNG33" s="2511"/>
      <c r="WNH33" s="2511"/>
      <c r="WNI33" s="2511"/>
      <c r="WNJ33" s="2511"/>
      <c r="WNK33" s="2511"/>
      <c r="WNL33" s="2511"/>
      <c r="WNM33" s="2511"/>
      <c r="WNN33" s="2511"/>
      <c r="WNO33" s="2511"/>
      <c r="WNP33" s="2511"/>
      <c r="WNQ33" s="2511"/>
      <c r="WNR33" s="2511"/>
      <c r="WNS33" s="2511"/>
      <c r="WNT33" s="2511"/>
      <c r="WNU33" s="2511"/>
      <c r="WNV33" s="2511"/>
      <c r="WNW33" s="2511"/>
      <c r="WNX33" s="2511"/>
      <c r="WNY33" s="2511"/>
      <c r="WNZ33" s="2511"/>
      <c r="WOA33" s="2511"/>
      <c r="WOB33" s="2511"/>
      <c r="WOC33" s="2511"/>
      <c r="WOD33" s="2511"/>
      <c r="WOE33" s="2511"/>
      <c r="WOF33" s="2511"/>
      <c r="WOG33" s="2511"/>
      <c r="WOH33" s="2511"/>
      <c r="WOI33" s="2511"/>
      <c r="WOJ33" s="2511"/>
      <c r="WOK33" s="2511"/>
      <c r="WOL33" s="2511"/>
      <c r="WOM33" s="2511"/>
      <c r="WON33" s="2511"/>
      <c r="WOO33" s="2511"/>
      <c r="WOP33" s="2511"/>
      <c r="WOQ33" s="2511"/>
      <c r="WOR33" s="2511"/>
      <c r="WOS33" s="2511"/>
      <c r="WOT33" s="2511"/>
      <c r="WOU33" s="2511"/>
      <c r="WOV33" s="2511"/>
      <c r="WOW33" s="2511"/>
      <c r="WOX33" s="2511"/>
      <c r="WOY33" s="2511"/>
      <c r="WOZ33" s="2511"/>
      <c r="WPA33" s="2511"/>
      <c r="WPB33" s="2511"/>
      <c r="WPC33" s="2511"/>
      <c r="WPD33" s="2511"/>
      <c r="WPE33" s="2511"/>
      <c r="WPF33" s="2511"/>
      <c r="WPG33" s="2511"/>
      <c r="WPH33" s="2511"/>
      <c r="WPI33" s="2511"/>
      <c r="WPJ33" s="2511"/>
      <c r="WPK33" s="2511"/>
      <c r="WPL33" s="2511"/>
      <c r="WPM33" s="2511"/>
      <c r="WPN33" s="2511"/>
      <c r="WPO33" s="2511"/>
      <c r="WPP33" s="2511"/>
      <c r="WPQ33" s="2511"/>
      <c r="WPR33" s="2511"/>
      <c r="WPS33" s="2511"/>
      <c r="WPT33" s="2511"/>
      <c r="WPU33" s="2511"/>
      <c r="WPV33" s="2511"/>
      <c r="WPW33" s="2511"/>
      <c r="WPX33" s="2511"/>
      <c r="WPY33" s="2511"/>
      <c r="WPZ33" s="2511"/>
      <c r="WQA33" s="2511"/>
      <c r="WQB33" s="2511"/>
      <c r="WQC33" s="2511"/>
      <c r="WQD33" s="2511"/>
      <c r="WQE33" s="2511"/>
      <c r="WQF33" s="2511"/>
      <c r="WQG33" s="2511"/>
      <c r="WQH33" s="2511"/>
      <c r="WQI33" s="2511"/>
      <c r="WQJ33" s="2511"/>
      <c r="WQK33" s="2511"/>
      <c r="WQL33" s="2511"/>
      <c r="WQM33" s="2511"/>
      <c r="WQN33" s="2511"/>
      <c r="WQO33" s="2511"/>
      <c r="WQP33" s="2511"/>
      <c r="WQQ33" s="2511"/>
      <c r="WQR33" s="2511"/>
      <c r="WQS33" s="2511"/>
      <c r="WQT33" s="2511"/>
      <c r="WQU33" s="2511"/>
      <c r="WQV33" s="2511"/>
      <c r="WQW33" s="2511"/>
      <c r="WQX33" s="2511"/>
      <c r="WQY33" s="2511"/>
      <c r="WQZ33" s="2511"/>
      <c r="WRA33" s="2511"/>
      <c r="WRB33" s="2511"/>
      <c r="WRC33" s="2511"/>
      <c r="WRD33" s="2511"/>
      <c r="WRE33" s="2511"/>
      <c r="WRF33" s="2511"/>
      <c r="WRG33" s="2511"/>
      <c r="WRH33" s="2511"/>
      <c r="WRI33" s="2511"/>
      <c r="WRJ33" s="2511"/>
      <c r="WRK33" s="2511"/>
      <c r="WRL33" s="2511"/>
      <c r="WRM33" s="2511"/>
      <c r="WRN33" s="2511"/>
      <c r="WRO33" s="2511"/>
      <c r="WRP33" s="2511"/>
      <c r="WRQ33" s="2511"/>
      <c r="WRR33" s="2511"/>
      <c r="WRS33" s="2511"/>
      <c r="WRT33" s="2511"/>
      <c r="WRU33" s="2511"/>
      <c r="WRV33" s="2511"/>
      <c r="WRW33" s="2511"/>
      <c r="WRX33" s="2511"/>
      <c r="WRY33" s="2511"/>
      <c r="WRZ33" s="2511"/>
      <c r="WSA33" s="2511"/>
      <c r="WSB33" s="2511"/>
      <c r="WSC33" s="2511"/>
      <c r="WSD33" s="2511"/>
      <c r="WSE33" s="2511"/>
      <c r="WSF33" s="2511"/>
      <c r="WSG33" s="2511"/>
      <c r="WSH33" s="2511"/>
      <c r="WSI33" s="2511"/>
      <c r="WSJ33" s="2511"/>
      <c r="WSK33" s="2511"/>
      <c r="WSL33" s="2511"/>
      <c r="WSM33" s="2511"/>
      <c r="WSN33" s="2511"/>
      <c r="WSO33" s="2511"/>
      <c r="WSP33" s="2511"/>
      <c r="WSQ33" s="2511"/>
      <c r="WSR33" s="2511"/>
      <c r="WSS33" s="2511"/>
      <c r="WST33" s="2511"/>
      <c r="WSU33" s="2511"/>
      <c r="WSV33" s="2511"/>
      <c r="WSW33" s="2511"/>
      <c r="WSX33" s="2511"/>
      <c r="WSY33" s="2511"/>
      <c r="WSZ33" s="2511"/>
      <c r="WTA33" s="2511"/>
      <c r="WTB33" s="2511"/>
      <c r="WTC33" s="2511"/>
      <c r="WTD33" s="2511"/>
      <c r="WTE33" s="2511"/>
      <c r="WTF33" s="2511"/>
      <c r="WTG33" s="2511"/>
      <c r="WTH33" s="2511"/>
      <c r="WTI33" s="2511"/>
      <c r="WTJ33" s="2511"/>
      <c r="WTK33" s="2511"/>
      <c r="WTL33" s="2511"/>
      <c r="WTM33" s="2511"/>
      <c r="WTN33" s="2511"/>
      <c r="WTO33" s="2511"/>
      <c r="WTP33" s="2511"/>
      <c r="WTQ33" s="2511"/>
      <c r="WTR33" s="2511"/>
      <c r="WTS33" s="2511"/>
      <c r="WTT33" s="2511"/>
      <c r="WTU33" s="2511"/>
      <c r="WTV33" s="2511"/>
      <c r="WTW33" s="2511"/>
      <c r="WTX33" s="2511"/>
      <c r="WTY33" s="2511"/>
      <c r="WTZ33" s="2511"/>
      <c r="WUA33" s="2511"/>
      <c r="WUB33" s="2511"/>
      <c r="WUC33" s="2511"/>
      <c r="WUD33" s="2511"/>
      <c r="WUE33" s="2511"/>
      <c r="WUF33" s="2511"/>
      <c r="WUG33" s="2511"/>
      <c r="WUH33" s="2511"/>
      <c r="WUI33" s="2511"/>
      <c r="WUJ33" s="2511"/>
      <c r="WUK33" s="2511"/>
      <c r="WUL33" s="2511"/>
      <c r="WUM33" s="2511"/>
      <c r="WUN33" s="2511"/>
      <c r="WUO33" s="2511"/>
      <c r="WUP33" s="2511"/>
      <c r="WUQ33" s="2511"/>
      <c r="WUR33" s="2511"/>
      <c r="WUS33" s="2511"/>
      <c r="WUT33" s="2511"/>
      <c r="WUU33" s="2511"/>
      <c r="WUV33" s="2511"/>
      <c r="WUW33" s="2511"/>
      <c r="WUX33" s="2511"/>
      <c r="WUY33" s="2511"/>
      <c r="WUZ33" s="2511"/>
      <c r="WVA33" s="2511"/>
      <c r="WVB33" s="2511"/>
      <c r="WVC33" s="2511"/>
      <c r="WVD33" s="2511"/>
      <c r="WVE33" s="2511"/>
      <c r="WVF33" s="2511"/>
      <c r="WVG33" s="2511"/>
      <c r="WVH33" s="2511"/>
      <c r="WVI33" s="2511"/>
      <c r="WVJ33" s="2511"/>
      <c r="WVK33" s="2511"/>
      <c r="WVL33" s="2511"/>
      <c r="WVM33" s="2511"/>
      <c r="WVN33" s="2511"/>
      <c r="WVO33" s="2511"/>
      <c r="WVP33" s="2511"/>
      <c r="WVQ33" s="2511"/>
      <c r="WVR33" s="2511"/>
      <c r="WVS33" s="2511"/>
      <c r="WVT33" s="2511"/>
      <c r="WVU33" s="2511"/>
      <c r="WVV33" s="2511"/>
      <c r="WVW33" s="2511"/>
      <c r="WVX33" s="2511"/>
      <c r="WVY33" s="2511"/>
      <c r="WVZ33" s="2511"/>
      <c r="WWA33" s="2511"/>
      <c r="WWB33" s="2511"/>
      <c r="WWC33" s="2511"/>
      <c r="WWD33" s="2511"/>
      <c r="WWE33" s="2511"/>
      <c r="WWF33" s="2511"/>
      <c r="WWG33" s="2511"/>
      <c r="WWH33" s="2511"/>
      <c r="WWI33" s="2511"/>
      <c r="WWJ33" s="2511"/>
      <c r="WWK33" s="2511"/>
      <c r="WWL33" s="2511"/>
      <c r="WWM33" s="2511"/>
      <c r="WWN33" s="2511"/>
      <c r="WWO33" s="2511"/>
      <c r="WWP33" s="2511"/>
      <c r="WWQ33" s="2511"/>
      <c r="WWR33" s="2511"/>
      <c r="WWS33" s="2511"/>
      <c r="WWT33" s="2511"/>
      <c r="WWU33" s="2511"/>
      <c r="WWV33" s="2511"/>
      <c r="WWW33" s="2511"/>
      <c r="WWX33" s="2511"/>
      <c r="WWY33" s="2511"/>
      <c r="WWZ33" s="2511"/>
      <c r="WXA33" s="2511"/>
      <c r="WXB33" s="2511"/>
      <c r="WXC33" s="2511"/>
      <c r="WXD33" s="2511"/>
      <c r="WXE33" s="2511"/>
      <c r="WXF33" s="2511"/>
      <c r="WXG33" s="2511"/>
      <c r="WXH33" s="2511"/>
      <c r="WXI33" s="2511"/>
      <c r="WXJ33" s="2511"/>
      <c r="WXK33" s="2511"/>
      <c r="WXL33" s="2511"/>
      <c r="WXM33" s="2511"/>
      <c r="WXN33" s="2511"/>
      <c r="WXO33" s="2511"/>
      <c r="WXP33" s="2511"/>
      <c r="WXQ33" s="2511"/>
      <c r="WXR33" s="2511"/>
      <c r="WXS33" s="2511"/>
      <c r="WXT33" s="2511"/>
      <c r="WXU33" s="2511"/>
      <c r="WXV33" s="2511"/>
      <c r="WXW33" s="2511"/>
      <c r="WXX33" s="2511"/>
      <c r="WXY33" s="2511"/>
      <c r="WXZ33" s="2511"/>
      <c r="WYA33" s="2511"/>
      <c r="WYB33" s="2511"/>
      <c r="WYC33" s="2511"/>
      <c r="WYD33" s="2511"/>
      <c r="WYE33" s="2511"/>
      <c r="WYF33" s="2511"/>
      <c r="WYG33" s="2511"/>
      <c r="WYH33" s="2511"/>
      <c r="WYI33" s="2511"/>
      <c r="WYJ33" s="2511"/>
      <c r="WYK33" s="2511"/>
      <c r="WYL33" s="2511"/>
      <c r="WYM33" s="2511"/>
      <c r="WYN33" s="2511"/>
      <c r="WYO33" s="2511"/>
      <c r="WYP33" s="2511"/>
      <c r="WYQ33" s="2511"/>
      <c r="WYR33" s="2511"/>
      <c r="WYS33" s="2511"/>
      <c r="WYT33" s="2511"/>
      <c r="WYU33" s="2511"/>
      <c r="WYV33" s="2511"/>
      <c r="WYW33" s="2511"/>
      <c r="WYX33" s="2511"/>
      <c r="WYY33" s="2511"/>
      <c r="WYZ33" s="2511"/>
      <c r="WZA33" s="2511"/>
      <c r="WZB33" s="2511"/>
      <c r="WZC33" s="2511"/>
      <c r="WZD33" s="2511"/>
      <c r="WZE33" s="2511"/>
      <c r="WZF33" s="2511"/>
      <c r="WZG33" s="2511"/>
      <c r="WZH33" s="2511"/>
      <c r="WZI33" s="2511"/>
      <c r="WZJ33" s="2511"/>
      <c r="WZK33" s="2511"/>
      <c r="WZL33" s="2511"/>
      <c r="WZM33" s="2511"/>
      <c r="WZN33" s="2511"/>
      <c r="WZO33" s="2511"/>
      <c r="WZP33" s="2511"/>
      <c r="WZQ33" s="2511"/>
      <c r="WZR33" s="2511"/>
      <c r="WZS33" s="2511"/>
      <c r="WZT33" s="2511"/>
      <c r="WZU33" s="2511"/>
      <c r="WZV33" s="2511"/>
      <c r="WZW33" s="2511"/>
      <c r="WZX33" s="2511"/>
      <c r="WZY33" s="2511"/>
      <c r="WZZ33" s="2511"/>
      <c r="XAA33" s="2511"/>
      <c r="XAB33" s="2511"/>
      <c r="XAC33" s="2511"/>
      <c r="XAD33" s="2511"/>
      <c r="XAE33" s="2511"/>
      <c r="XAF33" s="2511"/>
      <c r="XAG33" s="2511"/>
      <c r="XAH33" s="2511"/>
      <c r="XAI33" s="2511"/>
      <c r="XAJ33" s="2511"/>
      <c r="XAK33" s="2511"/>
      <c r="XAL33" s="2511"/>
      <c r="XAM33" s="2511"/>
      <c r="XAN33" s="2511"/>
      <c r="XAO33" s="2511"/>
      <c r="XAP33" s="2511"/>
      <c r="XAQ33" s="2511"/>
      <c r="XAR33" s="2511"/>
      <c r="XAS33" s="2511"/>
      <c r="XAT33" s="2511"/>
      <c r="XAU33" s="2511"/>
      <c r="XAV33" s="2511"/>
      <c r="XAW33" s="2511"/>
      <c r="XAX33" s="2511"/>
      <c r="XAY33" s="2511"/>
      <c r="XAZ33" s="2511"/>
      <c r="XBA33" s="2511"/>
      <c r="XBB33" s="2511"/>
      <c r="XBC33" s="2511"/>
      <c r="XBD33" s="2511"/>
      <c r="XBE33" s="2511"/>
      <c r="XBF33" s="2511"/>
      <c r="XBG33" s="2511"/>
      <c r="XBH33" s="2511"/>
      <c r="XBI33" s="2511"/>
      <c r="XBJ33" s="2511"/>
      <c r="XBK33" s="2511"/>
      <c r="XBL33" s="2511"/>
      <c r="XBM33" s="2511"/>
      <c r="XBN33" s="2511"/>
      <c r="XBO33" s="2511"/>
      <c r="XBP33" s="2511"/>
      <c r="XBQ33" s="2511"/>
      <c r="XBR33" s="2511"/>
      <c r="XBS33" s="2511"/>
      <c r="XBT33" s="2511"/>
      <c r="XBU33" s="2511"/>
      <c r="XBV33" s="2511"/>
      <c r="XBW33" s="2511"/>
      <c r="XBX33" s="2511"/>
      <c r="XBY33" s="2511"/>
      <c r="XBZ33" s="2511"/>
      <c r="XCA33" s="2511"/>
      <c r="XCB33" s="2511"/>
      <c r="XCC33" s="2511"/>
      <c r="XCD33" s="2511"/>
      <c r="XCE33" s="2511"/>
      <c r="XCF33" s="2511"/>
      <c r="XCG33" s="2511"/>
      <c r="XCH33" s="2511"/>
      <c r="XCI33" s="2511"/>
      <c r="XCJ33" s="2511"/>
      <c r="XCK33" s="2511"/>
      <c r="XCL33" s="2511"/>
      <c r="XCM33" s="2511"/>
      <c r="XCN33" s="2511"/>
      <c r="XCO33" s="2511"/>
      <c r="XCP33" s="2511"/>
      <c r="XCQ33" s="2511"/>
      <c r="XCR33" s="2511"/>
      <c r="XCS33" s="2511"/>
      <c r="XCT33" s="2511"/>
      <c r="XCU33" s="2511"/>
      <c r="XCV33" s="2511"/>
      <c r="XCW33" s="2511"/>
      <c r="XCX33" s="2511"/>
      <c r="XCY33" s="2511"/>
      <c r="XCZ33" s="2511"/>
      <c r="XDA33" s="2511"/>
      <c r="XDB33" s="2511"/>
      <c r="XDC33" s="2511"/>
      <c r="XDD33" s="2511"/>
      <c r="XDE33" s="2511"/>
      <c r="XDF33" s="2511"/>
      <c r="XDG33" s="2511"/>
      <c r="XDH33" s="2511"/>
      <c r="XDI33" s="2511"/>
      <c r="XDJ33" s="2511"/>
      <c r="XDK33" s="2511"/>
      <c r="XDL33" s="2511"/>
      <c r="XDM33" s="2511"/>
      <c r="XDN33" s="2511"/>
      <c r="XDO33" s="2511"/>
      <c r="XDP33" s="2511"/>
      <c r="XDQ33" s="2511"/>
      <c r="XDR33" s="2511"/>
      <c r="XDS33" s="2511"/>
      <c r="XDT33" s="2511"/>
      <c r="XDU33" s="2511"/>
      <c r="XDV33" s="2511"/>
      <c r="XDW33" s="2511"/>
      <c r="XDX33" s="2511"/>
      <c r="XDY33" s="2511"/>
      <c r="XDZ33" s="2511"/>
      <c r="XEA33" s="2511"/>
      <c r="XEB33" s="2511"/>
      <c r="XEC33" s="2511"/>
      <c r="XED33" s="2511"/>
      <c r="XEE33" s="2511"/>
      <c r="XEF33" s="2511"/>
      <c r="XEG33" s="2511"/>
      <c r="XEH33" s="2511"/>
      <c r="XEI33" s="2511"/>
      <c r="XEJ33" s="2511"/>
      <c r="XEK33" s="2511"/>
      <c r="XEL33" s="2511"/>
      <c r="XEM33" s="2511"/>
      <c r="XEN33" s="2511"/>
      <c r="XEO33" s="2511"/>
      <c r="XEP33" s="2511"/>
      <c r="XEQ33" s="2511"/>
      <c r="XER33" s="2511"/>
      <c r="XES33" s="2511"/>
      <c r="XET33" s="2511"/>
      <c r="XEU33" s="2511"/>
      <c r="XEV33" s="2511"/>
      <c r="XEW33" s="2511"/>
      <c r="XEX33" s="2511"/>
      <c r="XEY33" s="2511"/>
      <c r="XEZ33" s="2511"/>
      <c r="XFA33" s="2511"/>
      <c r="XFB33" s="2511"/>
      <c r="XFC33" s="2511"/>
      <c r="XFD33" s="2511"/>
    </row>
    <row r="34" spans="1:16384" ht="32.25" customHeight="1">
      <c r="A34" s="2511" t="s">
        <v>1727</v>
      </c>
      <c r="B34" s="2511"/>
      <c r="C34" s="2511"/>
      <c r="D34" s="2511"/>
      <c r="E34" s="2511"/>
      <c r="F34" s="2511"/>
      <c r="G34" s="2511"/>
      <c r="H34" s="2511"/>
      <c r="I34" s="2511"/>
      <c r="J34" s="2511"/>
      <c r="K34" s="2511"/>
      <c r="L34" s="2511"/>
      <c r="M34" s="2511"/>
      <c r="N34" s="2511"/>
      <c r="O34" s="2511"/>
      <c r="P34" s="2511"/>
      <c r="Q34" s="2511"/>
    </row>
  </sheetData>
  <mergeCells count="4838">
    <mergeCell ref="A13:Q13"/>
    <mergeCell ref="A14:Q14"/>
    <mergeCell ref="A15:Q15"/>
    <mergeCell ref="A16:Q16"/>
    <mergeCell ref="A17:Q17"/>
    <mergeCell ref="A18:Q18"/>
    <mergeCell ref="A27:Q27"/>
    <mergeCell ref="A28:Q28"/>
    <mergeCell ref="R28:AH28"/>
    <mergeCell ref="AI28:AY28"/>
    <mergeCell ref="AZ28:BP28"/>
    <mergeCell ref="BQ28:CG28"/>
    <mergeCell ref="A25:Q25"/>
    <mergeCell ref="A26:Q26"/>
    <mergeCell ref="A19:Q19"/>
    <mergeCell ref="A20:Q20"/>
    <mergeCell ref="A21:Q21"/>
    <mergeCell ref="A22:Q22"/>
    <mergeCell ref="A23:Q23"/>
    <mergeCell ref="A24:Q24"/>
    <mergeCell ref="KD28:KT28"/>
    <mergeCell ref="KU28:LK28"/>
    <mergeCell ref="LL28:MB28"/>
    <mergeCell ref="MC28:MS28"/>
    <mergeCell ref="MT28:NJ28"/>
    <mergeCell ref="NK28:OA28"/>
    <mergeCell ref="GF28:GV28"/>
    <mergeCell ref="GW28:HM28"/>
    <mergeCell ref="HN28:ID28"/>
    <mergeCell ref="IE28:IU28"/>
    <mergeCell ref="IV28:JL28"/>
    <mergeCell ref="JM28:KC28"/>
    <mergeCell ref="CH28:CX28"/>
    <mergeCell ref="CY28:DO28"/>
    <mergeCell ref="DP28:EF28"/>
    <mergeCell ref="EG28:EW28"/>
    <mergeCell ref="EX28:FN28"/>
    <mergeCell ref="FO28:GE28"/>
    <mergeCell ref="VX28:WN28"/>
    <mergeCell ref="WO28:XE28"/>
    <mergeCell ref="XF28:XV28"/>
    <mergeCell ref="XW28:YM28"/>
    <mergeCell ref="YN28:ZD28"/>
    <mergeCell ref="ZE28:ZU28"/>
    <mergeCell ref="RZ28:SP28"/>
    <mergeCell ref="SQ28:TG28"/>
    <mergeCell ref="TH28:TX28"/>
    <mergeCell ref="TY28:UO28"/>
    <mergeCell ref="UP28:VF28"/>
    <mergeCell ref="VG28:VW28"/>
    <mergeCell ref="OB28:OR28"/>
    <mergeCell ref="OS28:PI28"/>
    <mergeCell ref="PJ28:PZ28"/>
    <mergeCell ref="QA28:QQ28"/>
    <mergeCell ref="QR28:RH28"/>
    <mergeCell ref="RI28:RY28"/>
    <mergeCell ref="AHR28:AIH28"/>
    <mergeCell ref="AII28:AIY28"/>
    <mergeCell ref="AIZ28:AJP28"/>
    <mergeCell ref="AJQ28:AKG28"/>
    <mergeCell ref="AKH28:AKX28"/>
    <mergeCell ref="AKY28:ALO28"/>
    <mergeCell ref="ADT28:AEJ28"/>
    <mergeCell ref="AEK28:AFA28"/>
    <mergeCell ref="AFB28:AFR28"/>
    <mergeCell ref="AFS28:AGI28"/>
    <mergeCell ref="AGJ28:AGZ28"/>
    <mergeCell ref="AHA28:AHQ28"/>
    <mergeCell ref="ZV28:AAL28"/>
    <mergeCell ref="AAM28:ABC28"/>
    <mergeCell ref="ABD28:ABT28"/>
    <mergeCell ref="ABU28:ACK28"/>
    <mergeCell ref="ACL28:ADB28"/>
    <mergeCell ref="ADC28:ADS28"/>
    <mergeCell ref="ATL28:AUB28"/>
    <mergeCell ref="AUC28:AUS28"/>
    <mergeCell ref="AUT28:AVJ28"/>
    <mergeCell ref="AVK28:AWA28"/>
    <mergeCell ref="AWB28:AWR28"/>
    <mergeCell ref="AWS28:AXI28"/>
    <mergeCell ref="APN28:AQD28"/>
    <mergeCell ref="AQE28:AQU28"/>
    <mergeCell ref="AQV28:ARL28"/>
    <mergeCell ref="ARM28:ASC28"/>
    <mergeCell ref="ASD28:AST28"/>
    <mergeCell ref="ASU28:ATK28"/>
    <mergeCell ref="ALP28:AMF28"/>
    <mergeCell ref="AMG28:AMW28"/>
    <mergeCell ref="AMX28:ANN28"/>
    <mergeCell ref="ANO28:AOE28"/>
    <mergeCell ref="AOF28:AOV28"/>
    <mergeCell ref="AOW28:APM28"/>
    <mergeCell ref="BFF28:BFV28"/>
    <mergeCell ref="BFW28:BGM28"/>
    <mergeCell ref="BGN28:BHD28"/>
    <mergeCell ref="BHE28:BHU28"/>
    <mergeCell ref="BHV28:BIL28"/>
    <mergeCell ref="BIM28:BJC28"/>
    <mergeCell ref="BBH28:BBX28"/>
    <mergeCell ref="BBY28:BCO28"/>
    <mergeCell ref="BCP28:BDF28"/>
    <mergeCell ref="BDG28:BDW28"/>
    <mergeCell ref="BDX28:BEN28"/>
    <mergeCell ref="BEO28:BFE28"/>
    <mergeCell ref="AXJ28:AXZ28"/>
    <mergeCell ref="AYA28:AYQ28"/>
    <mergeCell ref="AYR28:AZH28"/>
    <mergeCell ref="AZI28:AZY28"/>
    <mergeCell ref="AZZ28:BAP28"/>
    <mergeCell ref="BAQ28:BBG28"/>
    <mergeCell ref="BQZ28:BRP28"/>
    <mergeCell ref="BRQ28:BSG28"/>
    <mergeCell ref="BSH28:BSX28"/>
    <mergeCell ref="BSY28:BTO28"/>
    <mergeCell ref="BTP28:BUF28"/>
    <mergeCell ref="BUG28:BUW28"/>
    <mergeCell ref="BNB28:BNR28"/>
    <mergeCell ref="BNS28:BOI28"/>
    <mergeCell ref="BOJ28:BOZ28"/>
    <mergeCell ref="BPA28:BPQ28"/>
    <mergeCell ref="BPR28:BQH28"/>
    <mergeCell ref="BQI28:BQY28"/>
    <mergeCell ref="BJD28:BJT28"/>
    <mergeCell ref="BJU28:BKK28"/>
    <mergeCell ref="BKL28:BLB28"/>
    <mergeCell ref="BLC28:BLS28"/>
    <mergeCell ref="BLT28:BMJ28"/>
    <mergeCell ref="BMK28:BNA28"/>
    <mergeCell ref="CCT28:CDJ28"/>
    <mergeCell ref="CDK28:CEA28"/>
    <mergeCell ref="CEB28:CER28"/>
    <mergeCell ref="CES28:CFI28"/>
    <mergeCell ref="CFJ28:CFZ28"/>
    <mergeCell ref="CGA28:CGQ28"/>
    <mergeCell ref="BYV28:BZL28"/>
    <mergeCell ref="BZM28:CAC28"/>
    <mergeCell ref="CAD28:CAT28"/>
    <mergeCell ref="CAU28:CBK28"/>
    <mergeCell ref="CBL28:CCB28"/>
    <mergeCell ref="CCC28:CCS28"/>
    <mergeCell ref="BUX28:BVN28"/>
    <mergeCell ref="BVO28:BWE28"/>
    <mergeCell ref="BWF28:BWV28"/>
    <mergeCell ref="BWW28:BXM28"/>
    <mergeCell ref="BXN28:BYD28"/>
    <mergeCell ref="BYE28:BYU28"/>
    <mergeCell ref="CON28:CPD28"/>
    <mergeCell ref="CPE28:CPU28"/>
    <mergeCell ref="CPV28:CQL28"/>
    <mergeCell ref="CQM28:CRC28"/>
    <mergeCell ref="CRD28:CRT28"/>
    <mergeCell ref="CRU28:CSK28"/>
    <mergeCell ref="CKP28:CLF28"/>
    <mergeCell ref="CLG28:CLW28"/>
    <mergeCell ref="CLX28:CMN28"/>
    <mergeCell ref="CMO28:CNE28"/>
    <mergeCell ref="CNF28:CNV28"/>
    <mergeCell ref="CNW28:COM28"/>
    <mergeCell ref="CGR28:CHH28"/>
    <mergeCell ref="CHI28:CHY28"/>
    <mergeCell ref="CHZ28:CIP28"/>
    <mergeCell ref="CIQ28:CJG28"/>
    <mergeCell ref="CJH28:CJX28"/>
    <mergeCell ref="CJY28:CKO28"/>
    <mergeCell ref="DAH28:DAX28"/>
    <mergeCell ref="DAY28:DBO28"/>
    <mergeCell ref="DBP28:DCF28"/>
    <mergeCell ref="DCG28:DCW28"/>
    <mergeCell ref="DCX28:DDN28"/>
    <mergeCell ref="DDO28:DEE28"/>
    <mergeCell ref="CWJ28:CWZ28"/>
    <mergeCell ref="CXA28:CXQ28"/>
    <mergeCell ref="CXR28:CYH28"/>
    <mergeCell ref="CYI28:CYY28"/>
    <mergeCell ref="CYZ28:CZP28"/>
    <mergeCell ref="CZQ28:DAG28"/>
    <mergeCell ref="CSL28:CTB28"/>
    <mergeCell ref="CTC28:CTS28"/>
    <mergeCell ref="CTT28:CUJ28"/>
    <mergeCell ref="CUK28:CVA28"/>
    <mergeCell ref="CVB28:CVR28"/>
    <mergeCell ref="CVS28:CWI28"/>
    <mergeCell ref="DMB28:DMR28"/>
    <mergeCell ref="DMS28:DNI28"/>
    <mergeCell ref="DNJ28:DNZ28"/>
    <mergeCell ref="DOA28:DOQ28"/>
    <mergeCell ref="DOR28:DPH28"/>
    <mergeCell ref="DPI28:DPY28"/>
    <mergeCell ref="DID28:DIT28"/>
    <mergeCell ref="DIU28:DJK28"/>
    <mergeCell ref="DJL28:DKB28"/>
    <mergeCell ref="DKC28:DKS28"/>
    <mergeCell ref="DKT28:DLJ28"/>
    <mergeCell ref="DLK28:DMA28"/>
    <mergeCell ref="DEF28:DEV28"/>
    <mergeCell ref="DEW28:DFM28"/>
    <mergeCell ref="DFN28:DGD28"/>
    <mergeCell ref="DGE28:DGU28"/>
    <mergeCell ref="DGV28:DHL28"/>
    <mergeCell ref="DHM28:DIC28"/>
    <mergeCell ref="DXV28:DYL28"/>
    <mergeCell ref="DYM28:DZC28"/>
    <mergeCell ref="DZD28:DZT28"/>
    <mergeCell ref="DZU28:EAK28"/>
    <mergeCell ref="EAL28:EBB28"/>
    <mergeCell ref="EBC28:EBS28"/>
    <mergeCell ref="DTX28:DUN28"/>
    <mergeCell ref="DUO28:DVE28"/>
    <mergeCell ref="DVF28:DVV28"/>
    <mergeCell ref="DVW28:DWM28"/>
    <mergeCell ref="DWN28:DXD28"/>
    <mergeCell ref="DXE28:DXU28"/>
    <mergeCell ref="DPZ28:DQP28"/>
    <mergeCell ref="DQQ28:DRG28"/>
    <mergeCell ref="DRH28:DRX28"/>
    <mergeCell ref="DRY28:DSO28"/>
    <mergeCell ref="DSP28:DTF28"/>
    <mergeCell ref="DTG28:DTW28"/>
    <mergeCell ref="EJP28:EKF28"/>
    <mergeCell ref="EKG28:EKW28"/>
    <mergeCell ref="EKX28:ELN28"/>
    <mergeCell ref="ELO28:EME28"/>
    <mergeCell ref="EMF28:EMV28"/>
    <mergeCell ref="EMW28:ENM28"/>
    <mergeCell ref="EFR28:EGH28"/>
    <mergeCell ref="EGI28:EGY28"/>
    <mergeCell ref="EGZ28:EHP28"/>
    <mergeCell ref="EHQ28:EIG28"/>
    <mergeCell ref="EIH28:EIX28"/>
    <mergeCell ref="EIY28:EJO28"/>
    <mergeCell ref="EBT28:ECJ28"/>
    <mergeCell ref="ECK28:EDA28"/>
    <mergeCell ref="EDB28:EDR28"/>
    <mergeCell ref="EDS28:EEI28"/>
    <mergeCell ref="EEJ28:EEZ28"/>
    <mergeCell ref="EFA28:EFQ28"/>
    <mergeCell ref="EVJ28:EVZ28"/>
    <mergeCell ref="EWA28:EWQ28"/>
    <mergeCell ref="EWR28:EXH28"/>
    <mergeCell ref="EXI28:EXY28"/>
    <mergeCell ref="EXZ28:EYP28"/>
    <mergeCell ref="EYQ28:EZG28"/>
    <mergeCell ref="ERL28:ESB28"/>
    <mergeCell ref="ESC28:ESS28"/>
    <mergeCell ref="EST28:ETJ28"/>
    <mergeCell ref="ETK28:EUA28"/>
    <mergeCell ref="EUB28:EUR28"/>
    <mergeCell ref="EUS28:EVI28"/>
    <mergeCell ref="ENN28:EOD28"/>
    <mergeCell ref="EOE28:EOU28"/>
    <mergeCell ref="EOV28:EPL28"/>
    <mergeCell ref="EPM28:EQC28"/>
    <mergeCell ref="EQD28:EQT28"/>
    <mergeCell ref="EQU28:ERK28"/>
    <mergeCell ref="FHD28:FHT28"/>
    <mergeCell ref="FHU28:FIK28"/>
    <mergeCell ref="FIL28:FJB28"/>
    <mergeCell ref="FJC28:FJS28"/>
    <mergeCell ref="FJT28:FKJ28"/>
    <mergeCell ref="FKK28:FLA28"/>
    <mergeCell ref="FDF28:FDV28"/>
    <mergeCell ref="FDW28:FEM28"/>
    <mergeCell ref="FEN28:FFD28"/>
    <mergeCell ref="FFE28:FFU28"/>
    <mergeCell ref="FFV28:FGL28"/>
    <mergeCell ref="FGM28:FHC28"/>
    <mergeCell ref="EZH28:EZX28"/>
    <mergeCell ref="EZY28:FAO28"/>
    <mergeCell ref="FAP28:FBF28"/>
    <mergeCell ref="FBG28:FBW28"/>
    <mergeCell ref="FBX28:FCN28"/>
    <mergeCell ref="FCO28:FDE28"/>
    <mergeCell ref="FSX28:FTN28"/>
    <mergeCell ref="FTO28:FUE28"/>
    <mergeCell ref="FUF28:FUV28"/>
    <mergeCell ref="FUW28:FVM28"/>
    <mergeCell ref="FVN28:FWD28"/>
    <mergeCell ref="FWE28:FWU28"/>
    <mergeCell ref="FOZ28:FPP28"/>
    <mergeCell ref="FPQ28:FQG28"/>
    <mergeCell ref="FQH28:FQX28"/>
    <mergeCell ref="FQY28:FRO28"/>
    <mergeCell ref="FRP28:FSF28"/>
    <mergeCell ref="FSG28:FSW28"/>
    <mergeCell ref="FLB28:FLR28"/>
    <mergeCell ref="FLS28:FMI28"/>
    <mergeCell ref="FMJ28:FMZ28"/>
    <mergeCell ref="FNA28:FNQ28"/>
    <mergeCell ref="FNR28:FOH28"/>
    <mergeCell ref="FOI28:FOY28"/>
    <mergeCell ref="GER28:GFH28"/>
    <mergeCell ref="GFI28:GFY28"/>
    <mergeCell ref="GFZ28:GGP28"/>
    <mergeCell ref="GGQ28:GHG28"/>
    <mergeCell ref="GHH28:GHX28"/>
    <mergeCell ref="GHY28:GIO28"/>
    <mergeCell ref="GAT28:GBJ28"/>
    <mergeCell ref="GBK28:GCA28"/>
    <mergeCell ref="GCB28:GCR28"/>
    <mergeCell ref="GCS28:GDI28"/>
    <mergeCell ref="GDJ28:GDZ28"/>
    <mergeCell ref="GEA28:GEQ28"/>
    <mergeCell ref="FWV28:FXL28"/>
    <mergeCell ref="FXM28:FYC28"/>
    <mergeCell ref="FYD28:FYT28"/>
    <mergeCell ref="FYU28:FZK28"/>
    <mergeCell ref="FZL28:GAB28"/>
    <mergeCell ref="GAC28:GAS28"/>
    <mergeCell ref="GQL28:GRB28"/>
    <mergeCell ref="GRC28:GRS28"/>
    <mergeCell ref="GRT28:GSJ28"/>
    <mergeCell ref="GSK28:GTA28"/>
    <mergeCell ref="GTB28:GTR28"/>
    <mergeCell ref="GTS28:GUI28"/>
    <mergeCell ref="GMN28:GND28"/>
    <mergeCell ref="GNE28:GNU28"/>
    <mergeCell ref="GNV28:GOL28"/>
    <mergeCell ref="GOM28:GPC28"/>
    <mergeCell ref="GPD28:GPT28"/>
    <mergeCell ref="GPU28:GQK28"/>
    <mergeCell ref="GIP28:GJF28"/>
    <mergeCell ref="GJG28:GJW28"/>
    <mergeCell ref="GJX28:GKN28"/>
    <mergeCell ref="GKO28:GLE28"/>
    <mergeCell ref="GLF28:GLV28"/>
    <mergeCell ref="GLW28:GMM28"/>
    <mergeCell ref="HCF28:HCV28"/>
    <mergeCell ref="HCW28:HDM28"/>
    <mergeCell ref="HDN28:HED28"/>
    <mergeCell ref="HEE28:HEU28"/>
    <mergeCell ref="HEV28:HFL28"/>
    <mergeCell ref="HFM28:HGC28"/>
    <mergeCell ref="GYH28:GYX28"/>
    <mergeCell ref="GYY28:GZO28"/>
    <mergeCell ref="GZP28:HAF28"/>
    <mergeCell ref="HAG28:HAW28"/>
    <mergeCell ref="HAX28:HBN28"/>
    <mergeCell ref="HBO28:HCE28"/>
    <mergeCell ref="GUJ28:GUZ28"/>
    <mergeCell ref="GVA28:GVQ28"/>
    <mergeCell ref="GVR28:GWH28"/>
    <mergeCell ref="GWI28:GWY28"/>
    <mergeCell ref="GWZ28:GXP28"/>
    <mergeCell ref="GXQ28:GYG28"/>
    <mergeCell ref="HNZ28:HOP28"/>
    <mergeCell ref="HOQ28:HPG28"/>
    <mergeCell ref="HPH28:HPX28"/>
    <mergeCell ref="HPY28:HQO28"/>
    <mergeCell ref="HQP28:HRF28"/>
    <mergeCell ref="HRG28:HRW28"/>
    <mergeCell ref="HKB28:HKR28"/>
    <mergeCell ref="HKS28:HLI28"/>
    <mergeCell ref="HLJ28:HLZ28"/>
    <mergeCell ref="HMA28:HMQ28"/>
    <mergeCell ref="HMR28:HNH28"/>
    <mergeCell ref="HNI28:HNY28"/>
    <mergeCell ref="HGD28:HGT28"/>
    <mergeCell ref="HGU28:HHK28"/>
    <mergeCell ref="HHL28:HIB28"/>
    <mergeCell ref="HIC28:HIS28"/>
    <mergeCell ref="HIT28:HJJ28"/>
    <mergeCell ref="HJK28:HKA28"/>
    <mergeCell ref="HZT28:IAJ28"/>
    <mergeCell ref="IAK28:IBA28"/>
    <mergeCell ref="IBB28:IBR28"/>
    <mergeCell ref="IBS28:ICI28"/>
    <mergeCell ref="ICJ28:ICZ28"/>
    <mergeCell ref="IDA28:IDQ28"/>
    <mergeCell ref="HVV28:HWL28"/>
    <mergeCell ref="HWM28:HXC28"/>
    <mergeCell ref="HXD28:HXT28"/>
    <mergeCell ref="HXU28:HYK28"/>
    <mergeCell ref="HYL28:HZB28"/>
    <mergeCell ref="HZC28:HZS28"/>
    <mergeCell ref="HRX28:HSN28"/>
    <mergeCell ref="HSO28:HTE28"/>
    <mergeCell ref="HTF28:HTV28"/>
    <mergeCell ref="HTW28:HUM28"/>
    <mergeCell ref="HUN28:HVD28"/>
    <mergeCell ref="HVE28:HVU28"/>
    <mergeCell ref="ILN28:IMD28"/>
    <mergeCell ref="IME28:IMU28"/>
    <mergeCell ref="IMV28:INL28"/>
    <mergeCell ref="INM28:IOC28"/>
    <mergeCell ref="IOD28:IOT28"/>
    <mergeCell ref="IOU28:IPK28"/>
    <mergeCell ref="IHP28:IIF28"/>
    <mergeCell ref="IIG28:IIW28"/>
    <mergeCell ref="IIX28:IJN28"/>
    <mergeCell ref="IJO28:IKE28"/>
    <mergeCell ref="IKF28:IKV28"/>
    <mergeCell ref="IKW28:ILM28"/>
    <mergeCell ref="IDR28:IEH28"/>
    <mergeCell ref="IEI28:IEY28"/>
    <mergeCell ref="IEZ28:IFP28"/>
    <mergeCell ref="IFQ28:IGG28"/>
    <mergeCell ref="IGH28:IGX28"/>
    <mergeCell ref="IGY28:IHO28"/>
    <mergeCell ref="IXH28:IXX28"/>
    <mergeCell ref="IXY28:IYO28"/>
    <mergeCell ref="IYP28:IZF28"/>
    <mergeCell ref="IZG28:IZW28"/>
    <mergeCell ref="IZX28:JAN28"/>
    <mergeCell ref="JAO28:JBE28"/>
    <mergeCell ref="ITJ28:ITZ28"/>
    <mergeCell ref="IUA28:IUQ28"/>
    <mergeCell ref="IUR28:IVH28"/>
    <mergeCell ref="IVI28:IVY28"/>
    <mergeCell ref="IVZ28:IWP28"/>
    <mergeCell ref="IWQ28:IXG28"/>
    <mergeCell ref="IPL28:IQB28"/>
    <mergeCell ref="IQC28:IQS28"/>
    <mergeCell ref="IQT28:IRJ28"/>
    <mergeCell ref="IRK28:ISA28"/>
    <mergeCell ref="ISB28:ISR28"/>
    <mergeCell ref="ISS28:ITI28"/>
    <mergeCell ref="JJB28:JJR28"/>
    <mergeCell ref="JJS28:JKI28"/>
    <mergeCell ref="JKJ28:JKZ28"/>
    <mergeCell ref="JLA28:JLQ28"/>
    <mergeCell ref="JLR28:JMH28"/>
    <mergeCell ref="JMI28:JMY28"/>
    <mergeCell ref="JFD28:JFT28"/>
    <mergeCell ref="JFU28:JGK28"/>
    <mergeCell ref="JGL28:JHB28"/>
    <mergeCell ref="JHC28:JHS28"/>
    <mergeCell ref="JHT28:JIJ28"/>
    <mergeCell ref="JIK28:JJA28"/>
    <mergeCell ref="JBF28:JBV28"/>
    <mergeCell ref="JBW28:JCM28"/>
    <mergeCell ref="JCN28:JDD28"/>
    <mergeCell ref="JDE28:JDU28"/>
    <mergeCell ref="JDV28:JEL28"/>
    <mergeCell ref="JEM28:JFC28"/>
    <mergeCell ref="JUV28:JVL28"/>
    <mergeCell ref="JVM28:JWC28"/>
    <mergeCell ref="JWD28:JWT28"/>
    <mergeCell ref="JWU28:JXK28"/>
    <mergeCell ref="JXL28:JYB28"/>
    <mergeCell ref="JYC28:JYS28"/>
    <mergeCell ref="JQX28:JRN28"/>
    <mergeCell ref="JRO28:JSE28"/>
    <mergeCell ref="JSF28:JSV28"/>
    <mergeCell ref="JSW28:JTM28"/>
    <mergeCell ref="JTN28:JUD28"/>
    <mergeCell ref="JUE28:JUU28"/>
    <mergeCell ref="JMZ28:JNP28"/>
    <mergeCell ref="JNQ28:JOG28"/>
    <mergeCell ref="JOH28:JOX28"/>
    <mergeCell ref="JOY28:JPO28"/>
    <mergeCell ref="JPP28:JQF28"/>
    <mergeCell ref="JQG28:JQW28"/>
    <mergeCell ref="KGP28:KHF28"/>
    <mergeCell ref="KHG28:KHW28"/>
    <mergeCell ref="KHX28:KIN28"/>
    <mergeCell ref="KIO28:KJE28"/>
    <mergeCell ref="KJF28:KJV28"/>
    <mergeCell ref="KJW28:KKM28"/>
    <mergeCell ref="KCR28:KDH28"/>
    <mergeCell ref="KDI28:KDY28"/>
    <mergeCell ref="KDZ28:KEP28"/>
    <mergeCell ref="KEQ28:KFG28"/>
    <mergeCell ref="KFH28:KFX28"/>
    <mergeCell ref="KFY28:KGO28"/>
    <mergeCell ref="JYT28:JZJ28"/>
    <mergeCell ref="JZK28:KAA28"/>
    <mergeCell ref="KAB28:KAR28"/>
    <mergeCell ref="KAS28:KBI28"/>
    <mergeCell ref="KBJ28:KBZ28"/>
    <mergeCell ref="KCA28:KCQ28"/>
    <mergeCell ref="KSJ28:KSZ28"/>
    <mergeCell ref="KTA28:KTQ28"/>
    <mergeCell ref="KTR28:KUH28"/>
    <mergeCell ref="KUI28:KUY28"/>
    <mergeCell ref="KUZ28:KVP28"/>
    <mergeCell ref="KVQ28:KWG28"/>
    <mergeCell ref="KOL28:KPB28"/>
    <mergeCell ref="KPC28:KPS28"/>
    <mergeCell ref="KPT28:KQJ28"/>
    <mergeCell ref="KQK28:KRA28"/>
    <mergeCell ref="KRB28:KRR28"/>
    <mergeCell ref="KRS28:KSI28"/>
    <mergeCell ref="KKN28:KLD28"/>
    <mergeCell ref="KLE28:KLU28"/>
    <mergeCell ref="KLV28:KML28"/>
    <mergeCell ref="KMM28:KNC28"/>
    <mergeCell ref="KND28:KNT28"/>
    <mergeCell ref="KNU28:KOK28"/>
    <mergeCell ref="LED28:LET28"/>
    <mergeCell ref="LEU28:LFK28"/>
    <mergeCell ref="LFL28:LGB28"/>
    <mergeCell ref="LGC28:LGS28"/>
    <mergeCell ref="LGT28:LHJ28"/>
    <mergeCell ref="LHK28:LIA28"/>
    <mergeCell ref="LAF28:LAV28"/>
    <mergeCell ref="LAW28:LBM28"/>
    <mergeCell ref="LBN28:LCD28"/>
    <mergeCell ref="LCE28:LCU28"/>
    <mergeCell ref="LCV28:LDL28"/>
    <mergeCell ref="LDM28:LEC28"/>
    <mergeCell ref="KWH28:KWX28"/>
    <mergeCell ref="KWY28:KXO28"/>
    <mergeCell ref="KXP28:KYF28"/>
    <mergeCell ref="KYG28:KYW28"/>
    <mergeCell ref="KYX28:KZN28"/>
    <mergeCell ref="KZO28:LAE28"/>
    <mergeCell ref="LPX28:LQN28"/>
    <mergeCell ref="LQO28:LRE28"/>
    <mergeCell ref="LRF28:LRV28"/>
    <mergeCell ref="LRW28:LSM28"/>
    <mergeCell ref="LSN28:LTD28"/>
    <mergeCell ref="LTE28:LTU28"/>
    <mergeCell ref="LLZ28:LMP28"/>
    <mergeCell ref="LMQ28:LNG28"/>
    <mergeCell ref="LNH28:LNX28"/>
    <mergeCell ref="LNY28:LOO28"/>
    <mergeCell ref="LOP28:LPF28"/>
    <mergeCell ref="LPG28:LPW28"/>
    <mergeCell ref="LIB28:LIR28"/>
    <mergeCell ref="LIS28:LJI28"/>
    <mergeCell ref="LJJ28:LJZ28"/>
    <mergeCell ref="LKA28:LKQ28"/>
    <mergeCell ref="LKR28:LLH28"/>
    <mergeCell ref="LLI28:LLY28"/>
    <mergeCell ref="MBR28:MCH28"/>
    <mergeCell ref="MCI28:MCY28"/>
    <mergeCell ref="MCZ28:MDP28"/>
    <mergeCell ref="MDQ28:MEG28"/>
    <mergeCell ref="MEH28:MEX28"/>
    <mergeCell ref="MEY28:MFO28"/>
    <mergeCell ref="LXT28:LYJ28"/>
    <mergeCell ref="LYK28:LZA28"/>
    <mergeCell ref="LZB28:LZR28"/>
    <mergeCell ref="LZS28:MAI28"/>
    <mergeCell ref="MAJ28:MAZ28"/>
    <mergeCell ref="MBA28:MBQ28"/>
    <mergeCell ref="LTV28:LUL28"/>
    <mergeCell ref="LUM28:LVC28"/>
    <mergeCell ref="LVD28:LVT28"/>
    <mergeCell ref="LVU28:LWK28"/>
    <mergeCell ref="LWL28:LXB28"/>
    <mergeCell ref="LXC28:LXS28"/>
    <mergeCell ref="MNL28:MOB28"/>
    <mergeCell ref="MOC28:MOS28"/>
    <mergeCell ref="MOT28:MPJ28"/>
    <mergeCell ref="MPK28:MQA28"/>
    <mergeCell ref="MQB28:MQR28"/>
    <mergeCell ref="MQS28:MRI28"/>
    <mergeCell ref="MJN28:MKD28"/>
    <mergeCell ref="MKE28:MKU28"/>
    <mergeCell ref="MKV28:MLL28"/>
    <mergeCell ref="MLM28:MMC28"/>
    <mergeCell ref="MMD28:MMT28"/>
    <mergeCell ref="MMU28:MNK28"/>
    <mergeCell ref="MFP28:MGF28"/>
    <mergeCell ref="MGG28:MGW28"/>
    <mergeCell ref="MGX28:MHN28"/>
    <mergeCell ref="MHO28:MIE28"/>
    <mergeCell ref="MIF28:MIV28"/>
    <mergeCell ref="MIW28:MJM28"/>
    <mergeCell ref="MZF28:MZV28"/>
    <mergeCell ref="MZW28:NAM28"/>
    <mergeCell ref="NAN28:NBD28"/>
    <mergeCell ref="NBE28:NBU28"/>
    <mergeCell ref="NBV28:NCL28"/>
    <mergeCell ref="NCM28:NDC28"/>
    <mergeCell ref="MVH28:MVX28"/>
    <mergeCell ref="MVY28:MWO28"/>
    <mergeCell ref="MWP28:MXF28"/>
    <mergeCell ref="MXG28:MXW28"/>
    <mergeCell ref="MXX28:MYN28"/>
    <mergeCell ref="MYO28:MZE28"/>
    <mergeCell ref="MRJ28:MRZ28"/>
    <mergeCell ref="MSA28:MSQ28"/>
    <mergeCell ref="MSR28:MTH28"/>
    <mergeCell ref="MTI28:MTY28"/>
    <mergeCell ref="MTZ28:MUP28"/>
    <mergeCell ref="MUQ28:MVG28"/>
    <mergeCell ref="NKZ28:NLP28"/>
    <mergeCell ref="NLQ28:NMG28"/>
    <mergeCell ref="NMH28:NMX28"/>
    <mergeCell ref="NMY28:NNO28"/>
    <mergeCell ref="NNP28:NOF28"/>
    <mergeCell ref="NOG28:NOW28"/>
    <mergeCell ref="NHB28:NHR28"/>
    <mergeCell ref="NHS28:NII28"/>
    <mergeCell ref="NIJ28:NIZ28"/>
    <mergeCell ref="NJA28:NJQ28"/>
    <mergeCell ref="NJR28:NKH28"/>
    <mergeCell ref="NKI28:NKY28"/>
    <mergeCell ref="NDD28:NDT28"/>
    <mergeCell ref="NDU28:NEK28"/>
    <mergeCell ref="NEL28:NFB28"/>
    <mergeCell ref="NFC28:NFS28"/>
    <mergeCell ref="NFT28:NGJ28"/>
    <mergeCell ref="NGK28:NHA28"/>
    <mergeCell ref="NWT28:NXJ28"/>
    <mergeCell ref="NXK28:NYA28"/>
    <mergeCell ref="NYB28:NYR28"/>
    <mergeCell ref="NYS28:NZI28"/>
    <mergeCell ref="NZJ28:NZZ28"/>
    <mergeCell ref="OAA28:OAQ28"/>
    <mergeCell ref="NSV28:NTL28"/>
    <mergeCell ref="NTM28:NUC28"/>
    <mergeCell ref="NUD28:NUT28"/>
    <mergeCell ref="NUU28:NVK28"/>
    <mergeCell ref="NVL28:NWB28"/>
    <mergeCell ref="NWC28:NWS28"/>
    <mergeCell ref="NOX28:NPN28"/>
    <mergeCell ref="NPO28:NQE28"/>
    <mergeCell ref="NQF28:NQV28"/>
    <mergeCell ref="NQW28:NRM28"/>
    <mergeCell ref="NRN28:NSD28"/>
    <mergeCell ref="NSE28:NSU28"/>
    <mergeCell ref="OIN28:OJD28"/>
    <mergeCell ref="OJE28:OJU28"/>
    <mergeCell ref="OJV28:OKL28"/>
    <mergeCell ref="OKM28:OLC28"/>
    <mergeCell ref="OLD28:OLT28"/>
    <mergeCell ref="OLU28:OMK28"/>
    <mergeCell ref="OEP28:OFF28"/>
    <mergeCell ref="OFG28:OFW28"/>
    <mergeCell ref="OFX28:OGN28"/>
    <mergeCell ref="OGO28:OHE28"/>
    <mergeCell ref="OHF28:OHV28"/>
    <mergeCell ref="OHW28:OIM28"/>
    <mergeCell ref="OAR28:OBH28"/>
    <mergeCell ref="OBI28:OBY28"/>
    <mergeCell ref="OBZ28:OCP28"/>
    <mergeCell ref="OCQ28:ODG28"/>
    <mergeCell ref="ODH28:ODX28"/>
    <mergeCell ref="ODY28:OEO28"/>
    <mergeCell ref="OUH28:OUX28"/>
    <mergeCell ref="OUY28:OVO28"/>
    <mergeCell ref="OVP28:OWF28"/>
    <mergeCell ref="OWG28:OWW28"/>
    <mergeCell ref="OWX28:OXN28"/>
    <mergeCell ref="OXO28:OYE28"/>
    <mergeCell ref="OQJ28:OQZ28"/>
    <mergeCell ref="ORA28:ORQ28"/>
    <mergeCell ref="ORR28:OSH28"/>
    <mergeCell ref="OSI28:OSY28"/>
    <mergeCell ref="OSZ28:OTP28"/>
    <mergeCell ref="OTQ28:OUG28"/>
    <mergeCell ref="OML28:ONB28"/>
    <mergeCell ref="ONC28:ONS28"/>
    <mergeCell ref="ONT28:OOJ28"/>
    <mergeCell ref="OOK28:OPA28"/>
    <mergeCell ref="OPB28:OPR28"/>
    <mergeCell ref="OPS28:OQI28"/>
    <mergeCell ref="PGB28:PGR28"/>
    <mergeCell ref="PGS28:PHI28"/>
    <mergeCell ref="PHJ28:PHZ28"/>
    <mergeCell ref="PIA28:PIQ28"/>
    <mergeCell ref="PIR28:PJH28"/>
    <mergeCell ref="PJI28:PJY28"/>
    <mergeCell ref="PCD28:PCT28"/>
    <mergeCell ref="PCU28:PDK28"/>
    <mergeCell ref="PDL28:PEB28"/>
    <mergeCell ref="PEC28:PES28"/>
    <mergeCell ref="PET28:PFJ28"/>
    <mergeCell ref="PFK28:PGA28"/>
    <mergeCell ref="OYF28:OYV28"/>
    <mergeCell ref="OYW28:OZM28"/>
    <mergeCell ref="OZN28:PAD28"/>
    <mergeCell ref="PAE28:PAU28"/>
    <mergeCell ref="PAV28:PBL28"/>
    <mergeCell ref="PBM28:PCC28"/>
    <mergeCell ref="PRV28:PSL28"/>
    <mergeCell ref="PSM28:PTC28"/>
    <mergeCell ref="PTD28:PTT28"/>
    <mergeCell ref="PTU28:PUK28"/>
    <mergeCell ref="PUL28:PVB28"/>
    <mergeCell ref="PVC28:PVS28"/>
    <mergeCell ref="PNX28:PON28"/>
    <mergeCell ref="POO28:PPE28"/>
    <mergeCell ref="PPF28:PPV28"/>
    <mergeCell ref="PPW28:PQM28"/>
    <mergeCell ref="PQN28:PRD28"/>
    <mergeCell ref="PRE28:PRU28"/>
    <mergeCell ref="PJZ28:PKP28"/>
    <mergeCell ref="PKQ28:PLG28"/>
    <mergeCell ref="PLH28:PLX28"/>
    <mergeCell ref="PLY28:PMO28"/>
    <mergeCell ref="PMP28:PNF28"/>
    <mergeCell ref="PNG28:PNW28"/>
    <mergeCell ref="QDP28:QEF28"/>
    <mergeCell ref="QEG28:QEW28"/>
    <mergeCell ref="QEX28:QFN28"/>
    <mergeCell ref="QFO28:QGE28"/>
    <mergeCell ref="QGF28:QGV28"/>
    <mergeCell ref="QGW28:QHM28"/>
    <mergeCell ref="PZR28:QAH28"/>
    <mergeCell ref="QAI28:QAY28"/>
    <mergeCell ref="QAZ28:QBP28"/>
    <mergeCell ref="QBQ28:QCG28"/>
    <mergeCell ref="QCH28:QCX28"/>
    <mergeCell ref="QCY28:QDO28"/>
    <mergeCell ref="PVT28:PWJ28"/>
    <mergeCell ref="PWK28:PXA28"/>
    <mergeCell ref="PXB28:PXR28"/>
    <mergeCell ref="PXS28:PYI28"/>
    <mergeCell ref="PYJ28:PYZ28"/>
    <mergeCell ref="PZA28:PZQ28"/>
    <mergeCell ref="QPJ28:QPZ28"/>
    <mergeCell ref="QQA28:QQQ28"/>
    <mergeCell ref="QQR28:QRH28"/>
    <mergeCell ref="QRI28:QRY28"/>
    <mergeCell ref="QRZ28:QSP28"/>
    <mergeCell ref="QSQ28:QTG28"/>
    <mergeCell ref="QLL28:QMB28"/>
    <mergeCell ref="QMC28:QMS28"/>
    <mergeCell ref="QMT28:QNJ28"/>
    <mergeCell ref="QNK28:QOA28"/>
    <mergeCell ref="QOB28:QOR28"/>
    <mergeCell ref="QOS28:QPI28"/>
    <mergeCell ref="QHN28:QID28"/>
    <mergeCell ref="QIE28:QIU28"/>
    <mergeCell ref="QIV28:QJL28"/>
    <mergeCell ref="QJM28:QKC28"/>
    <mergeCell ref="QKD28:QKT28"/>
    <mergeCell ref="QKU28:QLK28"/>
    <mergeCell ref="RBD28:RBT28"/>
    <mergeCell ref="RBU28:RCK28"/>
    <mergeCell ref="RCL28:RDB28"/>
    <mergeCell ref="RDC28:RDS28"/>
    <mergeCell ref="RDT28:REJ28"/>
    <mergeCell ref="REK28:RFA28"/>
    <mergeCell ref="QXF28:QXV28"/>
    <mergeCell ref="QXW28:QYM28"/>
    <mergeCell ref="QYN28:QZD28"/>
    <mergeCell ref="QZE28:QZU28"/>
    <mergeCell ref="QZV28:RAL28"/>
    <mergeCell ref="RAM28:RBC28"/>
    <mergeCell ref="QTH28:QTX28"/>
    <mergeCell ref="QTY28:QUO28"/>
    <mergeCell ref="QUP28:QVF28"/>
    <mergeCell ref="QVG28:QVW28"/>
    <mergeCell ref="QVX28:QWN28"/>
    <mergeCell ref="QWO28:QXE28"/>
    <mergeCell ref="RMX28:RNN28"/>
    <mergeCell ref="RNO28:ROE28"/>
    <mergeCell ref="ROF28:ROV28"/>
    <mergeCell ref="ROW28:RPM28"/>
    <mergeCell ref="RPN28:RQD28"/>
    <mergeCell ref="RQE28:RQU28"/>
    <mergeCell ref="RIZ28:RJP28"/>
    <mergeCell ref="RJQ28:RKG28"/>
    <mergeCell ref="RKH28:RKX28"/>
    <mergeCell ref="RKY28:RLO28"/>
    <mergeCell ref="RLP28:RMF28"/>
    <mergeCell ref="RMG28:RMW28"/>
    <mergeCell ref="RFB28:RFR28"/>
    <mergeCell ref="RFS28:RGI28"/>
    <mergeCell ref="RGJ28:RGZ28"/>
    <mergeCell ref="RHA28:RHQ28"/>
    <mergeCell ref="RHR28:RIH28"/>
    <mergeCell ref="RII28:RIY28"/>
    <mergeCell ref="RYR28:RZH28"/>
    <mergeCell ref="RZI28:RZY28"/>
    <mergeCell ref="RZZ28:SAP28"/>
    <mergeCell ref="SAQ28:SBG28"/>
    <mergeCell ref="SBH28:SBX28"/>
    <mergeCell ref="SBY28:SCO28"/>
    <mergeCell ref="RUT28:RVJ28"/>
    <mergeCell ref="RVK28:RWA28"/>
    <mergeCell ref="RWB28:RWR28"/>
    <mergeCell ref="RWS28:RXI28"/>
    <mergeCell ref="RXJ28:RXZ28"/>
    <mergeCell ref="RYA28:RYQ28"/>
    <mergeCell ref="RQV28:RRL28"/>
    <mergeCell ref="RRM28:RSC28"/>
    <mergeCell ref="RSD28:RST28"/>
    <mergeCell ref="RSU28:RTK28"/>
    <mergeCell ref="RTL28:RUB28"/>
    <mergeCell ref="RUC28:RUS28"/>
    <mergeCell ref="SKL28:SLB28"/>
    <mergeCell ref="SLC28:SLS28"/>
    <mergeCell ref="SLT28:SMJ28"/>
    <mergeCell ref="SMK28:SNA28"/>
    <mergeCell ref="SNB28:SNR28"/>
    <mergeCell ref="SNS28:SOI28"/>
    <mergeCell ref="SGN28:SHD28"/>
    <mergeCell ref="SHE28:SHU28"/>
    <mergeCell ref="SHV28:SIL28"/>
    <mergeCell ref="SIM28:SJC28"/>
    <mergeCell ref="SJD28:SJT28"/>
    <mergeCell ref="SJU28:SKK28"/>
    <mergeCell ref="SCP28:SDF28"/>
    <mergeCell ref="SDG28:SDW28"/>
    <mergeCell ref="SDX28:SEN28"/>
    <mergeCell ref="SEO28:SFE28"/>
    <mergeCell ref="SFF28:SFV28"/>
    <mergeCell ref="SFW28:SGM28"/>
    <mergeCell ref="SWF28:SWV28"/>
    <mergeCell ref="SWW28:SXM28"/>
    <mergeCell ref="SXN28:SYD28"/>
    <mergeCell ref="SYE28:SYU28"/>
    <mergeCell ref="SYV28:SZL28"/>
    <mergeCell ref="SZM28:TAC28"/>
    <mergeCell ref="SSH28:SSX28"/>
    <mergeCell ref="SSY28:STO28"/>
    <mergeCell ref="STP28:SUF28"/>
    <mergeCell ref="SUG28:SUW28"/>
    <mergeCell ref="SUX28:SVN28"/>
    <mergeCell ref="SVO28:SWE28"/>
    <mergeCell ref="SOJ28:SOZ28"/>
    <mergeCell ref="SPA28:SPQ28"/>
    <mergeCell ref="SPR28:SQH28"/>
    <mergeCell ref="SQI28:SQY28"/>
    <mergeCell ref="SQZ28:SRP28"/>
    <mergeCell ref="SRQ28:SSG28"/>
    <mergeCell ref="THZ28:TIP28"/>
    <mergeCell ref="TIQ28:TJG28"/>
    <mergeCell ref="TJH28:TJX28"/>
    <mergeCell ref="TJY28:TKO28"/>
    <mergeCell ref="TKP28:TLF28"/>
    <mergeCell ref="TLG28:TLW28"/>
    <mergeCell ref="TEB28:TER28"/>
    <mergeCell ref="TES28:TFI28"/>
    <mergeCell ref="TFJ28:TFZ28"/>
    <mergeCell ref="TGA28:TGQ28"/>
    <mergeCell ref="TGR28:THH28"/>
    <mergeCell ref="THI28:THY28"/>
    <mergeCell ref="TAD28:TAT28"/>
    <mergeCell ref="TAU28:TBK28"/>
    <mergeCell ref="TBL28:TCB28"/>
    <mergeCell ref="TCC28:TCS28"/>
    <mergeCell ref="TCT28:TDJ28"/>
    <mergeCell ref="TDK28:TEA28"/>
    <mergeCell ref="TTT28:TUJ28"/>
    <mergeCell ref="TUK28:TVA28"/>
    <mergeCell ref="TVB28:TVR28"/>
    <mergeCell ref="TVS28:TWI28"/>
    <mergeCell ref="TWJ28:TWZ28"/>
    <mergeCell ref="TXA28:TXQ28"/>
    <mergeCell ref="TPV28:TQL28"/>
    <mergeCell ref="TQM28:TRC28"/>
    <mergeCell ref="TRD28:TRT28"/>
    <mergeCell ref="TRU28:TSK28"/>
    <mergeCell ref="TSL28:TTB28"/>
    <mergeCell ref="TTC28:TTS28"/>
    <mergeCell ref="TLX28:TMN28"/>
    <mergeCell ref="TMO28:TNE28"/>
    <mergeCell ref="TNF28:TNV28"/>
    <mergeCell ref="TNW28:TOM28"/>
    <mergeCell ref="TON28:TPD28"/>
    <mergeCell ref="TPE28:TPU28"/>
    <mergeCell ref="UFN28:UGD28"/>
    <mergeCell ref="UGE28:UGU28"/>
    <mergeCell ref="UGV28:UHL28"/>
    <mergeCell ref="UHM28:UIC28"/>
    <mergeCell ref="UID28:UIT28"/>
    <mergeCell ref="UIU28:UJK28"/>
    <mergeCell ref="UBP28:UCF28"/>
    <mergeCell ref="UCG28:UCW28"/>
    <mergeCell ref="UCX28:UDN28"/>
    <mergeCell ref="UDO28:UEE28"/>
    <mergeCell ref="UEF28:UEV28"/>
    <mergeCell ref="UEW28:UFM28"/>
    <mergeCell ref="TXR28:TYH28"/>
    <mergeCell ref="TYI28:TYY28"/>
    <mergeCell ref="TYZ28:TZP28"/>
    <mergeCell ref="TZQ28:UAG28"/>
    <mergeCell ref="UAH28:UAX28"/>
    <mergeCell ref="UAY28:UBO28"/>
    <mergeCell ref="URH28:URX28"/>
    <mergeCell ref="URY28:USO28"/>
    <mergeCell ref="USP28:UTF28"/>
    <mergeCell ref="UTG28:UTW28"/>
    <mergeCell ref="UTX28:UUN28"/>
    <mergeCell ref="UUO28:UVE28"/>
    <mergeCell ref="UNJ28:UNZ28"/>
    <mergeCell ref="UOA28:UOQ28"/>
    <mergeCell ref="UOR28:UPH28"/>
    <mergeCell ref="UPI28:UPY28"/>
    <mergeCell ref="UPZ28:UQP28"/>
    <mergeCell ref="UQQ28:URG28"/>
    <mergeCell ref="UJL28:UKB28"/>
    <mergeCell ref="UKC28:UKS28"/>
    <mergeCell ref="UKT28:ULJ28"/>
    <mergeCell ref="ULK28:UMA28"/>
    <mergeCell ref="UMB28:UMR28"/>
    <mergeCell ref="UMS28:UNI28"/>
    <mergeCell ref="VDB28:VDR28"/>
    <mergeCell ref="VDS28:VEI28"/>
    <mergeCell ref="VEJ28:VEZ28"/>
    <mergeCell ref="VFA28:VFQ28"/>
    <mergeCell ref="VFR28:VGH28"/>
    <mergeCell ref="VGI28:VGY28"/>
    <mergeCell ref="UZD28:UZT28"/>
    <mergeCell ref="UZU28:VAK28"/>
    <mergeCell ref="VAL28:VBB28"/>
    <mergeCell ref="VBC28:VBS28"/>
    <mergeCell ref="VBT28:VCJ28"/>
    <mergeCell ref="VCK28:VDA28"/>
    <mergeCell ref="UVF28:UVV28"/>
    <mergeCell ref="UVW28:UWM28"/>
    <mergeCell ref="UWN28:UXD28"/>
    <mergeCell ref="UXE28:UXU28"/>
    <mergeCell ref="UXV28:UYL28"/>
    <mergeCell ref="UYM28:UZC28"/>
    <mergeCell ref="VOV28:VPL28"/>
    <mergeCell ref="VPM28:VQC28"/>
    <mergeCell ref="VQD28:VQT28"/>
    <mergeCell ref="VQU28:VRK28"/>
    <mergeCell ref="VRL28:VSB28"/>
    <mergeCell ref="VSC28:VSS28"/>
    <mergeCell ref="VKX28:VLN28"/>
    <mergeCell ref="VLO28:VME28"/>
    <mergeCell ref="VMF28:VMV28"/>
    <mergeCell ref="VMW28:VNM28"/>
    <mergeCell ref="VNN28:VOD28"/>
    <mergeCell ref="VOE28:VOU28"/>
    <mergeCell ref="VGZ28:VHP28"/>
    <mergeCell ref="VHQ28:VIG28"/>
    <mergeCell ref="VIH28:VIX28"/>
    <mergeCell ref="VIY28:VJO28"/>
    <mergeCell ref="VJP28:VKF28"/>
    <mergeCell ref="VKG28:VKW28"/>
    <mergeCell ref="WGM28:WHC28"/>
    <mergeCell ref="WHD28:WHT28"/>
    <mergeCell ref="WHU28:WIK28"/>
    <mergeCell ref="WAP28:WBF28"/>
    <mergeCell ref="WBG28:WBW28"/>
    <mergeCell ref="WBX28:WCN28"/>
    <mergeCell ref="WCO28:WDE28"/>
    <mergeCell ref="WDF28:WDV28"/>
    <mergeCell ref="WDW28:WEM28"/>
    <mergeCell ref="VWR28:VXH28"/>
    <mergeCell ref="VXI28:VXY28"/>
    <mergeCell ref="VXZ28:VYP28"/>
    <mergeCell ref="VYQ28:VZG28"/>
    <mergeCell ref="VZH28:VZX28"/>
    <mergeCell ref="VZY28:WAO28"/>
    <mergeCell ref="VST28:VTJ28"/>
    <mergeCell ref="VTK28:VUA28"/>
    <mergeCell ref="VUB28:VUR28"/>
    <mergeCell ref="VUS28:VVI28"/>
    <mergeCell ref="VVJ28:VVZ28"/>
    <mergeCell ref="VWA28:VWQ28"/>
    <mergeCell ref="XEA28:XEQ28"/>
    <mergeCell ref="XER28:XFD28"/>
    <mergeCell ref="WYD28:WYT28"/>
    <mergeCell ref="WYU28:WZK28"/>
    <mergeCell ref="WZL28:XAB28"/>
    <mergeCell ref="XAC28:XAS28"/>
    <mergeCell ref="XAT28:XBJ28"/>
    <mergeCell ref="XBK28:XCA28"/>
    <mergeCell ref="WUF28:WUV28"/>
    <mergeCell ref="WUW28:WVM28"/>
    <mergeCell ref="WVN28:WWD28"/>
    <mergeCell ref="WWE28:WWU28"/>
    <mergeCell ref="WWV28:WXL28"/>
    <mergeCell ref="WXM28:WYC28"/>
    <mergeCell ref="WQH28:WQX28"/>
    <mergeCell ref="WQY28:WRO28"/>
    <mergeCell ref="WRP28:WSF28"/>
    <mergeCell ref="WSG28:WSW28"/>
    <mergeCell ref="WSX28:WTN28"/>
    <mergeCell ref="WTO28:WUE28"/>
    <mergeCell ref="AZ30:BP30"/>
    <mergeCell ref="BQ30:CG30"/>
    <mergeCell ref="CH30:CX30"/>
    <mergeCell ref="CY30:DO30"/>
    <mergeCell ref="DP30:EF30"/>
    <mergeCell ref="EG30:EW30"/>
    <mergeCell ref="EX30:FN30"/>
    <mergeCell ref="FO30:GE30"/>
    <mergeCell ref="GF30:GV30"/>
    <mergeCell ref="A2:Q2"/>
    <mergeCell ref="A29:Q29"/>
    <mergeCell ref="A30:Q30"/>
    <mergeCell ref="R30:AH30"/>
    <mergeCell ref="AI30:AY30"/>
    <mergeCell ref="XCB28:XCR28"/>
    <mergeCell ref="XCS28:XDI28"/>
    <mergeCell ref="XDJ28:XDZ28"/>
    <mergeCell ref="WMJ28:WMZ28"/>
    <mergeCell ref="WNA28:WNQ28"/>
    <mergeCell ref="WNR28:WOH28"/>
    <mergeCell ref="WOI28:WOY28"/>
    <mergeCell ref="WOZ28:WPP28"/>
    <mergeCell ref="WPQ28:WQG28"/>
    <mergeCell ref="WIL28:WJB28"/>
    <mergeCell ref="WJC28:WJS28"/>
    <mergeCell ref="WJT28:WKJ28"/>
    <mergeCell ref="WKK28:WLA28"/>
    <mergeCell ref="WLB28:WLR28"/>
    <mergeCell ref="WLS28:WMI28"/>
    <mergeCell ref="WEN28:WFD28"/>
    <mergeCell ref="WFE28:WFU28"/>
    <mergeCell ref="WFV28:WGL28"/>
    <mergeCell ref="MT30:NJ30"/>
    <mergeCell ref="NK30:OA30"/>
    <mergeCell ref="OB30:OR30"/>
    <mergeCell ref="OS30:PI30"/>
    <mergeCell ref="PJ30:PZ30"/>
    <mergeCell ref="QA30:QQ30"/>
    <mergeCell ref="QR30:RH30"/>
    <mergeCell ref="RI30:RY30"/>
    <mergeCell ref="RZ30:SP30"/>
    <mergeCell ref="GW30:HM30"/>
    <mergeCell ref="HN30:ID30"/>
    <mergeCell ref="IE30:IU30"/>
    <mergeCell ref="IV30:JL30"/>
    <mergeCell ref="JM30:KC30"/>
    <mergeCell ref="KD30:KT30"/>
    <mergeCell ref="KU30:LK30"/>
    <mergeCell ref="LL30:MB30"/>
    <mergeCell ref="MC30:MS30"/>
    <mergeCell ref="YN30:ZD30"/>
    <mergeCell ref="ZE30:ZU30"/>
    <mergeCell ref="ZV30:AAL30"/>
    <mergeCell ref="AAM30:ABC30"/>
    <mergeCell ref="ABD30:ABT30"/>
    <mergeCell ref="ABU30:ACK30"/>
    <mergeCell ref="ACL30:ADB30"/>
    <mergeCell ref="ADC30:ADS30"/>
    <mergeCell ref="ADT30:AEJ30"/>
    <mergeCell ref="SQ30:TG30"/>
    <mergeCell ref="TH30:TX30"/>
    <mergeCell ref="TY30:UO30"/>
    <mergeCell ref="UP30:VF30"/>
    <mergeCell ref="VG30:VW30"/>
    <mergeCell ref="VX30:WN30"/>
    <mergeCell ref="WO30:XE30"/>
    <mergeCell ref="XF30:XV30"/>
    <mergeCell ref="XW30:YM30"/>
    <mergeCell ref="AKH30:AKX30"/>
    <mergeCell ref="AKY30:ALO30"/>
    <mergeCell ref="ALP30:AMF30"/>
    <mergeCell ref="AMG30:AMW30"/>
    <mergeCell ref="AMX30:ANN30"/>
    <mergeCell ref="ANO30:AOE30"/>
    <mergeCell ref="AOF30:AOV30"/>
    <mergeCell ref="AOW30:APM30"/>
    <mergeCell ref="APN30:AQD30"/>
    <mergeCell ref="AEK30:AFA30"/>
    <mergeCell ref="AFB30:AFR30"/>
    <mergeCell ref="AFS30:AGI30"/>
    <mergeCell ref="AGJ30:AGZ30"/>
    <mergeCell ref="AHA30:AHQ30"/>
    <mergeCell ref="AHR30:AIH30"/>
    <mergeCell ref="AII30:AIY30"/>
    <mergeCell ref="AIZ30:AJP30"/>
    <mergeCell ref="AJQ30:AKG30"/>
    <mergeCell ref="AWB30:AWR30"/>
    <mergeCell ref="AWS30:AXI30"/>
    <mergeCell ref="AXJ30:AXZ30"/>
    <mergeCell ref="AYA30:AYQ30"/>
    <mergeCell ref="AYR30:AZH30"/>
    <mergeCell ref="AZI30:AZY30"/>
    <mergeCell ref="AZZ30:BAP30"/>
    <mergeCell ref="BAQ30:BBG30"/>
    <mergeCell ref="BBH30:BBX30"/>
    <mergeCell ref="AQE30:AQU30"/>
    <mergeCell ref="AQV30:ARL30"/>
    <mergeCell ref="ARM30:ASC30"/>
    <mergeCell ref="ASD30:AST30"/>
    <mergeCell ref="ASU30:ATK30"/>
    <mergeCell ref="ATL30:AUB30"/>
    <mergeCell ref="AUC30:AUS30"/>
    <mergeCell ref="AUT30:AVJ30"/>
    <mergeCell ref="AVK30:AWA30"/>
    <mergeCell ref="BHV30:BIL30"/>
    <mergeCell ref="BIM30:BJC30"/>
    <mergeCell ref="BJD30:BJT30"/>
    <mergeCell ref="BJU30:BKK30"/>
    <mergeCell ref="BKL30:BLB30"/>
    <mergeCell ref="BLC30:BLS30"/>
    <mergeCell ref="BLT30:BMJ30"/>
    <mergeCell ref="BMK30:BNA30"/>
    <mergeCell ref="BNB30:BNR30"/>
    <mergeCell ref="BBY30:BCO30"/>
    <mergeCell ref="BCP30:BDF30"/>
    <mergeCell ref="BDG30:BDW30"/>
    <mergeCell ref="BDX30:BEN30"/>
    <mergeCell ref="BEO30:BFE30"/>
    <mergeCell ref="BFF30:BFV30"/>
    <mergeCell ref="BFW30:BGM30"/>
    <mergeCell ref="BGN30:BHD30"/>
    <mergeCell ref="BHE30:BHU30"/>
    <mergeCell ref="BTP30:BUF30"/>
    <mergeCell ref="BUG30:BUW30"/>
    <mergeCell ref="BUX30:BVN30"/>
    <mergeCell ref="BVO30:BWE30"/>
    <mergeCell ref="BWF30:BWV30"/>
    <mergeCell ref="BWW30:BXM30"/>
    <mergeCell ref="BXN30:BYD30"/>
    <mergeCell ref="BYE30:BYU30"/>
    <mergeCell ref="BYV30:BZL30"/>
    <mergeCell ref="BNS30:BOI30"/>
    <mergeCell ref="BOJ30:BOZ30"/>
    <mergeCell ref="BPA30:BPQ30"/>
    <mergeCell ref="BPR30:BQH30"/>
    <mergeCell ref="BQI30:BQY30"/>
    <mergeCell ref="BQZ30:BRP30"/>
    <mergeCell ref="BRQ30:BSG30"/>
    <mergeCell ref="BSH30:BSX30"/>
    <mergeCell ref="BSY30:BTO30"/>
    <mergeCell ref="CFJ30:CFZ30"/>
    <mergeCell ref="CGA30:CGQ30"/>
    <mergeCell ref="CGR30:CHH30"/>
    <mergeCell ref="CHI30:CHY30"/>
    <mergeCell ref="CHZ30:CIP30"/>
    <mergeCell ref="CIQ30:CJG30"/>
    <mergeCell ref="CJH30:CJX30"/>
    <mergeCell ref="CJY30:CKO30"/>
    <mergeCell ref="CKP30:CLF30"/>
    <mergeCell ref="BZM30:CAC30"/>
    <mergeCell ref="CAD30:CAT30"/>
    <mergeCell ref="CAU30:CBK30"/>
    <mergeCell ref="CBL30:CCB30"/>
    <mergeCell ref="CCC30:CCS30"/>
    <mergeCell ref="CCT30:CDJ30"/>
    <mergeCell ref="CDK30:CEA30"/>
    <mergeCell ref="CEB30:CER30"/>
    <mergeCell ref="CES30:CFI30"/>
    <mergeCell ref="CRD30:CRT30"/>
    <mergeCell ref="CRU30:CSK30"/>
    <mergeCell ref="CSL30:CTB30"/>
    <mergeCell ref="CTC30:CTS30"/>
    <mergeCell ref="CTT30:CUJ30"/>
    <mergeCell ref="CUK30:CVA30"/>
    <mergeCell ref="CVB30:CVR30"/>
    <mergeCell ref="CVS30:CWI30"/>
    <mergeCell ref="CWJ30:CWZ30"/>
    <mergeCell ref="CLG30:CLW30"/>
    <mergeCell ref="CLX30:CMN30"/>
    <mergeCell ref="CMO30:CNE30"/>
    <mergeCell ref="CNF30:CNV30"/>
    <mergeCell ref="CNW30:COM30"/>
    <mergeCell ref="CON30:CPD30"/>
    <mergeCell ref="CPE30:CPU30"/>
    <mergeCell ref="CPV30:CQL30"/>
    <mergeCell ref="CQM30:CRC30"/>
    <mergeCell ref="DCX30:DDN30"/>
    <mergeCell ref="DDO30:DEE30"/>
    <mergeCell ref="DEF30:DEV30"/>
    <mergeCell ref="DEW30:DFM30"/>
    <mergeCell ref="DFN30:DGD30"/>
    <mergeCell ref="DGE30:DGU30"/>
    <mergeCell ref="DGV30:DHL30"/>
    <mergeCell ref="DHM30:DIC30"/>
    <mergeCell ref="DID30:DIT30"/>
    <mergeCell ref="CXA30:CXQ30"/>
    <mergeCell ref="CXR30:CYH30"/>
    <mergeCell ref="CYI30:CYY30"/>
    <mergeCell ref="CYZ30:CZP30"/>
    <mergeCell ref="CZQ30:DAG30"/>
    <mergeCell ref="DAH30:DAX30"/>
    <mergeCell ref="DAY30:DBO30"/>
    <mergeCell ref="DBP30:DCF30"/>
    <mergeCell ref="DCG30:DCW30"/>
    <mergeCell ref="DOR30:DPH30"/>
    <mergeCell ref="DPI30:DPY30"/>
    <mergeCell ref="DPZ30:DQP30"/>
    <mergeCell ref="DQQ30:DRG30"/>
    <mergeCell ref="DRH30:DRX30"/>
    <mergeCell ref="DRY30:DSO30"/>
    <mergeCell ref="DSP30:DTF30"/>
    <mergeCell ref="DTG30:DTW30"/>
    <mergeCell ref="DTX30:DUN30"/>
    <mergeCell ref="DIU30:DJK30"/>
    <mergeCell ref="DJL30:DKB30"/>
    <mergeCell ref="DKC30:DKS30"/>
    <mergeCell ref="DKT30:DLJ30"/>
    <mergeCell ref="DLK30:DMA30"/>
    <mergeCell ref="DMB30:DMR30"/>
    <mergeCell ref="DMS30:DNI30"/>
    <mergeCell ref="DNJ30:DNZ30"/>
    <mergeCell ref="DOA30:DOQ30"/>
    <mergeCell ref="EAL30:EBB30"/>
    <mergeCell ref="EBC30:EBS30"/>
    <mergeCell ref="EBT30:ECJ30"/>
    <mergeCell ref="ECK30:EDA30"/>
    <mergeCell ref="EDB30:EDR30"/>
    <mergeCell ref="EDS30:EEI30"/>
    <mergeCell ref="EEJ30:EEZ30"/>
    <mergeCell ref="EFA30:EFQ30"/>
    <mergeCell ref="EFR30:EGH30"/>
    <mergeCell ref="DUO30:DVE30"/>
    <mergeCell ref="DVF30:DVV30"/>
    <mergeCell ref="DVW30:DWM30"/>
    <mergeCell ref="DWN30:DXD30"/>
    <mergeCell ref="DXE30:DXU30"/>
    <mergeCell ref="DXV30:DYL30"/>
    <mergeCell ref="DYM30:DZC30"/>
    <mergeCell ref="DZD30:DZT30"/>
    <mergeCell ref="DZU30:EAK30"/>
    <mergeCell ref="EMF30:EMV30"/>
    <mergeCell ref="EMW30:ENM30"/>
    <mergeCell ref="ENN30:EOD30"/>
    <mergeCell ref="EOE30:EOU30"/>
    <mergeCell ref="EOV30:EPL30"/>
    <mergeCell ref="EPM30:EQC30"/>
    <mergeCell ref="EQD30:EQT30"/>
    <mergeCell ref="EQU30:ERK30"/>
    <mergeCell ref="ERL30:ESB30"/>
    <mergeCell ref="EGI30:EGY30"/>
    <mergeCell ref="EGZ30:EHP30"/>
    <mergeCell ref="EHQ30:EIG30"/>
    <mergeCell ref="EIH30:EIX30"/>
    <mergeCell ref="EIY30:EJO30"/>
    <mergeCell ref="EJP30:EKF30"/>
    <mergeCell ref="EKG30:EKW30"/>
    <mergeCell ref="EKX30:ELN30"/>
    <mergeCell ref="ELO30:EME30"/>
    <mergeCell ref="EXZ30:EYP30"/>
    <mergeCell ref="EYQ30:EZG30"/>
    <mergeCell ref="EZH30:EZX30"/>
    <mergeCell ref="EZY30:FAO30"/>
    <mergeCell ref="FAP30:FBF30"/>
    <mergeCell ref="FBG30:FBW30"/>
    <mergeCell ref="FBX30:FCN30"/>
    <mergeCell ref="FCO30:FDE30"/>
    <mergeCell ref="FDF30:FDV30"/>
    <mergeCell ref="ESC30:ESS30"/>
    <mergeCell ref="EST30:ETJ30"/>
    <mergeCell ref="ETK30:EUA30"/>
    <mergeCell ref="EUB30:EUR30"/>
    <mergeCell ref="EUS30:EVI30"/>
    <mergeCell ref="EVJ30:EVZ30"/>
    <mergeCell ref="EWA30:EWQ30"/>
    <mergeCell ref="EWR30:EXH30"/>
    <mergeCell ref="EXI30:EXY30"/>
    <mergeCell ref="FJT30:FKJ30"/>
    <mergeCell ref="FKK30:FLA30"/>
    <mergeCell ref="FLB30:FLR30"/>
    <mergeCell ref="FLS30:FMI30"/>
    <mergeCell ref="FMJ30:FMZ30"/>
    <mergeCell ref="FNA30:FNQ30"/>
    <mergeCell ref="FNR30:FOH30"/>
    <mergeCell ref="FOI30:FOY30"/>
    <mergeCell ref="FOZ30:FPP30"/>
    <mergeCell ref="FDW30:FEM30"/>
    <mergeCell ref="FEN30:FFD30"/>
    <mergeCell ref="FFE30:FFU30"/>
    <mergeCell ref="FFV30:FGL30"/>
    <mergeCell ref="FGM30:FHC30"/>
    <mergeCell ref="FHD30:FHT30"/>
    <mergeCell ref="FHU30:FIK30"/>
    <mergeCell ref="FIL30:FJB30"/>
    <mergeCell ref="FJC30:FJS30"/>
    <mergeCell ref="FVN30:FWD30"/>
    <mergeCell ref="FWE30:FWU30"/>
    <mergeCell ref="FWV30:FXL30"/>
    <mergeCell ref="FXM30:FYC30"/>
    <mergeCell ref="FYD30:FYT30"/>
    <mergeCell ref="FYU30:FZK30"/>
    <mergeCell ref="FZL30:GAB30"/>
    <mergeCell ref="GAC30:GAS30"/>
    <mergeCell ref="GAT30:GBJ30"/>
    <mergeCell ref="FPQ30:FQG30"/>
    <mergeCell ref="FQH30:FQX30"/>
    <mergeCell ref="FQY30:FRO30"/>
    <mergeCell ref="FRP30:FSF30"/>
    <mergeCell ref="FSG30:FSW30"/>
    <mergeCell ref="FSX30:FTN30"/>
    <mergeCell ref="FTO30:FUE30"/>
    <mergeCell ref="FUF30:FUV30"/>
    <mergeCell ref="FUW30:FVM30"/>
    <mergeCell ref="GHH30:GHX30"/>
    <mergeCell ref="GHY30:GIO30"/>
    <mergeCell ref="GIP30:GJF30"/>
    <mergeCell ref="GJG30:GJW30"/>
    <mergeCell ref="GJX30:GKN30"/>
    <mergeCell ref="GKO30:GLE30"/>
    <mergeCell ref="GLF30:GLV30"/>
    <mergeCell ref="GLW30:GMM30"/>
    <mergeCell ref="GMN30:GND30"/>
    <mergeCell ref="GBK30:GCA30"/>
    <mergeCell ref="GCB30:GCR30"/>
    <mergeCell ref="GCS30:GDI30"/>
    <mergeCell ref="GDJ30:GDZ30"/>
    <mergeCell ref="GEA30:GEQ30"/>
    <mergeCell ref="GER30:GFH30"/>
    <mergeCell ref="GFI30:GFY30"/>
    <mergeCell ref="GFZ30:GGP30"/>
    <mergeCell ref="GGQ30:GHG30"/>
    <mergeCell ref="GTB30:GTR30"/>
    <mergeCell ref="GTS30:GUI30"/>
    <mergeCell ref="GUJ30:GUZ30"/>
    <mergeCell ref="GVA30:GVQ30"/>
    <mergeCell ref="GVR30:GWH30"/>
    <mergeCell ref="GWI30:GWY30"/>
    <mergeCell ref="GWZ30:GXP30"/>
    <mergeCell ref="GXQ30:GYG30"/>
    <mergeCell ref="GYH30:GYX30"/>
    <mergeCell ref="GNE30:GNU30"/>
    <mergeCell ref="GNV30:GOL30"/>
    <mergeCell ref="GOM30:GPC30"/>
    <mergeCell ref="GPD30:GPT30"/>
    <mergeCell ref="GPU30:GQK30"/>
    <mergeCell ref="GQL30:GRB30"/>
    <mergeCell ref="GRC30:GRS30"/>
    <mergeCell ref="GRT30:GSJ30"/>
    <mergeCell ref="GSK30:GTA30"/>
    <mergeCell ref="HEV30:HFL30"/>
    <mergeCell ref="HFM30:HGC30"/>
    <mergeCell ref="HGD30:HGT30"/>
    <mergeCell ref="HGU30:HHK30"/>
    <mergeCell ref="HHL30:HIB30"/>
    <mergeCell ref="HIC30:HIS30"/>
    <mergeCell ref="HIT30:HJJ30"/>
    <mergeCell ref="HJK30:HKA30"/>
    <mergeCell ref="HKB30:HKR30"/>
    <mergeCell ref="GYY30:GZO30"/>
    <mergeCell ref="GZP30:HAF30"/>
    <mergeCell ref="HAG30:HAW30"/>
    <mergeCell ref="HAX30:HBN30"/>
    <mergeCell ref="HBO30:HCE30"/>
    <mergeCell ref="HCF30:HCV30"/>
    <mergeCell ref="HCW30:HDM30"/>
    <mergeCell ref="HDN30:HED30"/>
    <mergeCell ref="HEE30:HEU30"/>
    <mergeCell ref="HQP30:HRF30"/>
    <mergeCell ref="HRG30:HRW30"/>
    <mergeCell ref="HRX30:HSN30"/>
    <mergeCell ref="HSO30:HTE30"/>
    <mergeCell ref="HTF30:HTV30"/>
    <mergeCell ref="HTW30:HUM30"/>
    <mergeCell ref="HUN30:HVD30"/>
    <mergeCell ref="HVE30:HVU30"/>
    <mergeCell ref="HVV30:HWL30"/>
    <mergeCell ref="HKS30:HLI30"/>
    <mergeCell ref="HLJ30:HLZ30"/>
    <mergeCell ref="HMA30:HMQ30"/>
    <mergeCell ref="HMR30:HNH30"/>
    <mergeCell ref="HNI30:HNY30"/>
    <mergeCell ref="HNZ30:HOP30"/>
    <mergeCell ref="HOQ30:HPG30"/>
    <mergeCell ref="HPH30:HPX30"/>
    <mergeCell ref="HPY30:HQO30"/>
    <mergeCell ref="ICJ30:ICZ30"/>
    <mergeCell ref="IDA30:IDQ30"/>
    <mergeCell ref="IDR30:IEH30"/>
    <mergeCell ref="IEI30:IEY30"/>
    <mergeCell ref="IEZ30:IFP30"/>
    <mergeCell ref="IFQ30:IGG30"/>
    <mergeCell ref="IGH30:IGX30"/>
    <mergeCell ref="IGY30:IHO30"/>
    <mergeCell ref="IHP30:IIF30"/>
    <mergeCell ref="HWM30:HXC30"/>
    <mergeCell ref="HXD30:HXT30"/>
    <mergeCell ref="HXU30:HYK30"/>
    <mergeCell ref="HYL30:HZB30"/>
    <mergeCell ref="HZC30:HZS30"/>
    <mergeCell ref="HZT30:IAJ30"/>
    <mergeCell ref="IAK30:IBA30"/>
    <mergeCell ref="IBB30:IBR30"/>
    <mergeCell ref="IBS30:ICI30"/>
    <mergeCell ref="IOD30:IOT30"/>
    <mergeCell ref="IOU30:IPK30"/>
    <mergeCell ref="IPL30:IQB30"/>
    <mergeCell ref="IQC30:IQS30"/>
    <mergeCell ref="IQT30:IRJ30"/>
    <mergeCell ref="IRK30:ISA30"/>
    <mergeCell ref="ISB30:ISR30"/>
    <mergeCell ref="ISS30:ITI30"/>
    <mergeCell ref="ITJ30:ITZ30"/>
    <mergeCell ref="IIG30:IIW30"/>
    <mergeCell ref="IIX30:IJN30"/>
    <mergeCell ref="IJO30:IKE30"/>
    <mergeCell ref="IKF30:IKV30"/>
    <mergeCell ref="IKW30:ILM30"/>
    <mergeCell ref="ILN30:IMD30"/>
    <mergeCell ref="IME30:IMU30"/>
    <mergeCell ref="IMV30:INL30"/>
    <mergeCell ref="INM30:IOC30"/>
    <mergeCell ref="IZX30:JAN30"/>
    <mergeCell ref="JAO30:JBE30"/>
    <mergeCell ref="JBF30:JBV30"/>
    <mergeCell ref="JBW30:JCM30"/>
    <mergeCell ref="JCN30:JDD30"/>
    <mergeCell ref="JDE30:JDU30"/>
    <mergeCell ref="JDV30:JEL30"/>
    <mergeCell ref="JEM30:JFC30"/>
    <mergeCell ref="JFD30:JFT30"/>
    <mergeCell ref="IUA30:IUQ30"/>
    <mergeCell ref="IUR30:IVH30"/>
    <mergeCell ref="IVI30:IVY30"/>
    <mergeCell ref="IVZ30:IWP30"/>
    <mergeCell ref="IWQ30:IXG30"/>
    <mergeCell ref="IXH30:IXX30"/>
    <mergeCell ref="IXY30:IYO30"/>
    <mergeCell ref="IYP30:IZF30"/>
    <mergeCell ref="IZG30:IZW30"/>
    <mergeCell ref="JLR30:JMH30"/>
    <mergeCell ref="JMI30:JMY30"/>
    <mergeCell ref="JMZ30:JNP30"/>
    <mergeCell ref="JNQ30:JOG30"/>
    <mergeCell ref="JOH30:JOX30"/>
    <mergeCell ref="JOY30:JPO30"/>
    <mergeCell ref="JPP30:JQF30"/>
    <mergeCell ref="JQG30:JQW30"/>
    <mergeCell ref="JQX30:JRN30"/>
    <mergeCell ref="JFU30:JGK30"/>
    <mergeCell ref="JGL30:JHB30"/>
    <mergeCell ref="JHC30:JHS30"/>
    <mergeCell ref="JHT30:JIJ30"/>
    <mergeCell ref="JIK30:JJA30"/>
    <mergeCell ref="JJB30:JJR30"/>
    <mergeCell ref="JJS30:JKI30"/>
    <mergeCell ref="JKJ30:JKZ30"/>
    <mergeCell ref="JLA30:JLQ30"/>
    <mergeCell ref="JXL30:JYB30"/>
    <mergeCell ref="JYC30:JYS30"/>
    <mergeCell ref="JYT30:JZJ30"/>
    <mergeCell ref="JZK30:KAA30"/>
    <mergeCell ref="KAB30:KAR30"/>
    <mergeCell ref="KAS30:KBI30"/>
    <mergeCell ref="KBJ30:KBZ30"/>
    <mergeCell ref="KCA30:KCQ30"/>
    <mergeCell ref="KCR30:KDH30"/>
    <mergeCell ref="JRO30:JSE30"/>
    <mergeCell ref="JSF30:JSV30"/>
    <mergeCell ref="JSW30:JTM30"/>
    <mergeCell ref="JTN30:JUD30"/>
    <mergeCell ref="JUE30:JUU30"/>
    <mergeCell ref="JUV30:JVL30"/>
    <mergeCell ref="JVM30:JWC30"/>
    <mergeCell ref="JWD30:JWT30"/>
    <mergeCell ref="JWU30:JXK30"/>
    <mergeCell ref="KJF30:KJV30"/>
    <mergeCell ref="KJW30:KKM30"/>
    <mergeCell ref="KKN30:KLD30"/>
    <mergeCell ref="KLE30:KLU30"/>
    <mergeCell ref="KLV30:KML30"/>
    <mergeCell ref="KMM30:KNC30"/>
    <mergeCell ref="KND30:KNT30"/>
    <mergeCell ref="KNU30:KOK30"/>
    <mergeCell ref="KOL30:KPB30"/>
    <mergeCell ref="KDI30:KDY30"/>
    <mergeCell ref="KDZ30:KEP30"/>
    <mergeCell ref="KEQ30:KFG30"/>
    <mergeCell ref="KFH30:KFX30"/>
    <mergeCell ref="KFY30:KGO30"/>
    <mergeCell ref="KGP30:KHF30"/>
    <mergeCell ref="KHG30:KHW30"/>
    <mergeCell ref="KHX30:KIN30"/>
    <mergeCell ref="KIO30:KJE30"/>
    <mergeCell ref="KUZ30:KVP30"/>
    <mergeCell ref="KVQ30:KWG30"/>
    <mergeCell ref="KWH30:KWX30"/>
    <mergeCell ref="KWY30:KXO30"/>
    <mergeCell ref="KXP30:KYF30"/>
    <mergeCell ref="KYG30:KYW30"/>
    <mergeCell ref="KYX30:KZN30"/>
    <mergeCell ref="KZO30:LAE30"/>
    <mergeCell ref="LAF30:LAV30"/>
    <mergeCell ref="KPC30:KPS30"/>
    <mergeCell ref="KPT30:KQJ30"/>
    <mergeCell ref="KQK30:KRA30"/>
    <mergeCell ref="KRB30:KRR30"/>
    <mergeCell ref="KRS30:KSI30"/>
    <mergeCell ref="KSJ30:KSZ30"/>
    <mergeCell ref="KTA30:KTQ30"/>
    <mergeCell ref="KTR30:KUH30"/>
    <mergeCell ref="KUI30:KUY30"/>
    <mergeCell ref="LGT30:LHJ30"/>
    <mergeCell ref="LHK30:LIA30"/>
    <mergeCell ref="LIB30:LIR30"/>
    <mergeCell ref="LIS30:LJI30"/>
    <mergeCell ref="LJJ30:LJZ30"/>
    <mergeCell ref="LKA30:LKQ30"/>
    <mergeCell ref="LKR30:LLH30"/>
    <mergeCell ref="LLI30:LLY30"/>
    <mergeCell ref="LLZ30:LMP30"/>
    <mergeCell ref="LAW30:LBM30"/>
    <mergeCell ref="LBN30:LCD30"/>
    <mergeCell ref="LCE30:LCU30"/>
    <mergeCell ref="LCV30:LDL30"/>
    <mergeCell ref="LDM30:LEC30"/>
    <mergeCell ref="LED30:LET30"/>
    <mergeCell ref="LEU30:LFK30"/>
    <mergeCell ref="LFL30:LGB30"/>
    <mergeCell ref="LGC30:LGS30"/>
    <mergeCell ref="LSN30:LTD30"/>
    <mergeCell ref="LTE30:LTU30"/>
    <mergeCell ref="LTV30:LUL30"/>
    <mergeCell ref="LUM30:LVC30"/>
    <mergeCell ref="LVD30:LVT30"/>
    <mergeCell ref="LVU30:LWK30"/>
    <mergeCell ref="LWL30:LXB30"/>
    <mergeCell ref="LXC30:LXS30"/>
    <mergeCell ref="LXT30:LYJ30"/>
    <mergeCell ref="LMQ30:LNG30"/>
    <mergeCell ref="LNH30:LNX30"/>
    <mergeCell ref="LNY30:LOO30"/>
    <mergeCell ref="LOP30:LPF30"/>
    <mergeCell ref="LPG30:LPW30"/>
    <mergeCell ref="LPX30:LQN30"/>
    <mergeCell ref="LQO30:LRE30"/>
    <mergeCell ref="LRF30:LRV30"/>
    <mergeCell ref="LRW30:LSM30"/>
    <mergeCell ref="MEH30:MEX30"/>
    <mergeCell ref="MEY30:MFO30"/>
    <mergeCell ref="MFP30:MGF30"/>
    <mergeCell ref="MGG30:MGW30"/>
    <mergeCell ref="MGX30:MHN30"/>
    <mergeCell ref="MHO30:MIE30"/>
    <mergeCell ref="MIF30:MIV30"/>
    <mergeCell ref="MIW30:MJM30"/>
    <mergeCell ref="MJN30:MKD30"/>
    <mergeCell ref="LYK30:LZA30"/>
    <mergeCell ref="LZB30:LZR30"/>
    <mergeCell ref="LZS30:MAI30"/>
    <mergeCell ref="MAJ30:MAZ30"/>
    <mergeCell ref="MBA30:MBQ30"/>
    <mergeCell ref="MBR30:MCH30"/>
    <mergeCell ref="MCI30:MCY30"/>
    <mergeCell ref="MCZ30:MDP30"/>
    <mergeCell ref="MDQ30:MEG30"/>
    <mergeCell ref="MQB30:MQR30"/>
    <mergeCell ref="MQS30:MRI30"/>
    <mergeCell ref="MRJ30:MRZ30"/>
    <mergeCell ref="MSA30:MSQ30"/>
    <mergeCell ref="MSR30:MTH30"/>
    <mergeCell ref="MTI30:MTY30"/>
    <mergeCell ref="MTZ30:MUP30"/>
    <mergeCell ref="MUQ30:MVG30"/>
    <mergeCell ref="MVH30:MVX30"/>
    <mergeCell ref="MKE30:MKU30"/>
    <mergeCell ref="MKV30:MLL30"/>
    <mergeCell ref="MLM30:MMC30"/>
    <mergeCell ref="MMD30:MMT30"/>
    <mergeCell ref="MMU30:MNK30"/>
    <mergeCell ref="MNL30:MOB30"/>
    <mergeCell ref="MOC30:MOS30"/>
    <mergeCell ref="MOT30:MPJ30"/>
    <mergeCell ref="MPK30:MQA30"/>
    <mergeCell ref="NBV30:NCL30"/>
    <mergeCell ref="NCM30:NDC30"/>
    <mergeCell ref="NDD30:NDT30"/>
    <mergeCell ref="NDU30:NEK30"/>
    <mergeCell ref="NEL30:NFB30"/>
    <mergeCell ref="NFC30:NFS30"/>
    <mergeCell ref="NFT30:NGJ30"/>
    <mergeCell ref="NGK30:NHA30"/>
    <mergeCell ref="NHB30:NHR30"/>
    <mergeCell ref="MVY30:MWO30"/>
    <mergeCell ref="MWP30:MXF30"/>
    <mergeCell ref="MXG30:MXW30"/>
    <mergeCell ref="MXX30:MYN30"/>
    <mergeCell ref="MYO30:MZE30"/>
    <mergeCell ref="MZF30:MZV30"/>
    <mergeCell ref="MZW30:NAM30"/>
    <mergeCell ref="NAN30:NBD30"/>
    <mergeCell ref="NBE30:NBU30"/>
    <mergeCell ref="NNP30:NOF30"/>
    <mergeCell ref="NOG30:NOW30"/>
    <mergeCell ref="NOX30:NPN30"/>
    <mergeCell ref="NPO30:NQE30"/>
    <mergeCell ref="NQF30:NQV30"/>
    <mergeCell ref="NQW30:NRM30"/>
    <mergeCell ref="NRN30:NSD30"/>
    <mergeCell ref="NSE30:NSU30"/>
    <mergeCell ref="NSV30:NTL30"/>
    <mergeCell ref="NHS30:NII30"/>
    <mergeCell ref="NIJ30:NIZ30"/>
    <mergeCell ref="NJA30:NJQ30"/>
    <mergeCell ref="NJR30:NKH30"/>
    <mergeCell ref="NKI30:NKY30"/>
    <mergeCell ref="NKZ30:NLP30"/>
    <mergeCell ref="NLQ30:NMG30"/>
    <mergeCell ref="NMH30:NMX30"/>
    <mergeCell ref="NMY30:NNO30"/>
    <mergeCell ref="NZJ30:NZZ30"/>
    <mergeCell ref="OAA30:OAQ30"/>
    <mergeCell ref="OAR30:OBH30"/>
    <mergeCell ref="OBI30:OBY30"/>
    <mergeCell ref="OBZ30:OCP30"/>
    <mergeCell ref="OCQ30:ODG30"/>
    <mergeCell ref="ODH30:ODX30"/>
    <mergeCell ref="ODY30:OEO30"/>
    <mergeCell ref="OEP30:OFF30"/>
    <mergeCell ref="NTM30:NUC30"/>
    <mergeCell ref="NUD30:NUT30"/>
    <mergeCell ref="NUU30:NVK30"/>
    <mergeCell ref="NVL30:NWB30"/>
    <mergeCell ref="NWC30:NWS30"/>
    <mergeCell ref="NWT30:NXJ30"/>
    <mergeCell ref="NXK30:NYA30"/>
    <mergeCell ref="NYB30:NYR30"/>
    <mergeCell ref="NYS30:NZI30"/>
    <mergeCell ref="OLD30:OLT30"/>
    <mergeCell ref="OLU30:OMK30"/>
    <mergeCell ref="OML30:ONB30"/>
    <mergeCell ref="ONC30:ONS30"/>
    <mergeCell ref="ONT30:OOJ30"/>
    <mergeCell ref="OOK30:OPA30"/>
    <mergeCell ref="OPB30:OPR30"/>
    <mergeCell ref="OPS30:OQI30"/>
    <mergeCell ref="OQJ30:OQZ30"/>
    <mergeCell ref="OFG30:OFW30"/>
    <mergeCell ref="OFX30:OGN30"/>
    <mergeCell ref="OGO30:OHE30"/>
    <mergeCell ref="OHF30:OHV30"/>
    <mergeCell ref="OHW30:OIM30"/>
    <mergeCell ref="OIN30:OJD30"/>
    <mergeCell ref="OJE30:OJU30"/>
    <mergeCell ref="OJV30:OKL30"/>
    <mergeCell ref="OKM30:OLC30"/>
    <mergeCell ref="OWX30:OXN30"/>
    <mergeCell ref="OXO30:OYE30"/>
    <mergeCell ref="OYF30:OYV30"/>
    <mergeCell ref="OYW30:OZM30"/>
    <mergeCell ref="OZN30:PAD30"/>
    <mergeCell ref="PAE30:PAU30"/>
    <mergeCell ref="PAV30:PBL30"/>
    <mergeCell ref="PBM30:PCC30"/>
    <mergeCell ref="PCD30:PCT30"/>
    <mergeCell ref="ORA30:ORQ30"/>
    <mergeCell ref="ORR30:OSH30"/>
    <mergeCell ref="OSI30:OSY30"/>
    <mergeCell ref="OSZ30:OTP30"/>
    <mergeCell ref="OTQ30:OUG30"/>
    <mergeCell ref="OUH30:OUX30"/>
    <mergeCell ref="OUY30:OVO30"/>
    <mergeCell ref="OVP30:OWF30"/>
    <mergeCell ref="OWG30:OWW30"/>
    <mergeCell ref="PIR30:PJH30"/>
    <mergeCell ref="PJI30:PJY30"/>
    <mergeCell ref="PJZ30:PKP30"/>
    <mergeCell ref="PKQ30:PLG30"/>
    <mergeCell ref="PLH30:PLX30"/>
    <mergeCell ref="PLY30:PMO30"/>
    <mergeCell ref="PMP30:PNF30"/>
    <mergeCell ref="PNG30:PNW30"/>
    <mergeCell ref="PNX30:PON30"/>
    <mergeCell ref="PCU30:PDK30"/>
    <mergeCell ref="PDL30:PEB30"/>
    <mergeCell ref="PEC30:PES30"/>
    <mergeCell ref="PET30:PFJ30"/>
    <mergeCell ref="PFK30:PGA30"/>
    <mergeCell ref="PGB30:PGR30"/>
    <mergeCell ref="PGS30:PHI30"/>
    <mergeCell ref="PHJ30:PHZ30"/>
    <mergeCell ref="PIA30:PIQ30"/>
    <mergeCell ref="PUL30:PVB30"/>
    <mergeCell ref="PVC30:PVS30"/>
    <mergeCell ref="PVT30:PWJ30"/>
    <mergeCell ref="PWK30:PXA30"/>
    <mergeCell ref="PXB30:PXR30"/>
    <mergeCell ref="PXS30:PYI30"/>
    <mergeCell ref="PYJ30:PYZ30"/>
    <mergeCell ref="PZA30:PZQ30"/>
    <mergeCell ref="PZR30:QAH30"/>
    <mergeCell ref="POO30:PPE30"/>
    <mergeCell ref="PPF30:PPV30"/>
    <mergeCell ref="PPW30:PQM30"/>
    <mergeCell ref="PQN30:PRD30"/>
    <mergeCell ref="PRE30:PRU30"/>
    <mergeCell ref="PRV30:PSL30"/>
    <mergeCell ref="PSM30:PTC30"/>
    <mergeCell ref="PTD30:PTT30"/>
    <mergeCell ref="PTU30:PUK30"/>
    <mergeCell ref="QGF30:QGV30"/>
    <mergeCell ref="QGW30:QHM30"/>
    <mergeCell ref="QHN30:QID30"/>
    <mergeCell ref="QIE30:QIU30"/>
    <mergeCell ref="QIV30:QJL30"/>
    <mergeCell ref="QJM30:QKC30"/>
    <mergeCell ref="QKD30:QKT30"/>
    <mergeCell ref="QKU30:QLK30"/>
    <mergeCell ref="QLL30:QMB30"/>
    <mergeCell ref="QAI30:QAY30"/>
    <mergeCell ref="QAZ30:QBP30"/>
    <mergeCell ref="QBQ30:QCG30"/>
    <mergeCell ref="QCH30:QCX30"/>
    <mergeCell ref="QCY30:QDO30"/>
    <mergeCell ref="QDP30:QEF30"/>
    <mergeCell ref="QEG30:QEW30"/>
    <mergeCell ref="QEX30:QFN30"/>
    <mergeCell ref="QFO30:QGE30"/>
    <mergeCell ref="QRZ30:QSP30"/>
    <mergeCell ref="QSQ30:QTG30"/>
    <mergeCell ref="QTH30:QTX30"/>
    <mergeCell ref="QTY30:QUO30"/>
    <mergeCell ref="QUP30:QVF30"/>
    <mergeCell ref="QVG30:QVW30"/>
    <mergeCell ref="QVX30:QWN30"/>
    <mergeCell ref="QWO30:QXE30"/>
    <mergeCell ref="QXF30:QXV30"/>
    <mergeCell ref="QMC30:QMS30"/>
    <mergeCell ref="QMT30:QNJ30"/>
    <mergeCell ref="QNK30:QOA30"/>
    <mergeCell ref="QOB30:QOR30"/>
    <mergeCell ref="QOS30:QPI30"/>
    <mergeCell ref="QPJ30:QPZ30"/>
    <mergeCell ref="QQA30:QQQ30"/>
    <mergeCell ref="QQR30:QRH30"/>
    <mergeCell ref="QRI30:QRY30"/>
    <mergeCell ref="RDT30:REJ30"/>
    <mergeCell ref="REK30:RFA30"/>
    <mergeCell ref="RFB30:RFR30"/>
    <mergeCell ref="RFS30:RGI30"/>
    <mergeCell ref="RGJ30:RGZ30"/>
    <mergeCell ref="RHA30:RHQ30"/>
    <mergeCell ref="RHR30:RIH30"/>
    <mergeCell ref="RII30:RIY30"/>
    <mergeCell ref="RIZ30:RJP30"/>
    <mergeCell ref="QXW30:QYM30"/>
    <mergeCell ref="QYN30:QZD30"/>
    <mergeCell ref="QZE30:QZU30"/>
    <mergeCell ref="QZV30:RAL30"/>
    <mergeCell ref="RAM30:RBC30"/>
    <mergeCell ref="RBD30:RBT30"/>
    <mergeCell ref="RBU30:RCK30"/>
    <mergeCell ref="RCL30:RDB30"/>
    <mergeCell ref="RDC30:RDS30"/>
    <mergeCell ref="RPN30:RQD30"/>
    <mergeCell ref="RQE30:RQU30"/>
    <mergeCell ref="RQV30:RRL30"/>
    <mergeCell ref="RRM30:RSC30"/>
    <mergeCell ref="RSD30:RST30"/>
    <mergeCell ref="RSU30:RTK30"/>
    <mergeCell ref="RTL30:RUB30"/>
    <mergeCell ref="RUC30:RUS30"/>
    <mergeCell ref="RUT30:RVJ30"/>
    <mergeCell ref="RJQ30:RKG30"/>
    <mergeCell ref="RKH30:RKX30"/>
    <mergeCell ref="RKY30:RLO30"/>
    <mergeCell ref="RLP30:RMF30"/>
    <mergeCell ref="RMG30:RMW30"/>
    <mergeCell ref="RMX30:RNN30"/>
    <mergeCell ref="RNO30:ROE30"/>
    <mergeCell ref="ROF30:ROV30"/>
    <mergeCell ref="ROW30:RPM30"/>
    <mergeCell ref="SBH30:SBX30"/>
    <mergeCell ref="SBY30:SCO30"/>
    <mergeCell ref="SCP30:SDF30"/>
    <mergeCell ref="SDG30:SDW30"/>
    <mergeCell ref="SDX30:SEN30"/>
    <mergeCell ref="SEO30:SFE30"/>
    <mergeCell ref="SFF30:SFV30"/>
    <mergeCell ref="SFW30:SGM30"/>
    <mergeCell ref="SGN30:SHD30"/>
    <mergeCell ref="RVK30:RWA30"/>
    <mergeCell ref="RWB30:RWR30"/>
    <mergeCell ref="RWS30:RXI30"/>
    <mergeCell ref="RXJ30:RXZ30"/>
    <mergeCell ref="RYA30:RYQ30"/>
    <mergeCell ref="RYR30:RZH30"/>
    <mergeCell ref="RZI30:RZY30"/>
    <mergeCell ref="RZZ30:SAP30"/>
    <mergeCell ref="SAQ30:SBG30"/>
    <mergeCell ref="SNB30:SNR30"/>
    <mergeCell ref="SNS30:SOI30"/>
    <mergeCell ref="SOJ30:SOZ30"/>
    <mergeCell ref="SPA30:SPQ30"/>
    <mergeCell ref="SPR30:SQH30"/>
    <mergeCell ref="SQI30:SQY30"/>
    <mergeCell ref="SQZ30:SRP30"/>
    <mergeCell ref="SRQ30:SSG30"/>
    <mergeCell ref="SSH30:SSX30"/>
    <mergeCell ref="SHE30:SHU30"/>
    <mergeCell ref="SHV30:SIL30"/>
    <mergeCell ref="SIM30:SJC30"/>
    <mergeCell ref="SJD30:SJT30"/>
    <mergeCell ref="SJU30:SKK30"/>
    <mergeCell ref="SKL30:SLB30"/>
    <mergeCell ref="SLC30:SLS30"/>
    <mergeCell ref="SLT30:SMJ30"/>
    <mergeCell ref="SMK30:SNA30"/>
    <mergeCell ref="SYV30:SZL30"/>
    <mergeCell ref="SZM30:TAC30"/>
    <mergeCell ref="TAD30:TAT30"/>
    <mergeCell ref="TAU30:TBK30"/>
    <mergeCell ref="TBL30:TCB30"/>
    <mergeCell ref="TCC30:TCS30"/>
    <mergeCell ref="TCT30:TDJ30"/>
    <mergeCell ref="TDK30:TEA30"/>
    <mergeCell ref="TEB30:TER30"/>
    <mergeCell ref="SSY30:STO30"/>
    <mergeCell ref="STP30:SUF30"/>
    <mergeCell ref="SUG30:SUW30"/>
    <mergeCell ref="SUX30:SVN30"/>
    <mergeCell ref="SVO30:SWE30"/>
    <mergeCell ref="SWF30:SWV30"/>
    <mergeCell ref="SWW30:SXM30"/>
    <mergeCell ref="SXN30:SYD30"/>
    <mergeCell ref="SYE30:SYU30"/>
    <mergeCell ref="TKP30:TLF30"/>
    <mergeCell ref="TLG30:TLW30"/>
    <mergeCell ref="TLX30:TMN30"/>
    <mergeCell ref="TMO30:TNE30"/>
    <mergeCell ref="TNF30:TNV30"/>
    <mergeCell ref="TNW30:TOM30"/>
    <mergeCell ref="TON30:TPD30"/>
    <mergeCell ref="TPE30:TPU30"/>
    <mergeCell ref="TPV30:TQL30"/>
    <mergeCell ref="TES30:TFI30"/>
    <mergeCell ref="TFJ30:TFZ30"/>
    <mergeCell ref="TGA30:TGQ30"/>
    <mergeCell ref="TGR30:THH30"/>
    <mergeCell ref="THI30:THY30"/>
    <mergeCell ref="THZ30:TIP30"/>
    <mergeCell ref="TIQ30:TJG30"/>
    <mergeCell ref="TJH30:TJX30"/>
    <mergeCell ref="TJY30:TKO30"/>
    <mergeCell ref="TWJ30:TWZ30"/>
    <mergeCell ref="TXA30:TXQ30"/>
    <mergeCell ref="TXR30:TYH30"/>
    <mergeCell ref="TYI30:TYY30"/>
    <mergeCell ref="TYZ30:TZP30"/>
    <mergeCell ref="TZQ30:UAG30"/>
    <mergeCell ref="UAH30:UAX30"/>
    <mergeCell ref="UAY30:UBO30"/>
    <mergeCell ref="UBP30:UCF30"/>
    <mergeCell ref="TQM30:TRC30"/>
    <mergeCell ref="TRD30:TRT30"/>
    <mergeCell ref="TRU30:TSK30"/>
    <mergeCell ref="TSL30:TTB30"/>
    <mergeCell ref="TTC30:TTS30"/>
    <mergeCell ref="TTT30:TUJ30"/>
    <mergeCell ref="TUK30:TVA30"/>
    <mergeCell ref="TVB30:TVR30"/>
    <mergeCell ref="TVS30:TWI30"/>
    <mergeCell ref="UID30:UIT30"/>
    <mergeCell ref="UIU30:UJK30"/>
    <mergeCell ref="UJL30:UKB30"/>
    <mergeCell ref="UKC30:UKS30"/>
    <mergeCell ref="UKT30:ULJ30"/>
    <mergeCell ref="ULK30:UMA30"/>
    <mergeCell ref="UMB30:UMR30"/>
    <mergeCell ref="UMS30:UNI30"/>
    <mergeCell ref="UNJ30:UNZ30"/>
    <mergeCell ref="UCG30:UCW30"/>
    <mergeCell ref="UCX30:UDN30"/>
    <mergeCell ref="UDO30:UEE30"/>
    <mergeCell ref="UEF30:UEV30"/>
    <mergeCell ref="UEW30:UFM30"/>
    <mergeCell ref="UFN30:UGD30"/>
    <mergeCell ref="UGE30:UGU30"/>
    <mergeCell ref="UGV30:UHL30"/>
    <mergeCell ref="UHM30:UIC30"/>
    <mergeCell ref="UTX30:UUN30"/>
    <mergeCell ref="UUO30:UVE30"/>
    <mergeCell ref="UVF30:UVV30"/>
    <mergeCell ref="UVW30:UWM30"/>
    <mergeCell ref="UWN30:UXD30"/>
    <mergeCell ref="UXE30:UXU30"/>
    <mergeCell ref="UXV30:UYL30"/>
    <mergeCell ref="UYM30:UZC30"/>
    <mergeCell ref="UZD30:UZT30"/>
    <mergeCell ref="UOA30:UOQ30"/>
    <mergeCell ref="UOR30:UPH30"/>
    <mergeCell ref="UPI30:UPY30"/>
    <mergeCell ref="UPZ30:UQP30"/>
    <mergeCell ref="UQQ30:URG30"/>
    <mergeCell ref="URH30:URX30"/>
    <mergeCell ref="URY30:USO30"/>
    <mergeCell ref="USP30:UTF30"/>
    <mergeCell ref="UTG30:UTW30"/>
    <mergeCell ref="VFR30:VGH30"/>
    <mergeCell ref="VGI30:VGY30"/>
    <mergeCell ref="VGZ30:VHP30"/>
    <mergeCell ref="VHQ30:VIG30"/>
    <mergeCell ref="VIH30:VIX30"/>
    <mergeCell ref="VIY30:VJO30"/>
    <mergeCell ref="VJP30:VKF30"/>
    <mergeCell ref="VKG30:VKW30"/>
    <mergeCell ref="VKX30:VLN30"/>
    <mergeCell ref="UZU30:VAK30"/>
    <mergeCell ref="VAL30:VBB30"/>
    <mergeCell ref="VBC30:VBS30"/>
    <mergeCell ref="VBT30:VCJ30"/>
    <mergeCell ref="VCK30:VDA30"/>
    <mergeCell ref="VDB30:VDR30"/>
    <mergeCell ref="VDS30:VEI30"/>
    <mergeCell ref="VEJ30:VEZ30"/>
    <mergeCell ref="VFA30:VFQ30"/>
    <mergeCell ref="VRL30:VSB30"/>
    <mergeCell ref="VSC30:VSS30"/>
    <mergeCell ref="VST30:VTJ30"/>
    <mergeCell ref="VTK30:VUA30"/>
    <mergeCell ref="VUB30:VUR30"/>
    <mergeCell ref="VUS30:VVI30"/>
    <mergeCell ref="VVJ30:VVZ30"/>
    <mergeCell ref="VWA30:VWQ30"/>
    <mergeCell ref="VWR30:VXH30"/>
    <mergeCell ref="VLO30:VME30"/>
    <mergeCell ref="VMF30:VMV30"/>
    <mergeCell ref="VMW30:VNM30"/>
    <mergeCell ref="VNN30:VOD30"/>
    <mergeCell ref="VOE30:VOU30"/>
    <mergeCell ref="VOV30:VPL30"/>
    <mergeCell ref="VPM30:VQC30"/>
    <mergeCell ref="VQD30:VQT30"/>
    <mergeCell ref="VQU30:VRK30"/>
    <mergeCell ref="WDF30:WDV30"/>
    <mergeCell ref="WDW30:WEM30"/>
    <mergeCell ref="WEN30:WFD30"/>
    <mergeCell ref="WFE30:WFU30"/>
    <mergeCell ref="WFV30:WGL30"/>
    <mergeCell ref="WGM30:WHC30"/>
    <mergeCell ref="WHD30:WHT30"/>
    <mergeCell ref="WHU30:WIK30"/>
    <mergeCell ref="WIL30:WJB30"/>
    <mergeCell ref="VXI30:VXY30"/>
    <mergeCell ref="VXZ30:VYP30"/>
    <mergeCell ref="VYQ30:VZG30"/>
    <mergeCell ref="VZH30:VZX30"/>
    <mergeCell ref="VZY30:WAO30"/>
    <mergeCell ref="WAP30:WBF30"/>
    <mergeCell ref="WBG30:WBW30"/>
    <mergeCell ref="WBX30:WCN30"/>
    <mergeCell ref="WCO30:WDE30"/>
    <mergeCell ref="XAC30:XAS30"/>
    <mergeCell ref="WOZ30:WPP30"/>
    <mergeCell ref="WPQ30:WQG30"/>
    <mergeCell ref="WQH30:WQX30"/>
    <mergeCell ref="WQY30:WRO30"/>
    <mergeCell ref="WRP30:WSF30"/>
    <mergeCell ref="WSG30:WSW30"/>
    <mergeCell ref="WSX30:WTN30"/>
    <mergeCell ref="WTO30:WUE30"/>
    <mergeCell ref="WUF30:WUV30"/>
    <mergeCell ref="WJC30:WJS30"/>
    <mergeCell ref="WJT30:WKJ30"/>
    <mergeCell ref="WKK30:WLA30"/>
    <mergeCell ref="WLB30:WLR30"/>
    <mergeCell ref="WLS30:WMI30"/>
    <mergeCell ref="WMJ30:WMZ30"/>
    <mergeCell ref="WNA30:WNQ30"/>
    <mergeCell ref="WNR30:WOH30"/>
    <mergeCell ref="WOI30:WOY30"/>
    <mergeCell ref="XAT30:XBJ30"/>
    <mergeCell ref="XBK30:XCA30"/>
    <mergeCell ref="XCB30:XCR30"/>
    <mergeCell ref="XCS30:XDI30"/>
    <mergeCell ref="XDJ30:XDZ30"/>
    <mergeCell ref="XEA30:XEQ30"/>
    <mergeCell ref="XER30:XFD30"/>
    <mergeCell ref="A31:Q31"/>
    <mergeCell ref="R31:AH31"/>
    <mergeCell ref="AI31:AY31"/>
    <mergeCell ref="AZ31:BP31"/>
    <mergeCell ref="BQ31:CG31"/>
    <mergeCell ref="CH31:CX31"/>
    <mergeCell ref="CY31:DO31"/>
    <mergeCell ref="DP31:EF31"/>
    <mergeCell ref="EG31:EW31"/>
    <mergeCell ref="EX31:FN31"/>
    <mergeCell ref="FO31:GE31"/>
    <mergeCell ref="GF31:GV31"/>
    <mergeCell ref="GW31:HM31"/>
    <mergeCell ref="HN31:ID31"/>
    <mergeCell ref="IE31:IU31"/>
    <mergeCell ref="IV31:JL31"/>
    <mergeCell ref="JM31:KC31"/>
    <mergeCell ref="WUW30:WVM30"/>
    <mergeCell ref="WVN30:WWD30"/>
    <mergeCell ref="WWE30:WWU30"/>
    <mergeCell ref="WWV30:WXL30"/>
    <mergeCell ref="WXM30:WYC30"/>
    <mergeCell ref="WYD30:WYT30"/>
    <mergeCell ref="WYU30:WZK30"/>
    <mergeCell ref="WZL30:XAB30"/>
    <mergeCell ref="QA31:QQ31"/>
    <mergeCell ref="QR31:RH31"/>
    <mergeCell ref="RI31:RY31"/>
    <mergeCell ref="RZ31:SP31"/>
    <mergeCell ref="SQ31:TG31"/>
    <mergeCell ref="TH31:TX31"/>
    <mergeCell ref="TY31:UO31"/>
    <mergeCell ref="UP31:VF31"/>
    <mergeCell ref="VG31:VW31"/>
    <mergeCell ref="KD31:KT31"/>
    <mergeCell ref="KU31:LK31"/>
    <mergeCell ref="LL31:MB31"/>
    <mergeCell ref="MC31:MS31"/>
    <mergeCell ref="MT31:NJ31"/>
    <mergeCell ref="NK31:OA31"/>
    <mergeCell ref="OB31:OR31"/>
    <mergeCell ref="OS31:PI31"/>
    <mergeCell ref="PJ31:PZ31"/>
    <mergeCell ref="ABU31:ACK31"/>
    <mergeCell ref="ACL31:ADB31"/>
    <mergeCell ref="ADC31:ADS31"/>
    <mergeCell ref="ADT31:AEJ31"/>
    <mergeCell ref="AEK31:AFA31"/>
    <mergeCell ref="AFB31:AFR31"/>
    <mergeCell ref="AFS31:AGI31"/>
    <mergeCell ref="AGJ31:AGZ31"/>
    <mergeCell ref="AHA31:AHQ31"/>
    <mergeCell ref="VX31:WN31"/>
    <mergeCell ref="WO31:XE31"/>
    <mergeCell ref="XF31:XV31"/>
    <mergeCell ref="XW31:YM31"/>
    <mergeCell ref="YN31:ZD31"/>
    <mergeCell ref="ZE31:ZU31"/>
    <mergeCell ref="ZV31:AAL31"/>
    <mergeCell ref="AAM31:ABC31"/>
    <mergeCell ref="ABD31:ABT31"/>
    <mergeCell ref="ANO31:AOE31"/>
    <mergeCell ref="AOF31:AOV31"/>
    <mergeCell ref="AOW31:APM31"/>
    <mergeCell ref="APN31:AQD31"/>
    <mergeCell ref="AQE31:AQU31"/>
    <mergeCell ref="AQV31:ARL31"/>
    <mergeCell ref="ARM31:ASC31"/>
    <mergeCell ref="ASD31:AST31"/>
    <mergeCell ref="ASU31:ATK31"/>
    <mergeCell ref="AHR31:AIH31"/>
    <mergeCell ref="AII31:AIY31"/>
    <mergeCell ref="AIZ31:AJP31"/>
    <mergeCell ref="AJQ31:AKG31"/>
    <mergeCell ref="AKH31:AKX31"/>
    <mergeCell ref="AKY31:ALO31"/>
    <mergeCell ref="ALP31:AMF31"/>
    <mergeCell ref="AMG31:AMW31"/>
    <mergeCell ref="AMX31:ANN31"/>
    <mergeCell ref="AZI31:AZY31"/>
    <mergeCell ref="AZZ31:BAP31"/>
    <mergeCell ref="BAQ31:BBG31"/>
    <mergeCell ref="BBH31:BBX31"/>
    <mergeCell ref="BBY31:BCO31"/>
    <mergeCell ref="BCP31:BDF31"/>
    <mergeCell ref="BDG31:BDW31"/>
    <mergeCell ref="BDX31:BEN31"/>
    <mergeCell ref="BEO31:BFE31"/>
    <mergeCell ref="ATL31:AUB31"/>
    <mergeCell ref="AUC31:AUS31"/>
    <mergeCell ref="AUT31:AVJ31"/>
    <mergeCell ref="AVK31:AWA31"/>
    <mergeCell ref="AWB31:AWR31"/>
    <mergeCell ref="AWS31:AXI31"/>
    <mergeCell ref="AXJ31:AXZ31"/>
    <mergeCell ref="AYA31:AYQ31"/>
    <mergeCell ref="AYR31:AZH31"/>
    <mergeCell ref="BLC31:BLS31"/>
    <mergeCell ref="BLT31:BMJ31"/>
    <mergeCell ref="BMK31:BNA31"/>
    <mergeCell ref="BNB31:BNR31"/>
    <mergeCell ref="BNS31:BOI31"/>
    <mergeCell ref="BOJ31:BOZ31"/>
    <mergeCell ref="BPA31:BPQ31"/>
    <mergeCell ref="BPR31:BQH31"/>
    <mergeCell ref="BQI31:BQY31"/>
    <mergeCell ref="BFF31:BFV31"/>
    <mergeCell ref="BFW31:BGM31"/>
    <mergeCell ref="BGN31:BHD31"/>
    <mergeCell ref="BHE31:BHU31"/>
    <mergeCell ref="BHV31:BIL31"/>
    <mergeCell ref="BIM31:BJC31"/>
    <mergeCell ref="BJD31:BJT31"/>
    <mergeCell ref="BJU31:BKK31"/>
    <mergeCell ref="BKL31:BLB31"/>
    <mergeCell ref="BWW31:BXM31"/>
    <mergeCell ref="BXN31:BYD31"/>
    <mergeCell ref="BYE31:BYU31"/>
    <mergeCell ref="BYV31:BZL31"/>
    <mergeCell ref="BZM31:CAC31"/>
    <mergeCell ref="CAD31:CAT31"/>
    <mergeCell ref="CAU31:CBK31"/>
    <mergeCell ref="CBL31:CCB31"/>
    <mergeCell ref="CCC31:CCS31"/>
    <mergeCell ref="BQZ31:BRP31"/>
    <mergeCell ref="BRQ31:BSG31"/>
    <mergeCell ref="BSH31:BSX31"/>
    <mergeCell ref="BSY31:BTO31"/>
    <mergeCell ref="BTP31:BUF31"/>
    <mergeCell ref="BUG31:BUW31"/>
    <mergeCell ref="BUX31:BVN31"/>
    <mergeCell ref="BVO31:BWE31"/>
    <mergeCell ref="BWF31:BWV31"/>
    <mergeCell ref="CIQ31:CJG31"/>
    <mergeCell ref="CJH31:CJX31"/>
    <mergeCell ref="CJY31:CKO31"/>
    <mergeCell ref="CKP31:CLF31"/>
    <mergeCell ref="CLG31:CLW31"/>
    <mergeCell ref="CLX31:CMN31"/>
    <mergeCell ref="CMO31:CNE31"/>
    <mergeCell ref="CNF31:CNV31"/>
    <mergeCell ref="CNW31:COM31"/>
    <mergeCell ref="CCT31:CDJ31"/>
    <mergeCell ref="CDK31:CEA31"/>
    <mergeCell ref="CEB31:CER31"/>
    <mergeCell ref="CES31:CFI31"/>
    <mergeCell ref="CFJ31:CFZ31"/>
    <mergeCell ref="CGA31:CGQ31"/>
    <mergeCell ref="CGR31:CHH31"/>
    <mergeCell ref="CHI31:CHY31"/>
    <mergeCell ref="CHZ31:CIP31"/>
    <mergeCell ref="CUK31:CVA31"/>
    <mergeCell ref="CVB31:CVR31"/>
    <mergeCell ref="CVS31:CWI31"/>
    <mergeCell ref="CWJ31:CWZ31"/>
    <mergeCell ref="CXA31:CXQ31"/>
    <mergeCell ref="CXR31:CYH31"/>
    <mergeCell ref="CYI31:CYY31"/>
    <mergeCell ref="CYZ31:CZP31"/>
    <mergeCell ref="CZQ31:DAG31"/>
    <mergeCell ref="CON31:CPD31"/>
    <mergeCell ref="CPE31:CPU31"/>
    <mergeCell ref="CPV31:CQL31"/>
    <mergeCell ref="CQM31:CRC31"/>
    <mergeCell ref="CRD31:CRT31"/>
    <mergeCell ref="CRU31:CSK31"/>
    <mergeCell ref="CSL31:CTB31"/>
    <mergeCell ref="CTC31:CTS31"/>
    <mergeCell ref="CTT31:CUJ31"/>
    <mergeCell ref="DGE31:DGU31"/>
    <mergeCell ref="DGV31:DHL31"/>
    <mergeCell ref="DHM31:DIC31"/>
    <mergeCell ref="DID31:DIT31"/>
    <mergeCell ref="DIU31:DJK31"/>
    <mergeCell ref="DJL31:DKB31"/>
    <mergeCell ref="DKC31:DKS31"/>
    <mergeCell ref="DKT31:DLJ31"/>
    <mergeCell ref="DLK31:DMA31"/>
    <mergeCell ref="DAH31:DAX31"/>
    <mergeCell ref="DAY31:DBO31"/>
    <mergeCell ref="DBP31:DCF31"/>
    <mergeCell ref="DCG31:DCW31"/>
    <mergeCell ref="DCX31:DDN31"/>
    <mergeCell ref="DDO31:DEE31"/>
    <mergeCell ref="DEF31:DEV31"/>
    <mergeCell ref="DEW31:DFM31"/>
    <mergeCell ref="DFN31:DGD31"/>
    <mergeCell ref="DRY31:DSO31"/>
    <mergeCell ref="DSP31:DTF31"/>
    <mergeCell ref="DTG31:DTW31"/>
    <mergeCell ref="DTX31:DUN31"/>
    <mergeCell ref="DUO31:DVE31"/>
    <mergeCell ref="DVF31:DVV31"/>
    <mergeCell ref="DVW31:DWM31"/>
    <mergeCell ref="DWN31:DXD31"/>
    <mergeCell ref="DXE31:DXU31"/>
    <mergeCell ref="DMB31:DMR31"/>
    <mergeCell ref="DMS31:DNI31"/>
    <mergeCell ref="DNJ31:DNZ31"/>
    <mergeCell ref="DOA31:DOQ31"/>
    <mergeCell ref="DOR31:DPH31"/>
    <mergeCell ref="DPI31:DPY31"/>
    <mergeCell ref="DPZ31:DQP31"/>
    <mergeCell ref="DQQ31:DRG31"/>
    <mergeCell ref="DRH31:DRX31"/>
    <mergeCell ref="EDS31:EEI31"/>
    <mergeCell ref="EEJ31:EEZ31"/>
    <mergeCell ref="EFA31:EFQ31"/>
    <mergeCell ref="EFR31:EGH31"/>
    <mergeCell ref="EGI31:EGY31"/>
    <mergeCell ref="EGZ31:EHP31"/>
    <mergeCell ref="EHQ31:EIG31"/>
    <mergeCell ref="EIH31:EIX31"/>
    <mergeCell ref="EIY31:EJO31"/>
    <mergeCell ref="DXV31:DYL31"/>
    <mergeCell ref="DYM31:DZC31"/>
    <mergeCell ref="DZD31:DZT31"/>
    <mergeCell ref="DZU31:EAK31"/>
    <mergeCell ref="EAL31:EBB31"/>
    <mergeCell ref="EBC31:EBS31"/>
    <mergeCell ref="EBT31:ECJ31"/>
    <mergeCell ref="ECK31:EDA31"/>
    <mergeCell ref="EDB31:EDR31"/>
    <mergeCell ref="EPM31:EQC31"/>
    <mergeCell ref="EQD31:EQT31"/>
    <mergeCell ref="EQU31:ERK31"/>
    <mergeCell ref="ERL31:ESB31"/>
    <mergeCell ref="ESC31:ESS31"/>
    <mergeCell ref="EST31:ETJ31"/>
    <mergeCell ref="ETK31:EUA31"/>
    <mergeCell ref="EUB31:EUR31"/>
    <mergeCell ref="EUS31:EVI31"/>
    <mergeCell ref="EJP31:EKF31"/>
    <mergeCell ref="EKG31:EKW31"/>
    <mergeCell ref="EKX31:ELN31"/>
    <mergeCell ref="ELO31:EME31"/>
    <mergeCell ref="EMF31:EMV31"/>
    <mergeCell ref="EMW31:ENM31"/>
    <mergeCell ref="ENN31:EOD31"/>
    <mergeCell ref="EOE31:EOU31"/>
    <mergeCell ref="EOV31:EPL31"/>
    <mergeCell ref="FBG31:FBW31"/>
    <mergeCell ref="FBX31:FCN31"/>
    <mergeCell ref="FCO31:FDE31"/>
    <mergeCell ref="FDF31:FDV31"/>
    <mergeCell ref="FDW31:FEM31"/>
    <mergeCell ref="FEN31:FFD31"/>
    <mergeCell ref="FFE31:FFU31"/>
    <mergeCell ref="FFV31:FGL31"/>
    <mergeCell ref="FGM31:FHC31"/>
    <mergeCell ref="EVJ31:EVZ31"/>
    <mergeCell ref="EWA31:EWQ31"/>
    <mergeCell ref="EWR31:EXH31"/>
    <mergeCell ref="EXI31:EXY31"/>
    <mergeCell ref="EXZ31:EYP31"/>
    <mergeCell ref="EYQ31:EZG31"/>
    <mergeCell ref="EZH31:EZX31"/>
    <mergeCell ref="EZY31:FAO31"/>
    <mergeCell ref="FAP31:FBF31"/>
    <mergeCell ref="FNA31:FNQ31"/>
    <mergeCell ref="FNR31:FOH31"/>
    <mergeCell ref="FOI31:FOY31"/>
    <mergeCell ref="FOZ31:FPP31"/>
    <mergeCell ref="FPQ31:FQG31"/>
    <mergeCell ref="FQH31:FQX31"/>
    <mergeCell ref="FQY31:FRO31"/>
    <mergeCell ref="FRP31:FSF31"/>
    <mergeCell ref="FSG31:FSW31"/>
    <mergeCell ref="FHD31:FHT31"/>
    <mergeCell ref="FHU31:FIK31"/>
    <mergeCell ref="FIL31:FJB31"/>
    <mergeCell ref="FJC31:FJS31"/>
    <mergeCell ref="FJT31:FKJ31"/>
    <mergeCell ref="FKK31:FLA31"/>
    <mergeCell ref="FLB31:FLR31"/>
    <mergeCell ref="FLS31:FMI31"/>
    <mergeCell ref="FMJ31:FMZ31"/>
    <mergeCell ref="FYU31:FZK31"/>
    <mergeCell ref="FZL31:GAB31"/>
    <mergeCell ref="GAC31:GAS31"/>
    <mergeCell ref="GAT31:GBJ31"/>
    <mergeCell ref="GBK31:GCA31"/>
    <mergeCell ref="GCB31:GCR31"/>
    <mergeCell ref="GCS31:GDI31"/>
    <mergeCell ref="GDJ31:GDZ31"/>
    <mergeCell ref="GEA31:GEQ31"/>
    <mergeCell ref="FSX31:FTN31"/>
    <mergeCell ref="FTO31:FUE31"/>
    <mergeCell ref="FUF31:FUV31"/>
    <mergeCell ref="FUW31:FVM31"/>
    <mergeCell ref="FVN31:FWD31"/>
    <mergeCell ref="FWE31:FWU31"/>
    <mergeCell ref="FWV31:FXL31"/>
    <mergeCell ref="FXM31:FYC31"/>
    <mergeCell ref="FYD31:FYT31"/>
    <mergeCell ref="GKO31:GLE31"/>
    <mergeCell ref="GLF31:GLV31"/>
    <mergeCell ref="GLW31:GMM31"/>
    <mergeCell ref="GMN31:GND31"/>
    <mergeCell ref="GNE31:GNU31"/>
    <mergeCell ref="GNV31:GOL31"/>
    <mergeCell ref="GOM31:GPC31"/>
    <mergeCell ref="GPD31:GPT31"/>
    <mergeCell ref="GPU31:GQK31"/>
    <mergeCell ref="GER31:GFH31"/>
    <mergeCell ref="GFI31:GFY31"/>
    <mergeCell ref="GFZ31:GGP31"/>
    <mergeCell ref="GGQ31:GHG31"/>
    <mergeCell ref="GHH31:GHX31"/>
    <mergeCell ref="GHY31:GIO31"/>
    <mergeCell ref="GIP31:GJF31"/>
    <mergeCell ref="GJG31:GJW31"/>
    <mergeCell ref="GJX31:GKN31"/>
    <mergeCell ref="GWI31:GWY31"/>
    <mergeCell ref="GWZ31:GXP31"/>
    <mergeCell ref="GXQ31:GYG31"/>
    <mergeCell ref="GYH31:GYX31"/>
    <mergeCell ref="GYY31:GZO31"/>
    <mergeCell ref="GZP31:HAF31"/>
    <mergeCell ref="HAG31:HAW31"/>
    <mergeCell ref="HAX31:HBN31"/>
    <mergeCell ref="HBO31:HCE31"/>
    <mergeCell ref="GQL31:GRB31"/>
    <mergeCell ref="GRC31:GRS31"/>
    <mergeCell ref="GRT31:GSJ31"/>
    <mergeCell ref="GSK31:GTA31"/>
    <mergeCell ref="GTB31:GTR31"/>
    <mergeCell ref="GTS31:GUI31"/>
    <mergeCell ref="GUJ31:GUZ31"/>
    <mergeCell ref="GVA31:GVQ31"/>
    <mergeCell ref="GVR31:GWH31"/>
    <mergeCell ref="HIC31:HIS31"/>
    <mergeCell ref="HIT31:HJJ31"/>
    <mergeCell ref="HJK31:HKA31"/>
    <mergeCell ref="HKB31:HKR31"/>
    <mergeCell ref="HKS31:HLI31"/>
    <mergeCell ref="HLJ31:HLZ31"/>
    <mergeCell ref="HMA31:HMQ31"/>
    <mergeCell ref="HMR31:HNH31"/>
    <mergeCell ref="HNI31:HNY31"/>
    <mergeCell ref="HCF31:HCV31"/>
    <mergeCell ref="HCW31:HDM31"/>
    <mergeCell ref="HDN31:HED31"/>
    <mergeCell ref="HEE31:HEU31"/>
    <mergeCell ref="HEV31:HFL31"/>
    <mergeCell ref="HFM31:HGC31"/>
    <mergeCell ref="HGD31:HGT31"/>
    <mergeCell ref="HGU31:HHK31"/>
    <mergeCell ref="HHL31:HIB31"/>
    <mergeCell ref="HTW31:HUM31"/>
    <mergeCell ref="HUN31:HVD31"/>
    <mergeCell ref="HVE31:HVU31"/>
    <mergeCell ref="HVV31:HWL31"/>
    <mergeCell ref="HWM31:HXC31"/>
    <mergeCell ref="HXD31:HXT31"/>
    <mergeCell ref="HXU31:HYK31"/>
    <mergeCell ref="HYL31:HZB31"/>
    <mergeCell ref="HZC31:HZS31"/>
    <mergeCell ref="HNZ31:HOP31"/>
    <mergeCell ref="HOQ31:HPG31"/>
    <mergeCell ref="HPH31:HPX31"/>
    <mergeCell ref="HPY31:HQO31"/>
    <mergeCell ref="HQP31:HRF31"/>
    <mergeCell ref="HRG31:HRW31"/>
    <mergeCell ref="HRX31:HSN31"/>
    <mergeCell ref="HSO31:HTE31"/>
    <mergeCell ref="HTF31:HTV31"/>
    <mergeCell ref="IFQ31:IGG31"/>
    <mergeCell ref="IGH31:IGX31"/>
    <mergeCell ref="IGY31:IHO31"/>
    <mergeCell ref="IHP31:IIF31"/>
    <mergeCell ref="IIG31:IIW31"/>
    <mergeCell ref="IIX31:IJN31"/>
    <mergeCell ref="IJO31:IKE31"/>
    <mergeCell ref="IKF31:IKV31"/>
    <mergeCell ref="IKW31:ILM31"/>
    <mergeCell ref="HZT31:IAJ31"/>
    <mergeCell ref="IAK31:IBA31"/>
    <mergeCell ref="IBB31:IBR31"/>
    <mergeCell ref="IBS31:ICI31"/>
    <mergeCell ref="ICJ31:ICZ31"/>
    <mergeCell ref="IDA31:IDQ31"/>
    <mergeCell ref="IDR31:IEH31"/>
    <mergeCell ref="IEI31:IEY31"/>
    <mergeCell ref="IEZ31:IFP31"/>
    <mergeCell ref="IRK31:ISA31"/>
    <mergeCell ref="ISB31:ISR31"/>
    <mergeCell ref="ISS31:ITI31"/>
    <mergeCell ref="ITJ31:ITZ31"/>
    <mergeCell ref="IUA31:IUQ31"/>
    <mergeCell ref="IUR31:IVH31"/>
    <mergeCell ref="IVI31:IVY31"/>
    <mergeCell ref="IVZ31:IWP31"/>
    <mergeCell ref="IWQ31:IXG31"/>
    <mergeCell ref="ILN31:IMD31"/>
    <mergeCell ref="IME31:IMU31"/>
    <mergeCell ref="IMV31:INL31"/>
    <mergeCell ref="INM31:IOC31"/>
    <mergeCell ref="IOD31:IOT31"/>
    <mergeCell ref="IOU31:IPK31"/>
    <mergeCell ref="IPL31:IQB31"/>
    <mergeCell ref="IQC31:IQS31"/>
    <mergeCell ref="IQT31:IRJ31"/>
    <mergeCell ref="JDE31:JDU31"/>
    <mergeCell ref="JDV31:JEL31"/>
    <mergeCell ref="JEM31:JFC31"/>
    <mergeCell ref="JFD31:JFT31"/>
    <mergeCell ref="JFU31:JGK31"/>
    <mergeCell ref="JGL31:JHB31"/>
    <mergeCell ref="JHC31:JHS31"/>
    <mergeCell ref="JHT31:JIJ31"/>
    <mergeCell ref="JIK31:JJA31"/>
    <mergeCell ref="IXH31:IXX31"/>
    <mergeCell ref="IXY31:IYO31"/>
    <mergeCell ref="IYP31:IZF31"/>
    <mergeCell ref="IZG31:IZW31"/>
    <mergeCell ref="IZX31:JAN31"/>
    <mergeCell ref="JAO31:JBE31"/>
    <mergeCell ref="JBF31:JBV31"/>
    <mergeCell ref="JBW31:JCM31"/>
    <mergeCell ref="JCN31:JDD31"/>
    <mergeCell ref="JOY31:JPO31"/>
    <mergeCell ref="JPP31:JQF31"/>
    <mergeCell ref="JQG31:JQW31"/>
    <mergeCell ref="JQX31:JRN31"/>
    <mergeCell ref="JRO31:JSE31"/>
    <mergeCell ref="JSF31:JSV31"/>
    <mergeCell ref="JSW31:JTM31"/>
    <mergeCell ref="JTN31:JUD31"/>
    <mergeCell ref="JUE31:JUU31"/>
    <mergeCell ref="JJB31:JJR31"/>
    <mergeCell ref="JJS31:JKI31"/>
    <mergeCell ref="JKJ31:JKZ31"/>
    <mergeCell ref="JLA31:JLQ31"/>
    <mergeCell ref="JLR31:JMH31"/>
    <mergeCell ref="JMI31:JMY31"/>
    <mergeCell ref="JMZ31:JNP31"/>
    <mergeCell ref="JNQ31:JOG31"/>
    <mergeCell ref="JOH31:JOX31"/>
    <mergeCell ref="KAS31:KBI31"/>
    <mergeCell ref="KBJ31:KBZ31"/>
    <mergeCell ref="KCA31:KCQ31"/>
    <mergeCell ref="KCR31:KDH31"/>
    <mergeCell ref="KDI31:KDY31"/>
    <mergeCell ref="KDZ31:KEP31"/>
    <mergeCell ref="KEQ31:KFG31"/>
    <mergeCell ref="KFH31:KFX31"/>
    <mergeCell ref="KFY31:KGO31"/>
    <mergeCell ref="JUV31:JVL31"/>
    <mergeCell ref="JVM31:JWC31"/>
    <mergeCell ref="JWD31:JWT31"/>
    <mergeCell ref="JWU31:JXK31"/>
    <mergeCell ref="JXL31:JYB31"/>
    <mergeCell ref="JYC31:JYS31"/>
    <mergeCell ref="JYT31:JZJ31"/>
    <mergeCell ref="JZK31:KAA31"/>
    <mergeCell ref="KAB31:KAR31"/>
    <mergeCell ref="KMM31:KNC31"/>
    <mergeCell ref="KND31:KNT31"/>
    <mergeCell ref="KNU31:KOK31"/>
    <mergeCell ref="KOL31:KPB31"/>
    <mergeCell ref="KPC31:KPS31"/>
    <mergeCell ref="KPT31:KQJ31"/>
    <mergeCell ref="KQK31:KRA31"/>
    <mergeCell ref="KRB31:KRR31"/>
    <mergeCell ref="KRS31:KSI31"/>
    <mergeCell ref="KGP31:KHF31"/>
    <mergeCell ref="KHG31:KHW31"/>
    <mergeCell ref="KHX31:KIN31"/>
    <mergeCell ref="KIO31:KJE31"/>
    <mergeCell ref="KJF31:KJV31"/>
    <mergeCell ref="KJW31:KKM31"/>
    <mergeCell ref="KKN31:KLD31"/>
    <mergeCell ref="KLE31:KLU31"/>
    <mergeCell ref="KLV31:KML31"/>
    <mergeCell ref="KYG31:KYW31"/>
    <mergeCell ref="KYX31:KZN31"/>
    <mergeCell ref="KZO31:LAE31"/>
    <mergeCell ref="LAF31:LAV31"/>
    <mergeCell ref="LAW31:LBM31"/>
    <mergeCell ref="LBN31:LCD31"/>
    <mergeCell ref="LCE31:LCU31"/>
    <mergeCell ref="LCV31:LDL31"/>
    <mergeCell ref="LDM31:LEC31"/>
    <mergeCell ref="KSJ31:KSZ31"/>
    <mergeCell ref="KTA31:KTQ31"/>
    <mergeCell ref="KTR31:KUH31"/>
    <mergeCell ref="KUI31:KUY31"/>
    <mergeCell ref="KUZ31:KVP31"/>
    <mergeCell ref="KVQ31:KWG31"/>
    <mergeCell ref="KWH31:KWX31"/>
    <mergeCell ref="KWY31:KXO31"/>
    <mergeCell ref="KXP31:KYF31"/>
    <mergeCell ref="LKA31:LKQ31"/>
    <mergeCell ref="LKR31:LLH31"/>
    <mergeCell ref="LLI31:LLY31"/>
    <mergeCell ref="LLZ31:LMP31"/>
    <mergeCell ref="LMQ31:LNG31"/>
    <mergeCell ref="LNH31:LNX31"/>
    <mergeCell ref="LNY31:LOO31"/>
    <mergeCell ref="LOP31:LPF31"/>
    <mergeCell ref="LPG31:LPW31"/>
    <mergeCell ref="LED31:LET31"/>
    <mergeCell ref="LEU31:LFK31"/>
    <mergeCell ref="LFL31:LGB31"/>
    <mergeCell ref="LGC31:LGS31"/>
    <mergeCell ref="LGT31:LHJ31"/>
    <mergeCell ref="LHK31:LIA31"/>
    <mergeCell ref="LIB31:LIR31"/>
    <mergeCell ref="LIS31:LJI31"/>
    <mergeCell ref="LJJ31:LJZ31"/>
    <mergeCell ref="LVU31:LWK31"/>
    <mergeCell ref="LWL31:LXB31"/>
    <mergeCell ref="LXC31:LXS31"/>
    <mergeCell ref="LXT31:LYJ31"/>
    <mergeCell ref="LYK31:LZA31"/>
    <mergeCell ref="LZB31:LZR31"/>
    <mergeCell ref="LZS31:MAI31"/>
    <mergeCell ref="MAJ31:MAZ31"/>
    <mergeCell ref="MBA31:MBQ31"/>
    <mergeCell ref="LPX31:LQN31"/>
    <mergeCell ref="LQO31:LRE31"/>
    <mergeCell ref="LRF31:LRV31"/>
    <mergeCell ref="LRW31:LSM31"/>
    <mergeCell ref="LSN31:LTD31"/>
    <mergeCell ref="LTE31:LTU31"/>
    <mergeCell ref="LTV31:LUL31"/>
    <mergeCell ref="LUM31:LVC31"/>
    <mergeCell ref="LVD31:LVT31"/>
    <mergeCell ref="MHO31:MIE31"/>
    <mergeCell ref="MIF31:MIV31"/>
    <mergeCell ref="MIW31:MJM31"/>
    <mergeCell ref="MJN31:MKD31"/>
    <mergeCell ref="MKE31:MKU31"/>
    <mergeCell ref="MKV31:MLL31"/>
    <mergeCell ref="MLM31:MMC31"/>
    <mergeCell ref="MMD31:MMT31"/>
    <mergeCell ref="MMU31:MNK31"/>
    <mergeCell ref="MBR31:MCH31"/>
    <mergeCell ref="MCI31:MCY31"/>
    <mergeCell ref="MCZ31:MDP31"/>
    <mergeCell ref="MDQ31:MEG31"/>
    <mergeCell ref="MEH31:MEX31"/>
    <mergeCell ref="MEY31:MFO31"/>
    <mergeCell ref="MFP31:MGF31"/>
    <mergeCell ref="MGG31:MGW31"/>
    <mergeCell ref="MGX31:MHN31"/>
    <mergeCell ref="MTI31:MTY31"/>
    <mergeCell ref="MTZ31:MUP31"/>
    <mergeCell ref="MUQ31:MVG31"/>
    <mergeCell ref="MVH31:MVX31"/>
    <mergeCell ref="MVY31:MWO31"/>
    <mergeCell ref="MWP31:MXF31"/>
    <mergeCell ref="MXG31:MXW31"/>
    <mergeCell ref="MXX31:MYN31"/>
    <mergeCell ref="MYO31:MZE31"/>
    <mergeCell ref="MNL31:MOB31"/>
    <mergeCell ref="MOC31:MOS31"/>
    <mergeCell ref="MOT31:MPJ31"/>
    <mergeCell ref="MPK31:MQA31"/>
    <mergeCell ref="MQB31:MQR31"/>
    <mergeCell ref="MQS31:MRI31"/>
    <mergeCell ref="MRJ31:MRZ31"/>
    <mergeCell ref="MSA31:MSQ31"/>
    <mergeCell ref="MSR31:MTH31"/>
    <mergeCell ref="NFC31:NFS31"/>
    <mergeCell ref="NFT31:NGJ31"/>
    <mergeCell ref="NGK31:NHA31"/>
    <mergeCell ref="NHB31:NHR31"/>
    <mergeCell ref="NHS31:NII31"/>
    <mergeCell ref="NIJ31:NIZ31"/>
    <mergeCell ref="NJA31:NJQ31"/>
    <mergeCell ref="NJR31:NKH31"/>
    <mergeCell ref="NKI31:NKY31"/>
    <mergeCell ref="MZF31:MZV31"/>
    <mergeCell ref="MZW31:NAM31"/>
    <mergeCell ref="NAN31:NBD31"/>
    <mergeCell ref="NBE31:NBU31"/>
    <mergeCell ref="NBV31:NCL31"/>
    <mergeCell ref="NCM31:NDC31"/>
    <mergeCell ref="NDD31:NDT31"/>
    <mergeCell ref="NDU31:NEK31"/>
    <mergeCell ref="NEL31:NFB31"/>
    <mergeCell ref="NQW31:NRM31"/>
    <mergeCell ref="NRN31:NSD31"/>
    <mergeCell ref="NSE31:NSU31"/>
    <mergeCell ref="NSV31:NTL31"/>
    <mergeCell ref="NTM31:NUC31"/>
    <mergeCell ref="NUD31:NUT31"/>
    <mergeCell ref="NUU31:NVK31"/>
    <mergeCell ref="NVL31:NWB31"/>
    <mergeCell ref="NWC31:NWS31"/>
    <mergeCell ref="NKZ31:NLP31"/>
    <mergeCell ref="NLQ31:NMG31"/>
    <mergeCell ref="NMH31:NMX31"/>
    <mergeCell ref="NMY31:NNO31"/>
    <mergeCell ref="NNP31:NOF31"/>
    <mergeCell ref="NOG31:NOW31"/>
    <mergeCell ref="NOX31:NPN31"/>
    <mergeCell ref="NPO31:NQE31"/>
    <mergeCell ref="NQF31:NQV31"/>
    <mergeCell ref="OCQ31:ODG31"/>
    <mergeCell ref="ODH31:ODX31"/>
    <mergeCell ref="ODY31:OEO31"/>
    <mergeCell ref="OEP31:OFF31"/>
    <mergeCell ref="OFG31:OFW31"/>
    <mergeCell ref="OFX31:OGN31"/>
    <mergeCell ref="OGO31:OHE31"/>
    <mergeCell ref="OHF31:OHV31"/>
    <mergeCell ref="OHW31:OIM31"/>
    <mergeCell ref="NWT31:NXJ31"/>
    <mergeCell ref="NXK31:NYA31"/>
    <mergeCell ref="NYB31:NYR31"/>
    <mergeCell ref="NYS31:NZI31"/>
    <mergeCell ref="NZJ31:NZZ31"/>
    <mergeCell ref="OAA31:OAQ31"/>
    <mergeCell ref="OAR31:OBH31"/>
    <mergeCell ref="OBI31:OBY31"/>
    <mergeCell ref="OBZ31:OCP31"/>
    <mergeCell ref="OOK31:OPA31"/>
    <mergeCell ref="OPB31:OPR31"/>
    <mergeCell ref="OPS31:OQI31"/>
    <mergeCell ref="OQJ31:OQZ31"/>
    <mergeCell ref="ORA31:ORQ31"/>
    <mergeCell ref="ORR31:OSH31"/>
    <mergeCell ref="OSI31:OSY31"/>
    <mergeCell ref="OSZ31:OTP31"/>
    <mergeCell ref="OTQ31:OUG31"/>
    <mergeCell ref="OIN31:OJD31"/>
    <mergeCell ref="OJE31:OJU31"/>
    <mergeCell ref="OJV31:OKL31"/>
    <mergeCell ref="OKM31:OLC31"/>
    <mergeCell ref="OLD31:OLT31"/>
    <mergeCell ref="OLU31:OMK31"/>
    <mergeCell ref="OML31:ONB31"/>
    <mergeCell ref="ONC31:ONS31"/>
    <mergeCell ref="ONT31:OOJ31"/>
    <mergeCell ref="PAE31:PAU31"/>
    <mergeCell ref="PAV31:PBL31"/>
    <mergeCell ref="PBM31:PCC31"/>
    <mergeCell ref="PCD31:PCT31"/>
    <mergeCell ref="PCU31:PDK31"/>
    <mergeCell ref="PDL31:PEB31"/>
    <mergeCell ref="PEC31:PES31"/>
    <mergeCell ref="PET31:PFJ31"/>
    <mergeCell ref="PFK31:PGA31"/>
    <mergeCell ref="OUH31:OUX31"/>
    <mergeCell ref="OUY31:OVO31"/>
    <mergeCell ref="OVP31:OWF31"/>
    <mergeCell ref="OWG31:OWW31"/>
    <mergeCell ref="OWX31:OXN31"/>
    <mergeCell ref="OXO31:OYE31"/>
    <mergeCell ref="OYF31:OYV31"/>
    <mergeCell ref="OYW31:OZM31"/>
    <mergeCell ref="OZN31:PAD31"/>
    <mergeCell ref="PLY31:PMO31"/>
    <mergeCell ref="PMP31:PNF31"/>
    <mergeCell ref="PNG31:PNW31"/>
    <mergeCell ref="PNX31:PON31"/>
    <mergeCell ref="POO31:PPE31"/>
    <mergeCell ref="PPF31:PPV31"/>
    <mergeCell ref="PPW31:PQM31"/>
    <mergeCell ref="PQN31:PRD31"/>
    <mergeCell ref="PRE31:PRU31"/>
    <mergeCell ref="PGB31:PGR31"/>
    <mergeCell ref="PGS31:PHI31"/>
    <mergeCell ref="PHJ31:PHZ31"/>
    <mergeCell ref="PIA31:PIQ31"/>
    <mergeCell ref="PIR31:PJH31"/>
    <mergeCell ref="PJI31:PJY31"/>
    <mergeCell ref="PJZ31:PKP31"/>
    <mergeCell ref="PKQ31:PLG31"/>
    <mergeCell ref="PLH31:PLX31"/>
    <mergeCell ref="PXS31:PYI31"/>
    <mergeCell ref="PYJ31:PYZ31"/>
    <mergeCell ref="PZA31:PZQ31"/>
    <mergeCell ref="PZR31:QAH31"/>
    <mergeCell ref="QAI31:QAY31"/>
    <mergeCell ref="QAZ31:QBP31"/>
    <mergeCell ref="QBQ31:QCG31"/>
    <mergeCell ref="QCH31:QCX31"/>
    <mergeCell ref="QCY31:QDO31"/>
    <mergeCell ref="PRV31:PSL31"/>
    <mergeCell ref="PSM31:PTC31"/>
    <mergeCell ref="PTD31:PTT31"/>
    <mergeCell ref="PTU31:PUK31"/>
    <mergeCell ref="PUL31:PVB31"/>
    <mergeCell ref="PVC31:PVS31"/>
    <mergeCell ref="PVT31:PWJ31"/>
    <mergeCell ref="PWK31:PXA31"/>
    <mergeCell ref="PXB31:PXR31"/>
    <mergeCell ref="QJM31:QKC31"/>
    <mergeCell ref="QKD31:QKT31"/>
    <mergeCell ref="QKU31:QLK31"/>
    <mergeCell ref="QLL31:QMB31"/>
    <mergeCell ref="QMC31:QMS31"/>
    <mergeCell ref="QMT31:QNJ31"/>
    <mergeCell ref="QNK31:QOA31"/>
    <mergeCell ref="QOB31:QOR31"/>
    <mergeCell ref="QOS31:QPI31"/>
    <mergeCell ref="QDP31:QEF31"/>
    <mergeCell ref="QEG31:QEW31"/>
    <mergeCell ref="QEX31:QFN31"/>
    <mergeCell ref="QFO31:QGE31"/>
    <mergeCell ref="QGF31:QGV31"/>
    <mergeCell ref="QGW31:QHM31"/>
    <mergeCell ref="QHN31:QID31"/>
    <mergeCell ref="QIE31:QIU31"/>
    <mergeCell ref="QIV31:QJL31"/>
    <mergeCell ref="QVG31:QVW31"/>
    <mergeCell ref="QVX31:QWN31"/>
    <mergeCell ref="QWO31:QXE31"/>
    <mergeCell ref="QXF31:QXV31"/>
    <mergeCell ref="QXW31:QYM31"/>
    <mergeCell ref="QYN31:QZD31"/>
    <mergeCell ref="QZE31:QZU31"/>
    <mergeCell ref="QZV31:RAL31"/>
    <mergeCell ref="RAM31:RBC31"/>
    <mergeCell ref="QPJ31:QPZ31"/>
    <mergeCell ref="QQA31:QQQ31"/>
    <mergeCell ref="QQR31:QRH31"/>
    <mergeCell ref="QRI31:QRY31"/>
    <mergeCell ref="QRZ31:QSP31"/>
    <mergeCell ref="QSQ31:QTG31"/>
    <mergeCell ref="QTH31:QTX31"/>
    <mergeCell ref="QTY31:QUO31"/>
    <mergeCell ref="QUP31:QVF31"/>
    <mergeCell ref="RHA31:RHQ31"/>
    <mergeCell ref="RHR31:RIH31"/>
    <mergeCell ref="RII31:RIY31"/>
    <mergeCell ref="RIZ31:RJP31"/>
    <mergeCell ref="RJQ31:RKG31"/>
    <mergeCell ref="RKH31:RKX31"/>
    <mergeCell ref="RKY31:RLO31"/>
    <mergeCell ref="RLP31:RMF31"/>
    <mergeCell ref="RMG31:RMW31"/>
    <mergeCell ref="RBD31:RBT31"/>
    <mergeCell ref="RBU31:RCK31"/>
    <mergeCell ref="RCL31:RDB31"/>
    <mergeCell ref="RDC31:RDS31"/>
    <mergeCell ref="RDT31:REJ31"/>
    <mergeCell ref="REK31:RFA31"/>
    <mergeCell ref="RFB31:RFR31"/>
    <mergeCell ref="RFS31:RGI31"/>
    <mergeCell ref="RGJ31:RGZ31"/>
    <mergeCell ref="RSU31:RTK31"/>
    <mergeCell ref="RTL31:RUB31"/>
    <mergeCell ref="RUC31:RUS31"/>
    <mergeCell ref="RUT31:RVJ31"/>
    <mergeCell ref="RVK31:RWA31"/>
    <mergeCell ref="RWB31:RWR31"/>
    <mergeCell ref="RWS31:RXI31"/>
    <mergeCell ref="RXJ31:RXZ31"/>
    <mergeCell ref="RYA31:RYQ31"/>
    <mergeCell ref="RMX31:RNN31"/>
    <mergeCell ref="RNO31:ROE31"/>
    <mergeCell ref="ROF31:ROV31"/>
    <mergeCell ref="ROW31:RPM31"/>
    <mergeCell ref="RPN31:RQD31"/>
    <mergeCell ref="RQE31:RQU31"/>
    <mergeCell ref="RQV31:RRL31"/>
    <mergeCell ref="RRM31:RSC31"/>
    <mergeCell ref="RSD31:RST31"/>
    <mergeCell ref="SEO31:SFE31"/>
    <mergeCell ref="SFF31:SFV31"/>
    <mergeCell ref="SFW31:SGM31"/>
    <mergeCell ref="SGN31:SHD31"/>
    <mergeCell ref="SHE31:SHU31"/>
    <mergeCell ref="SHV31:SIL31"/>
    <mergeCell ref="SIM31:SJC31"/>
    <mergeCell ref="SJD31:SJT31"/>
    <mergeCell ref="SJU31:SKK31"/>
    <mergeCell ref="RYR31:RZH31"/>
    <mergeCell ref="RZI31:RZY31"/>
    <mergeCell ref="RZZ31:SAP31"/>
    <mergeCell ref="SAQ31:SBG31"/>
    <mergeCell ref="SBH31:SBX31"/>
    <mergeCell ref="SBY31:SCO31"/>
    <mergeCell ref="SCP31:SDF31"/>
    <mergeCell ref="SDG31:SDW31"/>
    <mergeCell ref="SDX31:SEN31"/>
    <mergeCell ref="SQI31:SQY31"/>
    <mergeCell ref="SQZ31:SRP31"/>
    <mergeCell ref="SRQ31:SSG31"/>
    <mergeCell ref="SSH31:SSX31"/>
    <mergeCell ref="SSY31:STO31"/>
    <mergeCell ref="STP31:SUF31"/>
    <mergeCell ref="SUG31:SUW31"/>
    <mergeCell ref="SUX31:SVN31"/>
    <mergeCell ref="SVO31:SWE31"/>
    <mergeCell ref="SKL31:SLB31"/>
    <mergeCell ref="SLC31:SLS31"/>
    <mergeCell ref="SLT31:SMJ31"/>
    <mergeCell ref="SMK31:SNA31"/>
    <mergeCell ref="SNB31:SNR31"/>
    <mergeCell ref="SNS31:SOI31"/>
    <mergeCell ref="SOJ31:SOZ31"/>
    <mergeCell ref="SPA31:SPQ31"/>
    <mergeCell ref="SPR31:SQH31"/>
    <mergeCell ref="TCC31:TCS31"/>
    <mergeCell ref="TCT31:TDJ31"/>
    <mergeCell ref="TDK31:TEA31"/>
    <mergeCell ref="TEB31:TER31"/>
    <mergeCell ref="TES31:TFI31"/>
    <mergeCell ref="TFJ31:TFZ31"/>
    <mergeCell ref="TGA31:TGQ31"/>
    <mergeCell ref="TGR31:THH31"/>
    <mergeCell ref="THI31:THY31"/>
    <mergeCell ref="SWF31:SWV31"/>
    <mergeCell ref="SWW31:SXM31"/>
    <mergeCell ref="SXN31:SYD31"/>
    <mergeCell ref="SYE31:SYU31"/>
    <mergeCell ref="SYV31:SZL31"/>
    <mergeCell ref="SZM31:TAC31"/>
    <mergeCell ref="TAD31:TAT31"/>
    <mergeCell ref="TAU31:TBK31"/>
    <mergeCell ref="TBL31:TCB31"/>
    <mergeCell ref="TNW31:TOM31"/>
    <mergeCell ref="TON31:TPD31"/>
    <mergeCell ref="TPE31:TPU31"/>
    <mergeCell ref="TPV31:TQL31"/>
    <mergeCell ref="TQM31:TRC31"/>
    <mergeCell ref="TRD31:TRT31"/>
    <mergeCell ref="TRU31:TSK31"/>
    <mergeCell ref="TSL31:TTB31"/>
    <mergeCell ref="TTC31:TTS31"/>
    <mergeCell ref="THZ31:TIP31"/>
    <mergeCell ref="TIQ31:TJG31"/>
    <mergeCell ref="TJH31:TJX31"/>
    <mergeCell ref="TJY31:TKO31"/>
    <mergeCell ref="TKP31:TLF31"/>
    <mergeCell ref="TLG31:TLW31"/>
    <mergeCell ref="TLX31:TMN31"/>
    <mergeCell ref="TMO31:TNE31"/>
    <mergeCell ref="TNF31:TNV31"/>
    <mergeCell ref="TZQ31:UAG31"/>
    <mergeCell ref="UAH31:UAX31"/>
    <mergeCell ref="UAY31:UBO31"/>
    <mergeCell ref="UBP31:UCF31"/>
    <mergeCell ref="UCG31:UCW31"/>
    <mergeCell ref="UCX31:UDN31"/>
    <mergeCell ref="UDO31:UEE31"/>
    <mergeCell ref="UEF31:UEV31"/>
    <mergeCell ref="UEW31:UFM31"/>
    <mergeCell ref="TTT31:TUJ31"/>
    <mergeCell ref="TUK31:TVA31"/>
    <mergeCell ref="TVB31:TVR31"/>
    <mergeCell ref="TVS31:TWI31"/>
    <mergeCell ref="TWJ31:TWZ31"/>
    <mergeCell ref="TXA31:TXQ31"/>
    <mergeCell ref="TXR31:TYH31"/>
    <mergeCell ref="TYI31:TYY31"/>
    <mergeCell ref="TYZ31:TZP31"/>
    <mergeCell ref="ULK31:UMA31"/>
    <mergeCell ref="UMB31:UMR31"/>
    <mergeCell ref="UMS31:UNI31"/>
    <mergeCell ref="UNJ31:UNZ31"/>
    <mergeCell ref="UOA31:UOQ31"/>
    <mergeCell ref="UOR31:UPH31"/>
    <mergeCell ref="UPI31:UPY31"/>
    <mergeCell ref="UPZ31:UQP31"/>
    <mergeCell ref="UQQ31:URG31"/>
    <mergeCell ref="UFN31:UGD31"/>
    <mergeCell ref="UGE31:UGU31"/>
    <mergeCell ref="UGV31:UHL31"/>
    <mergeCell ref="UHM31:UIC31"/>
    <mergeCell ref="UID31:UIT31"/>
    <mergeCell ref="UIU31:UJK31"/>
    <mergeCell ref="UJL31:UKB31"/>
    <mergeCell ref="UKC31:UKS31"/>
    <mergeCell ref="UKT31:ULJ31"/>
    <mergeCell ref="UXE31:UXU31"/>
    <mergeCell ref="UXV31:UYL31"/>
    <mergeCell ref="UYM31:UZC31"/>
    <mergeCell ref="UZD31:UZT31"/>
    <mergeCell ref="UZU31:VAK31"/>
    <mergeCell ref="VAL31:VBB31"/>
    <mergeCell ref="VBC31:VBS31"/>
    <mergeCell ref="VBT31:VCJ31"/>
    <mergeCell ref="VCK31:VDA31"/>
    <mergeCell ref="URH31:URX31"/>
    <mergeCell ref="URY31:USO31"/>
    <mergeCell ref="USP31:UTF31"/>
    <mergeCell ref="UTG31:UTW31"/>
    <mergeCell ref="UTX31:UUN31"/>
    <mergeCell ref="UUO31:UVE31"/>
    <mergeCell ref="UVF31:UVV31"/>
    <mergeCell ref="UVW31:UWM31"/>
    <mergeCell ref="UWN31:UXD31"/>
    <mergeCell ref="VIY31:VJO31"/>
    <mergeCell ref="VJP31:VKF31"/>
    <mergeCell ref="VKG31:VKW31"/>
    <mergeCell ref="VKX31:VLN31"/>
    <mergeCell ref="VLO31:VME31"/>
    <mergeCell ref="VMF31:VMV31"/>
    <mergeCell ref="VMW31:VNM31"/>
    <mergeCell ref="VNN31:VOD31"/>
    <mergeCell ref="VOE31:VOU31"/>
    <mergeCell ref="VDB31:VDR31"/>
    <mergeCell ref="VDS31:VEI31"/>
    <mergeCell ref="VEJ31:VEZ31"/>
    <mergeCell ref="VFA31:VFQ31"/>
    <mergeCell ref="VFR31:VGH31"/>
    <mergeCell ref="VGI31:VGY31"/>
    <mergeCell ref="VGZ31:VHP31"/>
    <mergeCell ref="VHQ31:VIG31"/>
    <mergeCell ref="VIH31:VIX31"/>
    <mergeCell ref="VUS31:VVI31"/>
    <mergeCell ref="VVJ31:VVZ31"/>
    <mergeCell ref="VWA31:VWQ31"/>
    <mergeCell ref="VWR31:VXH31"/>
    <mergeCell ref="VXI31:VXY31"/>
    <mergeCell ref="VXZ31:VYP31"/>
    <mergeCell ref="VYQ31:VZG31"/>
    <mergeCell ref="VZH31:VZX31"/>
    <mergeCell ref="VZY31:WAO31"/>
    <mergeCell ref="VOV31:VPL31"/>
    <mergeCell ref="VPM31:VQC31"/>
    <mergeCell ref="VQD31:VQT31"/>
    <mergeCell ref="VQU31:VRK31"/>
    <mergeCell ref="VRL31:VSB31"/>
    <mergeCell ref="VSC31:VSS31"/>
    <mergeCell ref="VST31:VTJ31"/>
    <mergeCell ref="VTK31:VUA31"/>
    <mergeCell ref="VUB31:VUR31"/>
    <mergeCell ref="WGM31:WHC31"/>
    <mergeCell ref="WHD31:WHT31"/>
    <mergeCell ref="WHU31:WIK31"/>
    <mergeCell ref="WIL31:WJB31"/>
    <mergeCell ref="WJC31:WJS31"/>
    <mergeCell ref="WJT31:WKJ31"/>
    <mergeCell ref="WKK31:WLA31"/>
    <mergeCell ref="WLB31:WLR31"/>
    <mergeCell ref="WLS31:WMI31"/>
    <mergeCell ref="WAP31:WBF31"/>
    <mergeCell ref="WBG31:WBW31"/>
    <mergeCell ref="WBX31:WCN31"/>
    <mergeCell ref="WCO31:WDE31"/>
    <mergeCell ref="WDF31:WDV31"/>
    <mergeCell ref="WDW31:WEM31"/>
    <mergeCell ref="WEN31:WFD31"/>
    <mergeCell ref="WFE31:WFU31"/>
    <mergeCell ref="WFV31:WGL31"/>
    <mergeCell ref="XDJ31:XDZ31"/>
    <mergeCell ref="WSG31:WSW31"/>
    <mergeCell ref="WSX31:WTN31"/>
    <mergeCell ref="WTO31:WUE31"/>
    <mergeCell ref="WUF31:WUV31"/>
    <mergeCell ref="WUW31:WVM31"/>
    <mergeCell ref="WVN31:WWD31"/>
    <mergeCell ref="WWE31:WWU31"/>
    <mergeCell ref="WWV31:WXL31"/>
    <mergeCell ref="WXM31:WYC31"/>
    <mergeCell ref="WMJ31:WMZ31"/>
    <mergeCell ref="WNA31:WNQ31"/>
    <mergeCell ref="WNR31:WOH31"/>
    <mergeCell ref="WOI31:WOY31"/>
    <mergeCell ref="WOZ31:WPP31"/>
    <mergeCell ref="WPQ31:WQG31"/>
    <mergeCell ref="WQH31:WQX31"/>
    <mergeCell ref="WQY31:WRO31"/>
    <mergeCell ref="WRP31:WSF31"/>
    <mergeCell ref="XEA31:XEQ31"/>
    <mergeCell ref="XER31:XFD31"/>
    <mergeCell ref="A32:Q32"/>
    <mergeCell ref="R32:AH32"/>
    <mergeCell ref="AI32:AY32"/>
    <mergeCell ref="AZ32:BP32"/>
    <mergeCell ref="BQ32:CG32"/>
    <mergeCell ref="CH32:CX32"/>
    <mergeCell ref="CY32:DO32"/>
    <mergeCell ref="DP32:EF32"/>
    <mergeCell ref="EG32:EW32"/>
    <mergeCell ref="EX32:FN32"/>
    <mergeCell ref="FO32:GE32"/>
    <mergeCell ref="GF32:GV32"/>
    <mergeCell ref="GW32:HM32"/>
    <mergeCell ref="HN32:ID32"/>
    <mergeCell ref="IE32:IU32"/>
    <mergeCell ref="IV32:JL32"/>
    <mergeCell ref="JM32:KC32"/>
    <mergeCell ref="KD32:KT32"/>
    <mergeCell ref="KU32:LK32"/>
    <mergeCell ref="LL32:MB32"/>
    <mergeCell ref="MC32:MS32"/>
    <mergeCell ref="MT32:NJ32"/>
    <mergeCell ref="WYD31:WYT31"/>
    <mergeCell ref="WYU31:WZK31"/>
    <mergeCell ref="WZL31:XAB31"/>
    <mergeCell ref="XAC31:XAS31"/>
    <mergeCell ref="XAT31:XBJ31"/>
    <mergeCell ref="XBK31:XCA31"/>
    <mergeCell ref="XCB31:XCR31"/>
    <mergeCell ref="XCS31:XDI31"/>
    <mergeCell ref="TH32:TX32"/>
    <mergeCell ref="TY32:UO32"/>
    <mergeCell ref="UP32:VF32"/>
    <mergeCell ref="VG32:VW32"/>
    <mergeCell ref="VX32:WN32"/>
    <mergeCell ref="WO32:XE32"/>
    <mergeCell ref="XF32:XV32"/>
    <mergeCell ref="XW32:YM32"/>
    <mergeCell ref="YN32:ZD32"/>
    <mergeCell ref="NK32:OA32"/>
    <mergeCell ref="OB32:OR32"/>
    <mergeCell ref="OS32:PI32"/>
    <mergeCell ref="PJ32:PZ32"/>
    <mergeCell ref="QA32:QQ32"/>
    <mergeCell ref="QR32:RH32"/>
    <mergeCell ref="RI32:RY32"/>
    <mergeCell ref="RZ32:SP32"/>
    <mergeCell ref="SQ32:TG32"/>
    <mergeCell ref="AFB32:AFR32"/>
    <mergeCell ref="AFS32:AGI32"/>
    <mergeCell ref="AGJ32:AGZ32"/>
    <mergeCell ref="AHA32:AHQ32"/>
    <mergeCell ref="AHR32:AIH32"/>
    <mergeCell ref="AII32:AIY32"/>
    <mergeCell ref="AIZ32:AJP32"/>
    <mergeCell ref="AJQ32:AKG32"/>
    <mergeCell ref="AKH32:AKX32"/>
    <mergeCell ref="ZE32:ZU32"/>
    <mergeCell ref="ZV32:AAL32"/>
    <mergeCell ref="AAM32:ABC32"/>
    <mergeCell ref="ABD32:ABT32"/>
    <mergeCell ref="ABU32:ACK32"/>
    <mergeCell ref="ACL32:ADB32"/>
    <mergeCell ref="ADC32:ADS32"/>
    <mergeCell ref="ADT32:AEJ32"/>
    <mergeCell ref="AEK32:AFA32"/>
    <mergeCell ref="AQV32:ARL32"/>
    <mergeCell ref="ARM32:ASC32"/>
    <mergeCell ref="ASD32:AST32"/>
    <mergeCell ref="ASU32:ATK32"/>
    <mergeCell ref="ATL32:AUB32"/>
    <mergeCell ref="AUC32:AUS32"/>
    <mergeCell ref="AUT32:AVJ32"/>
    <mergeCell ref="AVK32:AWA32"/>
    <mergeCell ref="AWB32:AWR32"/>
    <mergeCell ref="AKY32:ALO32"/>
    <mergeCell ref="ALP32:AMF32"/>
    <mergeCell ref="AMG32:AMW32"/>
    <mergeCell ref="AMX32:ANN32"/>
    <mergeCell ref="ANO32:AOE32"/>
    <mergeCell ref="AOF32:AOV32"/>
    <mergeCell ref="AOW32:APM32"/>
    <mergeCell ref="APN32:AQD32"/>
    <mergeCell ref="AQE32:AQU32"/>
    <mergeCell ref="BCP32:BDF32"/>
    <mergeCell ref="BDG32:BDW32"/>
    <mergeCell ref="BDX32:BEN32"/>
    <mergeCell ref="BEO32:BFE32"/>
    <mergeCell ref="BFF32:BFV32"/>
    <mergeCell ref="BFW32:BGM32"/>
    <mergeCell ref="BGN32:BHD32"/>
    <mergeCell ref="BHE32:BHU32"/>
    <mergeCell ref="BHV32:BIL32"/>
    <mergeCell ref="AWS32:AXI32"/>
    <mergeCell ref="AXJ32:AXZ32"/>
    <mergeCell ref="AYA32:AYQ32"/>
    <mergeCell ref="AYR32:AZH32"/>
    <mergeCell ref="AZI32:AZY32"/>
    <mergeCell ref="AZZ32:BAP32"/>
    <mergeCell ref="BAQ32:BBG32"/>
    <mergeCell ref="BBH32:BBX32"/>
    <mergeCell ref="BBY32:BCO32"/>
    <mergeCell ref="BOJ32:BOZ32"/>
    <mergeCell ref="BPA32:BPQ32"/>
    <mergeCell ref="BPR32:BQH32"/>
    <mergeCell ref="BQI32:BQY32"/>
    <mergeCell ref="BQZ32:BRP32"/>
    <mergeCell ref="BRQ32:BSG32"/>
    <mergeCell ref="BSH32:BSX32"/>
    <mergeCell ref="BSY32:BTO32"/>
    <mergeCell ref="BTP32:BUF32"/>
    <mergeCell ref="BIM32:BJC32"/>
    <mergeCell ref="BJD32:BJT32"/>
    <mergeCell ref="BJU32:BKK32"/>
    <mergeCell ref="BKL32:BLB32"/>
    <mergeCell ref="BLC32:BLS32"/>
    <mergeCell ref="BLT32:BMJ32"/>
    <mergeCell ref="BMK32:BNA32"/>
    <mergeCell ref="BNB32:BNR32"/>
    <mergeCell ref="BNS32:BOI32"/>
    <mergeCell ref="CAD32:CAT32"/>
    <mergeCell ref="CAU32:CBK32"/>
    <mergeCell ref="CBL32:CCB32"/>
    <mergeCell ref="CCC32:CCS32"/>
    <mergeCell ref="CCT32:CDJ32"/>
    <mergeCell ref="CDK32:CEA32"/>
    <mergeCell ref="CEB32:CER32"/>
    <mergeCell ref="CES32:CFI32"/>
    <mergeCell ref="CFJ32:CFZ32"/>
    <mergeCell ref="BUG32:BUW32"/>
    <mergeCell ref="BUX32:BVN32"/>
    <mergeCell ref="BVO32:BWE32"/>
    <mergeCell ref="BWF32:BWV32"/>
    <mergeCell ref="BWW32:BXM32"/>
    <mergeCell ref="BXN32:BYD32"/>
    <mergeCell ref="BYE32:BYU32"/>
    <mergeCell ref="BYV32:BZL32"/>
    <mergeCell ref="BZM32:CAC32"/>
    <mergeCell ref="CLX32:CMN32"/>
    <mergeCell ref="CMO32:CNE32"/>
    <mergeCell ref="CNF32:CNV32"/>
    <mergeCell ref="CNW32:COM32"/>
    <mergeCell ref="CON32:CPD32"/>
    <mergeCell ref="CPE32:CPU32"/>
    <mergeCell ref="CPV32:CQL32"/>
    <mergeCell ref="CQM32:CRC32"/>
    <mergeCell ref="CRD32:CRT32"/>
    <mergeCell ref="CGA32:CGQ32"/>
    <mergeCell ref="CGR32:CHH32"/>
    <mergeCell ref="CHI32:CHY32"/>
    <mergeCell ref="CHZ32:CIP32"/>
    <mergeCell ref="CIQ32:CJG32"/>
    <mergeCell ref="CJH32:CJX32"/>
    <mergeCell ref="CJY32:CKO32"/>
    <mergeCell ref="CKP32:CLF32"/>
    <mergeCell ref="CLG32:CLW32"/>
    <mergeCell ref="CXR32:CYH32"/>
    <mergeCell ref="CYI32:CYY32"/>
    <mergeCell ref="CYZ32:CZP32"/>
    <mergeCell ref="CZQ32:DAG32"/>
    <mergeCell ref="DAH32:DAX32"/>
    <mergeCell ref="DAY32:DBO32"/>
    <mergeCell ref="DBP32:DCF32"/>
    <mergeCell ref="DCG32:DCW32"/>
    <mergeCell ref="DCX32:DDN32"/>
    <mergeCell ref="CRU32:CSK32"/>
    <mergeCell ref="CSL32:CTB32"/>
    <mergeCell ref="CTC32:CTS32"/>
    <mergeCell ref="CTT32:CUJ32"/>
    <mergeCell ref="CUK32:CVA32"/>
    <mergeCell ref="CVB32:CVR32"/>
    <mergeCell ref="CVS32:CWI32"/>
    <mergeCell ref="CWJ32:CWZ32"/>
    <mergeCell ref="CXA32:CXQ32"/>
    <mergeCell ref="DJL32:DKB32"/>
    <mergeCell ref="DKC32:DKS32"/>
    <mergeCell ref="DKT32:DLJ32"/>
    <mergeCell ref="DLK32:DMA32"/>
    <mergeCell ref="DMB32:DMR32"/>
    <mergeCell ref="DMS32:DNI32"/>
    <mergeCell ref="DNJ32:DNZ32"/>
    <mergeCell ref="DOA32:DOQ32"/>
    <mergeCell ref="DOR32:DPH32"/>
    <mergeCell ref="DDO32:DEE32"/>
    <mergeCell ref="DEF32:DEV32"/>
    <mergeCell ref="DEW32:DFM32"/>
    <mergeCell ref="DFN32:DGD32"/>
    <mergeCell ref="DGE32:DGU32"/>
    <mergeCell ref="DGV32:DHL32"/>
    <mergeCell ref="DHM32:DIC32"/>
    <mergeCell ref="DID32:DIT32"/>
    <mergeCell ref="DIU32:DJK32"/>
    <mergeCell ref="DVF32:DVV32"/>
    <mergeCell ref="DVW32:DWM32"/>
    <mergeCell ref="DWN32:DXD32"/>
    <mergeCell ref="DXE32:DXU32"/>
    <mergeCell ref="DXV32:DYL32"/>
    <mergeCell ref="DYM32:DZC32"/>
    <mergeCell ref="DZD32:DZT32"/>
    <mergeCell ref="DZU32:EAK32"/>
    <mergeCell ref="EAL32:EBB32"/>
    <mergeCell ref="DPI32:DPY32"/>
    <mergeCell ref="DPZ32:DQP32"/>
    <mergeCell ref="DQQ32:DRG32"/>
    <mergeCell ref="DRH32:DRX32"/>
    <mergeCell ref="DRY32:DSO32"/>
    <mergeCell ref="DSP32:DTF32"/>
    <mergeCell ref="DTG32:DTW32"/>
    <mergeCell ref="DTX32:DUN32"/>
    <mergeCell ref="DUO32:DVE32"/>
    <mergeCell ref="EGZ32:EHP32"/>
    <mergeCell ref="EHQ32:EIG32"/>
    <mergeCell ref="EIH32:EIX32"/>
    <mergeCell ref="EIY32:EJO32"/>
    <mergeCell ref="EJP32:EKF32"/>
    <mergeCell ref="EKG32:EKW32"/>
    <mergeCell ref="EKX32:ELN32"/>
    <mergeCell ref="ELO32:EME32"/>
    <mergeCell ref="EMF32:EMV32"/>
    <mergeCell ref="EBC32:EBS32"/>
    <mergeCell ref="EBT32:ECJ32"/>
    <mergeCell ref="ECK32:EDA32"/>
    <mergeCell ref="EDB32:EDR32"/>
    <mergeCell ref="EDS32:EEI32"/>
    <mergeCell ref="EEJ32:EEZ32"/>
    <mergeCell ref="EFA32:EFQ32"/>
    <mergeCell ref="EFR32:EGH32"/>
    <mergeCell ref="EGI32:EGY32"/>
    <mergeCell ref="EST32:ETJ32"/>
    <mergeCell ref="ETK32:EUA32"/>
    <mergeCell ref="EUB32:EUR32"/>
    <mergeCell ref="EUS32:EVI32"/>
    <mergeCell ref="EVJ32:EVZ32"/>
    <mergeCell ref="EWA32:EWQ32"/>
    <mergeCell ref="EWR32:EXH32"/>
    <mergeCell ref="EXI32:EXY32"/>
    <mergeCell ref="EXZ32:EYP32"/>
    <mergeCell ref="EMW32:ENM32"/>
    <mergeCell ref="ENN32:EOD32"/>
    <mergeCell ref="EOE32:EOU32"/>
    <mergeCell ref="EOV32:EPL32"/>
    <mergeCell ref="EPM32:EQC32"/>
    <mergeCell ref="EQD32:EQT32"/>
    <mergeCell ref="EQU32:ERK32"/>
    <mergeCell ref="ERL32:ESB32"/>
    <mergeCell ref="ESC32:ESS32"/>
    <mergeCell ref="FEN32:FFD32"/>
    <mergeCell ref="FFE32:FFU32"/>
    <mergeCell ref="FFV32:FGL32"/>
    <mergeCell ref="FGM32:FHC32"/>
    <mergeCell ref="FHD32:FHT32"/>
    <mergeCell ref="FHU32:FIK32"/>
    <mergeCell ref="FIL32:FJB32"/>
    <mergeCell ref="FJC32:FJS32"/>
    <mergeCell ref="FJT32:FKJ32"/>
    <mergeCell ref="EYQ32:EZG32"/>
    <mergeCell ref="EZH32:EZX32"/>
    <mergeCell ref="EZY32:FAO32"/>
    <mergeCell ref="FAP32:FBF32"/>
    <mergeCell ref="FBG32:FBW32"/>
    <mergeCell ref="FBX32:FCN32"/>
    <mergeCell ref="FCO32:FDE32"/>
    <mergeCell ref="FDF32:FDV32"/>
    <mergeCell ref="FDW32:FEM32"/>
    <mergeCell ref="FQH32:FQX32"/>
    <mergeCell ref="FQY32:FRO32"/>
    <mergeCell ref="FRP32:FSF32"/>
    <mergeCell ref="FSG32:FSW32"/>
    <mergeCell ref="FSX32:FTN32"/>
    <mergeCell ref="FTO32:FUE32"/>
    <mergeCell ref="FUF32:FUV32"/>
    <mergeCell ref="FUW32:FVM32"/>
    <mergeCell ref="FVN32:FWD32"/>
    <mergeCell ref="FKK32:FLA32"/>
    <mergeCell ref="FLB32:FLR32"/>
    <mergeCell ref="FLS32:FMI32"/>
    <mergeCell ref="FMJ32:FMZ32"/>
    <mergeCell ref="FNA32:FNQ32"/>
    <mergeCell ref="FNR32:FOH32"/>
    <mergeCell ref="FOI32:FOY32"/>
    <mergeCell ref="FOZ32:FPP32"/>
    <mergeCell ref="FPQ32:FQG32"/>
    <mergeCell ref="GCB32:GCR32"/>
    <mergeCell ref="GCS32:GDI32"/>
    <mergeCell ref="GDJ32:GDZ32"/>
    <mergeCell ref="GEA32:GEQ32"/>
    <mergeCell ref="GER32:GFH32"/>
    <mergeCell ref="GFI32:GFY32"/>
    <mergeCell ref="GFZ32:GGP32"/>
    <mergeCell ref="GGQ32:GHG32"/>
    <mergeCell ref="GHH32:GHX32"/>
    <mergeCell ref="FWE32:FWU32"/>
    <mergeCell ref="FWV32:FXL32"/>
    <mergeCell ref="FXM32:FYC32"/>
    <mergeCell ref="FYD32:FYT32"/>
    <mergeCell ref="FYU32:FZK32"/>
    <mergeCell ref="FZL32:GAB32"/>
    <mergeCell ref="GAC32:GAS32"/>
    <mergeCell ref="GAT32:GBJ32"/>
    <mergeCell ref="GBK32:GCA32"/>
    <mergeCell ref="GNV32:GOL32"/>
    <mergeCell ref="GOM32:GPC32"/>
    <mergeCell ref="GPD32:GPT32"/>
    <mergeCell ref="GPU32:GQK32"/>
    <mergeCell ref="GQL32:GRB32"/>
    <mergeCell ref="GRC32:GRS32"/>
    <mergeCell ref="GRT32:GSJ32"/>
    <mergeCell ref="GSK32:GTA32"/>
    <mergeCell ref="GTB32:GTR32"/>
    <mergeCell ref="GHY32:GIO32"/>
    <mergeCell ref="GIP32:GJF32"/>
    <mergeCell ref="GJG32:GJW32"/>
    <mergeCell ref="GJX32:GKN32"/>
    <mergeCell ref="GKO32:GLE32"/>
    <mergeCell ref="GLF32:GLV32"/>
    <mergeCell ref="GLW32:GMM32"/>
    <mergeCell ref="GMN32:GND32"/>
    <mergeCell ref="GNE32:GNU32"/>
    <mergeCell ref="GZP32:HAF32"/>
    <mergeCell ref="HAG32:HAW32"/>
    <mergeCell ref="HAX32:HBN32"/>
    <mergeCell ref="HBO32:HCE32"/>
    <mergeCell ref="HCF32:HCV32"/>
    <mergeCell ref="HCW32:HDM32"/>
    <mergeCell ref="HDN32:HED32"/>
    <mergeCell ref="HEE32:HEU32"/>
    <mergeCell ref="HEV32:HFL32"/>
    <mergeCell ref="GTS32:GUI32"/>
    <mergeCell ref="GUJ32:GUZ32"/>
    <mergeCell ref="GVA32:GVQ32"/>
    <mergeCell ref="GVR32:GWH32"/>
    <mergeCell ref="GWI32:GWY32"/>
    <mergeCell ref="GWZ32:GXP32"/>
    <mergeCell ref="GXQ32:GYG32"/>
    <mergeCell ref="GYH32:GYX32"/>
    <mergeCell ref="GYY32:GZO32"/>
    <mergeCell ref="HLJ32:HLZ32"/>
    <mergeCell ref="HMA32:HMQ32"/>
    <mergeCell ref="HMR32:HNH32"/>
    <mergeCell ref="HNI32:HNY32"/>
    <mergeCell ref="HNZ32:HOP32"/>
    <mergeCell ref="HOQ32:HPG32"/>
    <mergeCell ref="HPH32:HPX32"/>
    <mergeCell ref="HPY32:HQO32"/>
    <mergeCell ref="HQP32:HRF32"/>
    <mergeCell ref="HFM32:HGC32"/>
    <mergeCell ref="HGD32:HGT32"/>
    <mergeCell ref="HGU32:HHK32"/>
    <mergeCell ref="HHL32:HIB32"/>
    <mergeCell ref="HIC32:HIS32"/>
    <mergeCell ref="HIT32:HJJ32"/>
    <mergeCell ref="HJK32:HKA32"/>
    <mergeCell ref="HKB32:HKR32"/>
    <mergeCell ref="HKS32:HLI32"/>
    <mergeCell ref="HXD32:HXT32"/>
    <mergeCell ref="HXU32:HYK32"/>
    <mergeCell ref="HYL32:HZB32"/>
    <mergeCell ref="HZC32:HZS32"/>
    <mergeCell ref="HZT32:IAJ32"/>
    <mergeCell ref="IAK32:IBA32"/>
    <mergeCell ref="IBB32:IBR32"/>
    <mergeCell ref="IBS32:ICI32"/>
    <mergeCell ref="ICJ32:ICZ32"/>
    <mergeCell ref="HRG32:HRW32"/>
    <mergeCell ref="HRX32:HSN32"/>
    <mergeCell ref="HSO32:HTE32"/>
    <mergeCell ref="HTF32:HTV32"/>
    <mergeCell ref="HTW32:HUM32"/>
    <mergeCell ref="HUN32:HVD32"/>
    <mergeCell ref="HVE32:HVU32"/>
    <mergeCell ref="HVV32:HWL32"/>
    <mergeCell ref="HWM32:HXC32"/>
    <mergeCell ref="IIX32:IJN32"/>
    <mergeCell ref="IJO32:IKE32"/>
    <mergeCell ref="IKF32:IKV32"/>
    <mergeCell ref="IKW32:ILM32"/>
    <mergeCell ref="ILN32:IMD32"/>
    <mergeCell ref="IME32:IMU32"/>
    <mergeCell ref="IMV32:INL32"/>
    <mergeCell ref="INM32:IOC32"/>
    <mergeCell ref="IOD32:IOT32"/>
    <mergeCell ref="IDA32:IDQ32"/>
    <mergeCell ref="IDR32:IEH32"/>
    <mergeCell ref="IEI32:IEY32"/>
    <mergeCell ref="IEZ32:IFP32"/>
    <mergeCell ref="IFQ32:IGG32"/>
    <mergeCell ref="IGH32:IGX32"/>
    <mergeCell ref="IGY32:IHO32"/>
    <mergeCell ref="IHP32:IIF32"/>
    <mergeCell ref="IIG32:IIW32"/>
    <mergeCell ref="IUR32:IVH32"/>
    <mergeCell ref="IVI32:IVY32"/>
    <mergeCell ref="IVZ32:IWP32"/>
    <mergeCell ref="IWQ32:IXG32"/>
    <mergeCell ref="IXH32:IXX32"/>
    <mergeCell ref="IXY32:IYO32"/>
    <mergeCell ref="IYP32:IZF32"/>
    <mergeCell ref="IZG32:IZW32"/>
    <mergeCell ref="IZX32:JAN32"/>
    <mergeCell ref="IOU32:IPK32"/>
    <mergeCell ref="IPL32:IQB32"/>
    <mergeCell ref="IQC32:IQS32"/>
    <mergeCell ref="IQT32:IRJ32"/>
    <mergeCell ref="IRK32:ISA32"/>
    <mergeCell ref="ISB32:ISR32"/>
    <mergeCell ref="ISS32:ITI32"/>
    <mergeCell ref="ITJ32:ITZ32"/>
    <mergeCell ref="IUA32:IUQ32"/>
    <mergeCell ref="JGL32:JHB32"/>
    <mergeCell ref="JHC32:JHS32"/>
    <mergeCell ref="JHT32:JIJ32"/>
    <mergeCell ref="JIK32:JJA32"/>
    <mergeCell ref="JJB32:JJR32"/>
    <mergeCell ref="JJS32:JKI32"/>
    <mergeCell ref="JKJ32:JKZ32"/>
    <mergeCell ref="JLA32:JLQ32"/>
    <mergeCell ref="JLR32:JMH32"/>
    <mergeCell ref="JAO32:JBE32"/>
    <mergeCell ref="JBF32:JBV32"/>
    <mergeCell ref="JBW32:JCM32"/>
    <mergeCell ref="JCN32:JDD32"/>
    <mergeCell ref="JDE32:JDU32"/>
    <mergeCell ref="JDV32:JEL32"/>
    <mergeCell ref="JEM32:JFC32"/>
    <mergeCell ref="JFD32:JFT32"/>
    <mergeCell ref="JFU32:JGK32"/>
    <mergeCell ref="JSF32:JSV32"/>
    <mergeCell ref="JSW32:JTM32"/>
    <mergeCell ref="JTN32:JUD32"/>
    <mergeCell ref="JUE32:JUU32"/>
    <mergeCell ref="JUV32:JVL32"/>
    <mergeCell ref="JVM32:JWC32"/>
    <mergeCell ref="JWD32:JWT32"/>
    <mergeCell ref="JWU32:JXK32"/>
    <mergeCell ref="JXL32:JYB32"/>
    <mergeCell ref="JMI32:JMY32"/>
    <mergeCell ref="JMZ32:JNP32"/>
    <mergeCell ref="JNQ32:JOG32"/>
    <mergeCell ref="JOH32:JOX32"/>
    <mergeCell ref="JOY32:JPO32"/>
    <mergeCell ref="JPP32:JQF32"/>
    <mergeCell ref="JQG32:JQW32"/>
    <mergeCell ref="JQX32:JRN32"/>
    <mergeCell ref="JRO32:JSE32"/>
    <mergeCell ref="KDZ32:KEP32"/>
    <mergeCell ref="KEQ32:KFG32"/>
    <mergeCell ref="KFH32:KFX32"/>
    <mergeCell ref="KFY32:KGO32"/>
    <mergeCell ref="KGP32:KHF32"/>
    <mergeCell ref="KHG32:KHW32"/>
    <mergeCell ref="KHX32:KIN32"/>
    <mergeCell ref="KIO32:KJE32"/>
    <mergeCell ref="KJF32:KJV32"/>
    <mergeCell ref="JYC32:JYS32"/>
    <mergeCell ref="JYT32:JZJ32"/>
    <mergeCell ref="JZK32:KAA32"/>
    <mergeCell ref="KAB32:KAR32"/>
    <mergeCell ref="KAS32:KBI32"/>
    <mergeCell ref="KBJ32:KBZ32"/>
    <mergeCell ref="KCA32:KCQ32"/>
    <mergeCell ref="KCR32:KDH32"/>
    <mergeCell ref="KDI32:KDY32"/>
    <mergeCell ref="KPT32:KQJ32"/>
    <mergeCell ref="KQK32:KRA32"/>
    <mergeCell ref="KRB32:KRR32"/>
    <mergeCell ref="KRS32:KSI32"/>
    <mergeCell ref="KSJ32:KSZ32"/>
    <mergeCell ref="KTA32:KTQ32"/>
    <mergeCell ref="KTR32:KUH32"/>
    <mergeCell ref="KUI32:KUY32"/>
    <mergeCell ref="KUZ32:KVP32"/>
    <mergeCell ref="KJW32:KKM32"/>
    <mergeCell ref="KKN32:KLD32"/>
    <mergeCell ref="KLE32:KLU32"/>
    <mergeCell ref="KLV32:KML32"/>
    <mergeCell ref="KMM32:KNC32"/>
    <mergeCell ref="KND32:KNT32"/>
    <mergeCell ref="KNU32:KOK32"/>
    <mergeCell ref="KOL32:KPB32"/>
    <mergeCell ref="KPC32:KPS32"/>
    <mergeCell ref="LBN32:LCD32"/>
    <mergeCell ref="LCE32:LCU32"/>
    <mergeCell ref="LCV32:LDL32"/>
    <mergeCell ref="LDM32:LEC32"/>
    <mergeCell ref="LED32:LET32"/>
    <mergeCell ref="LEU32:LFK32"/>
    <mergeCell ref="LFL32:LGB32"/>
    <mergeCell ref="LGC32:LGS32"/>
    <mergeCell ref="LGT32:LHJ32"/>
    <mergeCell ref="KVQ32:KWG32"/>
    <mergeCell ref="KWH32:KWX32"/>
    <mergeCell ref="KWY32:KXO32"/>
    <mergeCell ref="KXP32:KYF32"/>
    <mergeCell ref="KYG32:KYW32"/>
    <mergeCell ref="KYX32:KZN32"/>
    <mergeCell ref="KZO32:LAE32"/>
    <mergeCell ref="LAF32:LAV32"/>
    <mergeCell ref="LAW32:LBM32"/>
    <mergeCell ref="LNH32:LNX32"/>
    <mergeCell ref="LNY32:LOO32"/>
    <mergeCell ref="LOP32:LPF32"/>
    <mergeCell ref="LPG32:LPW32"/>
    <mergeCell ref="LPX32:LQN32"/>
    <mergeCell ref="LQO32:LRE32"/>
    <mergeCell ref="LRF32:LRV32"/>
    <mergeCell ref="LRW32:LSM32"/>
    <mergeCell ref="LSN32:LTD32"/>
    <mergeCell ref="LHK32:LIA32"/>
    <mergeCell ref="LIB32:LIR32"/>
    <mergeCell ref="LIS32:LJI32"/>
    <mergeCell ref="LJJ32:LJZ32"/>
    <mergeCell ref="LKA32:LKQ32"/>
    <mergeCell ref="LKR32:LLH32"/>
    <mergeCell ref="LLI32:LLY32"/>
    <mergeCell ref="LLZ32:LMP32"/>
    <mergeCell ref="LMQ32:LNG32"/>
    <mergeCell ref="LZB32:LZR32"/>
    <mergeCell ref="LZS32:MAI32"/>
    <mergeCell ref="MAJ32:MAZ32"/>
    <mergeCell ref="MBA32:MBQ32"/>
    <mergeCell ref="MBR32:MCH32"/>
    <mergeCell ref="MCI32:MCY32"/>
    <mergeCell ref="MCZ32:MDP32"/>
    <mergeCell ref="MDQ32:MEG32"/>
    <mergeCell ref="MEH32:MEX32"/>
    <mergeCell ref="LTE32:LTU32"/>
    <mergeCell ref="LTV32:LUL32"/>
    <mergeCell ref="LUM32:LVC32"/>
    <mergeCell ref="LVD32:LVT32"/>
    <mergeCell ref="LVU32:LWK32"/>
    <mergeCell ref="LWL32:LXB32"/>
    <mergeCell ref="LXC32:LXS32"/>
    <mergeCell ref="LXT32:LYJ32"/>
    <mergeCell ref="LYK32:LZA32"/>
    <mergeCell ref="MKV32:MLL32"/>
    <mergeCell ref="MLM32:MMC32"/>
    <mergeCell ref="MMD32:MMT32"/>
    <mergeCell ref="MMU32:MNK32"/>
    <mergeCell ref="MNL32:MOB32"/>
    <mergeCell ref="MOC32:MOS32"/>
    <mergeCell ref="MOT32:MPJ32"/>
    <mergeCell ref="MPK32:MQA32"/>
    <mergeCell ref="MQB32:MQR32"/>
    <mergeCell ref="MEY32:MFO32"/>
    <mergeCell ref="MFP32:MGF32"/>
    <mergeCell ref="MGG32:MGW32"/>
    <mergeCell ref="MGX32:MHN32"/>
    <mergeCell ref="MHO32:MIE32"/>
    <mergeCell ref="MIF32:MIV32"/>
    <mergeCell ref="MIW32:MJM32"/>
    <mergeCell ref="MJN32:MKD32"/>
    <mergeCell ref="MKE32:MKU32"/>
    <mergeCell ref="MWP32:MXF32"/>
    <mergeCell ref="MXG32:MXW32"/>
    <mergeCell ref="MXX32:MYN32"/>
    <mergeCell ref="MYO32:MZE32"/>
    <mergeCell ref="MZF32:MZV32"/>
    <mergeCell ref="MZW32:NAM32"/>
    <mergeCell ref="NAN32:NBD32"/>
    <mergeCell ref="NBE32:NBU32"/>
    <mergeCell ref="NBV32:NCL32"/>
    <mergeCell ref="MQS32:MRI32"/>
    <mergeCell ref="MRJ32:MRZ32"/>
    <mergeCell ref="MSA32:MSQ32"/>
    <mergeCell ref="MSR32:MTH32"/>
    <mergeCell ref="MTI32:MTY32"/>
    <mergeCell ref="MTZ32:MUP32"/>
    <mergeCell ref="MUQ32:MVG32"/>
    <mergeCell ref="MVH32:MVX32"/>
    <mergeCell ref="MVY32:MWO32"/>
    <mergeCell ref="NIJ32:NIZ32"/>
    <mergeCell ref="NJA32:NJQ32"/>
    <mergeCell ref="NJR32:NKH32"/>
    <mergeCell ref="NKI32:NKY32"/>
    <mergeCell ref="NKZ32:NLP32"/>
    <mergeCell ref="NLQ32:NMG32"/>
    <mergeCell ref="NMH32:NMX32"/>
    <mergeCell ref="NMY32:NNO32"/>
    <mergeCell ref="NNP32:NOF32"/>
    <mergeCell ref="NCM32:NDC32"/>
    <mergeCell ref="NDD32:NDT32"/>
    <mergeCell ref="NDU32:NEK32"/>
    <mergeCell ref="NEL32:NFB32"/>
    <mergeCell ref="NFC32:NFS32"/>
    <mergeCell ref="NFT32:NGJ32"/>
    <mergeCell ref="NGK32:NHA32"/>
    <mergeCell ref="NHB32:NHR32"/>
    <mergeCell ref="NHS32:NII32"/>
    <mergeCell ref="NUD32:NUT32"/>
    <mergeCell ref="NUU32:NVK32"/>
    <mergeCell ref="NVL32:NWB32"/>
    <mergeCell ref="NWC32:NWS32"/>
    <mergeCell ref="NWT32:NXJ32"/>
    <mergeCell ref="NXK32:NYA32"/>
    <mergeCell ref="NYB32:NYR32"/>
    <mergeCell ref="NYS32:NZI32"/>
    <mergeCell ref="NZJ32:NZZ32"/>
    <mergeCell ref="NOG32:NOW32"/>
    <mergeCell ref="NOX32:NPN32"/>
    <mergeCell ref="NPO32:NQE32"/>
    <mergeCell ref="NQF32:NQV32"/>
    <mergeCell ref="NQW32:NRM32"/>
    <mergeCell ref="NRN32:NSD32"/>
    <mergeCell ref="NSE32:NSU32"/>
    <mergeCell ref="NSV32:NTL32"/>
    <mergeCell ref="NTM32:NUC32"/>
    <mergeCell ref="OFX32:OGN32"/>
    <mergeCell ref="OGO32:OHE32"/>
    <mergeCell ref="OHF32:OHV32"/>
    <mergeCell ref="OHW32:OIM32"/>
    <mergeCell ref="OIN32:OJD32"/>
    <mergeCell ref="OJE32:OJU32"/>
    <mergeCell ref="OJV32:OKL32"/>
    <mergeCell ref="OKM32:OLC32"/>
    <mergeCell ref="OLD32:OLT32"/>
    <mergeCell ref="OAA32:OAQ32"/>
    <mergeCell ref="OAR32:OBH32"/>
    <mergeCell ref="OBI32:OBY32"/>
    <mergeCell ref="OBZ32:OCP32"/>
    <mergeCell ref="OCQ32:ODG32"/>
    <mergeCell ref="ODH32:ODX32"/>
    <mergeCell ref="ODY32:OEO32"/>
    <mergeCell ref="OEP32:OFF32"/>
    <mergeCell ref="OFG32:OFW32"/>
    <mergeCell ref="ORR32:OSH32"/>
    <mergeCell ref="OSI32:OSY32"/>
    <mergeCell ref="OSZ32:OTP32"/>
    <mergeCell ref="OTQ32:OUG32"/>
    <mergeCell ref="OUH32:OUX32"/>
    <mergeCell ref="OUY32:OVO32"/>
    <mergeCell ref="OVP32:OWF32"/>
    <mergeCell ref="OWG32:OWW32"/>
    <mergeCell ref="OWX32:OXN32"/>
    <mergeCell ref="OLU32:OMK32"/>
    <mergeCell ref="OML32:ONB32"/>
    <mergeCell ref="ONC32:ONS32"/>
    <mergeCell ref="ONT32:OOJ32"/>
    <mergeCell ref="OOK32:OPA32"/>
    <mergeCell ref="OPB32:OPR32"/>
    <mergeCell ref="OPS32:OQI32"/>
    <mergeCell ref="OQJ32:OQZ32"/>
    <mergeCell ref="ORA32:ORQ32"/>
    <mergeCell ref="PDL32:PEB32"/>
    <mergeCell ref="PEC32:PES32"/>
    <mergeCell ref="PET32:PFJ32"/>
    <mergeCell ref="PFK32:PGA32"/>
    <mergeCell ref="PGB32:PGR32"/>
    <mergeCell ref="PGS32:PHI32"/>
    <mergeCell ref="PHJ32:PHZ32"/>
    <mergeCell ref="PIA32:PIQ32"/>
    <mergeCell ref="PIR32:PJH32"/>
    <mergeCell ref="OXO32:OYE32"/>
    <mergeCell ref="OYF32:OYV32"/>
    <mergeCell ref="OYW32:OZM32"/>
    <mergeCell ref="OZN32:PAD32"/>
    <mergeCell ref="PAE32:PAU32"/>
    <mergeCell ref="PAV32:PBL32"/>
    <mergeCell ref="PBM32:PCC32"/>
    <mergeCell ref="PCD32:PCT32"/>
    <mergeCell ref="PCU32:PDK32"/>
    <mergeCell ref="PPF32:PPV32"/>
    <mergeCell ref="PPW32:PQM32"/>
    <mergeCell ref="PQN32:PRD32"/>
    <mergeCell ref="PRE32:PRU32"/>
    <mergeCell ref="PRV32:PSL32"/>
    <mergeCell ref="PSM32:PTC32"/>
    <mergeCell ref="PTD32:PTT32"/>
    <mergeCell ref="PTU32:PUK32"/>
    <mergeCell ref="PUL32:PVB32"/>
    <mergeCell ref="PJI32:PJY32"/>
    <mergeCell ref="PJZ32:PKP32"/>
    <mergeCell ref="PKQ32:PLG32"/>
    <mergeCell ref="PLH32:PLX32"/>
    <mergeCell ref="PLY32:PMO32"/>
    <mergeCell ref="PMP32:PNF32"/>
    <mergeCell ref="PNG32:PNW32"/>
    <mergeCell ref="PNX32:PON32"/>
    <mergeCell ref="POO32:PPE32"/>
    <mergeCell ref="QAZ32:QBP32"/>
    <mergeCell ref="QBQ32:QCG32"/>
    <mergeCell ref="QCH32:QCX32"/>
    <mergeCell ref="QCY32:QDO32"/>
    <mergeCell ref="QDP32:QEF32"/>
    <mergeCell ref="QEG32:QEW32"/>
    <mergeCell ref="QEX32:QFN32"/>
    <mergeCell ref="QFO32:QGE32"/>
    <mergeCell ref="QGF32:QGV32"/>
    <mergeCell ref="PVC32:PVS32"/>
    <mergeCell ref="PVT32:PWJ32"/>
    <mergeCell ref="PWK32:PXA32"/>
    <mergeCell ref="PXB32:PXR32"/>
    <mergeCell ref="PXS32:PYI32"/>
    <mergeCell ref="PYJ32:PYZ32"/>
    <mergeCell ref="PZA32:PZQ32"/>
    <mergeCell ref="PZR32:QAH32"/>
    <mergeCell ref="QAI32:QAY32"/>
    <mergeCell ref="QMT32:QNJ32"/>
    <mergeCell ref="QNK32:QOA32"/>
    <mergeCell ref="QOB32:QOR32"/>
    <mergeCell ref="QOS32:QPI32"/>
    <mergeCell ref="QPJ32:QPZ32"/>
    <mergeCell ref="QQA32:QQQ32"/>
    <mergeCell ref="QQR32:QRH32"/>
    <mergeCell ref="QRI32:QRY32"/>
    <mergeCell ref="QRZ32:QSP32"/>
    <mergeCell ref="QGW32:QHM32"/>
    <mergeCell ref="QHN32:QID32"/>
    <mergeCell ref="QIE32:QIU32"/>
    <mergeCell ref="QIV32:QJL32"/>
    <mergeCell ref="QJM32:QKC32"/>
    <mergeCell ref="QKD32:QKT32"/>
    <mergeCell ref="QKU32:QLK32"/>
    <mergeCell ref="QLL32:QMB32"/>
    <mergeCell ref="QMC32:QMS32"/>
    <mergeCell ref="QYN32:QZD32"/>
    <mergeCell ref="QZE32:QZU32"/>
    <mergeCell ref="QZV32:RAL32"/>
    <mergeCell ref="RAM32:RBC32"/>
    <mergeCell ref="RBD32:RBT32"/>
    <mergeCell ref="RBU32:RCK32"/>
    <mergeCell ref="RCL32:RDB32"/>
    <mergeCell ref="RDC32:RDS32"/>
    <mergeCell ref="RDT32:REJ32"/>
    <mergeCell ref="QSQ32:QTG32"/>
    <mergeCell ref="QTH32:QTX32"/>
    <mergeCell ref="QTY32:QUO32"/>
    <mergeCell ref="QUP32:QVF32"/>
    <mergeCell ref="QVG32:QVW32"/>
    <mergeCell ref="QVX32:QWN32"/>
    <mergeCell ref="QWO32:QXE32"/>
    <mergeCell ref="QXF32:QXV32"/>
    <mergeCell ref="QXW32:QYM32"/>
    <mergeCell ref="RKH32:RKX32"/>
    <mergeCell ref="RKY32:RLO32"/>
    <mergeCell ref="RLP32:RMF32"/>
    <mergeCell ref="RMG32:RMW32"/>
    <mergeCell ref="RMX32:RNN32"/>
    <mergeCell ref="RNO32:ROE32"/>
    <mergeCell ref="ROF32:ROV32"/>
    <mergeCell ref="ROW32:RPM32"/>
    <mergeCell ref="RPN32:RQD32"/>
    <mergeCell ref="REK32:RFA32"/>
    <mergeCell ref="RFB32:RFR32"/>
    <mergeCell ref="RFS32:RGI32"/>
    <mergeCell ref="RGJ32:RGZ32"/>
    <mergeCell ref="RHA32:RHQ32"/>
    <mergeCell ref="RHR32:RIH32"/>
    <mergeCell ref="RII32:RIY32"/>
    <mergeCell ref="RIZ32:RJP32"/>
    <mergeCell ref="RJQ32:RKG32"/>
    <mergeCell ref="RWB32:RWR32"/>
    <mergeCell ref="RWS32:RXI32"/>
    <mergeCell ref="RXJ32:RXZ32"/>
    <mergeCell ref="RYA32:RYQ32"/>
    <mergeCell ref="RYR32:RZH32"/>
    <mergeCell ref="RZI32:RZY32"/>
    <mergeCell ref="RZZ32:SAP32"/>
    <mergeCell ref="SAQ32:SBG32"/>
    <mergeCell ref="SBH32:SBX32"/>
    <mergeCell ref="RQE32:RQU32"/>
    <mergeCell ref="RQV32:RRL32"/>
    <mergeCell ref="RRM32:RSC32"/>
    <mergeCell ref="RSD32:RST32"/>
    <mergeCell ref="RSU32:RTK32"/>
    <mergeCell ref="RTL32:RUB32"/>
    <mergeCell ref="RUC32:RUS32"/>
    <mergeCell ref="RUT32:RVJ32"/>
    <mergeCell ref="RVK32:RWA32"/>
    <mergeCell ref="SHV32:SIL32"/>
    <mergeCell ref="SIM32:SJC32"/>
    <mergeCell ref="SJD32:SJT32"/>
    <mergeCell ref="SJU32:SKK32"/>
    <mergeCell ref="SKL32:SLB32"/>
    <mergeCell ref="SLC32:SLS32"/>
    <mergeCell ref="SLT32:SMJ32"/>
    <mergeCell ref="SMK32:SNA32"/>
    <mergeCell ref="SNB32:SNR32"/>
    <mergeCell ref="SBY32:SCO32"/>
    <mergeCell ref="SCP32:SDF32"/>
    <mergeCell ref="SDG32:SDW32"/>
    <mergeCell ref="SDX32:SEN32"/>
    <mergeCell ref="SEO32:SFE32"/>
    <mergeCell ref="SFF32:SFV32"/>
    <mergeCell ref="SFW32:SGM32"/>
    <mergeCell ref="SGN32:SHD32"/>
    <mergeCell ref="SHE32:SHU32"/>
    <mergeCell ref="STP32:SUF32"/>
    <mergeCell ref="SUG32:SUW32"/>
    <mergeCell ref="SUX32:SVN32"/>
    <mergeCell ref="SVO32:SWE32"/>
    <mergeCell ref="SWF32:SWV32"/>
    <mergeCell ref="SWW32:SXM32"/>
    <mergeCell ref="SXN32:SYD32"/>
    <mergeCell ref="SYE32:SYU32"/>
    <mergeCell ref="SYV32:SZL32"/>
    <mergeCell ref="SNS32:SOI32"/>
    <mergeCell ref="SOJ32:SOZ32"/>
    <mergeCell ref="SPA32:SPQ32"/>
    <mergeCell ref="SPR32:SQH32"/>
    <mergeCell ref="SQI32:SQY32"/>
    <mergeCell ref="SQZ32:SRP32"/>
    <mergeCell ref="SRQ32:SSG32"/>
    <mergeCell ref="SSH32:SSX32"/>
    <mergeCell ref="SSY32:STO32"/>
    <mergeCell ref="TFJ32:TFZ32"/>
    <mergeCell ref="TGA32:TGQ32"/>
    <mergeCell ref="TGR32:THH32"/>
    <mergeCell ref="THI32:THY32"/>
    <mergeCell ref="THZ32:TIP32"/>
    <mergeCell ref="TIQ32:TJG32"/>
    <mergeCell ref="TJH32:TJX32"/>
    <mergeCell ref="TJY32:TKO32"/>
    <mergeCell ref="TKP32:TLF32"/>
    <mergeCell ref="SZM32:TAC32"/>
    <mergeCell ref="TAD32:TAT32"/>
    <mergeCell ref="TAU32:TBK32"/>
    <mergeCell ref="TBL32:TCB32"/>
    <mergeCell ref="TCC32:TCS32"/>
    <mergeCell ref="TCT32:TDJ32"/>
    <mergeCell ref="TDK32:TEA32"/>
    <mergeCell ref="TEB32:TER32"/>
    <mergeCell ref="TES32:TFI32"/>
    <mergeCell ref="TRD32:TRT32"/>
    <mergeCell ref="TRU32:TSK32"/>
    <mergeCell ref="TSL32:TTB32"/>
    <mergeCell ref="TTC32:TTS32"/>
    <mergeCell ref="TTT32:TUJ32"/>
    <mergeCell ref="TUK32:TVA32"/>
    <mergeCell ref="TVB32:TVR32"/>
    <mergeCell ref="TVS32:TWI32"/>
    <mergeCell ref="TWJ32:TWZ32"/>
    <mergeCell ref="TLG32:TLW32"/>
    <mergeCell ref="TLX32:TMN32"/>
    <mergeCell ref="TMO32:TNE32"/>
    <mergeCell ref="TNF32:TNV32"/>
    <mergeCell ref="TNW32:TOM32"/>
    <mergeCell ref="TON32:TPD32"/>
    <mergeCell ref="TPE32:TPU32"/>
    <mergeCell ref="TPV32:TQL32"/>
    <mergeCell ref="TQM32:TRC32"/>
    <mergeCell ref="UCX32:UDN32"/>
    <mergeCell ref="UDO32:UEE32"/>
    <mergeCell ref="UEF32:UEV32"/>
    <mergeCell ref="UEW32:UFM32"/>
    <mergeCell ref="UFN32:UGD32"/>
    <mergeCell ref="UGE32:UGU32"/>
    <mergeCell ref="UGV32:UHL32"/>
    <mergeCell ref="UHM32:UIC32"/>
    <mergeCell ref="UID32:UIT32"/>
    <mergeCell ref="TXA32:TXQ32"/>
    <mergeCell ref="TXR32:TYH32"/>
    <mergeCell ref="TYI32:TYY32"/>
    <mergeCell ref="TYZ32:TZP32"/>
    <mergeCell ref="TZQ32:UAG32"/>
    <mergeCell ref="UAH32:UAX32"/>
    <mergeCell ref="UAY32:UBO32"/>
    <mergeCell ref="UBP32:UCF32"/>
    <mergeCell ref="UCG32:UCW32"/>
    <mergeCell ref="UOR32:UPH32"/>
    <mergeCell ref="UPI32:UPY32"/>
    <mergeCell ref="UPZ32:UQP32"/>
    <mergeCell ref="UQQ32:URG32"/>
    <mergeCell ref="URH32:URX32"/>
    <mergeCell ref="URY32:USO32"/>
    <mergeCell ref="USP32:UTF32"/>
    <mergeCell ref="UTG32:UTW32"/>
    <mergeCell ref="UTX32:UUN32"/>
    <mergeCell ref="UIU32:UJK32"/>
    <mergeCell ref="UJL32:UKB32"/>
    <mergeCell ref="UKC32:UKS32"/>
    <mergeCell ref="UKT32:ULJ32"/>
    <mergeCell ref="ULK32:UMA32"/>
    <mergeCell ref="UMB32:UMR32"/>
    <mergeCell ref="UMS32:UNI32"/>
    <mergeCell ref="UNJ32:UNZ32"/>
    <mergeCell ref="UOA32:UOQ32"/>
    <mergeCell ref="VAL32:VBB32"/>
    <mergeCell ref="VBC32:VBS32"/>
    <mergeCell ref="VBT32:VCJ32"/>
    <mergeCell ref="VCK32:VDA32"/>
    <mergeCell ref="VDB32:VDR32"/>
    <mergeCell ref="VDS32:VEI32"/>
    <mergeCell ref="VEJ32:VEZ32"/>
    <mergeCell ref="VFA32:VFQ32"/>
    <mergeCell ref="VFR32:VGH32"/>
    <mergeCell ref="UUO32:UVE32"/>
    <mergeCell ref="UVF32:UVV32"/>
    <mergeCell ref="UVW32:UWM32"/>
    <mergeCell ref="UWN32:UXD32"/>
    <mergeCell ref="UXE32:UXU32"/>
    <mergeCell ref="UXV32:UYL32"/>
    <mergeCell ref="UYM32:UZC32"/>
    <mergeCell ref="UZD32:UZT32"/>
    <mergeCell ref="UZU32:VAK32"/>
    <mergeCell ref="VMF32:VMV32"/>
    <mergeCell ref="VMW32:VNM32"/>
    <mergeCell ref="VNN32:VOD32"/>
    <mergeCell ref="VOE32:VOU32"/>
    <mergeCell ref="VOV32:VPL32"/>
    <mergeCell ref="VPM32:VQC32"/>
    <mergeCell ref="VQD32:VQT32"/>
    <mergeCell ref="VQU32:VRK32"/>
    <mergeCell ref="VRL32:VSB32"/>
    <mergeCell ref="VGI32:VGY32"/>
    <mergeCell ref="VGZ32:VHP32"/>
    <mergeCell ref="VHQ32:VIG32"/>
    <mergeCell ref="VIH32:VIX32"/>
    <mergeCell ref="VIY32:VJO32"/>
    <mergeCell ref="VJP32:VKF32"/>
    <mergeCell ref="VKG32:VKW32"/>
    <mergeCell ref="VKX32:VLN32"/>
    <mergeCell ref="VLO32:VME32"/>
    <mergeCell ref="WGM32:WHC32"/>
    <mergeCell ref="WHD32:WHT32"/>
    <mergeCell ref="WHU32:WIK32"/>
    <mergeCell ref="WIL32:WJB32"/>
    <mergeCell ref="WJC32:WJS32"/>
    <mergeCell ref="VXZ32:VYP32"/>
    <mergeCell ref="VYQ32:VZG32"/>
    <mergeCell ref="VZH32:VZX32"/>
    <mergeCell ref="VZY32:WAO32"/>
    <mergeCell ref="WAP32:WBF32"/>
    <mergeCell ref="WBG32:WBW32"/>
    <mergeCell ref="WBX32:WCN32"/>
    <mergeCell ref="WCO32:WDE32"/>
    <mergeCell ref="WDF32:WDV32"/>
    <mergeCell ref="VSC32:VSS32"/>
    <mergeCell ref="VST32:VTJ32"/>
    <mergeCell ref="VTK32:VUA32"/>
    <mergeCell ref="VUB32:VUR32"/>
    <mergeCell ref="VUS32:VVI32"/>
    <mergeCell ref="VVJ32:VVZ32"/>
    <mergeCell ref="VWA32:VWQ32"/>
    <mergeCell ref="VWR32:VXH32"/>
    <mergeCell ref="VXI32:VXY32"/>
    <mergeCell ref="KD33:KT33"/>
    <mergeCell ref="WVN32:WWD32"/>
    <mergeCell ref="WWE32:WWU32"/>
    <mergeCell ref="WWV32:WXL32"/>
    <mergeCell ref="WXM32:WYC32"/>
    <mergeCell ref="WYD32:WYT32"/>
    <mergeCell ref="WYU32:WZK32"/>
    <mergeCell ref="WZL32:XAB32"/>
    <mergeCell ref="XAC32:XAS32"/>
    <mergeCell ref="XAT32:XBJ32"/>
    <mergeCell ref="WPQ32:WQG32"/>
    <mergeCell ref="WQH32:WQX32"/>
    <mergeCell ref="WQY32:WRO32"/>
    <mergeCell ref="WRP32:WSF32"/>
    <mergeCell ref="WSG32:WSW32"/>
    <mergeCell ref="WSX32:WTN32"/>
    <mergeCell ref="WTO32:WUE32"/>
    <mergeCell ref="WUF32:WUV32"/>
    <mergeCell ref="WUW32:WVM32"/>
    <mergeCell ref="WJT32:WKJ32"/>
    <mergeCell ref="WKK32:WLA32"/>
    <mergeCell ref="WLB32:WLR32"/>
    <mergeCell ref="WLS32:WMI32"/>
    <mergeCell ref="WMJ32:WMZ32"/>
    <mergeCell ref="WNA32:WNQ32"/>
    <mergeCell ref="WNR32:WOH32"/>
    <mergeCell ref="WOI32:WOY32"/>
    <mergeCell ref="WOZ32:WPP32"/>
    <mergeCell ref="WDW32:WEM32"/>
    <mergeCell ref="WEN32:WFD32"/>
    <mergeCell ref="WFE32:WFU32"/>
    <mergeCell ref="WFV32:WGL32"/>
    <mergeCell ref="KU33:LK33"/>
    <mergeCell ref="LL33:MB33"/>
    <mergeCell ref="MC33:MS33"/>
    <mergeCell ref="MT33:NJ33"/>
    <mergeCell ref="NK33:OA33"/>
    <mergeCell ref="OB33:OR33"/>
    <mergeCell ref="OS33:PI33"/>
    <mergeCell ref="PJ33:PZ33"/>
    <mergeCell ref="QA33:QQ33"/>
    <mergeCell ref="XBK32:XCA32"/>
    <mergeCell ref="XCB32:XCR32"/>
    <mergeCell ref="XCS32:XDI32"/>
    <mergeCell ref="XDJ32:XDZ32"/>
    <mergeCell ref="XEA32:XEQ32"/>
    <mergeCell ref="XER32:XFD32"/>
    <mergeCell ref="A33:Q33"/>
    <mergeCell ref="R33:AH33"/>
    <mergeCell ref="AI33:AY33"/>
    <mergeCell ref="AZ33:BP33"/>
    <mergeCell ref="BQ33:CG33"/>
    <mergeCell ref="CH33:CX33"/>
    <mergeCell ref="CY33:DO33"/>
    <mergeCell ref="DP33:EF33"/>
    <mergeCell ref="EG33:EW33"/>
    <mergeCell ref="EX33:FN33"/>
    <mergeCell ref="FO33:GE33"/>
    <mergeCell ref="GF33:GV33"/>
    <mergeCell ref="GW33:HM33"/>
    <mergeCell ref="HN33:ID33"/>
    <mergeCell ref="IE33:IU33"/>
    <mergeCell ref="IV33:JL33"/>
    <mergeCell ref="JM33:KC33"/>
    <mergeCell ref="WO33:XE33"/>
    <mergeCell ref="XF33:XV33"/>
    <mergeCell ref="XW33:YM33"/>
    <mergeCell ref="YN33:ZD33"/>
    <mergeCell ref="ZE33:ZU33"/>
    <mergeCell ref="ZV33:AAL33"/>
    <mergeCell ref="AAM33:ABC33"/>
    <mergeCell ref="ABD33:ABT33"/>
    <mergeCell ref="ABU33:ACK33"/>
    <mergeCell ref="QR33:RH33"/>
    <mergeCell ref="RI33:RY33"/>
    <mergeCell ref="RZ33:SP33"/>
    <mergeCell ref="SQ33:TG33"/>
    <mergeCell ref="TH33:TX33"/>
    <mergeCell ref="TY33:UO33"/>
    <mergeCell ref="UP33:VF33"/>
    <mergeCell ref="VG33:VW33"/>
    <mergeCell ref="VX33:WN33"/>
    <mergeCell ref="AII33:AIY33"/>
    <mergeCell ref="AIZ33:AJP33"/>
    <mergeCell ref="AJQ33:AKG33"/>
    <mergeCell ref="AKH33:AKX33"/>
    <mergeCell ref="AKY33:ALO33"/>
    <mergeCell ref="ALP33:AMF33"/>
    <mergeCell ref="AMG33:AMW33"/>
    <mergeCell ref="AMX33:ANN33"/>
    <mergeCell ref="ANO33:AOE33"/>
    <mergeCell ref="ACL33:ADB33"/>
    <mergeCell ref="ADC33:ADS33"/>
    <mergeCell ref="ADT33:AEJ33"/>
    <mergeCell ref="AEK33:AFA33"/>
    <mergeCell ref="AFB33:AFR33"/>
    <mergeCell ref="AFS33:AGI33"/>
    <mergeCell ref="AGJ33:AGZ33"/>
    <mergeCell ref="AHA33:AHQ33"/>
    <mergeCell ref="AHR33:AIH33"/>
    <mergeCell ref="AUC33:AUS33"/>
    <mergeCell ref="AUT33:AVJ33"/>
    <mergeCell ref="AVK33:AWA33"/>
    <mergeCell ref="AWB33:AWR33"/>
    <mergeCell ref="AWS33:AXI33"/>
    <mergeCell ref="AXJ33:AXZ33"/>
    <mergeCell ref="AYA33:AYQ33"/>
    <mergeCell ref="AYR33:AZH33"/>
    <mergeCell ref="AZI33:AZY33"/>
    <mergeCell ref="AOF33:AOV33"/>
    <mergeCell ref="AOW33:APM33"/>
    <mergeCell ref="APN33:AQD33"/>
    <mergeCell ref="AQE33:AQU33"/>
    <mergeCell ref="AQV33:ARL33"/>
    <mergeCell ref="ARM33:ASC33"/>
    <mergeCell ref="ASD33:AST33"/>
    <mergeCell ref="ASU33:ATK33"/>
    <mergeCell ref="ATL33:AUB33"/>
    <mergeCell ref="BFW33:BGM33"/>
    <mergeCell ref="BGN33:BHD33"/>
    <mergeCell ref="BHE33:BHU33"/>
    <mergeCell ref="BHV33:BIL33"/>
    <mergeCell ref="BIM33:BJC33"/>
    <mergeCell ref="BJD33:BJT33"/>
    <mergeCell ref="BJU33:BKK33"/>
    <mergeCell ref="BKL33:BLB33"/>
    <mergeCell ref="BLC33:BLS33"/>
    <mergeCell ref="AZZ33:BAP33"/>
    <mergeCell ref="BAQ33:BBG33"/>
    <mergeCell ref="BBH33:BBX33"/>
    <mergeCell ref="BBY33:BCO33"/>
    <mergeCell ref="BCP33:BDF33"/>
    <mergeCell ref="BDG33:BDW33"/>
    <mergeCell ref="BDX33:BEN33"/>
    <mergeCell ref="BEO33:BFE33"/>
    <mergeCell ref="BFF33:BFV33"/>
    <mergeCell ref="BRQ33:BSG33"/>
    <mergeCell ref="BSH33:BSX33"/>
    <mergeCell ref="BSY33:BTO33"/>
    <mergeCell ref="BTP33:BUF33"/>
    <mergeCell ref="BUG33:BUW33"/>
    <mergeCell ref="BUX33:BVN33"/>
    <mergeCell ref="BVO33:BWE33"/>
    <mergeCell ref="BWF33:BWV33"/>
    <mergeCell ref="BWW33:BXM33"/>
    <mergeCell ref="BLT33:BMJ33"/>
    <mergeCell ref="BMK33:BNA33"/>
    <mergeCell ref="BNB33:BNR33"/>
    <mergeCell ref="BNS33:BOI33"/>
    <mergeCell ref="BOJ33:BOZ33"/>
    <mergeCell ref="BPA33:BPQ33"/>
    <mergeCell ref="BPR33:BQH33"/>
    <mergeCell ref="BQI33:BQY33"/>
    <mergeCell ref="BQZ33:BRP33"/>
    <mergeCell ref="CDK33:CEA33"/>
    <mergeCell ref="CEB33:CER33"/>
    <mergeCell ref="CES33:CFI33"/>
    <mergeCell ref="CFJ33:CFZ33"/>
    <mergeCell ref="CGA33:CGQ33"/>
    <mergeCell ref="CGR33:CHH33"/>
    <mergeCell ref="CHI33:CHY33"/>
    <mergeCell ref="CHZ33:CIP33"/>
    <mergeCell ref="CIQ33:CJG33"/>
    <mergeCell ref="BXN33:BYD33"/>
    <mergeCell ref="BYE33:BYU33"/>
    <mergeCell ref="BYV33:BZL33"/>
    <mergeCell ref="BZM33:CAC33"/>
    <mergeCell ref="CAD33:CAT33"/>
    <mergeCell ref="CAU33:CBK33"/>
    <mergeCell ref="CBL33:CCB33"/>
    <mergeCell ref="CCC33:CCS33"/>
    <mergeCell ref="CCT33:CDJ33"/>
    <mergeCell ref="CPE33:CPU33"/>
    <mergeCell ref="CPV33:CQL33"/>
    <mergeCell ref="CQM33:CRC33"/>
    <mergeCell ref="CRD33:CRT33"/>
    <mergeCell ref="CRU33:CSK33"/>
    <mergeCell ref="CSL33:CTB33"/>
    <mergeCell ref="CTC33:CTS33"/>
    <mergeCell ref="CTT33:CUJ33"/>
    <mergeCell ref="CUK33:CVA33"/>
    <mergeCell ref="CJH33:CJX33"/>
    <mergeCell ref="CJY33:CKO33"/>
    <mergeCell ref="CKP33:CLF33"/>
    <mergeCell ref="CLG33:CLW33"/>
    <mergeCell ref="CLX33:CMN33"/>
    <mergeCell ref="CMO33:CNE33"/>
    <mergeCell ref="CNF33:CNV33"/>
    <mergeCell ref="CNW33:COM33"/>
    <mergeCell ref="CON33:CPD33"/>
    <mergeCell ref="DAY33:DBO33"/>
    <mergeCell ref="DBP33:DCF33"/>
    <mergeCell ref="DCG33:DCW33"/>
    <mergeCell ref="DCX33:DDN33"/>
    <mergeCell ref="DDO33:DEE33"/>
    <mergeCell ref="DEF33:DEV33"/>
    <mergeCell ref="DEW33:DFM33"/>
    <mergeCell ref="DFN33:DGD33"/>
    <mergeCell ref="DGE33:DGU33"/>
    <mergeCell ref="CVB33:CVR33"/>
    <mergeCell ref="CVS33:CWI33"/>
    <mergeCell ref="CWJ33:CWZ33"/>
    <mergeCell ref="CXA33:CXQ33"/>
    <mergeCell ref="CXR33:CYH33"/>
    <mergeCell ref="CYI33:CYY33"/>
    <mergeCell ref="CYZ33:CZP33"/>
    <mergeCell ref="CZQ33:DAG33"/>
    <mergeCell ref="DAH33:DAX33"/>
    <mergeCell ref="DMS33:DNI33"/>
    <mergeCell ref="DNJ33:DNZ33"/>
    <mergeCell ref="DOA33:DOQ33"/>
    <mergeCell ref="DOR33:DPH33"/>
    <mergeCell ref="DPI33:DPY33"/>
    <mergeCell ref="DPZ33:DQP33"/>
    <mergeCell ref="DQQ33:DRG33"/>
    <mergeCell ref="DRH33:DRX33"/>
    <mergeCell ref="DRY33:DSO33"/>
    <mergeCell ref="DGV33:DHL33"/>
    <mergeCell ref="DHM33:DIC33"/>
    <mergeCell ref="DID33:DIT33"/>
    <mergeCell ref="DIU33:DJK33"/>
    <mergeCell ref="DJL33:DKB33"/>
    <mergeCell ref="DKC33:DKS33"/>
    <mergeCell ref="DKT33:DLJ33"/>
    <mergeCell ref="DLK33:DMA33"/>
    <mergeCell ref="DMB33:DMR33"/>
    <mergeCell ref="DYM33:DZC33"/>
    <mergeCell ref="DZD33:DZT33"/>
    <mergeCell ref="DZU33:EAK33"/>
    <mergeCell ref="EAL33:EBB33"/>
    <mergeCell ref="EBC33:EBS33"/>
    <mergeCell ref="EBT33:ECJ33"/>
    <mergeCell ref="ECK33:EDA33"/>
    <mergeCell ref="EDB33:EDR33"/>
    <mergeCell ref="EDS33:EEI33"/>
    <mergeCell ref="DSP33:DTF33"/>
    <mergeCell ref="DTG33:DTW33"/>
    <mergeCell ref="DTX33:DUN33"/>
    <mergeCell ref="DUO33:DVE33"/>
    <mergeCell ref="DVF33:DVV33"/>
    <mergeCell ref="DVW33:DWM33"/>
    <mergeCell ref="DWN33:DXD33"/>
    <mergeCell ref="DXE33:DXU33"/>
    <mergeCell ref="DXV33:DYL33"/>
    <mergeCell ref="EKG33:EKW33"/>
    <mergeCell ref="EKX33:ELN33"/>
    <mergeCell ref="ELO33:EME33"/>
    <mergeCell ref="EMF33:EMV33"/>
    <mergeCell ref="EMW33:ENM33"/>
    <mergeCell ref="ENN33:EOD33"/>
    <mergeCell ref="EOE33:EOU33"/>
    <mergeCell ref="EOV33:EPL33"/>
    <mergeCell ref="EPM33:EQC33"/>
    <mergeCell ref="EEJ33:EEZ33"/>
    <mergeCell ref="EFA33:EFQ33"/>
    <mergeCell ref="EFR33:EGH33"/>
    <mergeCell ref="EGI33:EGY33"/>
    <mergeCell ref="EGZ33:EHP33"/>
    <mergeCell ref="EHQ33:EIG33"/>
    <mergeCell ref="EIH33:EIX33"/>
    <mergeCell ref="EIY33:EJO33"/>
    <mergeCell ref="EJP33:EKF33"/>
    <mergeCell ref="EWA33:EWQ33"/>
    <mergeCell ref="EWR33:EXH33"/>
    <mergeCell ref="EXI33:EXY33"/>
    <mergeCell ref="EXZ33:EYP33"/>
    <mergeCell ref="EYQ33:EZG33"/>
    <mergeCell ref="EZH33:EZX33"/>
    <mergeCell ref="EZY33:FAO33"/>
    <mergeCell ref="FAP33:FBF33"/>
    <mergeCell ref="FBG33:FBW33"/>
    <mergeCell ref="EQD33:EQT33"/>
    <mergeCell ref="EQU33:ERK33"/>
    <mergeCell ref="ERL33:ESB33"/>
    <mergeCell ref="ESC33:ESS33"/>
    <mergeCell ref="EST33:ETJ33"/>
    <mergeCell ref="ETK33:EUA33"/>
    <mergeCell ref="EUB33:EUR33"/>
    <mergeCell ref="EUS33:EVI33"/>
    <mergeCell ref="EVJ33:EVZ33"/>
    <mergeCell ref="FHU33:FIK33"/>
    <mergeCell ref="FIL33:FJB33"/>
    <mergeCell ref="FJC33:FJS33"/>
    <mergeCell ref="FJT33:FKJ33"/>
    <mergeCell ref="FKK33:FLA33"/>
    <mergeCell ref="FLB33:FLR33"/>
    <mergeCell ref="FLS33:FMI33"/>
    <mergeCell ref="FMJ33:FMZ33"/>
    <mergeCell ref="FNA33:FNQ33"/>
    <mergeCell ref="FBX33:FCN33"/>
    <mergeCell ref="FCO33:FDE33"/>
    <mergeCell ref="FDF33:FDV33"/>
    <mergeCell ref="FDW33:FEM33"/>
    <mergeCell ref="FEN33:FFD33"/>
    <mergeCell ref="FFE33:FFU33"/>
    <mergeCell ref="FFV33:FGL33"/>
    <mergeCell ref="FGM33:FHC33"/>
    <mergeCell ref="FHD33:FHT33"/>
    <mergeCell ref="FTO33:FUE33"/>
    <mergeCell ref="FUF33:FUV33"/>
    <mergeCell ref="FUW33:FVM33"/>
    <mergeCell ref="FVN33:FWD33"/>
    <mergeCell ref="FWE33:FWU33"/>
    <mergeCell ref="FWV33:FXL33"/>
    <mergeCell ref="FXM33:FYC33"/>
    <mergeCell ref="FYD33:FYT33"/>
    <mergeCell ref="FYU33:FZK33"/>
    <mergeCell ref="FNR33:FOH33"/>
    <mergeCell ref="FOI33:FOY33"/>
    <mergeCell ref="FOZ33:FPP33"/>
    <mergeCell ref="FPQ33:FQG33"/>
    <mergeCell ref="FQH33:FQX33"/>
    <mergeCell ref="FQY33:FRO33"/>
    <mergeCell ref="FRP33:FSF33"/>
    <mergeCell ref="FSG33:FSW33"/>
    <mergeCell ref="FSX33:FTN33"/>
    <mergeCell ref="GFI33:GFY33"/>
    <mergeCell ref="GFZ33:GGP33"/>
    <mergeCell ref="GGQ33:GHG33"/>
    <mergeCell ref="GHH33:GHX33"/>
    <mergeCell ref="GHY33:GIO33"/>
    <mergeCell ref="GIP33:GJF33"/>
    <mergeCell ref="GJG33:GJW33"/>
    <mergeCell ref="GJX33:GKN33"/>
    <mergeCell ref="GKO33:GLE33"/>
    <mergeCell ref="FZL33:GAB33"/>
    <mergeCell ref="GAC33:GAS33"/>
    <mergeCell ref="GAT33:GBJ33"/>
    <mergeCell ref="GBK33:GCA33"/>
    <mergeCell ref="GCB33:GCR33"/>
    <mergeCell ref="GCS33:GDI33"/>
    <mergeCell ref="GDJ33:GDZ33"/>
    <mergeCell ref="GEA33:GEQ33"/>
    <mergeCell ref="GER33:GFH33"/>
    <mergeCell ref="GRC33:GRS33"/>
    <mergeCell ref="GRT33:GSJ33"/>
    <mergeCell ref="GSK33:GTA33"/>
    <mergeCell ref="GTB33:GTR33"/>
    <mergeCell ref="GTS33:GUI33"/>
    <mergeCell ref="GUJ33:GUZ33"/>
    <mergeCell ref="GVA33:GVQ33"/>
    <mergeCell ref="GVR33:GWH33"/>
    <mergeCell ref="GWI33:GWY33"/>
    <mergeCell ref="GLF33:GLV33"/>
    <mergeCell ref="GLW33:GMM33"/>
    <mergeCell ref="GMN33:GND33"/>
    <mergeCell ref="GNE33:GNU33"/>
    <mergeCell ref="GNV33:GOL33"/>
    <mergeCell ref="GOM33:GPC33"/>
    <mergeCell ref="GPD33:GPT33"/>
    <mergeCell ref="GPU33:GQK33"/>
    <mergeCell ref="GQL33:GRB33"/>
    <mergeCell ref="HCW33:HDM33"/>
    <mergeCell ref="HDN33:HED33"/>
    <mergeCell ref="HEE33:HEU33"/>
    <mergeCell ref="HEV33:HFL33"/>
    <mergeCell ref="HFM33:HGC33"/>
    <mergeCell ref="HGD33:HGT33"/>
    <mergeCell ref="HGU33:HHK33"/>
    <mergeCell ref="HHL33:HIB33"/>
    <mergeCell ref="HIC33:HIS33"/>
    <mergeCell ref="GWZ33:GXP33"/>
    <mergeCell ref="GXQ33:GYG33"/>
    <mergeCell ref="GYH33:GYX33"/>
    <mergeCell ref="GYY33:GZO33"/>
    <mergeCell ref="GZP33:HAF33"/>
    <mergeCell ref="HAG33:HAW33"/>
    <mergeCell ref="HAX33:HBN33"/>
    <mergeCell ref="HBO33:HCE33"/>
    <mergeCell ref="HCF33:HCV33"/>
    <mergeCell ref="HOQ33:HPG33"/>
    <mergeCell ref="HPH33:HPX33"/>
    <mergeCell ref="HPY33:HQO33"/>
    <mergeCell ref="HQP33:HRF33"/>
    <mergeCell ref="HRG33:HRW33"/>
    <mergeCell ref="HRX33:HSN33"/>
    <mergeCell ref="HSO33:HTE33"/>
    <mergeCell ref="HTF33:HTV33"/>
    <mergeCell ref="HTW33:HUM33"/>
    <mergeCell ref="HIT33:HJJ33"/>
    <mergeCell ref="HJK33:HKA33"/>
    <mergeCell ref="HKB33:HKR33"/>
    <mergeCell ref="HKS33:HLI33"/>
    <mergeCell ref="HLJ33:HLZ33"/>
    <mergeCell ref="HMA33:HMQ33"/>
    <mergeCell ref="HMR33:HNH33"/>
    <mergeCell ref="HNI33:HNY33"/>
    <mergeCell ref="HNZ33:HOP33"/>
    <mergeCell ref="IAK33:IBA33"/>
    <mergeCell ref="IBB33:IBR33"/>
    <mergeCell ref="IBS33:ICI33"/>
    <mergeCell ref="ICJ33:ICZ33"/>
    <mergeCell ref="IDA33:IDQ33"/>
    <mergeCell ref="IDR33:IEH33"/>
    <mergeCell ref="IEI33:IEY33"/>
    <mergeCell ref="IEZ33:IFP33"/>
    <mergeCell ref="IFQ33:IGG33"/>
    <mergeCell ref="HUN33:HVD33"/>
    <mergeCell ref="HVE33:HVU33"/>
    <mergeCell ref="HVV33:HWL33"/>
    <mergeCell ref="HWM33:HXC33"/>
    <mergeCell ref="HXD33:HXT33"/>
    <mergeCell ref="HXU33:HYK33"/>
    <mergeCell ref="HYL33:HZB33"/>
    <mergeCell ref="HZC33:HZS33"/>
    <mergeCell ref="HZT33:IAJ33"/>
    <mergeCell ref="IME33:IMU33"/>
    <mergeCell ref="IMV33:INL33"/>
    <mergeCell ref="INM33:IOC33"/>
    <mergeCell ref="IOD33:IOT33"/>
    <mergeCell ref="IOU33:IPK33"/>
    <mergeCell ref="IPL33:IQB33"/>
    <mergeCell ref="IQC33:IQS33"/>
    <mergeCell ref="IQT33:IRJ33"/>
    <mergeCell ref="IRK33:ISA33"/>
    <mergeCell ref="IGH33:IGX33"/>
    <mergeCell ref="IGY33:IHO33"/>
    <mergeCell ref="IHP33:IIF33"/>
    <mergeCell ref="IIG33:IIW33"/>
    <mergeCell ref="IIX33:IJN33"/>
    <mergeCell ref="IJO33:IKE33"/>
    <mergeCell ref="IKF33:IKV33"/>
    <mergeCell ref="IKW33:ILM33"/>
    <mergeCell ref="ILN33:IMD33"/>
    <mergeCell ref="IXY33:IYO33"/>
    <mergeCell ref="IYP33:IZF33"/>
    <mergeCell ref="IZG33:IZW33"/>
    <mergeCell ref="IZX33:JAN33"/>
    <mergeCell ref="JAO33:JBE33"/>
    <mergeCell ref="JBF33:JBV33"/>
    <mergeCell ref="JBW33:JCM33"/>
    <mergeCell ref="JCN33:JDD33"/>
    <mergeCell ref="JDE33:JDU33"/>
    <mergeCell ref="ISB33:ISR33"/>
    <mergeCell ref="ISS33:ITI33"/>
    <mergeCell ref="ITJ33:ITZ33"/>
    <mergeCell ref="IUA33:IUQ33"/>
    <mergeCell ref="IUR33:IVH33"/>
    <mergeCell ref="IVI33:IVY33"/>
    <mergeCell ref="IVZ33:IWP33"/>
    <mergeCell ref="IWQ33:IXG33"/>
    <mergeCell ref="IXH33:IXX33"/>
    <mergeCell ref="JJS33:JKI33"/>
    <mergeCell ref="JKJ33:JKZ33"/>
    <mergeCell ref="JLA33:JLQ33"/>
    <mergeCell ref="JLR33:JMH33"/>
    <mergeCell ref="JMI33:JMY33"/>
    <mergeCell ref="JMZ33:JNP33"/>
    <mergeCell ref="JNQ33:JOG33"/>
    <mergeCell ref="JOH33:JOX33"/>
    <mergeCell ref="JOY33:JPO33"/>
    <mergeCell ref="JDV33:JEL33"/>
    <mergeCell ref="JEM33:JFC33"/>
    <mergeCell ref="JFD33:JFT33"/>
    <mergeCell ref="JFU33:JGK33"/>
    <mergeCell ref="JGL33:JHB33"/>
    <mergeCell ref="JHC33:JHS33"/>
    <mergeCell ref="JHT33:JIJ33"/>
    <mergeCell ref="JIK33:JJA33"/>
    <mergeCell ref="JJB33:JJR33"/>
    <mergeCell ref="JVM33:JWC33"/>
    <mergeCell ref="JWD33:JWT33"/>
    <mergeCell ref="JWU33:JXK33"/>
    <mergeCell ref="JXL33:JYB33"/>
    <mergeCell ref="JYC33:JYS33"/>
    <mergeCell ref="JYT33:JZJ33"/>
    <mergeCell ref="JZK33:KAA33"/>
    <mergeCell ref="KAB33:KAR33"/>
    <mergeCell ref="KAS33:KBI33"/>
    <mergeCell ref="JPP33:JQF33"/>
    <mergeCell ref="JQG33:JQW33"/>
    <mergeCell ref="JQX33:JRN33"/>
    <mergeCell ref="JRO33:JSE33"/>
    <mergeCell ref="JSF33:JSV33"/>
    <mergeCell ref="JSW33:JTM33"/>
    <mergeCell ref="JTN33:JUD33"/>
    <mergeCell ref="JUE33:JUU33"/>
    <mergeCell ref="JUV33:JVL33"/>
    <mergeCell ref="KHG33:KHW33"/>
    <mergeCell ref="KHX33:KIN33"/>
    <mergeCell ref="KIO33:KJE33"/>
    <mergeCell ref="KJF33:KJV33"/>
    <mergeCell ref="KJW33:KKM33"/>
    <mergeCell ref="KKN33:KLD33"/>
    <mergeCell ref="KLE33:KLU33"/>
    <mergeCell ref="KLV33:KML33"/>
    <mergeCell ref="KMM33:KNC33"/>
    <mergeCell ref="KBJ33:KBZ33"/>
    <mergeCell ref="KCA33:KCQ33"/>
    <mergeCell ref="KCR33:KDH33"/>
    <mergeCell ref="KDI33:KDY33"/>
    <mergeCell ref="KDZ33:KEP33"/>
    <mergeCell ref="KEQ33:KFG33"/>
    <mergeCell ref="KFH33:KFX33"/>
    <mergeCell ref="KFY33:KGO33"/>
    <mergeCell ref="KGP33:KHF33"/>
    <mergeCell ref="KTA33:KTQ33"/>
    <mergeCell ref="KTR33:KUH33"/>
    <mergeCell ref="KUI33:KUY33"/>
    <mergeCell ref="KUZ33:KVP33"/>
    <mergeCell ref="KVQ33:KWG33"/>
    <mergeCell ref="KWH33:KWX33"/>
    <mergeCell ref="KWY33:KXO33"/>
    <mergeCell ref="KXP33:KYF33"/>
    <mergeCell ref="KYG33:KYW33"/>
    <mergeCell ref="KND33:KNT33"/>
    <mergeCell ref="KNU33:KOK33"/>
    <mergeCell ref="KOL33:KPB33"/>
    <mergeCell ref="KPC33:KPS33"/>
    <mergeCell ref="KPT33:KQJ33"/>
    <mergeCell ref="KQK33:KRA33"/>
    <mergeCell ref="KRB33:KRR33"/>
    <mergeCell ref="KRS33:KSI33"/>
    <mergeCell ref="KSJ33:KSZ33"/>
    <mergeCell ref="LEU33:LFK33"/>
    <mergeCell ref="LFL33:LGB33"/>
    <mergeCell ref="LGC33:LGS33"/>
    <mergeCell ref="LGT33:LHJ33"/>
    <mergeCell ref="LHK33:LIA33"/>
    <mergeCell ref="LIB33:LIR33"/>
    <mergeCell ref="LIS33:LJI33"/>
    <mergeCell ref="LJJ33:LJZ33"/>
    <mergeCell ref="LKA33:LKQ33"/>
    <mergeCell ref="KYX33:KZN33"/>
    <mergeCell ref="KZO33:LAE33"/>
    <mergeCell ref="LAF33:LAV33"/>
    <mergeCell ref="LAW33:LBM33"/>
    <mergeCell ref="LBN33:LCD33"/>
    <mergeCell ref="LCE33:LCU33"/>
    <mergeCell ref="LCV33:LDL33"/>
    <mergeCell ref="LDM33:LEC33"/>
    <mergeCell ref="LED33:LET33"/>
    <mergeCell ref="LQO33:LRE33"/>
    <mergeCell ref="LRF33:LRV33"/>
    <mergeCell ref="LRW33:LSM33"/>
    <mergeCell ref="LSN33:LTD33"/>
    <mergeCell ref="LTE33:LTU33"/>
    <mergeCell ref="LTV33:LUL33"/>
    <mergeCell ref="LUM33:LVC33"/>
    <mergeCell ref="LVD33:LVT33"/>
    <mergeCell ref="LVU33:LWK33"/>
    <mergeCell ref="LKR33:LLH33"/>
    <mergeCell ref="LLI33:LLY33"/>
    <mergeCell ref="LLZ33:LMP33"/>
    <mergeCell ref="LMQ33:LNG33"/>
    <mergeCell ref="LNH33:LNX33"/>
    <mergeCell ref="LNY33:LOO33"/>
    <mergeCell ref="LOP33:LPF33"/>
    <mergeCell ref="LPG33:LPW33"/>
    <mergeCell ref="LPX33:LQN33"/>
    <mergeCell ref="MCI33:MCY33"/>
    <mergeCell ref="MCZ33:MDP33"/>
    <mergeCell ref="MDQ33:MEG33"/>
    <mergeCell ref="MEH33:MEX33"/>
    <mergeCell ref="MEY33:MFO33"/>
    <mergeCell ref="MFP33:MGF33"/>
    <mergeCell ref="MGG33:MGW33"/>
    <mergeCell ref="MGX33:MHN33"/>
    <mergeCell ref="MHO33:MIE33"/>
    <mergeCell ref="LWL33:LXB33"/>
    <mergeCell ref="LXC33:LXS33"/>
    <mergeCell ref="LXT33:LYJ33"/>
    <mergeCell ref="LYK33:LZA33"/>
    <mergeCell ref="LZB33:LZR33"/>
    <mergeCell ref="LZS33:MAI33"/>
    <mergeCell ref="MAJ33:MAZ33"/>
    <mergeCell ref="MBA33:MBQ33"/>
    <mergeCell ref="MBR33:MCH33"/>
    <mergeCell ref="MOC33:MOS33"/>
    <mergeCell ref="MOT33:MPJ33"/>
    <mergeCell ref="MPK33:MQA33"/>
    <mergeCell ref="MQB33:MQR33"/>
    <mergeCell ref="MQS33:MRI33"/>
    <mergeCell ref="MRJ33:MRZ33"/>
    <mergeCell ref="MSA33:MSQ33"/>
    <mergeCell ref="MSR33:MTH33"/>
    <mergeCell ref="MTI33:MTY33"/>
    <mergeCell ref="MIF33:MIV33"/>
    <mergeCell ref="MIW33:MJM33"/>
    <mergeCell ref="MJN33:MKD33"/>
    <mergeCell ref="MKE33:MKU33"/>
    <mergeCell ref="MKV33:MLL33"/>
    <mergeCell ref="MLM33:MMC33"/>
    <mergeCell ref="MMD33:MMT33"/>
    <mergeCell ref="MMU33:MNK33"/>
    <mergeCell ref="MNL33:MOB33"/>
    <mergeCell ref="MZW33:NAM33"/>
    <mergeCell ref="NAN33:NBD33"/>
    <mergeCell ref="NBE33:NBU33"/>
    <mergeCell ref="NBV33:NCL33"/>
    <mergeCell ref="NCM33:NDC33"/>
    <mergeCell ref="NDD33:NDT33"/>
    <mergeCell ref="NDU33:NEK33"/>
    <mergeCell ref="NEL33:NFB33"/>
    <mergeCell ref="NFC33:NFS33"/>
    <mergeCell ref="MTZ33:MUP33"/>
    <mergeCell ref="MUQ33:MVG33"/>
    <mergeCell ref="MVH33:MVX33"/>
    <mergeCell ref="MVY33:MWO33"/>
    <mergeCell ref="MWP33:MXF33"/>
    <mergeCell ref="MXG33:MXW33"/>
    <mergeCell ref="MXX33:MYN33"/>
    <mergeCell ref="MYO33:MZE33"/>
    <mergeCell ref="MZF33:MZV33"/>
    <mergeCell ref="NLQ33:NMG33"/>
    <mergeCell ref="NMH33:NMX33"/>
    <mergeCell ref="NMY33:NNO33"/>
    <mergeCell ref="NNP33:NOF33"/>
    <mergeCell ref="NOG33:NOW33"/>
    <mergeCell ref="NOX33:NPN33"/>
    <mergeCell ref="NPO33:NQE33"/>
    <mergeCell ref="NQF33:NQV33"/>
    <mergeCell ref="NQW33:NRM33"/>
    <mergeCell ref="NFT33:NGJ33"/>
    <mergeCell ref="NGK33:NHA33"/>
    <mergeCell ref="NHB33:NHR33"/>
    <mergeCell ref="NHS33:NII33"/>
    <mergeCell ref="NIJ33:NIZ33"/>
    <mergeCell ref="NJA33:NJQ33"/>
    <mergeCell ref="NJR33:NKH33"/>
    <mergeCell ref="NKI33:NKY33"/>
    <mergeCell ref="NKZ33:NLP33"/>
    <mergeCell ref="NXK33:NYA33"/>
    <mergeCell ref="NYB33:NYR33"/>
    <mergeCell ref="NYS33:NZI33"/>
    <mergeCell ref="NZJ33:NZZ33"/>
    <mergeCell ref="OAA33:OAQ33"/>
    <mergeCell ref="OAR33:OBH33"/>
    <mergeCell ref="OBI33:OBY33"/>
    <mergeCell ref="OBZ33:OCP33"/>
    <mergeCell ref="OCQ33:ODG33"/>
    <mergeCell ref="NRN33:NSD33"/>
    <mergeCell ref="NSE33:NSU33"/>
    <mergeCell ref="NSV33:NTL33"/>
    <mergeCell ref="NTM33:NUC33"/>
    <mergeCell ref="NUD33:NUT33"/>
    <mergeCell ref="NUU33:NVK33"/>
    <mergeCell ref="NVL33:NWB33"/>
    <mergeCell ref="NWC33:NWS33"/>
    <mergeCell ref="NWT33:NXJ33"/>
    <mergeCell ref="OJE33:OJU33"/>
    <mergeCell ref="OJV33:OKL33"/>
    <mergeCell ref="OKM33:OLC33"/>
    <mergeCell ref="OLD33:OLT33"/>
    <mergeCell ref="OLU33:OMK33"/>
    <mergeCell ref="OML33:ONB33"/>
    <mergeCell ref="ONC33:ONS33"/>
    <mergeCell ref="ONT33:OOJ33"/>
    <mergeCell ref="OOK33:OPA33"/>
    <mergeCell ref="ODH33:ODX33"/>
    <mergeCell ref="ODY33:OEO33"/>
    <mergeCell ref="OEP33:OFF33"/>
    <mergeCell ref="OFG33:OFW33"/>
    <mergeCell ref="OFX33:OGN33"/>
    <mergeCell ref="OGO33:OHE33"/>
    <mergeCell ref="OHF33:OHV33"/>
    <mergeCell ref="OHW33:OIM33"/>
    <mergeCell ref="OIN33:OJD33"/>
    <mergeCell ref="OUY33:OVO33"/>
    <mergeCell ref="OVP33:OWF33"/>
    <mergeCell ref="OWG33:OWW33"/>
    <mergeCell ref="OWX33:OXN33"/>
    <mergeCell ref="OXO33:OYE33"/>
    <mergeCell ref="OYF33:OYV33"/>
    <mergeCell ref="OYW33:OZM33"/>
    <mergeCell ref="OZN33:PAD33"/>
    <mergeCell ref="PAE33:PAU33"/>
    <mergeCell ref="OPB33:OPR33"/>
    <mergeCell ref="OPS33:OQI33"/>
    <mergeCell ref="OQJ33:OQZ33"/>
    <mergeCell ref="ORA33:ORQ33"/>
    <mergeCell ref="ORR33:OSH33"/>
    <mergeCell ref="OSI33:OSY33"/>
    <mergeCell ref="OSZ33:OTP33"/>
    <mergeCell ref="OTQ33:OUG33"/>
    <mergeCell ref="OUH33:OUX33"/>
    <mergeCell ref="PGS33:PHI33"/>
    <mergeCell ref="PHJ33:PHZ33"/>
    <mergeCell ref="PIA33:PIQ33"/>
    <mergeCell ref="PIR33:PJH33"/>
    <mergeCell ref="PJI33:PJY33"/>
    <mergeCell ref="PJZ33:PKP33"/>
    <mergeCell ref="PKQ33:PLG33"/>
    <mergeCell ref="PLH33:PLX33"/>
    <mergeCell ref="PLY33:PMO33"/>
    <mergeCell ref="PAV33:PBL33"/>
    <mergeCell ref="PBM33:PCC33"/>
    <mergeCell ref="PCD33:PCT33"/>
    <mergeCell ref="PCU33:PDK33"/>
    <mergeCell ref="PDL33:PEB33"/>
    <mergeCell ref="PEC33:PES33"/>
    <mergeCell ref="PET33:PFJ33"/>
    <mergeCell ref="PFK33:PGA33"/>
    <mergeCell ref="PGB33:PGR33"/>
    <mergeCell ref="PSM33:PTC33"/>
    <mergeCell ref="PTD33:PTT33"/>
    <mergeCell ref="PTU33:PUK33"/>
    <mergeCell ref="PUL33:PVB33"/>
    <mergeCell ref="PVC33:PVS33"/>
    <mergeCell ref="PVT33:PWJ33"/>
    <mergeCell ref="PWK33:PXA33"/>
    <mergeCell ref="PXB33:PXR33"/>
    <mergeCell ref="PXS33:PYI33"/>
    <mergeCell ref="PMP33:PNF33"/>
    <mergeCell ref="PNG33:PNW33"/>
    <mergeCell ref="PNX33:PON33"/>
    <mergeCell ref="POO33:PPE33"/>
    <mergeCell ref="PPF33:PPV33"/>
    <mergeCell ref="PPW33:PQM33"/>
    <mergeCell ref="PQN33:PRD33"/>
    <mergeCell ref="PRE33:PRU33"/>
    <mergeCell ref="PRV33:PSL33"/>
    <mergeCell ref="QEG33:QEW33"/>
    <mergeCell ref="QEX33:QFN33"/>
    <mergeCell ref="QFO33:QGE33"/>
    <mergeCell ref="QGF33:QGV33"/>
    <mergeCell ref="QGW33:QHM33"/>
    <mergeCell ref="QHN33:QID33"/>
    <mergeCell ref="QIE33:QIU33"/>
    <mergeCell ref="QIV33:QJL33"/>
    <mergeCell ref="QJM33:QKC33"/>
    <mergeCell ref="PYJ33:PYZ33"/>
    <mergeCell ref="PZA33:PZQ33"/>
    <mergeCell ref="PZR33:QAH33"/>
    <mergeCell ref="QAI33:QAY33"/>
    <mergeCell ref="QAZ33:QBP33"/>
    <mergeCell ref="QBQ33:QCG33"/>
    <mergeCell ref="QCH33:QCX33"/>
    <mergeCell ref="QCY33:QDO33"/>
    <mergeCell ref="QDP33:QEF33"/>
    <mergeCell ref="QQA33:QQQ33"/>
    <mergeCell ref="QQR33:QRH33"/>
    <mergeCell ref="QRI33:QRY33"/>
    <mergeCell ref="QRZ33:QSP33"/>
    <mergeCell ref="QSQ33:QTG33"/>
    <mergeCell ref="QTH33:QTX33"/>
    <mergeCell ref="QTY33:QUO33"/>
    <mergeCell ref="QUP33:QVF33"/>
    <mergeCell ref="QVG33:QVW33"/>
    <mergeCell ref="QKD33:QKT33"/>
    <mergeCell ref="QKU33:QLK33"/>
    <mergeCell ref="QLL33:QMB33"/>
    <mergeCell ref="QMC33:QMS33"/>
    <mergeCell ref="QMT33:QNJ33"/>
    <mergeCell ref="QNK33:QOA33"/>
    <mergeCell ref="QOB33:QOR33"/>
    <mergeCell ref="QOS33:QPI33"/>
    <mergeCell ref="QPJ33:QPZ33"/>
    <mergeCell ref="RBU33:RCK33"/>
    <mergeCell ref="RCL33:RDB33"/>
    <mergeCell ref="RDC33:RDS33"/>
    <mergeCell ref="RDT33:REJ33"/>
    <mergeCell ref="REK33:RFA33"/>
    <mergeCell ref="RFB33:RFR33"/>
    <mergeCell ref="RFS33:RGI33"/>
    <mergeCell ref="RGJ33:RGZ33"/>
    <mergeCell ref="RHA33:RHQ33"/>
    <mergeCell ref="QVX33:QWN33"/>
    <mergeCell ref="QWO33:QXE33"/>
    <mergeCell ref="QXF33:QXV33"/>
    <mergeCell ref="QXW33:QYM33"/>
    <mergeCell ref="QYN33:QZD33"/>
    <mergeCell ref="QZE33:QZU33"/>
    <mergeCell ref="QZV33:RAL33"/>
    <mergeCell ref="RAM33:RBC33"/>
    <mergeCell ref="RBD33:RBT33"/>
    <mergeCell ref="RNO33:ROE33"/>
    <mergeCell ref="ROF33:ROV33"/>
    <mergeCell ref="ROW33:RPM33"/>
    <mergeCell ref="RPN33:RQD33"/>
    <mergeCell ref="RQE33:RQU33"/>
    <mergeCell ref="RQV33:RRL33"/>
    <mergeCell ref="RRM33:RSC33"/>
    <mergeCell ref="RSD33:RST33"/>
    <mergeCell ref="RSU33:RTK33"/>
    <mergeCell ref="RHR33:RIH33"/>
    <mergeCell ref="RII33:RIY33"/>
    <mergeCell ref="RIZ33:RJP33"/>
    <mergeCell ref="RJQ33:RKG33"/>
    <mergeCell ref="RKH33:RKX33"/>
    <mergeCell ref="RKY33:RLO33"/>
    <mergeCell ref="RLP33:RMF33"/>
    <mergeCell ref="RMG33:RMW33"/>
    <mergeCell ref="RMX33:RNN33"/>
    <mergeCell ref="RZI33:RZY33"/>
    <mergeCell ref="RZZ33:SAP33"/>
    <mergeCell ref="SAQ33:SBG33"/>
    <mergeCell ref="SBH33:SBX33"/>
    <mergeCell ref="SBY33:SCO33"/>
    <mergeCell ref="SCP33:SDF33"/>
    <mergeCell ref="SDG33:SDW33"/>
    <mergeCell ref="SDX33:SEN33"/>
    <mergeCell ref="SEO33:SFE33"/>
    <mergeCell ref="RTL33:RUB33"/>
    <mergeCell ref="RUC33:RUS33"/>
    <mergeCell ref="RUT33:RVJ33"/>
    <mergeCell ref="RVK33:RWA33"/>
    <mergeCell ref="RWB33:RWR33"/>
    <mergeCell ref="RWS33:RXI33"/>
    <mergeCell ref="RXJ33:RXZ33"/>
    <mergeCell ref="RYA33:RYQ33"/>
    <mergeCell ref="RYR33:RZH33"/>
    <mergeCell ref="SLC33:SLS33"/>
    <mergeCell ref="SLT33:SMJ33"/>
    <mergeCell ref="SMK33:SNA33"/>
    <mergeCell ref="SNB33:SNR33"/>
    <mergeCell ref="SNS33:SOI33"/>
    <mergeCell ref="SOJ33:SOZ33"/>
    <mergeCell ref="SPA33:SPQ33"/>
    <mergeCell ref="SPR33:SQH33"/>
    <mergeCell ref="SQI33:SQY33"/>
    <mergeCell ref="SFF33:SFV33"/>
    <mergeCell ref="SFW33:SGM33"/>
    <mergeCell ref="SGN33:SHD33"/>
    <mergeCell ref="SHE33:SHU33"/>
    <mergeCell ref="SHV33:SIL33"/>
    <mergeCell ref="SIM33:SJC33"/>
    <mergeCell ref="SJD33:SJT33"/>
    <mergeCell ref="SJU33:SKK33"/>
    <mergeCell ref="SKL33:SLB33"/>
    <mergeCell ref="SWW33:SXM33"/>
    <mergeCell ref="SXN33:SYD33"/>
    <mergeCell ref="SYE33:SYU33"/>
    <mergeCell ref="SYV33:SZL33"/>
    <mergeCell ref="SZM33:TAC33"/>
    <mergeCell ref="TAD33:TAT33"/>
    <mergeCell ref="TAU33:TBK33"/>
    <mergeCell ref="TBL33:TCB33"/>
    <mergeCell ref="TCC33:TCS33"/>
    <mergeCell ref="SQZ33:SRP33"/>
    <mergeCell ref="SRQ33:SSG33"/>
    <mergeCell ref="SSH33:SSX33"/>
    <mergeCell ref="SSY33:STO33"/>
    <mergeCell ref="STP33:SUF33"/>
    <mergeCell ref="SUG33:SUW33"/>
    <mergeCell ref="SUX33:SVN33"/>
    <mergeCell ref="SVO33:SWE33"/>
    <mergeCell ref="SWF33:SWV33"/>
    <mergeCell ref="TIQ33:TJG33"/>
    <mergeCell ref="TJH33:TJX33"/>
    <mergeCell ref="TJY33:TKO33"/>
    <mergeCell ref="TKP33:TLF33"/>
    <mergeCell ref="TLG33:TLW33"/>
    <mergeCell ref="TLX33:TMN33"/>
    <mergeCell ref="TMO33:TNE33"/>
    <mergeCell ref="TNF33:TNV33"/>
    <mergeCell ref="TNW33:TOM33"/>
    <mergeCell ref="TCT33:TDJ33"/>
    <mergeCell ref="TDK33:TEA33"/>
    <mergeCell ref="TEB33:TER33"/>
    <mergeCell ref="TES33:TFI33"/>
    <mergeCell ref="TFJ33:TFZ33"/>
    <mergeCell ref="TGA33:TGQ33"/>
    <mergeCell ref="TGR33:THH33"/>
    <mergeCell ref="THI33:THY33"/>
    <mergeCell ref="THZ33:TIP33"/>
    <mergeCell ref="TUK33:TVA33"/>
    <mergeCell ref="TVB33:TVR33"/>
    <mergeCell ref="TVS33:TWI33"/>
    <mergeCell ref="TWJ33:TWZ33"/>
    <mergeCell ref="TXA33:TXQ33"/>
    <mergeCell ref="TXR33:TYH33"/>
    <mergeCell ref="TYI33:TYY33"/>
    <mergeCell ref="TYZ33:TZP33"/>
    <mergeCell ref="TZQ33:UAG33"/>
    <mergeCell ref="TON33:TPD33"/>
    <mergeCell ref="TPE33:TPU33"/>
    <mergeCell ref="TPV33:TQL33"/>
    <mergeCell ref="TQM33:TRC33"/>
    <mergeCell ref="TRD33:TRT33"/>
    <mergeCell ref="TRU33:TSK33"/>
    <mergeCell ref="TSL33:TTB33"/>
    <mergeCell ref="TTC33:TTS33"/>
    <mergeCell ref="TTT33:TUJ33"/>
    <mergeCell ref="UGE33:UGU33"/>
    <mergeCell ref="UGV33:UHL33"/>
    <mergeCell ref="UHM33:UIC33"/>
    <mergeCell ref="UID33:UIT33"/>
    <mergeCell ref="UIU33:UJK33"/>
    <mergeCell ref="UJL33:UKB33"/>
    <mergeCell ref="UKC33:UKS33"/>
    <mergeCell ref="UKT33:ULJ33"/>
    <mergeCell ref="ULK33:UMA33"/>
    <mergeCell ref="UAH33:UAX33"/>
    <mergeCell ref="UAY33:UBO33"/>
    <mergeCell ref="UBP33:UCF33"/>
    <mergeCell ref="UCG33:UCW33"/>
    <mergeCell ref="UCX33:UDN33"/>
    <mergeCell ref="UDO33:UEE33"/>
    <mergeCell ref="UEF33:UEV33"/>
    <mergeCell ref="UEW33:UFM33"/>
    <mergeCell ref="UFN33:UGD33"/>
    <mergeCell ref="URY33:USO33"/>
    <mergeCell ref="USP33:UTF33"/>
    <mergeCell ref="UTG33:UTW33"/>
    <mergeCell ref="UTX33:UUN33"/>
    <mergeCell ref="UUO33:UVE33"/>
    <mergeCell ref="UVF33:UVV33"/>
    <mergeCell ref="UVW33:UWM33"/>
    <mergeCell ref="UWN33:UXD33"/>
    <mergeCell ref="UXE33:UXU33"/>
    <mergeCell ref="UMB33:UMR33"/>
    <mergeCell ref="UMS33:UNI33"/>
    <mergeCell ref="UNJ33:UNZ33"/>
    <mergeCell ref="UOA33:UOQ33"/>
    <mergeCell ref="UOR33:UPH33"/>
    <mergeCell ref="UPI33:UPY33"/>
    <mergeCell ref="UPZ33:UQP33"/>
    <mergeCell ref="UQQ33:URG33"/>
    <mergeCell ref="URH33:URX33"/>
    <mergeCell ref="VDS33:VEI33"/>
    <mergeCell ref="VEJ33:VEZ33"/>
    <mergeCell ref="VFA33:VFQ33"/>
    <mergeCell ref="VFR33:VGH33"/>
    <mergeCell ref="VGI33:VGY33"/>
    <mergeCell ref="VGZ33:VHP33"/>
    <mergeCell ref="VHQ33:VIG33"/>
    <mergeCell ref="VIH33:VIX33"/>
    <mergeCell ref="VIY33:VJO33"/>
    <mergeCell ref="UXV33:UYL33"/>
    <mergeCell ref="UYM33:UZC33"/>
    <mergeCell ref="UZD33:UZT33"/>
    <mergeCell ref="UZU33:VAK33"/>
    <mergeCell ref="VAL33:VBB33"/>
    <mergeCell ref="VBC33:VBS33"/>
    <mergeCell ref="VBT33:VCJ33"/>
    <mergeCell ref="VCK33:VDA33"/>
    <mergeCell ref="VDB33:VDR33"/>
    <mergeCell ref="VPM33:VQC33"/>
    <mergeCell ref="VQD33:VQT33"/>
    <mergeCell ref="VQU33:VRK33"/>
    <mergeCell ref="VRL33:VSB33"/>
    <mergeCell ref="VSC33:VSS33"/>
    <mergeCell ref="VST33:VTJ33"/>
    <mergeCell ref="VTK33:VUA33"/>
    <mergeCell ref="VUB33:VUR33"/>
    <mergeCell ref="VUS33:VVI33"/>
    <mergeCell ref="VJP33:VKF33"/>
    <mergeCell ref="VKG33:VKW33"/>
    <mergeCell ref="VKX33:VLN33"/>
    <mergeCell ref="VLO33:VME33"/>
    <mergeCell ref="VMF33:VMV33"/>
    <mergeCell ref="VMW33:VNM33"/>
    <mergeCell ref="VNN33:VOD33"/>
    <mergeCell ref="VOE33:VOU33"/>
    <mergeCell ref="VOV33:VPL33"/>
    <mergeCell ref="WJC33:WJS33"/>
    <mergeCell ref="WJT33:WKJ33"/>
    <mergeCell ref="WKK33:WLA33"/>
    <mergeCell ref="WLB33:WLR33"/>
    <mergeCell ref="WLS33:WMI33"/>
    <mergeCell ref="WMJ33:WMZ33"/>
    <mergeCell ref="WBG33:WBW33"/>
    <mergeCell ref="WBX33:WCN33"/>
    <mergeCell ref="WCO33:WDE33"/>
    <mergeCell ref="WDF33:WDV33"/>
    <mergeCell ref="WDW33:WEM33"/>
    <mergeCell ref="WEN33:WFD33"/>
    <mergeCell ref="WFE33:WFU33"/>
    <mergeCell ref="WFV33:WGL33"/>
    <mergeCell ref="WGM33:WHC33"/>
    <mergeCell ref="VVJ33:VVZ33"/>
    <mergeCell ref="VWA33:VWQ33"/>
    <mergeCell ref="VWR33:VXH33"/>
    <mergeCell ref="VXI33:VXY33"/>
    <mergeCell ref="VXZ33:VYP33"/>
    <mergeCell ref="VYQ33:VZG33"/>
    <mergeCell ref="VZH33:VZX33"/>
    <mergeCell ref="VZY33:WAO33"/>
    <mergeCell ref="WAP33:WBF33"/>
    <mergeCell ref="A34:Q34"/>
    <mergeCell ref="XER33:XFD33"/>
    <mergeCell ref="WYU33:WZK33"/>
    <mergeCell ref="WZL33:XAB33"/>
    <mergeCell ref="XAC33:XAS33"/>
    <mergeCell ref="XAT33:XBJ33"/>
    <mergeCell ref="XBK33:XCA33"/>
    <mergeCell ref="XCB33:XCR33"/>
    <mergeCell ref="XCS33:XDI33"/>
    <mergeCell ref="XDJ33:XDZ33"/>
    <mergeCell ref="XEA33:XEQ33"/>
    <mergeCell ref="WSX33:WTN33"/>
    <mergeCell ref="WTO33:WUE33"/>
    <mergeCell ref="WUF33:WUV33"/>
    <mergeCell ref="WUW33:WVM33"/>
    <mergeCell ref="WVN33:WWD33"/>
    <mergeCell ref="WWE33:WWU33"/>
    <mergeCell ref="WWV33:WXL33"/>
    <mergeCell ref="WXM33:WYC33"/>
    <mergeCell ref="WYD33:WYT33"/>
    <mergeCell ref="WNA33:WNQ33"/>
    <mergeCell ref="WNR33:WOH33"/>
    <mergeCell ref="WOI33:WOY33"/>
    <mergeCell ref="WOZ33:WPP33"/>
    <mergeCell ref="WPQ33:WQG33"/>
    <mergeCell ref="WQH33:WQX33"/>
    <mergeCell ref="WQY33:WRO33"/>
    <mergeCell ref="WRP33:WSF33"/>
    <mergeCell ref="WSG33:WSW33"/>
    <mergeCell ref="WHD33:WHT33"/>
    <mergeCell ref="WHU33:WIK33"/>
    <mergeCell ref="WIL33:WJB3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CC646"/>
  </sheetPr>
  <dimension ref="A1:AG57"/>
  <sheetViews>
    <sheetView topLeftCell="H2" workbookViewId="0"/>
  </sheetViews>
  <sheetFormatPr defaultRowHeight="15" outlineLevelCol="1"/>
  <cols>
    <col min="1" max="1" width="7.7109375" style="79" hidden="1" customWidth="1" outlineLevel="1"/>
    <col min="2" max="2" width="12.7109375" hidden="1" customWidth="1" outlineLevel="1"/>
    <col min="3" max="3" width="16.5703125" hidden="1" customWidth="1" outlineLevel="1"/>
    <col min="4" max="4" width="13.42578125" hidden="1" customWidth="1" outlineLevel="1"/>
    <col min="5" max="5" width="12.28515625" hidden="1" customWidth="1" outlineLevel="1"/>
    <col min="6" max="6" width="9" hidden="1" customWidth="1" outlineLevel="1"/>
    <col min="7" max="7" width="10.7109375" hidden="1" customWidth="1" outlineLevel="1"/>
    <col min="8" max="8" width="7" customWidth="1" collapsed="1"/>
    <col min="9" max="9" width="43.28515625" customWidth="1"/>
    <col min="10" max="10" width="40.7109375" customWidth="1"/>
    <col min="11" max="29" width="14.28515625" customWidth="1"/>
    <col min="30" max="30" width="9.42578125" customWidth="1"/>
    <col min="31" max="31" width="11.7109375" customWidth="1"/>
  </cols>
  <sheetData>
    <row r="1" spans="1:33" s="81" customFormat="1" ht="43.5" hidden="1" customHeight="1">
      <c r="A1" s="79"/>
      <c r="I1" s="81">
        <v>2018</v>
      </c>
      <c r="J1" s="81">
        <v>2019</v>
      </c>
      <c r="K1" s="81">
        <v>2019</v>
      </c>
      <c r="R1" s="81">
        <v>1</v>
      </c>
      <c r="T1" s="81">
        <v>3</v>
      </c>
      <c r="V1" s="81">
        <v>2</v>
      </c>
      <c r="X1" s="81">
        <v>1</v>
      </c>
      <c r="Z1" s="81">
        <v>3</v>
      </c>
      <c r="AB1" s="81">
        <v>2</v>
      </c>
      <c r="AE1"/>
    </row>
    <row r="2" spans="1:33" s="81" customFormat="1">
      <c r="A2" s="79"/>
      <c r="K2" s="2545" t="s">
        <v>1030</v>
      </c>
      <c r="L2" s="2546"/>
      <c r="M2" s="2546"/>
      <c r="N2" s="2546"/>
      <c r="O2" s="2546"/>
      <c r="P2" s="2546"/>
      <c r="Q2" s="2546"/>
      <c r="R2" s="2546"/>
      <c r="S2" s="2546"/>
      <c r="T2" s="2546"/>
      <c r="U2" s="2546"/>
      <c r="V2" s="2546"/>
      <c r="W2" s="2546"/>
      <c r="X2" s="2546"/>
      <c r="Y2" s="2546"/>
      <c r="Z2" s="2546"/>
      <c r="AA2" s="2546"/>
      <c r="AB2" s="2546"/>
      <c r="AC2" s="2547"/>
      <c r="AD2"/>
      <c r="AE2"/>
    </row>
    <row r="3" spans="1:33">
      <c r="D3" t="s">
        <v>187</v>
      </c>
      <c r="H3" s="2542" t="str">
        <f>Selection!A2&amp;"'s 2018-2019 Savings Forecast"</f>
        <v>Puget Sound Energy's 2018-2019 Savings Forecast</v>
      </c>
      <c r="I3" s="2542"/>
      <c r="J3" s="2542"/>
      <c r="K3" s="2548" t="s">
        <v>557</v>
      </c>
      <c r="L3" s="2549"/>
      <c r="M3" s="2549"/>
      <c r="N3" s="2549"/>
      <c r="O3" s="2549"/>
      <c r="P3" s="2549"/>
      <c r="Q3" s="2550"/>
      <c r="R3" s="2553">
        <v>2018</v>
      </c>
      <c r="S3" s="2553"/>
      <c r="T3" s="2553"/>
      <c r="U3" s="2553"/>
      <c r="V3" s="2553"/>
      <c r="W3" s="2553"/>
      <c r="X3" s="2554">
        <v>2019</v>
      </c>
      <c r="Y3" s="2555"/>
      <c r="Z3" s="2555"/>
      <c r="AA3" s="2555"/>
      <c r="AB3" s="2555"/>
      <c r="AC3" s="2556"/>
    </row>
    <row r="4" spans="1:33">
      <c r="D4" s="2544">
        <v>2018</v>
      </c>
      <c r="E4" s="2544"/>
      <c r="F4" s="2544">
        <v>2019</v>
      </c>
      <c r="G4" s="2544"/>
      <c r="H4" s="2542"/>
      <c r="I4" s="2542"/>
      <c r="J4" s="2542"/>
      <c r="K4" s="2551" t="s">
        <v>543</v>
      </c>
      <c r="L4" s="2552"/>
      <c r="M4" s="2552"/>
      <c r="N4" s="2552"/>
      <c r="O4" s="2552"/>
      <c r="P4" s="2557" t="s">
        <v>208</v>
      </c>
      <c r="Q4" s="2558"/>
      <c r="R4" s="2552" t="s">
        <v>543</v>
      </c>
      <c r="S4" s="2552"/>
      <c r="T4" s="2552"/>
      <c r="U4" s="2552"/>
      <c r="V4" s="2557" t="s">
        <v>208</v>
      </c>
      <c r="W4" s="2557"/>
      <c r="X4" s="2551" t="s">
        <v>543</v>
      </c>
      <c r="Y4" s="2552"/>
      <c r="Z4" s="2552"/>
      <c r="AA4" s="2552"/>
      <c r="AB4" s="2557" t="s">
        <v>208</v>
      </c>
      <c r="AC4" s="2558"/>
    </row>
    <row r="5" spans="1:33" ht="42.75" customHeight="1">
      <c r="A5" s="79" t="s">
        <v>529</v>
      </c>
      <c r="B5" t="s">
        <v>530</v>
      </c>
      <c r="D5" t="s">
        <v>553</v>
      </c>
      <c r="E5" t="s">
        <v>554</v>
      </c>
      <c r="F5" t="s">
        <v>553</v>
      </c>
      <c r="G5" t="s">
        <v>555</v>
      </c>
      <c r="H5" s="2534" t="s">
        <v>3</v>
      </c>
      <c r="I5" s="2532" t="s">
        <v>528</v>
      </c>
      <c r="J5" s="2530" t="s">
        <v>531</v>
      </c>
      <c r="K5" s="2539" t="s">
        <v>546</v>
      </c>
      <c r="L5" s="2540"/>
      <c r="M5" s="2541"/>
      <c r="N5" s="2541" t="s">
        <v>545</v>
      </c>
      <c r="O5" s="2541"/>
      <c r="P5" s="2540" t="s">
        <v>544</v>
      </c>
      <c r="Q5" s="2543"/>
      <c r="R5" s="2540" t="s">
        <v>546</v>
      </c>
      <c r="S5" s="2541"/>
      <c r="T5" s="2540" t="s">
        <v>545</v>
      </c>
      <c r="U5" s="2541"/>
      <c r="V5" s="2540" t="s">
        <v>544</v>
      </c>
      <c r="W5" s="2559"/>
      <c r="X5" s="2539" t="s">
        <v>546</v>
      </c>
      <c r="Y5" s="2541"/>
      <c r="Z5" s="2540" t="s">
        <v>545</v>
      </c>
      <c r="AA5" s="2541"/>
      <c r="AB5" s="2540" t="s">
        <v>544</v>
      </c>
      <c r="AC5" s="2543"/>
      <c r="AD5" s="373"/>
    </row>
    <row r="6" spans="1:33" ht="33.75" customHeight="1">
      <c r="H6" s="2535"/>
      <c r="I6" s="2533"/>
      <c r="J6" s="2531"/>
      <c r="K6" s="2520" t="s">
        <v>837</v>
      </c>
      <c r="L6" s="2521"/>
      <c r="M6" s="389" t="s">
        <v>779</v>
      </c>
      <c r="N6" s="390" t="s">
        <v>777</v>
      </c>
      <c r="O6" s="389" t="s">
        <v>779</v>
      </c>
      <c r="P6" s="391" t="s">
        <v>777</v>
      </c>
      <c r="Q6" s="394" t="s">
        <v>779</v>
      </c>
      <c r="R6" s="391" t="s">
        <v>777</v>
      </c>
      <c r="S6" s="389" t="s">
        <v>779</v>
      </c>
      <c r="T6" s="391" t="s">
        <v>777</v>
      </c>
      <c r="U6" s="389" t="s">
        <v>779</v>
      </c>
      <c r="V6" s="391" t="s">
        <v>777</v>
      </c>
      <c r="W6" s="392" t="s">
        <v>779</v>
      </c>
      <c r="X6" s="393" t="s">
        <v>777</v>
      </c>
      <c r="Y6" s="389" t="s">
        <v>779</v>
      </c>
      <c r="Z6" s="391" t="s">
        <v>777</v>
      </c>
      <c r="AA6" s="389" t="s">
        <v>779</v>
      </c>
      <c r="AB6" s="391" t="s">
        <v>777</v>
      </c>
      <c r="AC6" s="394" t="s">
        <v>779</v>
      </c>
      <c r="AD6" s="374"/>
    </row>
    <row r="7" spans="1:33" ht="15" customHeight="1">
      <c r="A7" s="79" t="s">
        <v>264</v>
      </c>
      <c r="B7" s="80" t="s">
        <v>249</v>
      </c>
      <c r="C7" s="80" t="str">
        <f>INDEX(Programs!B:B,MATCH(' Summary by Program'!B7,Programs!$E:$E,0))</f>
        <v>Ductless Heat Pumps</v>
      </c>
      <c r="D7" s="87" t="e">
        <v>#N/A</v>
      </c>
      <c r="E7" s="87" t="e">
        <v>#N/A</v>
      </c>
      <c r="F7" s="87">
        <v>1</v>
      </c>
      <c r="G7" s="87">
        <v>1</v>
      </c>
      <c r="H7" s="2527" t="s">
        <v>236</v>
      </c>
      <c r="I7" s="121" t="str">
        <f>INDEX(Programs!B:B,MATCH(' Summary by Program'!B7,Programs!$E:$E,0))</f>
        <v>Ductless Heat Pumps</v>
      </c>
      <c r="J7" s="395" t="s">
        <v>150</v>
      </c>
      <c r="K7" s="405">
        <f ca="1">R7+X7</f>
        <v>0</v>
      </c>
      <c r="L7" s="200" t="e">
        <f ca="1">TEXT(R7*D7+X7*F7,"0.##")&amp;"-"&amp;TEXT(R7*E7+G7*X7,"0.#0")</f>
        <v>#N/A</v>
      </c>
      <c r="M7" s="203">
        <f>S7+Y7</f>
        <v>0</v>
      </c>
      <c r="N7" s="96">
        <f t="shared" ref="N7:N30" ca="1" si="0">T7+Z7</f>
        <v>0</v>
      </c>
      <c r="O7" s="95">
        <f>U7+AA7</f>
        <v>0</v>
      </c>
      <c r="P7" s="97">
        <f t="shared" ref="P7:P30" ca="1" si="1">V7+AB7</f>
        <v>0</v>
      </c>
      <c r="Q7" s="124" t="str">
        <f t="shared" ref="Q7:Q30" ca="1" si="2">IF(V7=0,"","("&amp;TEXT($D7*V7+$F7*AB7,"#.##")&amp;"-"&amp;TEXT($E7*V7+$G7*AB7,"#.##")&amp;")")</f>
        <v/>
      </c>
      <c r="R7" s="96">
        <f t="shared" ref="R7:R30" ca="1" si="3">SUMIFS(INDIRECT($A7&amp;"!$v:$v"),INDIRECT($A7&amp;"!$f:$f"),R$1,INDIRECT($A7&amp;"!$i:$i"),$C7,INDIRECT($A7&amp;"!$l:$l"),$I$1)</f>
        <v>0</v>
      </c>
      <c r="S7" s="379">
        <v>0</v>
      </c>
      <c r="T7" s="96">
        <f t="shared" ref="T7:T30" ca="1" si="4">SUMIFS(INDIRECT($A7&amp;"!$v:$v"),INDIRECT($A7&amp;"!$f:$f"),T$1,INDIRECT($A7&amp;"!$i:$i"),$C7,INDIRECT($A7&amp;"!$l:$l"),$I$1)</f>
        <v>0</v>
      </c>
      <c r="U7" s="95">
        <v>0</v>
      </c>
      <c r="V7" s="97">
        <f t="shared" ref="V7:V30" ca="1" si="5">SUMIFS(INDIRECT($A7&amp;"!$v:$v"),INDIRECT($A7&amp;"!$f:$f"),V$1,INDIRECT($A7&amp;"!$i:$i"),$C7,INDIRECT($A7&amp;"!$l:$l"),$I$1)</f>
        <v>0</v>
      </c>
      <c r="W7" s="123">
        <v>0</v>
      </c>
      <c r="X7" s="122">
        <f t="shared" ref="X7:X30" ca="1" si="6">SUMIFS(INDIRECT($A7&amp;"!$v:$v"),INDIRECT($A7&amp;"!$f:$f"),X$1,INDIRECT($A7&amp;"!$i:$i"),$C7,INDIRECT($A7&amp;"!$l:$l"),$J$1)</f>
        <v>0</v>
      </c>
      <c r="Y7" s="379">
        <v>0</v>
      </c>
      <c r="Z7" s="96">
        <f t="shared" ref="Z7:Z30" ca="1" si="7">SUMIFS(INDIRECT($A7&amp;"!$v:$v"),INDIRECT($A7&amp;"!$f:$f"),Z$1,INDIRECT($A7&amp;"!$i:$i"),$C7,INDIRECT($A7&amp;"!$l:$l"),$J$1)</f>
        <v>0</v>
      </c>
      <c r="AA7" s="95">
        <v>0</v>
      </c>
      <c r="AB7" s="96">
        <f ca="1">SUMIFS(INDIRECT($A7&amp;"!$v:$v"),INDIRECT($A7&amp;"!$f:$f"),AB$1,INDIRECT($A7&amp;"!$i:$i"),$C7,INDIRECT($A7&amp;"!$l:$l"),$K$1)</f>
        <v>0</v>
      </c>
      <c r="AC7" s="124" t="str">
        <f t="shared" ref="AC7:AC27" ca="1" si="8">IF(AB7=0,"","("&amp;TEXT($F7*AB7,"#.##")&amp;"-"&amp;TEXT($G7*AB7,"#.##")&amp;")")</f>
        <v/>
      </c>
      <c r="AD7" s="376">
        <f ca="1">R7-S7</f>
        <v>0</v>
      </c>
      <c r="AE7" s="169">
        <f ca="1">K7-M7</f>
        <v>0</v>
      </c>
    </row>
    <row r="8" spans="1:33">
      <c r="A8" s="79" t="s">
        <v>265</v>
      </c>
      <c r="B8" s="80" t="s">
        <v>250</v>
      </c>
      <c r="C8" s="80" t="str">
        <f>INDEX(Programs!B:B,MATCH(' Summary by Program'!B8,Programs!$E:$E,0))</f>
        <v>Heat Pump Water Heaters</v>
      </c>
      <c r="D8" s="87" t="e">
        <v>#N/A</v>
      </c>
      <c r="E8" s="87" t="e">
        <v>#N/A</v>
      </c>
      <c r="F8" s="87">
        <v>1</v>
      </c>
      <c r="G8" s="87">
        <v>1</v>
      </c>
      <c r="H8" s="2524"/>
      <c r="I8" s="93" t="str">
        <f>INDEX(Programs!B:B,MATCH(' Summary by Program'!B8,Programs!$E:$E,0))</f>
        <v>Heat Pump Water Heaters</v>
      </c>
      <c r="J8" s="396" t="s">
        <v>152</v>
      </c>
      <c r="K8" s="406">
        <f ca="1">R8+X8</f>
        <v>0</v>
      </c>
      <c r="L8" s="200" t="e">
        <f ca="1">TEXT(R8*D8+X8*F8,"0.##")&amp;"-"&amp;TEXT(R8*E8+G8*X8,"0.#0")</f>
        <v>#N/A</v>
      </c>
      <c r="M8" s="204">
        <f t="shared" ref="M8:M30" si="9">S8+Y8</f>
        <v>0</v>
      </c>
      <c r="N8" s="89">
        <f t="shared" ca="1" si="0"/>
        <v>0</v>
      </c>
      <c r="O8" s="90">
        <f t="shared" ref="O8:O30" si="10">U8+AA8</f>
        <v>0</v>
      </c>
      <c r="P8" s="88">
        <f t="shared" ca="1" si="1"/>
        <v>0</v>
      </c>
      <c r="Q8" s="114" t="str">
        <f t="shared" ca="1" si="2"/>
        <v/>
      </c>
      <c r="R8" s="89">
        <f t="shared" ca="1" si="3"/>
        <v>0</v>
      </c>
      <c r="S8" s="380">
        <v>0</v>
      </c>
      <c r="T8" s="89">
        <f t="shared" ca="1" si="4"/>
        <v>0</v>
      </c>
      <c r="U8" s="90">
        <v>0</v>
      </c>
      <c r="V8" s="88">
        <f t="shared" ca="1" si="5"/>
        <v>0</v>
      </c>
      <c r="W8" s="109">
        <v>0</v>
      </c>
      <c r="X8" s="113">
        <f t="shared" ca="1" si="6"/>
        <v>0</v>
      </c>
      <c r="Y8" s="380">
        <v>0</v>
      </c>
      <c r="Z8" s="89">
        <f t="shared" ca="1" si="7"/>
        <v>0</v>
      </c>
      <c r="AA8" s="90">
        <v>0</v>
      </c>
      <c r="AB8" s="89">
        <f t="shared" ref="AB8:AB30" ca="1" si="11">SUMIFS(INDIRECT($A8&amp;"!$v:$v"),INDIRECT($A8&amp;"!$f:$f"),AB$1,INDIRECT($A8&amp;"!$i:$i"),$C8,INDIRECT($A8&amp;"!$l:$l"),$K$1)</f>
        <v>0</v>
      </c>
      <c r="AC8" s="114" t="str">
        <f t="shared" ca="1" si="8"/>
        <v/>
      </c>
      <c r="AD8" s="376">
        <f t="shared" ref="AD8:AD30" ca="1" si="12">R8-S8</f>
        <v>0</v>
      </c>
      <c r="AE8" s="169">
        <f ca="1">K8-M8</f>
        <v>0</v>
      </c>
      <c r="AF8" s="369"/>
    </row>
    <row r="9" spans="1:33">
      <c r="A9" s="79" t="s">
        <v>1000</v>
      </c>
      <c r="B9" s="80" t="s">
        <v>861</v>
      </c>
      <c r="C9" s="80" t="s">
        <v>1001</v>
      </c>
      <c r="D9" s="364">
        <v>1</v>
      </c>
      <c r="E9" s="364">
        <v>1</v>
      </c>
      <c r="F9" s="364">
        <v>0.9</v>
      </c>
      <c r="G9" s="364">
        <v>0.95</v>
      </c>
      <c r="H9" s="2524"/>
      <c r="I9" s="93" t="s">
        <v>976</v>
      </c>
      <c r="J9" s="397" t="s">
        <v>1003</v>
      </c>
      <c r="K9" s="406" t="e">
        <f ca="1">R9+X9</f>
        <v>#REF!</v>
      </c>
      <c r="L9" s="200" t="e">
        <f ca="1">TEXT(R9*D9+X9*F9,"0.##")&amp;"-"&amp;TEXT(R9*E9+G9*X9,"0.#0")</f>
        <v>#REF!</v>
      </c>
      <c r="M9" s="204">
        <v>0</v>
      </c>
      <c r="N9" s="89" t="e">
        <f t="shared" ref="N9" ca="1" si="13">T9+Z9</f>
        <v>#REF!</v>
      </c>
      <c r="O9" s="90">
        <f t="shared" ref="O9" si="14">U9+AA9</f>
        <v>0</v>
      </c>
      <c r="P9" s="88" t="e">
        <f t="shared" ref="P9" ca="1" si="15">V9+AB9</f>
        <v>#REF!</v>
      </c>
      <c r="Q9" s="114">
        <f>W9+AC9</f>
        <v>0</v>
      </c>
      <c r="R9" s="404" t="e">
        <f ca="1">SUMIFS(INDIRECT($A9&amp;"!$v:$v"),INDIRECT($A9&amp;"!$f:$f"),R$1,INDIRECT($A9&amp;"!$j:$j"),$C9,INDIRECT($A9&amp;"!$l:$l"),$I$1)</f>
        <v>#REF!</v>
      </c>
      <c r="S9" s="381"/>
      <c r="T9" s="89" t="e">
        <f t="shared" ca="1" si="4"/>
        <v>#REF!</v>
      </c>
      <c r="U9" s="90">
        <v>0</v>
      </c>
      <c r="V9" s="88" t="e">
        <f ca="1">SUMIFS(INDIRECT($A9&amp;"!$v:$v"),INDIRECT($A9&amp;"!$f:$f"),V$1,INDIRECT($A9&amp;"!$j:$j"),$C9,INDIRECT($A9&amp;"!$l:$l"),$I$1)</f>
        <v>#REF!</v>
      </c>
      <c r="W9" s="90">
        <v>0</v>
      </c>
      <c r="X9" s="113" t="e">
        <f ca="1">SUMIFS(INDIRECT($A9&amp;"!$v:$v"),INDIRECT($A9&amp;"!$f:$f"),X$1,INDIRECT($A9&amp;"!$j:$j"),$C9,INDIRECT($A9&amp;"!$l:$l"),$J$1)</f>
        <v>#REF!</v>
      </c>
      <c r="Y9" s="381"/>
      <c r="Z9" s="89" t="e">
        <f t="shared" ca="1" si="7"/>
        <v>#REF!</v>
      </c>
      <c r="AA9" s="90">
        <v>0</v>
      </c>
      <c r="AB9" s="89" t="e">
        <f ca="1">SUMIFS(INDIRECT($A9&amp;"!$v:$v"),INDIRECT($A9&amp;"!$f:$f"),AB$1,INDIRECT($A9&amp;"!$j:$j"),$C9,INDIRECT($A9&amp;"!$l:$l"),$K$1)</f>
        <v>#REF!</v>
      </c>
      <c r="AC9" s="114">
        <v>0</v>
      </c>
      <c r="AD9" s="376" t="e">
        <f t="shared" ca="1" si="12"/>
        <v>#REF!</v>
      </c>
      <c r="AE9" s="169" t="e">
        <f t="shared" ref="AE9:AE30" ca="1" si="16">K9-M9</f>
        <v>#REF!</v>
      </c>
      <c r="AF9" s="199"/>
      <c r="AG9" s="169" t="e">
        <f ca="1">AE9+AE10+AE23</f>
        <v>#REF!</v>
      </c>
    </row>
    <row r="10" spans="1:33">
      <c r="A10" s="79" t="s">
        <v>1000</v>
      </c>
      <c r="B10" s="80" t="s">
        <v>861</v>
      </c>
      <c r="C10" s="80" t="s">
        <v>913</v>
      </c>
      <c r="D10" s="364">
        <v>1</v>
      </c>
      <c r="E10" s="364">
        <v>1</v>
      </c>
      <c r="F10" s="364">
        <v>0.9</v>
      </c>
      <c r="G10" s="364">
        <v>0.95</v>
      </c>
      <c r="H10" s="2524"/>
      <c r="I10" s="93" t="s">
        <v>977</v>
      </c>
      <c r="J10" s="397" t="s">
        <v>1004</v>
      </c>
      <c r="K10" s="406" t="e">
        <f ca="1">R10+X10</f>
        <v>#REF!</v>
      </c>
      <c r="L10" s="200" t="e">
        <f ca="1">TEXT(R10*D10+X10*F10,"0.##")&amp;"-"&amp;TEXT(R10*E10+G10*X10,"0.#0")</f>
        <v>#REF!</v>
      </c>
      <c r="M10" s="204">
        <v>0</v>
      </c>
      <c r="N10" s="89" t="e">
        <f t="shared" ca="1" si="0"/>
        <v>#REF!</v>
      </c>
      <c r="O10" s="90">
        <f t="shared" si="10"/>
        <v>0</v>
      </c>
      <c r="P10" s="88" t="e">
        <f t="shared" ca="1" si="1"/>
        <v>#REF!</v>
      </c>
      <c r="Q10" s="114">
        <f>W10+AC10</f>
        <v>0</v>
      </c>
      <c r="R10" s="404" t="e">
        <f ca="1">SUMIFS(INDIRECT($A10&amp;"!$v:$v"),INDIRECT($A10&amp;"!$f:$f"),R$1,INDIRECT($A10&amp;"!$j:$j"),$C10,INDIRECT($A10&amp;"!$l:$l"),$I$1)</f>
        <v>#REF!</v>
      </c>
      <c r="S10" s="381"/>
      <c r="T10" s="89" t="e">
        <f t="shared" ca="1" si="4"/>
        <v>#REF!</v>
      </c>
      <c r="U10" s="90">
        <v>0</v>
      </c>
      <c r="V10" s="88" t="e">
        <f ca="1">SUMIFS(INDIRECT($A10&amp;"!$v:$v"),INDIRECT($A10&amp;"!$f:$f"),V$1,INDIRECT($A10&amp;"!$j:$j"),$C10,INDIRECT($A10&amp;"!$l:$l"),$I$1)</f>
        <v>#REF!</v>
      </c>
      <c r="W10" s="90">
        <v>0</v>
      </c>
      <c r="X10" s="113" t="e">
        <f ca="1">SUMIFS(INDIRECT($A10&amp;"!$v:$v"),INDIRECT($A10&amp;"!$f:$f"),X$1,INDIRECT($A10&amp;"!$j:$j"),$C10,INDIRECT($A10&amp;"!$l:$l"),$J$1)</f>
        <v>#REF!</v>
      </c>
      <c r="Y10" s="381"/>
      <c r="Z10" s="89" t="e">
        <f t="shared" ca="1" si="7"/>
        <v>#REF!</v>
      </c>
      <c r="AA10" s="90">
        <v>0</v>
      </c>
      <c r="AB10" s="89" t="e">
        <f ca="1">SUMIFS(INDIRECT($A10&amp;"!$v:$v"),INDIRECT($A10&amp;"!$f:$f"),AB$1,INDIRECT($A10&amp;"!$j:$j"),$C10,INDIRECT($A10&amp;"!$l:$l"),$K$1)</f>
        <v>#REF!</v>
      </c>
      <c r="AC10" s="114">
        <v>0</v>
      </c>
      <c r="AD10" s="376" t="e">
        <f t="shared" ca="1" si="12"/>
        <v>#REF!</v>
      </c>
      <c r="AE10" s="169" t="e">
        <f t="shared" ca="1" si="16"/>
        <v>#REF!</v>
      </c>
      <c r="AF10" s="199"/>
    </row>
    <row r="11" spans="1:33">
      <c r="A11" s="79" t="s">
        <v>262</v>
      </c>
      <c r="B11" s="80" t="s">
        <v>251</v>
      </c>
      <c r="C11" s="80" t="str">
        <f>INDEX(Programs!B:B,MATCH(' Summary by Program'!B11,Programs!$E:$E,0))</f>
        <v>Other Codes (Multifamily)</v>
      </c>
      <c r="D11" s="87" t="e">
        <v>#N/A</v>
      </c>
      <c r="E11" s="87" t="e">
        <v>#N/A</v>
      </c>
      <c r="F11" s="87">
        <v>1</v>
      </c>
      <c r="G11" s="87">
        <v>1</v>
      </c>
      <c r="H11" s="2524"/>
      <c r="I11" s="93" t="str">
        <f>INDEX(Programs!B:B,MATCH(' Summary by Program'!B11,Programs!$E:$E,0))</f>
        <v>Other Codes (Multifamily)</v>
      </c>
      <c r="J11" s="396" t="s">
        <v>532</v>
      </c>
      <c r="K11" s="406">
        <f t="shared" ref="K11:K30" ca="1" si="17">R11+X11</f>
        <v>0</v>
      </c>
      <c r="L11" s="201"/>
      <c r="M11" s="204">
        <f t="shared" si="9"/>
        <v>0</v>
      </c>
      <c r="N11" s="89">
        <f t="shared" ca="1" si="0"/>
        <v>0</v>
      </c>
      <c r="O11" s="339">
        <f t="shared" si="10"/>
        <v>0</v>
      </c>
      <c r="P11" s="88">
        <f t="shared" ca="1" si="1"/>
        <v>0</v>
      </c>
      <c r="Q11" s="114" t="str">
        <f t="shared" ca="1" si="2"/>
        <v/>
      </c>
      <c r="R11" s="89">
        <f t="shared" ca="1" si="3"/>
        <v>0</v>
      </c>
      <c r="S11" s="380">
        <v>0</v>
      </c>
      <c r="T11" s="89">
        <f t="shared" ca="1" si="4"/>
        <v>0</v>
      </c>
      <c r="U11" s="90">
        <v>0</v>
      </c>
      <c r="V11" s="88">
        <f t="shared" ca="1" si="5"/>
        <v>0</v>
      </c>
      <c r="W11" s="109">
        <v>0</v>
      </c>
      <c r="X11" s="113">
        <f t="shared" ca="1" si="6"/>
        <v>0</v>
      </c>
      <c r="Y11" s="380">
        <v>0</v>
      </c>
      <c r="Z11" s="89">
        <f t="shared" ca="1" si="7"/>
        <v>0</v>
      </c>
      <c r="AA11" s="90">
        <v>0</v>
      </c>
      <c r="AB11" s="89">
        <f t="shared" ca="1" si="11"/>
        <v>0</v>
      </c>
      <c r="AC11" s="114" t="str">
        <f t="shared" ca="1" si="8"/>
        <v/>
      </c>
      <c r="AD11" s="376">
        <f t="shared" ca="1" si="12"/>
        <v>0</v>
      </c>
      <c r="AE11" s="169">
        <f t="shared" ca="1" si="16"/>
        <v>0</v>
      </c>
    </row>
    <row r="12" spans="1:33">
      <c r="A12" s="79" t="s">
        <v>266</v>
      </c>
      <c r="B12" s="80" t="s">
        <v>253</v>
      </c>
      <c r="C12" s="80" t="str">
        <f>INDEX(Programs!B:B,MATCH(' Summary by Program'!B12,Programs!$E:$E,0))</f>
        <v>Residential Lighting</v>
      </c>
      <c r="D12" s="87" t="e">
        <v>#N/A</v>
      </c>
      <c r="E12" s="87" t="e">
        <v>#N/A</v>
      </c>
      <c r="F12" s="87">
        <v>1</v>
      </c>
      <c r="G12" s="87">
        <v>1</v>
      </c>
      <c r="H12" s="2524"/>
      <c r="I12" s="93" t="str">
        <f>INDEX(Programs!B:B,MATCH(' Summary by Program'!B12,Programs!$E:$E,0))</f>
        <v>Residential Lighting</v>
      </c>
      <c r="J12" s="396" t="s">
        <v>572</v>
      </c>
      <c r="K12" s="406" t="e">
        <f t="shared" ca="1" si="17"/>
        <v>#REF!</v>
      </c>
      <c r="L12" s="200" t="e">
        <f ca="1">TEXT(R12*D12+X12*F12,"0.##")&amp;"-"&amp;TEXT(R12*E12+G12*X12,"0.#0")</f>
        <v>#REF!</v>
      </c>
      <c r="M12" s="204">
        <f t="shared" si="9"/>
        <v>0</v>
      </c>
      <c r="N12" s="89" t="e">
        <f t="shared" ca="1" si="0"/>
        <v>#REF!</v>
      </c>
      <c r="O12" s="339">
        <f t="shared" si="10"/>
        <v>0</v>
      </c>
      <c r="P12" s="88" t="e">
        <f ca="1">V12+AB12</f>
        <v>#REF!</v>
      </c>
      <c r="Q12" s="114">
        <f>W12+AC12</f>
        <v>0</v>
      </c>
      <c r="R12" s="89" t="e">
        <f ca="1">SUMIFS(INDIRECT($A12&amp;"!$w:$w"),INDIRECT($A12&amp;"!$f:$f"),R$1,INDIRECT($A12&amp;"!$i:$i"),$C12,INDIRECT($A12&amp;"!$l:$l"),$I$1)</f>
        <v>#REF!</v>
      </c>
      <c r="S12" s="380">
        <v>0</v>
      </c>
      <c r="T12" s="89" t="e">
        <f ca="1">SUMIFS(INDIRECT($A12&amp;"!$w:$w"),INDIRECT($A12&amp;"!$f:$f"),T$1,INDIRECT($A12&amp;"!$i:$i"),$C12,INDIRECT($A12&amp;"!$l:$l"),$I$1)</f>
        <v>#REF!</v>
      </c>
      <c r="U12" s="90">
        <v>0</v>
      </c>
      <c r="V12" s="88" t="e">
        <f ca="1">SUMIFS(INDIRECT($A12&amp;"!$w:$w"),INDIRECT($A12&amp;"!$f:$f"),V$1,INDIRECT($A12&amp;"!$i:$i"),$C12,INDIRECT($A12&amp;"!$l:$l"),$I$1)</f>
        <v>#REF!</v>
      </c>
      <c r="W12" s="109">
        <v>0</v>
      </c>
      <c r="X12" s="113" t="e">
        <f ca="1">SUMIFS(INDIRECT($A12&amp;"!$w:$w"),INDIRECT($A12&amp;"!$f:$f"),X$1,INDIRECT($A12&amp;"!$i:$i"),$C12,INDIRECT($A12&amp;"!$l:$l"),$J$1)</f>
        <v>#REF!</v>
      </c>
      <c r="Y12" s="380">
        <v>0</v>
      </c>
      <c r="Z12" s="89" t="e">
        <f ca="1">SUMIFS(INDIRECT($A12&amp;"!$w:$w"),INDIRECT($A12&amp;"!$f:$f"),Z$1,INDIRECT($A12&amp;"!$i:$i"),$C12,INDIRECT($A12&amp;"!$l:$l"),$J$1)</f>
        <v>#REF!</v>
      </c>
      <c r="AA12" s="90">
        <v>0</v>
      </c>
      <c r="AB12" s="89" t="e">
        <f ca="1">SUMIFS(INDIRECT($A12&amp;"!$w:$w"),INDIRECT($A12&amp;"!$f:$f"),AB$1,INDIRECT($A12&amp;"!$i:$i"),$C12,INDIRECT($A12&amp;"!$l:$l"),$K$1)</f>
        <v>#REF!</v>
      </c>
      <c r="AC12" s="114">
        <v>0</v>
      </c>
      <c r="AD12" s="376" t="e">
        <f t="shared" ca="1" si="12"/>
        <v>#REF!</v>
      </c>
      <c r="AE12" s="169" t="e">
        <f ca="1">K12-M12</f>
        <v>#REF!</v>
      </c>
    </row>
    <row r="13" spans="1:33">
      <c r="A13" s="79" t="s">
        <v>262</v>
      </c>
      <c r="B13" s="80" t="s">
        <v>252</v>
      </c>
      <c r="C13" s="80" t="str">
        <f>INDEX(Programs!B:B,MATCH(' Summary by Program'!B13,Programs!$E:$E,0))</f>
        <v>Next Step Homes</v>
      </c>
      <c r="D13" s="87" t="e">
        <v>#N/A</v>
      </c>
      <c r="E13" s="87" t="e">
        <v>#N/A</v>
      </c>
      <c r="F13" s="87">
        <v>1</v>
      </c>
      <c r="G13" s="87">
        <v>1</v>
      </c>
      <c r="H13" s="2524"/>
      <c r="I13" s="2528" t="str">
        <f>INDEX(Programs!B:B,MATCH(' Summary by Program'!B13,Programs!$E:$E,0))</f>
        <v>Next Step Homes</v>
      </c>
      <c r="J13" s="396" t="s">
        <v>538</v>
      </c>
      <c r="K13" s="406">
        <f t="shared" ca="1" si="17"/>
        <v>0</v>
      </c>
      <c r="L13" s="201"/>
      <c r="M13" s="204">
        <f t="shared" si="9"/>
        <v>0</v>
      </c>
      <c r="N13" s="338">
        <f t="shared" ca="1" si="0"/>
        <v>0</v>
      </c>
      <c r="O13" s="340">
        <f t="shared" si="10"/>
        <v>0</v>
      </c>
      <c r="P13" s="88">
        <f t="shared" ca="1" si="1"/>
        <v>0</v>
      </c>
      <c r="Q13" s="407" t="str">
        <f t="shared" ca="1" si="2"/>
        <v/>
      </c>
      <c r="R13" s="89">
        <f t="shared" ca="1" si="3"/>
        <v>0</v>
      </c>
      <c r="S13" s="382">
        <v>0</v>
      </c>
      <c r="T13" s="89">
        <f ca="1">SUMIFS(INDIRECT($A13&amp;"!$v:$v"),INDIRECT($A13&amp;"!$f:$f"),T$1,INDIRECT($A13&amp;"!$i:$i"),$C13,INDIRECT($A13&amp;"!$l:$l"),$I$1)</f>
        <v>0</v>
      </c>
      <c r="U13" s="90">
        <v>0</v>
      </c>
      <c r="V13" s="88">
        <f t="shared" ca="1" si="5"/>
        <v>0</v>
      </c>
      <c r="W13" s="109" t="str">
        <f t="shared" ref="W13:W30" ca="1" si="18">IF(V13=0,"","("&amp;TEXT(D13*V13,"#.##")&amp;"-"&amp;TEXT(E13*V13,"#.##")&amp;")")</f>
        <v/>
      </c>
      <c r="X13" s="113">
        <f t="shared" ca="1" si="6"/>
        <v>0</v>
      </c>
      <c r="Y13" s="382">
        <v>0</v>
      </c>
      <c r="Z13" s="89">
        <f t="shared" ca="1" si="7"/>
        <v>0</v>
      </c>
      <c r="AA13" s="90">
        <v>0</v>
      </c>
      <c r="AB13" s="89">
        <f t="shared" ca="1" si="11"/>
        <v>0</v>
      </c>
      <c r="AC13" s="114" t="str">
        <f t="shared" ca="1" si="8"/>
        <v/>
      </c>
      <c r="AD13" s="376">
        <f t="shared" ca="1" si="12"/>
        <v>0</v>
      </c>
      <c r="AE13" s="169">
        <f t="shared" ca="1" si="16"/>
        <v>0</v>
      </c>
    </row>
    <row r="14" spans="1:33">
      <c r="A14" s="79" t="s">
        <v>518</v>
      </c>
      <c r="B14" s="80" t="s">
        <v>252</v>
      </c>
      <c r="C14" s="80" t="str">
        <f>INDEX(Programs!B:B,MATCH(' Summary by Program'!B14,Programs!$E:$E,0))</f>
        <v>Next Step Homes</v>
      </c>
      <c r="D14" s="87" t="e">
        <v>#N/A</v>
      </c>
      <c r="E14" s="87" t="e">
        <v>#N/A</v>
      </c>
      <c r="F14" s="87">
        <v>1</v>
      </c>
      <c r="G14" s="87">
        <v>1</v>
      </c>
      <c r="H14" s="2524"/>
      <c r="I14" s="2528"/>
      <c r="J14" s="396" t="s">
        <v>539</v>
      </c>
      <c r="K14" s="406">
        <f t="shared" ca="1" si="17"/>
        <v>0</v>
      </c>
      <c r="L14" s="200" t="e">
        <f ca="1">TEXT(R14*D14+X14*F14,"0.##")&amp;"-"&amp;TEXT(R14*E14+G14*X14,"0.#0")</f>
        <v>#N/A</v>
      </c>
      <c r="M14" s="204">
        <f t="shared" si="9"/>
        <v>0</v>
      </c>
      <c r="N14" s="89">
        <f t="shared" ca="1" si="0"/>
        <v>0</v>
      </c>
      <c r="O14" s="339">
        <f t="shared" si="10"/>
        <v>0</v>
      </c>
      <c r="P14" s="88">
        <f t="shared" ca="1" si="1"/>
        <v>0</v>
      </c>
      <c r="Q14" s="114" t="str">
        <f t="shared" ca="1" si="2"/>
        <v/>
      </c>
      <c r="R14" s="89">
        <f ca="1">SUMIFS(INDIRECT($A14&amp;"!$v:$v"),INDIRECT($A14&amp;"!$f:$f"),R$1,INDIRECT($A14&amp;"!$i:$i"),$C14,INDIRECT($A14&amp;"!$l:$l"),$I$1)</f>
        <v>0</v>
      </c>
      <c r="S14" s="380">
        <v>0</v>
      </c>
      <c r="T14" s="89">
        <f t="shared" ca="1" si="4"/>
        <v>0</v>
      </c>
      <c r="U14" s="90">
        <v>0</v>
      </c>
      <c r="V14" s="88">
        <f t="shared" ca="1" si="5"/>
        <v>0</v>
      </c>
      <c r="W14" s="109" t="str">
        <f t="shared" ca="1" si="18"/>
        <v/>
      </c>
      <c r="X14" s="113">
        <f t="shared" ca="1" si="6"/>
        <v>0</v>
      </c>
      <c r="Y14" s="388">
        <v>0</v>
      </c>
      <c r="Z14" s="89">
        <f t="shared" ca="1" si="7"/>
        <v>0</v>
      </c>
      <c r="AA14" s="90">
        <v>0</v>
      </c>
      <c r="AB14" s="89">
        <f t="shared" ca="1" si="11"/>
        <v>0</v>
      </c>
      <c r="AC14" s="114" t="str">
        <f t="shared" ca="1" si="8"/>
        <v/>
      </c>
      <c r="AD14" s="376">
        <f t="shared" ca="1" si="12"/>
        <v>0</v>
      </c>
      <c r="AE14" s="169">
        <f t="shared" ca="1" si="16"/>
        <v>0</v>
      </c>
      <c r="AF14" t="s">
        <v>1022</v>
      </c>
    </row>
    <row r="15" spans="1:33">
      <c r="A15" s="79" t="s">
        <v>510</v>
      </c>
      <c r="B15" s="80" t="s">
        <v>254</v>
      </c>
      <c r="C15" s="80" t="str">
        <f>INDEX(Programs!B:B,MATCH(' Summary by Program'!B15,Programs!$E:$E,0))</f>
        <v>Retail Product Portfolio</v>
      </c>
      <c r="D15" s="87" t="e">
        <v>#N/A</v>
      </c>
      <c r="E15" s="87" t="e">
        <v>#N/A</v>
      </c>
      <c r="F15" s="87">
        <v>1</v>
      </c>
      <c r="G15" s="87">
        <v>1</v>
      </c>
      <c r="H15" s="2524"/>
      <c r="I15" s="2529" t="str">
        <f>INDEX(Programs!B:B,MATCH(' Summary by Program'!B15,Programs!$E:$E,0))</f>
        <v>Retail Product Portfolio</v>
      </c>
      <c r="J15" s="396" t="s">
        <v>533</v>
      </c>
      <c r="K15" s="406">
        <f t="shared" ca="1" si="17"/>
        <v>0</v>
      </c>
      <c r="L15" s="2517" t="e">
        <f ca="1">TEXT(SUM(R15:R18)*D15+SUM(X15:X18)*F15,"0.##")&amp;"-"&amp;TEXT(SUM(R15:R18)*E15+G15*SUM(X15:X18),"0.#0")</f>
        <v>#N/A</v>
      </c>
      <c r="M15" s="2536">
        <f t="shared" si="9"/>
        <v>0</v>
      </c>
      <c r="N15" s="89">
        <f t="shared" ca="1" si="0"/>
        <v>0</v>
      </c>
      <c r="O15" s="337">
        <f t="shared" si="10"/>
        <v>0</v>
      </c>
      <c r="P15" s="88">
        <f t="shared" ca="1" si="1"/>
        <v>0</v>
      </c>
      <c r="Q15" s="114" t="str">
        <f t="shared" ca="1" si="2"/>
        <v/>
      </c>
      <c r="R15" s="89">
        <f t="shared" ca="1" si="3"/>
        <v>0</v>
      </c>
      <c r="S15" s="2514">
        <v>0</v>
      </c>
      <c r="T15" s="89">
        <f t="shared" ca="1" si="4"/>
        <v>0</v>
      </c>
      <c r="U15" s="90">
        <v>0</v>
      </c>
      <c r="V15" s="88">
        <f t="shared" ca="1" si="5"/>
        <v>0</v>
      </c>
      <c r="W15" s="109" t="str">
        <f t="shared" ca="1" si="18"/>
        <v/>
      </c>
      <c r="X15" s="113">
        <f t="shared" ca="1" si="6"/>
        <v>0</v>
      </c>
      <c r="Y15" s="2514">
        <v>0</v>
      </c>
      <c r="Z15" s="89">
        <f t="shared" ca="1" si="7"/>
        <v>0</v>
      </c>
      <c r="AA15" s="90">
        <v>0</v>
      </c>
      <c r="AB15" s="89">
        <f t="shared" ca="1" si="11"/>
        <v>0</v>
      </c>
      <c r="AC15" s="114" t="str">
        <f t="shared" ca="1" si="8"/>
        <v/>
      </c>
      <c r="AD15" s="376"/>
      <c r="AE15" s="169"/>
    </row>
    <row r="16" spans="1:33">
      <c r="A16" s="79" t="s">
        <v>509</v>
      </c>
      <c r="B16" s="80" t="s">
        <v>254</v>
      </c>
      <c r="C16" s="80" t="str">
        <f>INDEX(Programs!B:B,MATCH(' Summary by Program'!B16,Programs!$E:$E,0))</f>
        <v>Retail Product Portfolio</v>
      </c>
      <c r="D16" s="87" t="e">
        <v>#N/A</v>
      </c>
      <c r="E16" s="87" t="e">
        <v>#N/A</v>
      </c>
      <c r="F16" s="87">
        <v>1</v>
      </c>
      <c r="G16" s="87">
        <v>1</v>
      </c>
      <c r="H16" s="2524"/>
      <c r="I16" s="2529"/>
      <c r="J16" s="396" t="s">
        <v>147</v>
      </c>
      <c r="K16" s="406">
        <f t="shared" ca="1" si="17"/>
        <v>0</v>
      </c>
      <c r="L16" s="2518"/>
      <c r="M16" s="2537"/>
      <c r="N16" s="89">
        <f t="shared" ca="1" si="0"/>
        <v>0</v>
      </c>
      <c r="O16" s="337">
        <f t="shared" si="10"/>
        <v>0</v>
      </c>
      <c r="P16" s="88">
        <f t="shared" ca="1" si="1"/>
        <v>0</v>
      </c>
      <c r="Q16" s="114" t="str">
        <f t="shared" ca="1" si="2"/>
        <v/>
      </c>
      <c r="R16" s="89">
        <f t="shared" ca="1" si="3"/>
        <v>0</v>
      </c>
      <c r="S16" s="2515"/>
      <c r="T16" s="89">
        <f t="shared" ca="1" si="4"/>
        <v>0</v>
      </c>
      <c r="U16" s="90">
        <v>0</v>
      </c>
      <c r="V16" s="88">
        <f t="shared" ca="1" si="5"/>
        <v>0</v>
      </c>
      <c r="W16" s="109" t="str">
        <f t="shared" ca="1" si="18"/>
        <v/>
      </c>
      <c r="X16" s="113">
        <f ca="1">SUMIFS(INDIRECT($A16&amp;"!$v:$v"),INDIRECT($A16&amp;"!$f:$f"),X$1,INDIRECT($A16&amp;"!$i:$i"),$C16,INDIRECT($A16&amp;"!$l:$l"),$J$1)</f>
        <v>0</v>
      </c>
      <c r="Y16" s="2515"/>
      <c r="Z16" s="89">
        <f t="shared" ca="1" si="7"/>
        <v>0</v>
      </c>
      <c r="AA16" s="90">
        <v>0</v>
      </c>
      <c r="AB16" s="89">
        <f t="shared" ca="1" si="11"/>
        <v>0</v>
      </c>
      <c r="AC16" s="114" t="str">
        <f t="shared" ca="1" si="8"/>
        <v/>
      </c>
      <c r="AD16" s="169">
        <f ca="1">SUM(R15:R18)-S15</f>
        <v>0</v>
      </c>
      <c r="AE16" s="169">
        <f ca="1">SUM(K15:K18)-M15</f>
        <v>0</v>
      </c>
    </row>
    <row r="17" spans="1:32">
      <c r="A17" s="79" t="s">
        <v>516</v>
      </c>
      <c r="B17" s="80" t="s">
        <v>254</v>
      </c>
      <c r="C17" s="80" t="str">
        <f>INDEX(Programs!B:B,MATCH(' Summary by Program'!B17,Programs!$E:$E,0))</f>
        <v>Retail Product Portfolio</v>
      </c>
      <c r="D17" s="87" t="e">
        <v>#N/A</v>
      </c>
      <c r="E17" s="87" t="e">
        <v>#N/A</v>
      </c>
      <c r="F17" s="87">
        <v>1</v>
      </c>
      <c r="G17" s="87">
        <v>1</v>
      </c>
      <c r="H17" s="2524"/>
      <c r="I17" s="2529"/>
      <c r="J17" s="396" t="s">
        <v>534</v>
      </c>
      <c r="K17" s="406">
        <f t="shared" ca="1" si="17"/>
        <v>0</v>
      </c>
      <c r="L17" s="2518"/>
      <c r="M17" s="2537"/>
      <c r="N17" s="89">
        <f t="shared" ca="1" si="0"/>
        <v>0</v>
      </c>
      <c r="O17" s="337">
        <f t="shared" si="10"/>
        <v>0</v>
      </c>
      <c r="P17" s="88">
        <f t="shared" ca="1" si="1"/>
        <v>0</v>
      </c>
      <c r="Q17" s="114" t="str">
        <f t="shared" ca="1" si="2"/>
        <v/>
      </c>
      <c r="R17" s="89">
        <f t="shared" ca="1" si="3"/>
        <v>0</v>
      </c>
      <c r="S17" s="2515"/>
      <c r="T17" s="89">
        <f t="shared" ca="1" si="4"/>
        <v>0</v>
      </c>
      <c r="U17" s="90">
        <v>0</v>
      </c>
      <c r="V17" s="88">
        <f t="shared" ca="1" si="5"/>
        <v>0</v>
      </c>
      <c r="W17" s="109" t="str">
        <f t="shared" ca="1" si="18"/>
        <v/>
      </c>
      <c r="X17" s="113">
        <f t="shared" ca="1" si="6"/>
        <v>0</v>
      </c>
      <c r="Y17" s="2515"/>
      <c r="Z17" s="89">
        <f t="shared" ca="1" si="7"/>
        <v>0</v>
      </c>
      <c r="AA17" s="90">
        <v>0</v>
      </c>
      <c r="AB17" s="89">
        <f t="shared" ca="1" si="11"/>
        <v>0</v>
      </c>
      <c r="AC17" s="114" t="str">
        <f t="shared" ca="1" si="8"/>
        <v/>
      </c>
      <c r="AD17" s="376"/>
      <c r="AE17" s="169"/>
    </row>
    <row r="18" spans="1:32">
      <c r="A18" s="79" t="s">
        <v>517</v>
      </c>
      <c r="B18" s="80" t="s">
        <v>254</v>
      </c>
      <c r="C18" s="80" t="str">
        <f>INDEX(Programs!B:B,MATCH(' Summary by Program'!B18,Programs!$E:$E,0))</f>
        <v>Retail Product Portfolio</v>
      </c>
      <c r="D18" s="87" t="e">
        <v>#N/A</v>
      </c>
      <c r="E18" s="87" t="e">
        <v>#N/A</v>
      </c>
      <c r="F18" s="87">
        <v>1</v>
      </c>
      <c r="G18" s="87">
        <v>1</v>
      </c>
      <c r="H18" s="2524"/>
      <c r="I18" s="2529"/>
      <c r="J18" s="398" t="s">
        <v>535</v>
      </c>
      <c r="K18" s="406">
        <f t="shared" ca="1" si="17"/>
        <v>0</v>
      </c>
      <c r="L18" s="2519"/>
      <c r="M18" s="2538"/>
      <c r="N18" s="89">
        <f t="shared" ca="1" si="0"/>
        <v>0</v>
      </c>
      <c r="O18" s="90">
        <f t="shared" si="10"/>
        <v>0</v>
      </c>
      <c r="P18" s="88">
        <f t="shared" ca="1" si="1"/>
        <v>0</v>
      </c>
      <c r="Q18" s="114" t="str">
        <f t="shared" ca="1" si="2"/>
        <v/>
      </c>
      <c r="R18" s="89">
        <f t="shared" ca="1" si="3"/>
        <v>0</v>
      </c>
      <c r="S18" s="2516"/>
      <c r="T18" s="89">
        <f t="shared" ca="1" si="4"/>
        <v>0</v>
      </c>
      <c r="U18" s="90">
        <v>0</v>
      </c>
      <c r="V18" s="88">
        <f t="shared" ca="1" si="5"/>
        <v>0</v>
      </c>
      <c r="W18" s="109" t="str">
        <f t="shared" ca="1" si="18"/>
        <v/>
      </c>
      <c r="X18" s="113">
        <f t="shared" ca="1" si="6"/>
        <v>0</v>
      </c>
      <c r="Y18" s="2516"/>
      <c r="Z18" s="89">
        <f t="shared" ca="1" si="7"/>
        <v>0</v>
      </c>
      <c r="AA18" s="90">
        <v>0</v>
      </c>
      <c r="AB18" s="89">
        <f t="shared" ca="1" si="11"/>
        <v>0</v>
      </c>
      <c r="AC18" s="114" t="str">
        <f t="shared" ca="1" si="8"/>
        <v/>
      </c>
      <c r="AD18" s="376"/>
      <c r="AE18" s="169"/>
    </row>
    <row r="19" spans="1:32">
      <c r="A19" s="79" t="s">
        <v>267</v>
      </c>
      <c r="B19" s="80" t="s">
        <v>255</v>
      </c>
      <c r="C19" s="80" t="str">
        <f>INDEX(Programs!B:B,MATCH(' Summary by Program'!B19,Programs!$E:$E,0))</f>
        <v>Super-Efficient Dryers</v>
      </c>
      <c r="D19" s="87" t="e">
        <v>#N/A</v>
      </c>
      <c r="E19" s="87" t="e">
        <v>#N/A</v>
      </c>
      <c r="F19" s="87">
        <v>1</v>
      </c>
      <c r="G19" s="87">
        <v>1</v>
      </c>
      <c r="H19" s="2526"/>
      <c r="I19" s="94" t="str">
        <f>INDEX(Programs!B:B,MATCH(' Summary by Program'!B19,Programs!$E:$E,0))</f>
        <v>Super-Efficient Dryers</v>
      </c>
      <c r="J19" s="399" t="s">
        <v>283</v>
      </c>
      <c r="K19" s="408">
        <f t="shared" ca="1" si="17"/>
        <v>0</v>
      </c>
      <c r="L19" s="208" t="e">
        <f ca="1">TEXT(R19*D19+X19*F19,"0.##")&amp;"-"&amp;TEXT(R19*E19+G19*X19,"0.#0")</f>
        <v>#N/A</v>
      </c>
      <c r="M19" s="205">
        <f t="shared" si="9"/>
        <v>0</v>
      </c>
      <c r="N19" s="99">
        <f t="shared" ca="1" si="0"/>
        <v>0</v>
      </c>
      <c r="O19" s="98">
        <f t="shared" si="10"/>
        <v>0</v>
      </c>
      <c r="P19" s="100">
        <f t="shared" ca="1" si="1"/>
        <v>0</v>
      </c>
      <c r="Q19" s="116" t="str">
        <f t="shared" ca="1" si="2"/>
        <v/>
      </c>
      <c r="R19" s="99">
        <f t="shared" ca="1" si="3"/>
        <v>0</v>
      </c>
      <c r="S19" s="383">
        <v>0</v>
      </c>
      <c r="T19" s="99">
        <f t="shared" ca="1" si="4"/>
        <v>0</v>
      </c>
      <c r="U19" s="98">
        <v>0</v>
      </c>
      <c r="V19" s="100">
        <f t="shared" ca="1" si="5"/>
        <v>0</v>
      </c>
      <c r="W19" s="110" t="str">
        <f t="shared" ca="1" si="18"/>
        <v/>
      </c>
      <c r="X19" s="115">
        <f t="shared" ca="1" si="6"/>
        <v>0</v>
      </c>
      <c r="Y19" s="383">
        <v>0</v>
      </c>
      <c r="Z19" s="99">
        <f t="shared" ca="1" si="7"/>
        <v>0</v>
      </c>
      <c r="AA19" s="98">
        <v>0</v>
      </c>
      <c r="AB19" s="99">
        <f t="shared" ca="1" si="11"/>
        <v>0</v>
      </c>
      <c r="AC19" s="116" t="str">
        <f t="shared" ca="1" si="8"/>
        <v/>
      </c>
      <c r="AD19" s="376">
        <f t="shared" ca="1" si="12"/>
        <v>0</v>
      </c>
      <c r="AE19" s="169">
        <f t="shared" ca="1" si="16"/>
        <v>0</v>
      </c>
      <c r="AF19" t="s">
        <v>833</v>
      </c>
    </row>
    <row r="20" spans="1:32" ht="15" customHeight="1">
      <c r="A20" s="79" t="s">
        <v>155</v>
      </c>
      <c r="B20" s="80" t="s">
        <v>238</v>
      </c>
      <c r="C20" s="80" t="str">
        <f>INDEX(Programs!B:B,MATCH(' Summary by Program'!B20,Programs!$E:$E,0))</f>
        <v>Building Operator Certification Expansion</v>
      </c>
      <c r="D20" s="87" t="e">
        <v>#N/A</v>
      </c>
      <c r="E20" s="87" t="e">
        <v>#N/A</v>
      </c>
      <c r="F20" s="87">
        <v>1</v>
      </c>
      <c r="G20" s="87">
        <v>1</v>
      </c>
      <c r="H20" s="2523" t="s">
        <v>525</v>
      </c>
      <c r="I20" s="92" t="str">
        <f>INDEX(Programs!B:B,MATCH(' Summary by Program'!B20,Programs!$E:$E,0))</f>
        <v>Building Operator Certification Expansion</v>
      </c>
      <c r="J20" s="400" t="s">
        <v>536</v>
      </c>
      <c r="K20" s="409" t="e">
        <f t="shared" ca="1" si="17"/>
        <v>#REF!</v>
      </c>
      <c r="L20" s="202" t="e">
        <f ca="1">TEXT(R20*D20+X20*F20,"0.##")&amp;"-"&amp;TEXT(R20*E20+G20*X20,"0.#0")</f>
        <v>#REF!</v>
      </c>
      <c r="M20" s="342">
        <f t="shared" si="9"/>
        <v>0</v>
      </c>
      <c r="N20" s="102" t="e">
        <f t="shared" ca="1" si="0"/>
        <v>#REF!</v>
      </c>
      <c r="O20" s="101">
        <f t="shared" si="10"/>
        <v>0</v>
      </c>
      <c r="P20" s="103" t="e">
        <f t="shared" ca="1" si="1"/>
        <v>#REF!</v>
      </c>
      <c r="Q20" s="118" t="e">
        <f t="shared" ca="1" si="2"/>
        <v>#REF!</v>
      </c>
      <c r="R20" s="102" t="e">
        <f t="shared" ca="1" si="3"/>
        <v>#REF!</v>
      </c>
      <c r="S20" s="384">
        <v>0</v>
      </c>
      <c r="T20" s="102" t="e">
        <f t="shared" ca="1" si="4"/>
        <v>#REF!</v>
      </c>
      <c r="U20" s="101">
        <v>0</v>
      </c>
      <c r="V20" s="103" t="e">
        <f t="shared" ca="1" si="5"/>
        <v>#REF!</v>
      </c>
      <c r="W20" s="111" t="e">
        <f t="shared" ca="1" si="18"/>
        <v>#REF!</v>
      </c>
      <c r="X20" s="117" t="e">
        <f t="shared" ca="1" si="6"/>
        <v>#REF!</v>
      </c>
      <c r="Y20" s="384">
        <v>0</v>
      </c>
      <c r="Z20" s="102" t="e">
        <f t="shared" ca="1" si="7"/>
        <v>#REF!</v>
      </c>
      <c r="AA20" s="101">
        <v>0</v>
      </c>
      <c r="AB20" s="102" t="e">
        <f t="shared" ca="1" si="11"/>
        <v>#REF!</v>
      </c>
      <c r="AC20" s="118" t="e">
        <f t="shared" ca="1" si="8"/>
        <v>#REF!</v>
      </c>
      <c r="AD20" s="376" t="e">
        <f t="shared" ca="1" si="12"/>
        <v>#REF!</v>
      </c>
      <c r="AE20" s="169" t="e">
        <f t="shared" ca="1" si="16"/>
        <v>#REF!</v>
      </c>
    </row>
    <row r="21" spans="1:32">
      <c r="A21" s="79" t="s">
        <v>260</v>
      </c>
      <c r="B21" s="80" t="s">
        <v>240</v>
      </c>
      <c r="C21" s="80" t="str">
        <f>INDEX(Programs!B:B,MATCH(' Summary by Program'!B21,Programs!$E:$E,0))</f>
        <v>Commissioning Buildings</v>
      </c>
      <c r="D21" s="87" t="e">
        <v>#N/A</v>
      </c>
      <c r="E21" s="87" t="e">
        <v>#N/A</v>
      </c>
      <c r="F21" s="87">
        <v>1</v>
      </c>
      <c r="G21" s="87">
        <v>1</v>
      </c>
      <c r="H21" s="2524"/>
      <c r="I21" s="93" t="str">
        <f>INDEX(Programs!B:B,MATCH(' Summary by Program'!B21,Programs!$E:$E,0))</f>
        <v>Commissioning Buildings</v>
      </c>
      <c r="J21" s="397" t="s">
        <v>537</v>
      </c>
      <c r="K21" s="406" t="e">
        <f t="shared" ca="1" si="17"/>
        <v>#REF!</v>
      </c>
      <c r="L21" s="200" t="e">
        <f ca="1">TEXT(R21*D21+X21*F21,"0.##")&amp;"-"&amp;TEXT(R21*E21+G21*X21,"0.#0")</f>
        <v>#REF!</v>
      </c>
      <c r="M21" s="204">
        <f t="shared" si="9"/>
        <v>0</v>
      </c>
      <c r="N21" s="89" t="e">
        <f t="shared" ca="1" si="0"/>
        <v>#REF!</v>
      </c>
      <c r="O21" s="90">
        <f t="shared" si="10"/>
        <v>0</v>
      </c>
      <c r="P21" s="88" t="e">
        <f t="shared" ca="1" si="1"/>
        <v>#REF!</v>
      </c>
      <c r="Q21" s="114" t="e">
        <f t="shared" ca="1" si="2"/>
        <v>#REF!</v>
      </c>
      <c r="R21" s="89" t="e">
        <f t="shared" ca="1" si="3"/>
        <v>#REF!</v>
      </c>
      <c r="S21" s="380">
        <v>0</v>
      </c>
      <c r="T21" s="89" t="e">
        <f t="shared" ca="1" si="4"/>
        <v>#REF!</v>
      </c>
      <c r="U21" s="90">
        <v>0</v>
      </c>
      <c r="V21" s="88" t="e">
        <f t="shared" ca="1" si="5"/>
        <v>#REF!</v>
      </c>
      <c r="W21" s="109" t="e">
        <f t="shared" ca="1" si="18"/>
        <v>#REF!</v>
      </c>
      <c r="X21" s="113" t="e">
        <f t="shared" ca="1" si="6"/>
        <v>#REF!</v>
      </c>
      <c r="Y21" s="380">
        <v>0</v>
      </c>
      <c r="Z21" s="89" t="e">
        <f t="shared" ca="1" si="7"/>
        <v>#REF!</v>
      </c>
      <c r="AA21" s="90">
        <v>0</v>
      </c>
      <c r="AB21" s="89" t="e">
        <f t="shared" ca="1" si="11"/>
        <v>#REF!</v>
      </c>
      <c r="AC21" s="114" t="e">
        <f t="shared" ca="1" si="8"/>
        <v>#REF!</v>
      </c>
      <c r="AD21" s="376" t="e">
        <f t="shared" ca="1" si="12"/>
        <v>#REF!</v>
      </c>
      <c r="AE21" s="169" t="e">
        <f ca="1">K21-M21</f>
        <v>#REF!</v>
      </c>
      <c r="AF21" t="s">
        <v>834</v>
      </c>
    </row>
    <row r="22" spans="1:32">
      <c r="A22" s="79" t="s">
        <v>261</v>
      </c>
      <c r="B22" s="80" t="s">
        <v>241</v>
      </c>
      <c r="C22" s="80" t="str">
        <f>INDEX(Programs!B:B,MATCH(' Summary by Program'!B22,Programs!$E:$E,0))</f>
        <v>Desktop Power Supplies</v>
      </c>
      <c r="D22" s="87" t="e">
        <v>#N/A</v>
      </c>
      <c r="E22" s="87" t="e">
        <v>#N/A</v>
      </c>
      <c r="F22" s="87">
        <v>1</v>
      </c>
      <c r="G22" s="87">
        <v>1</v>
      </c>
      <c r="H22" s="2524"/>
      <c r="I22" s="93" t="str">
        <f>INDEX(Programs!B:B,MATCH(' Summary by Program'!B22,Programs!$E:$E,0))</f>
        <v>Desktop Power Supplies</v>
      </c>
      <c r="J22" s="397" t="s">
        <v>1003</v>
      </c>
      <c r="K22" s="406">
        <f ca="1">R22+X22</f>
        <v>0</v>
      </c>
      <c r="L22" s="200" t="e">
        <f ca="1">TEXT(R22*D22+X22*F22,"0.##")&amp;"-"&amp;TEXT(R22*E22+G22*X22,"0.#0")</f>
        <v>#N/A</v>
      </c>
      <c r="M22" s="204">
        <f>S22+Y22</f>
        <v>0</v>
      </c>
      <c r="N22" s="89">
        <f t="shared" ca="1" si="0"/>
        <v>0</v>
      </c>
      <c r="O22" s="90">
        <f t="shared" si="10"/>
        <v>0</v>
      </c>
      <c r="P22" s="88">
        <f t="shared" ca="1" si="1"/>
        <v>0</v>
      </c>
      <c r="Q22" s="114">
        <f>W22+AC22</f>
        <v>0</v>
      </c>
      <c r="R22" s="89">
        <f t="shared" ca="1" si="3"/>
        <v>0</v>
      </c>
      <c r="S22" s="380">
        <v>0</v>
      </c>
      <c r="T22" s="89">
        <f t="shared" ca="1" si="4"/>
        <v>0</v>
      </c>
      <c r="U22" s="90">
        <v>0</v>
      </c>
      <c r="V22" s="88">
        <f ca="1">SUMIFS(INDIRECT($A22&amp;"!$v:$v"),INDIRECT($A22&amp;"!$f:$f"),V$1,INDIRECT($A22&amp;"!$i:$i"),$C22,INDIRECT($A22&amp;"!$l:$l"),$I$1)</f>
        <v>0</v>
      </c>
      <c r="W22" s="90">
        <v>0</v>
      </c>
      <c r="X22" s="113">
        <f ca="1">SUMIFS(INDIRECT($A22&amp;"!$v:$v"),INDIRECT($A22&amp;"!$f:$f"),X$1,INDIRECT($A22&amp;"!$i:$i"),$C22,INDIRECT($A22&amp;"!$l:$l"),$J$1)</f>
        <v>0</v>
      </c>
      <c r="Y22" s="380">
        <v>0</v>
      </c>
      <c r="Z22" s="89">
        <f t="shared" ca="1" si="7"/>
        <v>0</v>
      </c>
      <c r="AA22" s="90">
        <v>0</v>
      </c>
      <c r="AB22" s="89">
        <f t="shared" ca="1" si="11"/>
        <v>0</v>
      </c>
      <c r="AC22" s="114">
        <v>0</v>
      </c>
      <c r="AD22" s="376">
        <f t="shared" ca="1" si="12"/>
        <v>0</v>
      </c>
      <c r="AE22" s="169">
        <f t="shared" ca="1" si="16"/>
        <v>0</v>
      </c>
    </row>
    <row r="23" spans="1:32">
      <c r="A23" s="79" t="s">
        <v>1000</v>
      </c>
      <c r="B23" s="80" t="s">
        <v>861</v>
      </c>
      <c r="C23" s="80" t="s">
        <v>911</v>
      </c>
      <c r="D23" s="364" t="e">
        <f>D22</f>
        <v>#N/A</v>
      </c>
      <c r="E23" s="364" t="e">
        <f t="shared" ref="E23:G23" si="19">E22</f>
        <v>#N/A</v>
      </c>
      <c r="F23" s="364">
        <f t="shared" si="19"/>
        <v>1</v>
      </c>
      <c r="G23" s="364">
        <f t="shared" si="19"/>
        <v>1</v>
      </c>
      <c r="H23" s="2524"/>
      <c r="I23" s="93" t="s">
        <v>977</v>
      </c>
      <c r="J23" s="397" t="s">
        <v>1005</v>
      </c>
      <c r="K23" s="406" t="e">
        <f ca="1">R23+X23</f>
        <v>#REF!</v>
      </c>
      <c r="L23" s="200" t="e">
        <f ca="1">TEXT(R23*D23+X23*F23,"0.##")&amp;"-"&amp;TEXT(R23*E23+G23*X23,"0.#0")</f>
        <v>#REF!</v>
      </c>
      <c r="M23" s="204">
        <v>0</v>
      </c>
      <c r="N23" s="89" t="e">
        <f t="shared" ref="N23" ca="1" si="20">T23+Z23</f>
        <v>#REF!</v>
      </c>
      <c r="O23" s="90">
        <f>U23+AA23</f>
        <v>0</v>
      </c>
      <c r="P23" s="88" t="e">
        <f t="shared" ref="P23" ca="1" si="21">V23+AB23</f>
        <v>#REF!</v>
      </c>
      <c r="Q23" s="114">
        <f>W23+AC23</f>
        <v>0</v>
      </c>
      <c r="R23" s="89" t="e">
        <f ca="1">SUMIFS(INDIRECT($A23&amp;"!$v:$v"),INDIRECT($A23&amp;"!$f:$f"),R$1,INDIRECT($A23&amp;"!$j:$j"),$C23,INDIRECT($A23&amp;"!$l:$l"),$I$1)</f>
        <v>#REF!</v>
      </c>
      <c r="S23" s="381"/>
      <c r="T23" s="89" t="e">
        <f t="shared" ca="1" si="4"/>
        <v>#REF!</v>
      </c>
      <c r="U23" s="90">
        <v>0</v>
      </c>
      <c r="V23" s="88" t="e">
        <f ca="1">SUMIFS(INDIRECT($A23&amp;"!$v:$v"),INDIRECT($A23&amp;"!$f:$f"),V$1,INDIRECT($A23&amp;"!$j:$j"),$C23,INDIRECT($A23&amp;"!$l:$l"),$I$1)</f>
        <v>#REF!</v>
      </c>
      <c r="W23" s="90">
        <v>0</v>
      </c>
      <c r="X23" s="91" t="e">
        <f ca="1">SUMIFS(INDIRECT($A23&amp;"!$v:$v"),INDIRECT($A23&amp;"!$f:$f"),X$1,INDIRECT($A23&amp;"!$j:$j"),$C23,INDIRECT($A23&amp;"!$l:$l"),$J$1)</f>
        <v>#REF!</v>
      </c>
      <c r="Y23" s="380">
        <v>0</v>
      </c>
      <c r="Z23" s="89" t="e">
        <f t="shared" ca="1" si="7"/>
        <v>#REF!</v>
      </c>
      <c r="AA23" s="90">
        <v>0</v>
      </c>
      <c r="AB23" s="89" t="e">
        <f ca="1">SUMIFS(INDIRECT($A23&amp;"!$v:$v"),INDIRECT($A23&amp;"!$f:$f"),AB$1,INDIRECT($A23&amp;"!$j:$j"),$C23,INDIRECT($A23&amp;"!$l:$l"),$K$1)</f>
        <v>#REF!</v>
      </c>
      <c r="AC23" s="114">
        <v>0</v>
      </c>
      <c r="AD23" s="376" t="e">
        <f t="shared" ca="1" si="12"/>
        <v>#REF!</v>
      </c>
      <c r="AE23" s="169" t="e">
        <f t="shared" ca="1" si="16"/>
        <v>#REF!</v>
      </c>
    </row>
    <row r="24" spans="1:32">
      <c r="A24" s="79" t="s">
        <v>526</v>
      </c>
      <c r="B24" s="80" t="s">
        <v>243</v>
      </c>
      <c r="C24" s="80" t="str">
        <f>INDEX(Programs!B:B,MATCH(' Summary by Program'!B24,Programs!$E:$E,0))</f>
        <v>Luminaire Level Lighting Controls</v>
      </c>
      <c r="D24" s="87" t="e">
        <v>#N/A</v>
      </c>
      <c r="E24" s="87" t="e">
        <v>#N/A</v>
      </c>
      <c r="F24" s="87">
        <v>1</v>
      </c>
      <c r="G24" s="87">
        <v>1</v>
      </c>
      <c r="H24" s="2524"/>
      <c r="I24" s="93" t="str">
        <f>INDEX(Programs!B:B,MATCH(' Summary by Program'!B24,Programs!$E:$E,0))</f>
        <v>Luminaire Level Lighting Controls</v>
      </c>
      <c r="J24" s="397" t="s">
        <v>486</v>
      </c>
      <c r="K24" s="406">
        <f t="shared" ca="1" si="17"/>
        <v>0</v>
      </c>
      <c r="L24" s="200" t="str">
        <f ca="1">TEXT(K24,"0.00")&amp;"-"&amp;TEXT(K24-AE24,"0.##")</f>
        <v>0.00-0.</v>
      </c>
      <c r="M24" s="204">
        <f t="shared" si="9"/>
        <v>0</v>
      </c>
      <c r="N24" s="89">
        <f t="shared" ca="1" si="0"/>
        <v>0</v>
      </c>
      <c r="O24" s="90">
        <f t="shared" si="10"/>
        <v>0</v>
      </c>
      <c r="P24" s="88">
        <f t="shared" ca="1" si="1"/>
        <v>0</v>
      </c>
      <c r="Q24" s="114" t="str">
        <f t="shared" ca="1" si="2"/>
        <v/>
      </c>
      <c r="R24" s="89">
        <f t="shared" ca="1" si="3"/>
        <v>0</v>
      </c>
      <c r="S24" s="380">
        <v>0</v>
      </c>
      <c r="T24" s="89">
        <f t="shared" ca="1" si="4"/>
        <v>0</v>
      </c>
      <c r="U24" s="90">
        <v>0</v>
      </c>
      <c r="V24" s="88">
        <f t="shared" ca="1" si="5"/>
        <v>0</v>
      </c>
      <c r="W24" s="109" t="str">
        <f t="shared" ca="1" si="18"/>
        <v/>
      </c>
      <c r="X24" s="113">
        <f t="shared" ca="1" si="6"/>
        <v>0</v>
      </c>
      <c r="Y24" s="380">
        <v>0</v>
      </c>
      <c r="Z24" s="89">
        <f t="shared" ca="1" si="7"/>
        <v>0</v>
      </c>
      <c r="AA24" s="90">
        <v>0</v>
      </c>
      <c r="AB24" s="89">
        <f t="shared" ca="1" si="11"/>
        <v>0</v>
      </c>
      <c r="AC24" s="114" t="str">
        <f t="shared" ca="1" si="8"/>
        <v/>
      </c>
      <c r="AD24" s="376">
        <f t="shared" ca="1" si="12"/>
        <v>0</v>
      </c>
      <c r="AE24" s="169">
        <f ca="1">K24-M24</f>
        <v>0</v>
      </c>
    </row>
    <row r="25" spans="1:32">
      <c r="A25" s="79" t="s">
        <v>262</v>
      </c>
      <c r="B25" s="80" t="s">
        <v>244</v>
      </c>
      <c r="C25" s="80" t="str">
        <f>INDEX(Programs!B:B,MATCH(' Summary by Program'!B25,Programs!$E:$E,0))</f>
        <v>Other Codes (Commercial)</v>
      </c>
      <c r="D25" s="87" t="e">
        <v>#N/A</v>
      </c>
      <c r="E25" s="87" t="e">
        <v>#N/A</v>
      </c>
      <c r="F25" s="87">
        <v>1</v>
      </c>
      <c r="G25" s="87">
        <v>1</v>
      </c>
      <c r="H25" s="2524"/>
      <c r="I25" s="93" t="str">
        <f>INDEX(Programs!B:B,MATCH(' Summary by Program'!B25,Programs!$E:$E,0))</f>
        <v>Other Codes (Commercial)</v>
      </c>
      <c r="J25" s="397" t="s">
        <v>538</v>
      </c>
      <c r="K25" s="406">
        <f t="shared" ca="1" si="17"/>
        <v>0</v>
      </c>
      <c r="L25" s="201">
        <v>0</v>
      </c>
      <c r="M25" s="204">
        <f t="shared" si="9"/>
        <v>0</v>
      </c>
      <c r="N25" s="89">
        <f ca="1">T25+Z25</f>
        <v>0</v>
      </c>
      <c r="O25" s="90">
        <f t="shared" si="10"/>
        <v>0</v>
      </c>
      <c r="P25" s="88">
        <f t="shared" ca="1" si="1"/>
        <v>0</v>
      </c>
      <c r="Q25" s="114" t="str">
        <f t="shared" ca="1" si="2"/>
        <v/>
      </c>
      <c r="R25" s="89">
        <f t="shared" ca="1" si="3"/>
        <v>0</v>
      </c>
      <c r="S25" s="380">
        <v>0</v>
      </c>
      <c r="T25" s="89">
        <f ca="1">SUMIFS(INDIRECT($A25&amp;"!$v:$v"),INDIRECT($A25&amp;"!$f:$f"),T$1,INDIRECT($A25&amp;"!$i:$i"),$C25,INDIRECT($A25&amp;"!$l:$l"),$I$1)</f>
        <v>0</v>
      </c>
      <c r="U25" s="90">
        <v>0</v>
      </c>
      <c r="V25" s="88">
        <f t="shared" ca="1" si="5"/>
        <v>0</v>
      </c>
      <c r="W25" s="109" t="str">
        <f t="shared" ca="1" si="18"/>
        <v/>
      </c>
      <c r="X25" s="113">
        <f ca="1">SUMIFS(INDIRECT($A25&amp;"!$v:$v"),INDIRECT($A25&amp;"!$f:$f"),X$1,INDIRECT($A25&amp;"!$i:$i"),$C25,INDIRECT($A25&amp;"!$l:$l"),$J$1)</f>
        <v>0</v>
      </c>
      <c r="Y25" s="380">
        <v>0</v>
      </c>
      <c r="Z25" s="89">
        <f t="shared" ca="1" si="7"/>
        <v>0</v>
      </c>
      <c r="AA25" s="90">
        <v>0</v>
      </c>
      <c r="AB25" s="89">
        <f t="shared" ca="1" si="11"/>
        <v>0</v>
      </c>
      <c r="AC25" s="114" t="str">
        <f t="shared" ca="1" si="8"/>
        <v/>
      </c>
      <c r="AD25" s="376">
        <f t="shared" ca="1" si="12"/>
        <v>0</v>
      </c>
      <c r="AE25" s="169">
        <f t="shared" ca="1" si="16"/>
        <v>0</v>
      </c>
      <c r="AF25" s="169">
        <f ca="1">N25-O25</f>
        <v>0</v>
      </c>
    </row>
    <row r="26" spans="1:32">
      <c r="A26" s="79" t="s">
        <v>556</v>
      </c>
      <c r="B26" s="80" t="s">
        <v>256</v>
      </c>
      <c r="C26" s="80" t="str">
        <f>INDEX(Programs!B:B,MATCH(' Summary by Program'!B26,Programs!$E:$E,0))</f>
        <v>Other Non-Residential Standards</v>
      </c>
      <c r="D26" s="87" t="e">
        <v>#N/A</v>
      </c>
      <c r="E26" s="87" t="e">
        <v>#N/A</v>
      </c>
      <c r="F26" s="87">
        <v>1</v>
      </c>
      <c r="G26" s="87">
        <v>1</v>
      </c>
      <c r="H26" s="2525"/>
      <c r="I26" s="93" t="str">
        <f>INDEX(Programs!B:B,MATCH(' Summary by Program'!B26,Programs!$E:$E,0))</f>
        <v>Other Non-Residential Standards</v>
      </c>
      <c r="J26" s="397" t="s">
        <v>1026</v>
      </c>
      <c r="K26" s="406">
        <f t="shared" ca="1" si="17"/>
        <v>0</v>
      </c>
      <c r="L26" s="201">
        <v>0</v>
      </c>
      <c r="M26" s="204">
        <f t="shared" si="9"/>
        <v>0</v>
      </c>
      <c r="N26" s="89">
        <f t="shared" ca="1" si="0"/>
        <v>0</v>
      </c>
      <c r="O26" s="90">
        <f t="shared" si="10"/>
        <v>0</v>
      </c>
      <c r="P26" s="88">
        <f t="shared" ca="1" si="1"/>
        <v>0</v>
      </c>
      <c r="Q26" s="114" t="str">
        <f t="shared" ca="1" si="2"/>
        <v/>
      </c>
      <c r="R26" s="89">
        <f t="shared" ca="1" si="3"/>
        <v>0</v>
      </c>
      <c r="S26" s="380">
        <v>0</v>
      </c>
      <c r="T26" s="89">
        <f t="shared" ca="1" si="4"/>
        <v>0</v>
      </c>
      <c r="U26" s="90">
        <v>0</v>
      </c>
      <c r="V26" s="88">
        <f t="shared" ca="1" si="5"/>
        <v>0</v>
      </c>
      <c r="W26" s="109" t="str">
        <f t="shared" ca="1" si="18"/>
        <v/>
      </c>
      <c r="X26" s="113">
        <f t="shared" ca="1" si="6"/>
        <v>0</v>
      </c>
      <c r="Y26" s="380">
        <v>0</v>
      </c>
      <c r="Z26" s="89">
        <f t="shared" ca="1" si="7"/>
        <v>0</v>
      </c>
      <c r="AA26" s="90">
        <v>0</v>
      </c>
      <c r="AB26" s="89">
        <f t="shared" ca="1" si="11"/>
        <v>0</v>
      </c>
      <c r="AC26" s="114" t="str">
        <f t="shared" ca="1" si="8"/>
        <v/>
      </c>
      <c r="AD26" s="376">
        <f t="shared" ca="1" si="12"/>
        <v>0</v>
      </c>
      <c r="AE26" s="169">
        <f t="shared" ca="1" si="16"/>
        <v>0</v>
      </c>
    </row>
    <row r="27" spans="1:32">
      <c r="A27" s="79" t="s">
        <v>526</v>
      </c>
      <c r="B27" s="80" t="s">
        <v>245</v>
      </c>
      <c r="C27" s="80" t="str">
        <f>INDEX(Programs!B:B,MATCH(' Summary by Program'!B27,Programs!$E:$E,0))</f>
        <v>Reduced Wattage Lamp Replacement</v>
      </c>
      <c r="D27" s="87" t="e">
        <v>#N/A</v>
      </c>
      <c r="E27" s="87" t="e">
        <v>#N/A</v>
      </c>
      <c r="F27" s="87">
        <v>1</v>
      </c>
      <c r="G27" s="87">
        <v>1</v>
      </c>
      <c r="H27" s="2526"/>
      <c r="I27" s="94" t="str">
        <f>INDEX(Programs!B:B,MATCH(' Summary by Program'!B27,Programs!$E:$E,0))</f>
        <v>Reduced Wattage Lamp Replacement</v>
      </c>
      <c r="J27" s="401" t="s">
        <v>540</v>
      </c>
      <c r="K27" s="410">
        <f t="shared" ca="1" si="17"/>
        <v>0</v>
      </c>
      <c r="L27" s="365" t="e">
        <f ca="1">TEXT(R27*D27+X27*F27,"0.##")&amp;"-"&amp;TEXT(R27*E27+G27*X27,"0.#0")</f>
        <v>#N/A</v>
      </c>
      <c r="M27" s="207" t="e">
        <f t="shared" si="9"/>
        <v>#DIV/0!</v>
      </c>
      <c r="N27" s="105">
        <f t="shared" ca="1" si="0"/>
        <v>0</v>
      </c>
      <c r="O27" s="104">
        <f t="shared" si="10"/>
        <v>0</v>
      </c>
      <c r="P27" s="106">
        <f t="shared" ca="1" si="1"/>
        <v>0</v>
      </c>
      <c r="Q27" s="120" t="str">
        <f t="shared" ca="1" si="2"/>
        <v/>
      </c>
      <c r="R27" s="105">
        <f t="shared" ca="1" si="3"/>
        <v>0</v>
      </c>
      <c r="S27" s="385" t="e">
        <v>#DIV/0!</v>
      </c>
      <c r="T27" s="105">
        <f t="shared" ca="1" si="4"/>
        <v>0</v>
      </c>
      <c r="U27" s="104">
        <v>0</v>
      </c>
      <c r="V27" s="106">
        <f t="shared" ca="1" si="5"/>
        <v>0</v>
      </c>
      <c r="W27" s="112" t="str">
        <f t="shared" ca="1" si="18"/>
        <v/>
      </c>
      <c r="X27" s="119">
        <f t="shared" ca="1" si="6"/>
        <v>0</v>
      </c>
      <c r="Y27" s="385" t="e">
        <v>#DIV/0!</v>
      </c>
      <c r="Z27" s="105">
        <f t="shared" ca="1" si="7"/>
        <v>0</v>
      </c>
      <c r="AA27" s="104">
        <v>0</v>
      </c>
      <c r="AB27" s="105">
        <f t="shared" ca="1" si="11"/>
        <v>0</v>
      </c>
      <c r="AC27" s="120" t="str">
        <f t="shared" ca="1" si="8"/>
        <v/>
      </c>
      <c r="AD27" s="376" t="e">
        <f t="shared" ca="1" si="12"/>
        <v>#DIV/0!</v>
      </c>
      <c r="AE27" s="169" t="e">
        <f t="shared" ca="1" si="16"/>
        <v>#DIV/0!</v>
      </c>
      <c r="AF27" t="s">
        <v>835</v>
      </c>
    </row>
    <row r="28" spans="1:32" ht="30">
      <c r="A28" s="79" t="s">
        <v>259</v>
      </c>
      <c r="B28" s="80" t="s">
        <v>247</v>
      </c>
      <c r="C28" s="80" t="str">
        <f>INDEX(Programs!B:B,MATCH(' Summary by Program'!B28,Programs!$E:$E,0))</f>
        <v>Certified Refrigeration Energy Specialist (CRES)</v>
      </c>
      <c r="D28" s="87" t="e">
        <v>#N/A</v>
      </c>
      <c r="E28" s="87" t="e">
        <v>#N/A</v>
      </c>
      <c r="F28" s="87">
        <v>1</v>
      </c>
      <c r="G28" s="87">
        <v>1</v>
      </c>
      <c r="H28" s="2527" t="s">
        <v>33</v>
      </c>
      <c r="I28" s="107" t="str">
        <f>INDEX(Programs!B:B,MATCH(' Summary by Program'!B28,Programs!$E:$E,0))</f>
        <v>Certified Refrigeration Energy Specialist (CRES)</v>
      </c>
      <c r="J28" s="400" t="s">
        <v>536</v>
      </c>
      <c r="K28" s="409">
        <f t="shared" ca="1" si="17"/>
        <v>0</v>
      </c>
      <c r="L28" s="200" t="e">
        <f ca="1">TEXT(R28*D28+X28*F28,"0.##")&amp;"-"&amp;TEXT(R28*E28+G28*X28,"0.#0")</f>
        <v>#N/A</v>
      </c>
      <c r="M28" s="206">
        <f t="shared" si="9"/>
        <v>0</v>
      </c>
      <c r="N28" s="102">
        <f t="shared" ca="1" si="0"/>
        <v>0</v>
      </c>
      <c r="O28" s="101">
        <f t="shared" si="10"/>
        <v>0</v>
      </c>
      <c r="P28" s="103">
        <f t="shared" ca="1" si="1"/>
        <v>0</v>
      </c>
      <c r="Q28" s="118" t="str">
        <f t="shared" ca="1" si="2"/>
        <v/>
      </c>
      <c r="R28" s="102">
        <f t="shared" ca="1" si="3"/>
        <v>0</v>
      </c>
      <c r="S28" s="384">
        <v>0</v>
      </c>
      <c r="T28" s="102">
        <f t="shared" ca="1" si="4"/>
        <v>0</v>
      </c>
      <c r="U28" s="101">
        <v>0</v>
      </c>
      <c r="V28" s="103">
        <f t="shared" ca="1" si="5"/>
        <v>0</v>
      </c>
      <c r="W28" s="111" t="str">
        <f t="shared" ca="1" si="18"/>
        <v/>
      </c>
      <c r="X28" s="117">
        <f t="shared" ca="1" si="6"/>
        <v>0</v>
      </c>
      <c r="Y28" s="384">
        <v>0</v>
      </c>
      <c r="Z28" s="102">
        <f t="shared" ca="1" si="7"/>
        <v>0</v>
      </c>
      <c r="AA28" s="101">
        <v>0</v>
      </c>
      <c r="AB28" s="102">
        <f t="shared" ca="1" si="11"/>
        <v>0</v>
      </c>
      <c r="AC28" s="118" t="str">
        <f t="shared" ref="AC28:AC30" ca="1" si="22">IF(AB28=0,"","("&amp;TEXT(J28*AB28,"#.##")&amp;"-"&amp;TEXT(K28*AB28,"#.##")&amp;")")</f>
        <v/>
      </c>
      <c r="AD28" s="376">
        <f t="shared" ca="1" si="12"/>
        <v>0</v>
      </c>
      <c r="AE28" s="169">
        <f t="shared" ca="1" si="16"/>
        <v>0</v>
      </c>
      <c r="AF28" s="199" t="s">
        <v>836</v>
      </c>
    </row>
    <row r="29" spans="1:32" ht="15" customHeight="1">
      <c r="A29" s="79" t="s">
        <v>263</v>
      </c>
      <c r="B29" s="80" t="s">
        <v>246</v>
      </c>
      <c r="C29" s="80" t="str">
        <f>INDEX(Programs!B:B,MATCH(' Summary by Program'!B29,Programs!$E:$E,0))</f>
        <v>Drive Power</v>
      </c>
      <c r="D29" s="87" t="e">
        <v>#N/A</v>
      </c>
      <c r="E29" s="87" t="e">
        <v>#N/A</v>
      </c>
      <c r="F29" s="87">
        <v>1</v>
      </c>
      <c r="G29" s="87">
        <v>1</v>
      </c>
      <c r="H29" s="2524"/>
      <c r="I29" s="93" t="str">
        <f>INDEX(Programs!B:B,MATCH(' Summary by Program'!B29,Programs!$E:$E,0))</f>
        <v>Drive Power</v>
      </c>
      <c r="J29" s="397" t="s">
        <v>541</v>
      </c>
      <c r="K29" s="406" t="e">
        <f t="shared" ca="1" si="17"/>
        <v>#REF!</v>
      </c>
      <c r="L29" s="200" t="e">
        <f ca="1">TEXT(R29*D29+X29*F29,"0.##")&amp;"-"&amp;TEXT(R29*E29+G29*X29,"0.#0")</f>
        <v>#REF!</v>
      </c>
      <c r="M29" s="204">
        <f t="shared" si="9"/>
        <v>0</v>
      </c>
      <c r="N29" s="89" t="e">
        <f t="shared" ca="1" si="0"/>
        <v>#REF!</v>
      </c>
      <c r="O29" s="90">
        <f t="shared" si="10"/>
        <v>0</v>
      </c>
      <c r="P29" s="88" t="e">
        <f t="shared" ca="1" si="1"/>
        <v>#REF!</v>
      </c>
      <c r="Q29" s="114" t="e">
        <f t="shared" ca="1" si="2"/>
        <v>#REF!</v>
      </c>
      <c r="R29" s="89" t="e">
        <f t="shared" ca="1" si="3"/>
        <v>#REF!</v>
      </c>
      <c r="S29" s="380">
        <v>0</v>
      </c>
      <c r="T29" s="89" t="e">
        <f t="shared" ca="1" si="4"/>
        <v>#REF!</v>
      </c>
      <c r="U29" s="90">
        <v>0</v>
      </c>
      <c r="V29" s="88" t="e">
        <f t="shared" ca="1" si="5"/>
        <v>#REF!</v>
      </c>
      <c r="W29" s="109" t="e">
        <f t="shared" ca="1" si="18"/>
        <v>#REF!</v>
      </c>
      <c r="X29" s="113" t="e">
        <f t="shared" ca="1" si="6"/>
        <v>#REF!</v>
      </c>
      <c r="Y29" s="380">
        <v>0</v>
      </c>
      <c r="Z29" s="89" t="e">
        <f t="shared" ca="1" si="7"/>
        <v>#REF!</v>
      </c>
      <c r="AA29" s="90">
        <v>0</v>
      </c>
      <c r="AB29" s="89" t="e">
        <f t="shared" ca="1" si="11"/>
        <v>#REF!</v>
      </c>
      <c r="AC29" s="114" t="e">
        <f t="shared" ca="1" si="22"/>
        <v>#REF!</v>
      </c>
      <c r="AD29" s="376" t="e">
        <f t="shared" ca="1" si="12"/>
        <v>#REF!</v>
      </c>
      <c r="AE29" s="169" t="e">
        <f t="shared" ca="1" si="16"/>
        <v>#REF!</v>
      </c>
    </row>
    <row r="30" spans="1:32">
      <c r="A30" s="79" t="s">
        <v>527</v>
      </c>
      <c r="B30" s="80" t="s">
        <v>245</v>
      </c>
      <c r="C30" s="80" t="str">
        <f>INDEX(Programs!B:B,MATCH(' Summary by Program'!B30,Programs!$E:$E,0))</f>
        <v>Reduced Wattage Lamp Replacement</v>
      </c>
      <c r="D30" s="87" t="e">
        <v>#N/A</v>
      </c>
      <c r="E30" s="87" t="e">
        <v>#N/A</v>
      </c>
      <c r="F30" s="87">
        <v>1</v>
      </c>
      <c r="G30" s="87">
        <v>1</v>
      </c>
      <c r="H30" s="2525"/>
      <c r="I30" s="108" t="str">
        <f>INDEX(Programs!B:B,MATCH(' Summary by Program'!B30,Programs!$E:$E,0))</f>
        <v>Reduced Wattage Lamp Replacement</v>
      </c>
      <c r="J30" s="402" t="s">
        <v>540</v>
      </c>
      <c r="K30" s="408">
        <f t="shared" ca="1" si="17"/>
        <v>0</v>
      </c>
      <c r="L30" s="200" t="e">
        <f ca="1">TEXT(R30*D30+X30*F30,"0.##")&amp;"-"&amp;TEXT(R30*E30+G30*X30,"0.#0")</f>
        <v>#N/A</v>
      </c>
      <c r="M30" s="205" t="e">
        <f t="shared" si="9"/>
        <v>#DIV/0!</v>
      </c>
      <c r="N30" s="99">
        <f t="shared" ca="1" si="0"/>
        <v>0</v>
      </c>
      <c r="O30" s="98">
        <f t="shared" si="10"/>
        <v>0</v>
      </c>
      <c r="P30" s="100">
        <f t="shared" ca="1" si="1"/>
        <v>0</v>
      </c>
      <c r="Q30" s="116" t="str">
        <f t="shared" ca="1" si="2"/>
        <v/>
      </c>
      <c r="R30" s="99">
        <f t="shared" ca="1" si="3"/>
        <v>0</v>
      </c>
      <c r="S30" s="383" t="e">
        <v>#DIV/0!</v>
      </c>
      <c r="T30" s="99">
        <f t="shared" ca="1" si="4"/>
        <v>0</v>
      </c>
      <c r="U30" s="98">
        <v>0</v>
      </c>
      <c r="V30" s="100">
        <f t="shared" ca="1" si="5"/>
        <v>0</v>
      </c>
      <c r="W30" s="110" t="str">
        <f t="shared" ca="1" si="18"/>
        <v/>
      </c>
      <c r="X30" s="115">
        <f t="shared" ca="1" si="6"/>
        <v>0</v>
      </c>
      <c r="Y30" s="383" t="e">
        <v>#DIV/0!</v>
      </c>
      <c r="Z30" s="99">
        <f t="shared" ca="1" si="7"/>
        <v>0</v>
      </c>
      <c r="AA30" s="98">
        <v>0</v>
      </c>
      <c r="AB30" s="99">
        <f t="shared" ca="1" si="11"/>
        <v>0</v>
      </c>
      <c r="AC30" s="116" t="str">
        <f t="shared" ca="1" si="22"/>
        <v/>
      </c>
      <c r="AD30" s="376" t="e">
        <f t="shared" ca="1" si="12"/>
        <v>#DIV/0!</v>
      </c>
      <c r="AE30" s="169" t="e">
        <f t="shared" ca="1" si="16"/>
        <v>#DIV/0!</v>
      </c>
    </row>
    <row r="31" spans="1:32">
      <c r="H31" s="219"/>
      <c r="I31" s="220" t="s">
        <v>542</v>
      </c>
      <c r="J31" s="403"/>
      <c r="K31" s="378" t="e">
        <f t="shared" ref="K31:AC31" ca="1" si="23">SUM(K7:K30)</f>
        <v>#REF!</v>
      </c>
      <c r="L31" s="221" t="e">
        <f ca="1">TEXT(SUMPRODUCT(R7:R30,D7:D30)+SUMPRODUCT(F7:F30,X7:X30),"#.##")&amp;"-"&amp;TEXT(SUMPRODUCT(R7:R30,E7:E30)+SUMPRODUCT(G7:G30,X7:X30),"#.##")</f>
        <v>#REF!</v>
      </c>
      <c r="M31" s="222" t="e">
        <f t="shared" si="23"/>
        <v>#DIV/0!</v>
      </c>
      <c r="N31" s="223" t="e">
        <f t="shared" ca="1" si="23"/>
        <v>#REF!</v>
      </c>
      <c r="O31" s="224">
        <f t="shared" si="23"/>
        <v>0</v>
      </c>
      <c r="P31" s="223" t="e">
        <f t="shared" ca="1" si="23"/>
        <v>#REF!</v>
      </c>
      <c r="Q31" s="227" t="e">
        <f t="shared" ca="1" si="23"/>
        <v>#REF!</v>
      </c>
      <c r="R31" s="223" t="e">
        <f t="shared" ca="1" si="23"/>
        <v>#REF!</v>
      </c>
      <c r="S31" s="386" t="e">
        <f t="shared" si="23"/>
        <v>#DIV/0!</v>
      </c>
      <c r="T31" s="223" t="e">
        <f t="shared" ca="1" si="23"/>
        <v>#REF!</v>
      </c>
      <c r="U31" s="224">
        <f t="shared" si="23"/>
        <v>0</v>
      </c>
      <c r="V31" s="223" t="e">
        <f t="shared" ca="1" si="23"/>
        <v>#REF!</v>
      </c>
      <c r="W31" s="225" t="e">
        <f t="shared" ca="1" si="23"/>
        <v>#REF!</v>
      </c>
      <c r="X31" s="226" t="e">
        <f t="shared" ca="1" si="23"/>
        <v>#REF!</v>
      </c>
      <c r="Y31" s="386" t="e">
        <f t="shared" si="23"/>
        <v>#DIV/0!</v>
      </c>
      <c r="Z31" s="223" t="e">
        <f t="shared" ca="1" si="23"/>
        <v>#REF!</v>
      </c>
      <c r="AA31" s="224">
        <f t="shared" si="23"/>
        <v>0</v>
      </c>
      <c r="AB31" s="223" t="e">
        <f t="shared" ca="1" si="23"/>
        <v>#REF!</v>
      </c>
      <c r="AC31" s="227" t="e">
        <f t="shared" ca="1" si="23"/>
        <v>#REF!</v>
      </c>
      <c r="AD31" s="375"/>
    </row>
    <row r="33" spans="1:31" ht="48.75" customHeight="1">
      <c r="H33" s="2522" t="s">
        <v>552</v>
      </c>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372"/>
      <c r="AE33" s="169"/>
    </row>
    <row r="34" spans="1:31">
      <c r="A34"/>
    </row>
    <row r="35" spans="1:31">
      <c r="A35"/>
    </row>
    <row r="36" spans="1:31">
      <c r="A36"/>
      <c r="N36" s="169"/>
    </row>
    <row r="37" spans="1:31">
      <c r="A37"/>
      <c r="N37" s="169"/>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 ref="H3:J4"/>
    <mergeCell ref="N5:O5"/>
    <mergeCell ref="P5:Q5"/>
    <mergeCell ref="D4:E4"/>
    <mergeCell ref="F4:G4"/>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300-000000000000}"/>
    <hyperlink ref="J8" location="HPWH!A1" display="Heat Pump Water Heaters" xr:uid="{00000000-0004-0000-0300-000001000000}"/>
    <hyperlink ref="J11" location="Codes!A1" display="Low-rise Multifamily Homes" xr:uid="{00000000-0004-0000-0300-000002000000}"/>
    <hyperlink ref="J12" location="Res_Lighting!A1" display="Retail Bulb Sales" xr:uid="{00000000-0004-0000-0300-000003000000}"/>
    <hyperlink ref="J13" location="Codes!A1" display="Codes" xr:uid="{00000000-0004-0000-0300-000004000000}"/>
    <hyperlink ref="J14" location="Homes_Vol!A1" display="Voluntary" xr:uid="{00000000-0004-0000-0300-000005000000}"/>
    <hyperlink ref="J15" location="Frig_Freezers!A1" display="Refrigerators and Freezer" xr:uid="{00000000-0004-0000-0300-000006000000}"/>
    <hyperlink ref="J16" location="Clothes_Washers!A1" display="Clothes Washers" xr:uid="{00000000-0004-0000-0300-000007000000}"/>
    <hyperlink ref="J17" location="Room_AC!A1" display="Room Air Conditioners" xr:uid="{00000000-0004-0000-0300-000008000000}"/>
    <hyperlink ref="J19" location="Clothes_Dryers!A1" display="Clothes Dryers" xr:uid="{00000000-0004-0000-0300-000009000000}"/>
    <hyperlink ref="J20" location="BOC!A1" display="Certifications" xr:uid="{00000000-0004-0000-0300-00000A000000}"/>
    <hyperlink ref="J21" location="Commissioning!A1" display="Retro and New Commissioning" xr:uid="{00000000-0004-0000-0300-00000B000000}"/>
    <hyperlink ref="J22" location="Commercial_Desktops!A1" display="ENERGY STAR 6 Desktops" xr:uid="{00000000-0004-0000-0300-00000C000000}"/>
    <hyperlink ref="J24" location="Com_Lighting!A1" display="Lighting Controls" xr:uid="{00000000-0004-0000-0300-00000D000000}"/>
    <hyperlink ref="J25" location="Codes!A1" display="Codes" xr:uid="{00000000-0004-0000-0300-00000E000000}"/>
    <hyperlink ref="J26" location="Standards!A1" display="Primarily Roof Top Units" xr:uid="{00000000-0004-0000-0300-00000F000000}"/>
    <hyperlink ref="J27" location="Com_Lighting!A1" display="T25 and T28 Lamps" xr:uid="{00000000-0004-0000-0300-000010000000}"/>
    <hyperlink ref="J28" location="CRES!A1" display="Certifications" xr:uid="{00000000-0004-0000-0300-000011000000}"/>
    <hyperlink ref="J29" location="Motor_Rewinds!A1" display="Motor Rewinds" xr:uid="{00000000-0004-0000-0300-000012000000}"/>
    <hyperlink ref="J30" location="Ind_Lighting!A1" display="T25 and T28 Lamps" xr:uid="{00000000-0004-0000-0300-000013000000}"/>
    <hyperlink ref="J23" location="Other_ES_Products!A1" display="ENERGY STAR 6 Laptops" xr:uid="{00000000-0004-0000-0300-000014000000}"/>
    <hyperlink ref="J10" location="Other_ES_Products!A1" display="ENERGY STAR 6 Laptops" xr:uid="{00000000-0004-0000-0300-000015000000}"/>
    <hyperlink ref="J9" location="Other_ES_Products!A1" display="ENERGY STAR 6 Laptops" xr:uid="{00000000-0004-0000-0300-000016000000}"/>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0083CA"/>
  </sheetPr>
  <dimension ref="A1:C10"/>
  <sheetViews>
    <sheetView showGridLines="0" workbookViewId="0">
      <selection activeCell="B31" sqref="B31"/>
    </sheetView>
  </sheetViews>
  <sheetFormatPr defaultColWidth="9.28515625" defaultRowHeight="12.75"/>
  <cols>
    <col min="1" max="1" width="140.28515625" style="855" customWidth="1"/>
    <col min="2" max="16384" width="9.28515625" style="855"/>
  </cols>
  <sheetData>
    <row r="1" spans="1:3" ht="108.75" customHeight="1">
      <c r="A1" s="1927" t="s">
        <v>3293</v>
      </c>
    </row>
    <row r="7" spans="1:3" ht="14.25" customHeight="1">
      <c r="A7" s="856" t="s">
        <v>1252</v>
      </c>
    </row>
    <row r="10" spans="1:3" ht="15">
      <c r="C10" s="85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0083CA"/>
  </sheetPr>
  <dimension ref="B1:Q24"/>
  <sheetViews>
    <sheetView workbookViewId="0"/>
  </sheetViews>
  <sheetFormatPr defaultColWidth="9.28515625" defaultRowHeight="13.5"/>
  <cols>
    <col min="1" max="1" width="4.28515625" style="228" customWidth="1"/>
    <col min="2" max="10" width="14" style="228" customWidth="1"/>
    <col min="11" max="11" width="9.28515625" style="228"/>
    <col min="12" max="14" width="12" style="228" bestFit="1" customWidth="1"/>
    <col min="15" max="15" width="12.28515625" style="228" bestFit="1" customWidth="1"/>
    <col min="16" max="16" width="10.28515625" style="228" bestFit="1" customWidth="1"/>
    <col min="17" max="17" width="12.7109375" style="228" bestFit="1" customWidth="1"/>
    <col min="18" max="16384" width="9.28515625" style="228"/>
  </cols>
  <sheetData>
    <row r="1" spans="2:16" ht="14.25" thickBot="1">
      <c r="B1" s="368" t="s">
        <v>1010</v>
      </c>
      <c r="C1" s="366"/>
      <c r="D1" s="366"/>
      <c r="E1" s="366"/>
      <c r="F1" s="366"/>
      <c r="G1" s="366"/>
      <c r="H1" s="366"/>
      <c r="I1" s="366"/>
      <c r="J1" s="366"/>
    </row>
    <row r="2" spans="2:16" ht="17.25" customHeight="1" thickBot="1">
      <c r="B2" s="2561" t="s">
        <v>1011</v>
      </c>
      <c r="C2" s="2562"/>
      <c r="D2" s="2562"/>
      <c r="E2" s="2562"/>
      <c r="F2" s="2562"/>
      <c r="G2" s="2562"/>
      <c r="H2" s="2562"/>
      <c r="I2" s="2562"/>
      <c r="J2" s="2563"/>
    </row>
    <row r="3" spans="2:16">
      <c r="B3" s="239"/>
    </row>
    <row r="4" spans="2:16">
      <c r="B4" s="230" t="s">
        <v>152</v>
      </c>
    </row>
    <row r="5" spans="2:16" ht="63" customHeight="1">
      <c r="B5" s="2560" t="s">
        <v>1033</v>
      </c>
      <c r="C5" s="2560"/>
      <c r="D5" s="2560"/>
      <c r="E5" s="2560"/>
      <c r="F5" s="2560"/>
      <c r="G5" s="2560"/>
      <c r="H5" s="2560"/>
      <c r="I5" s="2560"/>
      <c r="J5" s="2560"/>
      <c r="K5" s="377">
        <f ca="1">' Summary by Program'!AE8</f>
        <v>0</v>
      </c>
      <c r="O5" s="229"/>
      <c r="P5" s="229"/>
    </row>
    <row r="6" spans="2:16" ht="15">
      <c r="B6" s="230" t="s">
        <v>260</v>
      </c>
      <c r="L6"/>
    </row>
    <row r="7" spans="2:16" ht="45" customHeight="1">
      <c r="B7" s="2560" t="s">
        <v>1031</v>
      </c>
      <c r="C7" s="2560"/>
      <c r="D7" s="2560"/>
      <c r="E7" s="2560"/>
      <c r="F7" s="2560"/>
      <c r="G7" s="2560"/>
      <c r="H7" s="2560"/>
      <c r="I7" s="2560"/>
      <c r="J7" s="2560"/>
      <c r="K7" s="377" t="e">
        <f ca="1">' Summary by Program'!AE21</f>
        <v>#REF!</v>
      </c>
      <c r="L7"/>
    </row>
    <row r="8" spans="2:16">
      <c r="B8" s="230" t="s">
        <v>1021</v>
      </c>
      <c r="O8" s="229"/>
      <c r="P8" s="229"/>
    </row>
    <row r="9" spans="2:16" ht="36.75" customHeight="1">
      <c r="B9" s="2560" t="s">
        <v>1034</v>
      </c>
      <c r="C9" s="2560"/>
      <c r="D9" s="2560"/>
      <c r="E9" s="2560"/>
      <c r="F9" s="2560"/>
      <c r="G9" s="2560"/>
      <c r="H9" s="2560"/>
      <c r="I9" s="2560"/>
      <c r="J9" s="2560"/>
      <c r="K9" s="377" t="e">
        <f ca="1">' Summary by Program'!AE27+' Summary by Program'!AE30</f>
        <v>#DIV/0!</v>
      </c>
      <c r="O9" s="229"/>
      <c r="P9" s="229"/>
    </row>
    <row r="10" spans="2:16">
      <c r="B10" s="230" t="s">
        <v>1028</v>
      </c>
    </row>
    <row r="11" spans="2:16" ht="45" customHeight="1">
      <c r="B11" s="2565" t="s">
        <v>1035</v>
      </c>
      <c r="C11" s="2560"/>
      <c r="D11" s="2560"/>
      <c r="E11" s="2560"/>
      <c r="F11" s="2560"/>
      <c r="G11" s="2560"/>
      <c r="H11" s="2560"/>
      <c r="I11" s="2560"/>
      <c r="J11" s="2560"/>
      <c r="K11" s="377">
        <f ca="1">' Summary by Program'!AE7</f>
        <v>0</v>
      </c>
      <c r="L11"/>
    </row>
    <row r="12" spans="2:16" ht="15" customHeight="1">
      <c r="B12" s="230" t="s">
        <v>148</v>
      </c>
    </row>
    <row r="13" spans="2:16" ht="32.25" customHeight="1">
      <c r="B13" s="2560" t="s">
        <v>1032</v>
      </c>
      <c r="C13" s="2560"/>
      <c r="D13" s="2560"/>
      <c r="E13" s="2560"/>
      <c r="F13" s="2560"/>
      <c r="G13" s="2560"/>
      <c r="H13" s="2560"/>
      <c r="I13" s="2560"/>
      <c r="J13" s="2560"/>
      <c r="K13" s="377" t="e">
        <f ca="1">' Summary by Program'!AE12</f>
        <v>#REF!</v>
      </c>
      <c r="O13" s="371"/>
      <c r="P13" s="371"/>
    </row>
    <row r="14" spans="2:16">
      <c r="B14" s="230" t="s">
        <v>1020</v>
      </c>
    </row>
    <row r="15" spans="2:16" ht="61.5" customHeight="1">
      <c r="B15" s="2560" t="s">
        <v>1036</v>
      </c>
      <c r="C15" s="2560"/>
      <c r="D15" s="2560"/>
      <c r="E15" s="2560"/>
      <c r="F15" s="2560"/>
      <c r="G15" s="2560"/>
      <c r="H15" s="2560"/>
      <c r="I15" s="2560"/>
      <c r="J15" s="2560"/>
      <c r="K15" s="377" t="e">
        <f ca="1">' Summary by Program'!AE9+' Summary by Program'!AE10+' Summary by Program'!AE23</f>
        <v>#REF!</v>
      </c>
      <c r="O15" s="371"/>
    </row>
    <row r="16" spans="2:16">
      <c r="B16" s="230" t="s">
        <v>1027</v>
      </c>
      <c r="O16" s="377"/>
    </row>
    <row r="17" spans="2:17" ht="30.75" customHeight="1">
      <c r="B17" s="2564" t="s">
        <v>1037</v>
      </c>
      <c r="C17" s="2564"/>
      <c r="D17" s="2564"/>
      <c r="E17" s="2564"/>
      <c r="F17" s="2564"/>
      <c r="G17" s="2564"/>
      <c r="H17" s="2564"/>
      <c r="I17" s="2564"/>
      <c r="J17" s="2564"/>
      <c r="K17" s="387">
        <f ca="1">' Summary by Program'!AF25</f>
        <v>0</v>
      </c>
      <c r="L17" s="370"/>
      <c r="M17" s="370"/>
      <c r="N17" s="370"/>
      <c r="O17" s="370"/>
      <c r="Q17" s="371"/>
    </row>
    <row r="18" spans="2:17">
      <c r="B18" s="230" t="s">
        <v>363</v>
      </c>
    </row>
    <row r="19" spans="2:17" ht="47.25" customHeight="1">
      <c r="B19" s="2560" t="s">
        <v>1038</v>
      </c>
      <c r="C19" s="2560"/>
      <c r="D19" s="2560"/>
      <c r="E19" s="2560"/>
      <c r="F19" s="2560"/>
      <c r="G19" s="2560"/>
      <c r="H19" s="2560"/>
      <c r="I19" s="2560"/>
      <c r="J19" s="2560"/>
      <c r="K19" s="377">
        <f ca="1">' Summary by Program'!AE14</f>
        <v>0</v>
      </c>
    </row>
    <row r="22" spans="2:17">
      <c r="L22" s="231"/>
    </row>
    <row r="24" spans="2:17">
      <c r="J24" s="231"/>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K86"/>
  <sheetViews>
    <sheetView workbookViewId="0">
      <selection activeCell="C14" sqref="C14"/>
    </sheetView>
  </sheetViews>
  <sheetFormatPr defaultRowHeight="15"/>
  <cols>
    <col min="2" max="2" width="35.28515625" customWidth="1"/>
    <col min="3" max="3" width="92.42578125" customWidth="1"/>
    <col min="4" max="4" width="13.85546875" customWidth="1"/>
    <col min="5" max="5" width="16.85546875" bestFit="1" customWidth="1"/>
    <col min="6" max="6" width="31.85546875" bestFit="1" customWidth="1"/>
    <col min="7" max="7" width="33.7109375" customWidth="1"/>
    <col min="8" max="8" width="33.7109375" bestFit="1" customWidth="1"/>
    <col min="9" max="9" width="11" customWidth="1"/>
  </cols>
  <sheetData>
    <row r="1" spans="2:6">
      <c r="B1" s="65" t="s">
        <v>133</v>
      </c>
      <c r="C1" s="1375" t="s" vm="1">
        <v>134</v>
      </c>
    </row>
    <row r="2" spans="2:6">
      <c r="B2" s="65" t="s">
        <v>132</v>
      </c>
      <c r="C2" s="1375" t="s" vm="2">
        <v>9</v>
      </c>
    </row>
    <row r="4" spans="2:6">
      <c r="B4" s="65" t="s">
        <v>4</v>
      </c>
      <c r="C4" s="65" t="s">
        <v>165</v>
      </c>
      <c r="D4" s="65" t="s">
        <v>182</v>
      </c>
      <c r="E4" s="65" t="s">
        <v>11</v>
      </c>
      <c r="F4" t="s">
        <v>187</v>
      </c>
    </row>
    <row r="5" spans="2:6">
      <c r="B5" s="1375" t="s">
        <v>140</v>
      </c>
      <c r="C5" s="1375" t="s">
        <v>167</v>
      </c>
      <c r="D5" s="1375" t="s">
        <v>184</v>
      </c>
      <c r="E5" s="1375" t="s">
        <v>238</v>
      </c>
      <c r="F5" s="66">
        <v>1.5278930233883834</v>
      </c>
    </row>
    <row r="6" spans="2:6">
      <c r="B6" s="1375" t="s">
        <v>146</v>
      </c>
      <c r="C6" s="1375" t="s">
        <v>168</v>
      </c>
      <c r="D6" s="1375" t="s">
        <v>184</v>
      </c>
      <c r="E6" s="1375" t="s">
        <v>247</v>
      </c>
      <c r="F6" s="66">
        <v>0.29237152000000005</v>
      </c>
    </row>
    <row r="7" spans="2:6">
      <c r="B7" s="1375" t="s">
        <v>147</v>
      </c>
      <c r="C7" s="1375" t="s">
        <v>175</v>
      </c>
      <c r="D7" s="1375" t="s">
        <v>184</v>
      </c>
      <c r="E7" s="1375" t="s">
        <v>248</v>
      </c>
      <c r="F7" s="66">
        <v>-0.62768051285877036</v>
      </c>
    </row>
    <row r="8" spans="2:6">
      <c r="B8" s="1375" t="s">
        <v>139</v>
      </c>
      <c r="C8" s="1375" t="s">
        <v>856</v>
      </c>
      <c r="D8" s="1375" t="s">
        <v>185</v>
      </c>
      <c r="E8" s="1375" t="s">
        <v>239</v>
      </c>
      <c r="F8" s="66">
        <v>2.4549712882560443E-2</v>
      </c>
    </row>
    <row r="9" spans="2:6">
      <c r="B9" s="1375" t="s">
        <v>136</v>
      </c>
      <c r="C9" s="1375" t="s">
        <v>174</v>
      </c>
      <c r="D9" s="1375" t="s">
        <v>184</v>
      </c>
      <c r="E9" s="1375" t="s">
        <v>240</v>
      </c>
      <c r="F9" s="66">
        <v>8.8156504910342548</v>
      </c>
    </row>
    <row r="10" spans="2:6">
      <c r="B10" s="1375" t="s">
        <v>138</v>
      </c>
      <c r="C10" s="1375" t="s">
        <v>173</v>
      </c>
      <c r="D10" s="1375" t="s">
        <v>184</v>
      </c>
      <c r="E10" s="1375" t="s">
        <v>241</v>
      </c>
      <c r="F10" s="66">
        <v>8.9041719205467711</v>
      </c>
    </row>
    <row r="11" spans="2:6">
      <c r="B11" s="1375" t="s">
        <v>145</v>
      </c>
      <c r="C11" s="1375" t="s">
        <v>176</v>
      </c>
      <c r="D11" s="1375" t="s">
        <v>184</v>
      </c>
      <c r="E11" s="1375" t="s">
        <v>246</v>
      </c>
      <c r="F11" s="66">
        <v>0.62847203103020632</v>
      </c>
    </row>
    <row r="12" spans="2:6">
      <c r="B12" s="1375" t="s">
        <v>150</v>
      </c>
      <c r="C12" s="1375" t="s">
        <v>166</v>
      </c>
      <c r="D12" s="1375" t="s">
        <v>184</v>
      </c>
      <c r="E12" s="1375" t="s">
        <v>249</v>
      </c>
      <c r="F12" s="66">
        <v>7.5859474195095391</v>
      </c>
    </row>
    <row r="13" spans="2:6">
      <c r="B13" s="1375" t="s">
        <v>159</v>
      </c>
      <c r="C13" s="1375" t="s">
        <v>179</v>
      </c>
      <c r="D13" s="1375" t="s">
        <v>185</v>
      </c>
      <c r="E13" s="1375" t="s">
        <v>242</v>
      </c>
      <c r="F13" s="66">
        <v>6.2002094117021581E-2</v>
      </c>
    </row>
    <row r="14" spans="2:6">
      <c r="B14" s="1375" t="s">
        <v>1107</v>
      </c>
      <c r="C14" s="1375" t="s">
        <v>1562</v>
      </c>
      <c r="D14" s="1375" t="s">
        <v>185</v>
      </c>
      <c r="E14" s="1375" t="s">
        <v>1563</v>
      </c>
      <c r="F14" s="66">
        <v>2.7011757738756708</v>
      </c>
    </row>
    <row r="15" spans="2:6">
      <c r="B15" s="1375" t="s">
        <v>152</v>
      </c>
      <c r="C15" s="1375" t="s">
        <v>171</v>
      </c>
      <c r="D15" s="1375" t="s">
        <v>183</v>
      </c>
      <c r="E15" s="1375" t="s">
        <v>250</v>
      </c>
      <c r="F15" s="66">
        <v>4.9025544415983804</v>
      </c>
    </row>
    <row r="16" spans="2:6">
      <c r="B16" s="1375" t="s">
        <v>142</v>
      </c>
      <c r="C16" s="1375" t="s">
        <v>180</v>
      </c>
      <c r="D16" s="1375" t="s">
        <v>183</v>
      </c>
      <c r="E16" s="1375" t="s">
        <v>243</v>
      </c>
      <c r="F16" s="66">
        <v>0.39333419681908321</v>
      </c>
    </row>
    <row r="17" spans="2:6">
      <c r="B17" s="1375" t="s">
        <v>857</v>
      </c>
      <c r="C17" s="1375" t="s">
        <v>1406</v>
      </c>
      <c r="D17" s="1375" t="s">
        <v>183</v>
      </c>
      <c r="E17" s="1375" t="s">
        <v>858</v>
      </c>
      <c r="F17" s="66">
        <v>9.3089226347239382</v>
      </c>
    </row>
    <row r="18" spans="2:6">
      <c r="B18" s="1375" t="s">
        <v>746</v>
      </c>
      <c r="C18" s="1375" t="s">
        <v>864</v>
      </c>
      <c r="D18" s="1375" t="s">
        <v>186</v>
      </c>
      <c r="E18" s="1375" t="s">
        <v>252</v>
      </c>
      <c r="F18" s="66">
        <v>14.341944714710316</v>
      </c>
    </row>
    <row r="19" spans="2:6">
      <c r="B19" s="1375" t="s">
        <v>137</v>
      </c>
      <c r="C19" s="1375" t="s">
        <v>177</v>
      </c>
      <c r="D19" s="1375" t="s">
        <v>183</v>
      </c>
      <c r="E19" s="1375" t="s">
        <v>244</v>
      </c>
      <c r="F19" s="66">
        <v>27.636751239066978</v>
      </c>
    </row>
    <row r="20" spans="2:6">
      <c r="B20" s="1375" t="s">
        <v>149</v>
      </c>
      <c r="C20" s="1375" t="s">
        <v>177</v>
      </c>
      <c r="D20" s="1375" t="s">
        <v>183</v>
      </c>
      <c r="E20" s="1375" t="s">
        <v>251</v>
      </c>
      <c r="F20" s="66">
        <v>3.3086701730186343</v>
      </c>
    </row>
    <row r="21" spans="2:6">
      <c r="B21" s="1375" t="s">
        <v>859</v>
      </c>
      <c r="C21" s="1375" t="s">
        <v>860</v>
      </c>
      <c r="D21" s="1375" t="s">
        <v>184</v>
      </c>
      <c r="E21" s="1375" t="s">
        <v>861</v>
      </c>
      <c r="F21" s="66">
        <v>5.418603214450803</v>
      </c>
    </row>
    <row r="22" spans="2:6">
      <c r="B22" s="1375" t="s">
        <v>141</v>
      </c>
      <c r="C22" s="1375" t="s">
        <v>1407</v>
      </c>
      <c r="D22" s="1375" t="s">
        <v>183</v>
      </c>
      <c r="E22" s="1375" t="s">
        <v>256</v>
      </c>
      <c r="F22" s="66">
        <v>15.523671019144787</v>
      </c>
    </row>
    <row r="23" spans="2:6">
      <c r="B23" s="1375" t="s">
        <v>470</v>
      </c>
      <c r="C23" s="1375" t="s">
        <v>1407</v>
      </c>
      <c r="D23" s="1375" t="s">
        <v>183</v>
      </c>
      <c r="E23" s="1375" t="s">
        <v>1544</v>
      </c>
      <c r="F23" s="66">
        <v>1.9820777437902684</v>
      </c>
    </row>
    <row r="24" spans="2:6">
      <c r="B24" s="1375" t="s">
        <v>144</v>
      </c>
      <c r="C24" s="1375" t="s">
        <v>170</v>
      </c>
      <c r="D24" s="1375" t="s">
        <v>184</v>
      </c>
      <c r="E24" s="1375" t="s">
        <v>257</v>
      </c>
      <c r="F24" s="66">
        <v>0</v>
      </c>
    </row>
    <row r="25" spans="2:6">
      <c r="B25" s="1375" t="s">
        <v>143</v>
      </c>
      <c r="C25" s="1375" t="s">
        <v>169</v>
      </c>
      <c r="D25" s="1375" t="s">
        <v>184</v>
      </c>
      <c r="E25" s="1375" t="s">
        <v>245</v>
      </c>
      <c r="F25" s="66">
        <v>3.0846449544478647</v>
      </c>
    </row>
    <row r="26" spans="2:6">
      <c r="B26" s="1375" t="s">
        <v>314</v>
      </c>
      <c r="C26" s="1375" t="s">
        <v>862</v>
      </c>
      <c r="D26" s="1375" t="s">
        <v>184</v>
      </c>
      <c r="E26" s="1375" t="s">
        <v>863</v>
      </c>
      <c r="F26" s="66">
        <v>-3.8369852663718618E-2</v>
      </c>
    </row>
    <row r="27" spans="2:6">
      <c r="B27" s="1375" t="s">
        <v>148</v>
      </c>
      <c r="C27" s="1375" t="s">
        <v>172</v>
      </c>
      <c r="D27" s="1375" t="s">
        <v>184</v>
      </c>
      <c r="E27" s="1375" t="s">
        <v>253</v>
      </c>
      <c r="F27" s="66">
        <v>90.302327521601484</v>
      </c>
    </row>
    <row r="28" spans="2:6">
      <c r="B28" s="1375" t="s">
        <v>154</v>
      </c>
      <c r="C28" s="1375" t="s">
        <v>181</v>
      </c>
      <c r="D28" s="1375" t="s">
        <v>183</v>
      </c>
      <c r="E28" s="1375" t="s">
        <v>258</v>
      </c>
      <c r="F28" s="66">
        <v>2.2085038887861703</v>
      </c>
    </row>
    <row r="29" spans="2:6">
      <c r="B29" s="1375" t="s">
        <v>151</v>
      </c>
      <c r="C29" s="1375" t="s">
        <v>178</v>
      </c>
      <c r="D29" s="1375" t="s">
        <v>186</v>
      </c>
      <c r="E29" s="1375" t="s">
        <v>255</v>
      </c>
      <c r="F29" s="66">
        <v>0</v>
      </c>
    </row>
    <row r="86" spans="1:11">
      <c r="A86" s="67"/>
      <c r="I86" s="67"/>
      <c r="J86" s="67"/>
      <c r="K86" s="67"/>
    </row>
  </sheetData>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539"/>
  <sheetViews>
    <sheetView workbookViewId="0">
      <selection activeCell="A59" sqref="A59:A62 E59:H62"/>
    </sheetView>
  </sheetViews>
  <sheetFormatPr defaultColWidth="9.140625" defaultRowHeight="15"/>
  <cols>
    <col min="1" max="1" width="21.140625" style="1375" bestFit="1" customWidth="1"/>
    <col min="2" max="2" width="24" style="1375" bestFit="1" customWidth="1"/>
    <col min="3" max="3" width="27.85546875" style="1375" bestFit="1" customWidth="1"/>
    <col min="4" max="4" width="17.42578125" style="1375" bestFit="1" customWidth="1"/>
    <col min="5" max="5" width="18.7109375" style="1375" bestFit="1" customWidth="1"/>
    <col min="6" max="6" width="20.140625" style="1375" bestFit="1" customWidth="1"/>
    <col min="7" max="16384" width="9.140625" style="1375"/>
  </cols>
  <sheetData>
    <row r="1" spans="1:6">
      <c r="A1" s="65" t="s">
        <v>1750</v>
      </c>
      <c r="B1" s="1375" t="s">
        <v>134</v>
      </c>
    </row>
    <row r="3" spans="1:6">
      <c r="A3" s="65" t="s">
        <v>1757</v>
      </c>
      <c r="B3"/>
      <c r="C3"/>
      <c r="D3"/>
      <c r="E3"/>
      <c r="F3" s="65" t="s">
        <v>1754</v>
      </c>
    </row>
    <row r="4" spans="1:6">
      <c r="A4" s="65" t="s">
        <v>4</v>
      </c>
      <c r="B4" s="65" t="s">
        <v>5</v>
      </c>
      <c r="C4" s="65" t="s">
        <v>6</v>
      </c>
      <c r="D4" s="65" t="s">
        <v>8</v>
      </c>
      <c r="E4" s="65" t="s">
        <v>0</v>
      </c>
      <c r="F4" s="1375" t="s">
        <v>1755</v>
      </c>
    </row>
    <row r="5" spans="1:6">
      <c r="A5" s="1375" t="s">
        <v>150</v>
      </c>
      <c r="B5" s="1375" t="s">
        <v>288</v>
      </c>
      <c r="C5" s="1375" t="s">
        <v>157</v>
      </c>
      <c r="D5" s="1375">
        <v>2022</v>
      </c>
      <c r="E5" s="1375" t="s">
        <v>52</v>
      </c>
      <c r="F5" s="1470">
        <v>2479.0628890399998</v>
      </c>
    </row>
    <row r="6" spans="1:6">
      <c r="A6" s="1375" t="s">
        <v>150</v>
      </c>
      <c r="B6" s="1375" t="s">
        <v>288</v>
      </c>
      <c r="C6" s="1375" t="s">
        <v>157</v>
      </c>
      <c r="D6" s="1375">
        <v>2023</v>
      </c>
      <c r="E6" s="1375" t="s">
        <v>52</v>
      </c>
      <c r="F6" s="1470">
        <v>2479.0628890399998</v>
      </c>
    </row>
    <row r="7" spans="1:6">
      <c r="A7" s="1375" t="s">
        <v>150</v>
      </c>
      <c r="B7" s="1375" t="s">
        <v>288</v>
      </c>
      <c r="C7" s="1375" t="s">
        <v>157</v>
      </c>
      <c r="D7" s="1375">
        <v>2024</v>
      </c>
      <c r="E7" s="1375" t="s">
        <v>52</v>
      </c>
      <c r="F7" s="1470">
        <v>2479.0628890399998</v>
      </c>
    </row>
    <row r="8" spans="1:6">
      <c r="A8" s="1375" t="s">
        <v>150</v>
      </c>
      <c r="B8" s="1375" t="s">
        <v>288</v>
      </c>
      <c r="C8" s="1375" t="s">
        <v>157</v>
      </c>
      <c r="D8" s="1375">
        <v>2025</v>
      </c>
      <c r="E8" s="1375" t="s">
        <v>52</v>
      </c>
      <c r="F8" s="1470">
        <v>2479.0628890399998</v>
      </c>
    </row>
    <row r="9" spans="1:6">
      <c r="A9" s="1375" t="s">
        <v>150</v>
      </c>
      <c r="B9" s="1375" t="s">
        <v>289</v>
      </c>
      <c r="C9" s="1375" t="s">
        <v>157</v>
      </c>
      <c r="D9" s="1375">
        <v>2022</v>
      </c>
      <c r="E9" s="1375" t="s">
        <v>53</v>
      </c>
      <c r="F9" s="1470">
        <v>2847.95602289</v>
      </c>
    </row>
    <row r="10" spans="1:6">
      <c r="A10" s="1375" t="s">
        <v>150</v>
      </c>
      <c r="B10" s="1375" t="s">
        <v>289</v>
      </c>
      <c r="C10" s="1375" t="s">
        <v>157</v>
      </c>
      <c r="D10" s="1375">
        <v>2023</v>
      </c>
      <c r="E10" s="1375" t="s">
        <v>53</v>
      </c>
      <c r="F10" s="1470">
        <v>2847.95602289</v>
      </c>
    </row>
    <row r="11" spans="1:6">
      <c r="A11" s="1375" t="s">
        <v>150</v>
      </c>
      <c r="B11" s="1375" t="s">
        <v>289</v>
      </c>
      <c r="C11" s="1375" t="s">
        <v>157</v>
      </c>
      <c r="D11" s="1375">
        <v>2024</v>
      </c>
      <c r="E11" s="1375" t="s">
        <v>53</v>
      </c>
      <c r="F11" s="1470">
        <v>2847.95602289</v>
      </c>
    </row>
    <row r="12" spans="1:6">
      <c r="A12" s="1375" t="s">
        <v>150</v>
      </c>
      <c r="B12" s="1375" t="s">
        <v>289</v>
      </c>
      <c r="C12" s="1375" t="s">
        <v>157</v>
      </c>
      <c r="D12" s="1375">
        <v>2025</v>
      </c>
      <c r="E12" s="1375" t="s">
        <v>53</v>
      </c>
      <c r="F12" s="1470">
        <v>2847.95602289</v>
      </c>
    </row>
    <row r="13" spans="1:6">
      <c r="A13" s="1375" t="s">
        <v>150</v>
      </c>
      <c r="B13" s="1375" t="s">
        <v>290</v>
      </c>
      <c r="C13" s="1375" t="s">
        <v>157</v>
      </c>
      <c r="D13" s="1375">
        <v>2022</v>
      </c>
      <c r="E13" s="1375" t="s">
        <v>51</v>
      </c>
      <c r="F13" s="1470">
        <v>1549.82844161</v>
      </c>
    </row>
    <row r="14" spans="1:6">
      <c r="A14" s="1375" t="s">
        <v>150</v>
      </c>
      <c r="B14" s="1375" t="s">
        <v>290</v>
      </c>
      <c r="C14" s="1375" t="s">
        <v>157</v>
      </c>
      <c r="D14" s="1375">
        <v>2023</v>
      </c>
      <c r="E14" s="1375" t="s">
        <v>51</v>
      </c>
      <c r="F14" s="1470">
        <v>1549.82844161</v>
      </c>
    </row>
    <row r="15" spans="1:6">
      <c r="A15" s="1375" t="s">
        <v>150</v>
      </c>
      <c r="B15" s="1375" t="s">
        <v>290</v>
      </c>
      <c r="C15" s="1375" t="s">
        <v>157</v>
      </c>
      <c r="D15" s="1375">
        <v>2024</v>
      </c>
      <c r="E15" s="1375" t="s">
        <v>51</v>
      </c>
      <c r="F15" s="1470">
        <v>1549.82844161</v>
      </c>
    </row>
    <row r="16" spans="1:6">
      <c r="A16" s="1375" t="s">
        <v>150</v>
      </c>
      <c r="B16" s="1375" t="s">
        <v>290</v>
      </c>
      <c r="C16" s="1375" t="s">
        <v>157</v>
      </c>
      <c r="D16" s="1375">
        <v>2025</v>
      </c>
      <c r="E16" s="1375" t="s">
        <v>51</v>
      </c>
      <c r="F16" s="1470">
        <v>1549.82844161</v>
      </c>
    </row>
    <row r="17" spans="1:6">
      <c r="A17" s="1375" t="s">
        <v>154</v>
      </c>
      <c r="B17" s="1375" t="s">
        <v>279</v>
      </c>
      <c r="C17" s="1375" t="s">
        <v>1542</v>
      </c>
      <c r="D17" s="1375">
        <v>2022</v>
      </c>
      <c r="E17" s="1375" t="s">
        <v>392</v>
      </c>
      <c r="F17" s="1470">
        <v>41.802586349999999</v>
      </c>
    </row>
    <row r="18" spans="1:6">
      <c r="A18" s="1375" t="s">
        <v>154</v>
      </c>
      <c r="B18" s="1375" t="s">
        <v>279</v>
      </c>
      <c r="C18" s="1375" t="s">
        <v>1542</v>
      </c>
      <c r="D18" s="1375">
        <v>2023</v>
      </c>
      <c r="E18" s="1375" t="s">
        <v>392</v>
      </c>
      <c r="F18" s="1470">
        <v>41.802586349999999</v>
      </c>
    </row>
    <row r="19" spans="1:6">
      <c r="A19" s="1375" t="s">
        <v>154</v>
      </c>
      <c r="B19" s="1375" t="s">
        <v>279</v>
      </c>
      <c r="C19" s="1375" t="s">
        <v>1542</v>
      </c>
      <c r="D19" s="1375">
        <v>2024</v>
      </c>
      <c r="E19" s="1375" t="s">
        <v>392</v>
      </c>
      <c r="F19" s="1470">
        <v>41.802586349999999</v>
      </c>
    </row>
    <row r="20" spans="1:6">
      <c r="A20" s="1375" t="s">
        <v>154</v>
      </c>
      <c r="B20" s="1375" t="s">
        <v>279</v>
      </c>
      <c r="C20" s="1375" t="s">
        <v>1542</v>
      </c>
      <c r="D20" s="1375">
        <v>2025</v>
      </c>
      <c r="E20" s="1375" t="s">
        <v>392</v>
      </c>
      <c r="F20" s="1470">
        <v>41.802586349999999</v>
      </c>
    </row>
    <row r="21" spans="1:6">
      <c r="A21" s="1375" t="s">
        <v>154</v>
      </c>
      <c r="B21" s="1375" t="s">
        <v>279</v>
      </c>
      <c r="C21" s="1375" t="s">
        <v>1007</v>
      </c>
      <c r="D21" s="1375">
        <v>2022</v>
      </c>
      <c r="E21" s="1375" t="s">
        <v>1749</v>
      </c>
      <c r="F21" s="1470">
        <v>-6.1911982099999996</v>
      </c>
    </row>
    <row r="22" spans="1:6">
      <c r="A22" s="1375" t="s">
        <v>154</v>
      </c>
      <c r="B22" s="1375" t="s">
        <v>279</v>
      </c>
      <c r="C22" s="1375" t="s">
        <v>1007</v>
      </c>
      <c r="D22" s="1375">
        <v>2023</v>
      </c>
      <c r="E22" s="1375" t="s">
        <v>1749</v>
      </c>
      <c r="F22" s="1470">
        <v>-6.1911982099999996</v>
      </c>
    </row>
    <row r="23" spans="1:6">
      <c r="A23" s="1375" t="s">
        <v>154</v>
      </c>
      <c r="B23" s="1375" t="s">
        <v>279</v>
      </c>
      <c r="C23" s="1375" t="s">
        <v>1007</v>
      </c>
      <c r="D23" s="1375">
        <v>2024</v>
      </c>
      <c r="E23" s="1375" t="s">
        <v>1749</v>
      </c>
      <c r="F23" s="1470">
        <v>-6.1911982099999996</v>
      </c>
    </row>
    <row r="24" spans="1:6">
      <c r="A24" s="1375" t="s">
        <v>154</v>
      </c>
      <c r="B24" s="1375" t="s">
        <v>279</v>
      </c>
      <c r="C24" s="1375" t="s">
        <v>1007</v>
      </c>
      <c r="D24" s="1375">
        <v>2025</v>
      </c>
      <c r="E24" s="1375" t="s">
        <v>1749</v>
      </c>
      <c r="F24" s="1470">
        <v>-6.1911982099999996</v>
      </c>
    </row>
    <row r="25" spans="1:6">
      <c r="A25" s="1375" t="s">
        <v>154</v>
      </c>
      <c r="B25" s="1375" t="s">
        <v>284</v>
      </c>
      <c r="C25" s="1375" t="s">
        <v>1007</v>
      </c>
      <c r="D25" s="1375">
        <v>2022</v>
      </c>
      <c r="E25" s="1375" t="s">
        <v>1913</v>
      </c>
      <c r="F25" s="1470">
        <v>-87.965187720000003</v>
      </c>
    </row>
    <row r="26" spans="1:6">
      <c r="A26" s="1375" t="s">
        <v>154</v>
      </c>
      <c r="B26" s="1375" t="s">
        <v>284</v>
      </c>
      <c r="C26" s="1375" t="s">
        <v>1007</v>
      </c>
      <c r="D26" s="1375">
        <v>2023</v>
      </c>
      <c r="E26" s="1375" t="s">
        <v>1913</v>
      </c>
      <c r="F26" s="1470">
        <v>-87.965187720000003</v>
      </c>
    </row>
    <row r="27" spans="1:6">
      <c r="A27" s="1375" t="s">
        <v>154</v>
      </c>
      <c r="B27" s="1375" t="s">
        <v>284</v>
      </c>
      <c r="C27" s="1375" t="s">
        <v>1007</v>
      </c>
      <c r="D27" s="1375">
        <v>2024</v>
      </c>
      <c r="E27" s="1375" t="s">
        <v>1913</v>
      </c>
      <c r="F27" s="1470">
        <v>-87.965187720000003</v>
      </c>
    </row>
    <row r="28" spans="1:6">
      <c r="A28" s="1375" t="s">
        <v>154</v>
      </c>
      <c r="B28" s="1375" t="s">
        <v>284</v>
      </c>
      <c r="C28" s="1375" t="s">
        <v>1007</v>
      </c>
      <c r="D28" s="1375">
        <v>2025</v>
      </c>
      <c r="E28" s="1375" t="s">
        <v>1913</v>
      </c>
      <c r="F28" s="1470">
        <v>-87.965187720000003</v>
      </c>
    </row>
    <row r="29" spans="1:6">
      <c r="A29" s="1375" t="s">
        <v>154</v>
      </c>
      <c r="B29" s="1375" t="s">
        <v>284</v>
      </c>
      <c r="C29" s="1375" t="s">
        <v>1392</v>
      </c>
      <c r="D29" s="1375">
        <v>2022</v>
      </c>
      <c r="E29" s="1375" t="s">
        <v>268</v>
      </c>
      <c r="F29" s="1470">
        <v>-0.55008771999999995</v>
      </c>
    </row>
    <row r="30" spans="1:6">
      <c r="A30" s="1375" t="s">
        <v>154</v>
      </c>
      <c r="B30" s="1375" t="s">
        <v>284</v>
      </c>
      <c r="C30" s="1375" t="s">
        <v>1392</v>
      </c>
      <c r="D30" s="1375">
        <v>2023</v>
      </c>
      <c r="E30" s="1375" t="s">
        <v>268</v>
      </c>
      <c r="F30" s="1470">
        <v>-0.55008771999999995</v>
      </c>
    </row>
    <row r="31" spans="1:6">
      <c r="A31" s="1375" t="s">
        <v>154</v>
      </c>
      <c r="B31" s="1375" t="s">
        <v>284</v>
      </c>
      <c r="C31" s="1375" t="s">
        <v>1392</v>
      </c>
      <c r="D31" s="1375">
        <v>2024</v>
      </c>
      <c r="E31" s="1375" t="s">
        <v>268</v>
      </c>
      <c r="F31" s="1470">
        <v>-0.55008771999999995</v>
      </c>
    </row>
    <row r="32" spans="1:6">
      <c r="A32" s="1375" t="s">
        <v>154</v>
      </c>
      <c r="B32" s="1375" t="s">
        <v>284</v>
      </c>
      <c r="C32" s="1375" t="s">
        <v>1392</v>
      </c>
      <c r="D32" s="1375">
        <v>2025</v>
      </c>
      <c r="E32" s="1375" t="s">
        <v>268</v>
      </c>
      <c r="F32" s="1470">
        <v>-0.55008771999999995</v>
      </c>
    </row>
    <row r="33" spans="1:6">
      <c r="A33" s="1375" t="s">
        <v>154</v>
      </c>
      <c r="B33" s="1375" t="s">
        <v>284</v>
      </c>
      <c r="C33" s="1375" t="s">
        <v>1393</v>
      </c>
      <c r="D33" s="1375">
        <v>2022</v>
      </c>
      <c r="E33" s="1375" t="s">
        <v>270</v>
      </c>
      <c r="F33" s="1470">
        <v>0</v>
      </c>
    </row>
    <row r="34" spans="1:6">
      <c r="A34" s="1375" t="s">
        <v>154</v>
      </c>
      <c r="B34" s="1375" t="s">
        <v>284</v>
      </c>
      <c r="C34" s="1375" t="s">
        <v>1393</v>
      </c>
      <c r="D34" s="1375">
        <v>2023</v>
      </c>
      <c r="E34" s="1375" t="s">
        <v>270</v>
      </c>
      <c r="F34" s="1470">
        <v>0</v>
      </c>
    </row>
    <row r="35" spans="1:6">
      <c r="A35" s="1375" t="s">
        <v>154</v>
      </c>
      <c r="B35" s="1375" t="s">
        <v>284</v>
      </c>
      <c r="C35" s="1375" t="s">
        <v>1393</v>
      </c>
      <c r="D35" s="1375">
        <v>2024</v>
      </c>
      <c r="E35" s="1375" t="s">
        <v>270</v>
      </c>
      <c r="F35" s="1470">
        <v>0</v>
      </c>
    </row>
    <row r="36" spans="1:6">
      <c r="A36" s="1375" t="s">
        <v>154</v>
      </c>
      <c r="B36" s="1375" t="s">
        <v>284</v>
      </c>
      <c r="C36" s="1375" t="s">
        <v>1393</v>
      </c>
      <c r="D36" s="1375">
        <v>2025</v>
      </c>
      <c r="E36" s="1375" t="s">
        <v>270</v>
      </c>
      <c r="F36" s="1470">
        <v>0</v>
      </c>
    </row>
    <row r="37" spans="1:6">
      <c r="A37" s="1375" t="s">
        <v>154</v>
      </c>
      <c r="B37" s="1375" t="s">
        <v>284</v>
      </c>
      <c r="C37" s="1375" t="s">
        <v>947</v>
      </c>
      <c r="D37" s="1375">
        <v>2022</v>
      </c>
      <c r="E37" s="1375" t="s">
        <v>269</v>
      </c>
      <c r="F37" s="1470">
        <v>79.794812280000002</v>
      </c>
    </row>
    <row r="38" spans="1:6">
      <c r="A38" s="1375" t="s">
        <v>154</v>
      </c>
      <c r="B38" s="1375" t="s">
        <v>284</v>
      </c>
      <c r="C38" s="1375" t="s">
        <v>947</v>
      </c>
      <c r="D38" s="1375">
        <v>2023</v>
      </c>
      <c r="E38" s="1375" t="s">
        <v>269</v>
      </c>
      <c r="F38" s="1470">
        <v>79.794812280000002</v>
      </c>
    </row>
    <row r="39" spans="1:6">
      <c r="A39" s="1375" t="s">
        <v>154</v>
      </c>
      <c r="B39" s="1375" t="s">
        <v>284</v>
      </c>
      <c r="C39" s="1375" t="s">
        <v>947</v>
      </c>
      <c r="D39" s="1375">
        <v>2024</v>
      </c>
      <c r="E39" s="1375" t="s">
        <v>269</v>
      </c>
      <c r="F39" s="1470">
        <v>79.794812280000002</v>
      </c>
    </row>
    <row r="40" spans="1:6">
      <c r="A40" s="1375" t="s">
        <v>154</v>
      </c>
      <c r="B40" s="1375" t="s">
        <v>284</v>
      </c>
      <c r="C40" s="1375" t="s">
        <v>947</v>
      </c>
      <c r="D40" s="1375">
        <v>2025</v>
      </c>
      <c r="E40" s="1375" t="s">
        <v>269</v>
      </c>
      <c r="F40" s="1470">
        <v>79.794812280000002</v>
      </c>
    </row>
    <row r="41" spans="1:6">
      <c r="A41" s="1375" t="s">
        <v>154</v>
      </c>
      <c r="B41" s="1375" t="s">
        <v>156</v>
      </c>
      <c r="C41" s="1375" t="s">
        <v>1007</v>
      </c>
      <c r="D41" s="1375">
        <v>2022</v>
      </c>
      <c r="E41" s="1375" t="s">
        <v>135</v>
      </c>
      <c r="F41" s="1470">
        <v>-35.722187720000001</v>
      </c>
    </row>
    <row r="42" spans="1:6">
      <c r="A42" s="1375" t="s">
        <v>154</v>
      </c>
      <c r="B42" s="1375" t="s">
        <v>156</v>
      </c>
      <c r="C42" s="1375" t="s">
        <v>1007</v>
      </c>
      <c r="D42" s="1375">
        <v>2023</v>
      </c>
      <c r="E42" s="1375" t="s">
        <v>135</v>
      </c>
      <c r="F42" s="1470">
        <v>-35.722187720000001</v>
      </c>
    </row>
    <row r="43" spans="1:6">
      <c r="A43" s="1375" t="s">
        <v>154</v>
      </c>
      <c r="B43" s="1375" t="s">
        <v>156</v>
      </c>
      <c r="C43" s="1375" t="s">
        <v>1007</v>
      </c>
      <c r="D43" s="1375">
        <v>2024</v>
      </c>
      <c r="E43" s="1375" t="s">
        <v>135</v>
      </c>
      <c r="F43" s="1470">
        <v>-35.722187720000001</v>
      </c>
    </row>
    <row r="44" spans="1:6">
      <c r="A44" s="1375" t="s">
        <v>154</v>
      </c>
      <c r="B44" s="1375" t="s">
        <v>156</v>
      </c>
      <c r="C44" s="1375" t="s">
        <v>1007</v>
      </c>
      <c r="D44" s="1375">
        <v>2025</v>
      </c>
      <c r="E44" s="1375" t="s">
        <v>135</v>
      </c>
      <c r="F44" s="1470">
        <v>-35.722187720000001</v>
      </c>
    </row>
    <row r="45" spans="1:6">
      <c r="A45" s="1375" t="s">
        <v>154</v>
      </c>
      <c r="B45" s="1375" t="s">
        <v>156</v>
      </c>
      <c r="C45" s="1375" t="s">
        <v>947</v>
      </c>
      <c r="D45" s="1375">
        <v>2022</v>
      </c>
      <c r="E45" s="1375" t="s">
        <v>97</v>
      </c>
      <c r="F45" s="1470">
        <v>75.10681228</v>
      </c>
    </row>
    <row r="46" spans="1:6">
      <c r="A46" s="1375" t="s">
        <v>154</v>
      </c>
      <c r="B46" s="1375" t="s">
        <v>156</v>
      </c>
      <c r="C46" s="1375" t="s">
        <v>947</v>
      </c>
      <c r="D46" s="1375">
        <v>2023</v>
      </c>
      <c r="E46" s="1375" t="s">
        <v>97</v>
      </c>
      <c r="F46" s="1470">
        <v>75.10681228</v>
      </c>
    </row>
    <row r="47" spans="1:6">
      <c r="A47" s="1375" t="s">
        <v>154</v>
      </c>
      <c r="B47" s="1375" t="s">
        <v>156</v>
      </c>
      <c r="C47" s="1375" t="s">
        <v>947</v>
      </c>
      <c r="D47" s="1375">
        <v>2024</v>
      </c>
      <c r="E47" s="1375" t="s">
        <v>97</v>
      </c>
      <c r="F47" s="1470">
        <v>75.10681228</v>
      </c>
    </row>
    <row r="48" spans="1:6">
      <c r="A48" s="1375" t="s">
        <v>154</v>
      </c>
      <c r="B48" s="1375" t="s">
        <v>156</v>
      </c>
      <c r="C48" s="1375" t="s">
        <v>947</v>
      </c>
      <c r="D48" s="1375">
        <v>2025</v>
      </c>
      <c r="E48" s="1375" t="s">
        <v>97</v>
      </c>
      <c r="F48" s="1470">
        <v>75.10681228</v>
      </c>
    </row>
    <row r="49" spans="1:6">
      <c r="A49" s="1375" t="s">
        <v>154</v>
      </c>
      <c r="B49" s="1375" t="s">
        <v>156</v>
      </c>
      <c r="C49" s="1375" t="s">
        <v>1565</v>
      </c>
      <c r="D49" s="1375">
        <v>2022</v>
      </c>
      <c r="E49" s="1375" t="s">
        <v>98</v>
      </c>
      <c r="F49" s="1470">
        <v>86.139712279999998</v>
      </c>
    </row>
    <row r="50" spans="1:6">
      <c r="A50" s="1375" t="s">
        <v>154</v>
      </c>
      <c r="B50" s="1375" t="s">
        <v>156</v>
      </c>
      <c r="C50" s="1375" t="s">
        <v>1565</v>
      </c>
      <c r="D50" s="1375">
        <v>2023</v>
      </c>
      <c r="E50" s="1375" t="s">
        <v>98</v>
      </c>
      <c r="F50" s="1470">
        <v>86.139712279999998</v>
      </c>
    </row>
    <row r="51" spans="1:6">
      <c r="A51" s="1375" t="s">
        <v>154</v>
      </c>
      <c r="B51" s="1375" t="s">
        <v>156</v>
      </c>
      <c r="C51" s="1375" t="s">
        <v>1565</v>
      </c>
      <c r="D51" s="1375">
        <v>2024</v>
      </c>
      <c r="E51" s="1375" t="s">
        <v>98</v>
      </c>
      <c r="F51" s="1470">
        <v>86.139712279999998</v>
      </c>
    </row>
    <row r="52" spans="1:6">
      <c r="A52" s="1375" t="s">
        <v>154</v>
      </c>
      <c r="B52" s="1375" t="s">
        <v>156</v>
      </c>
      <c r="C52" s="1375" t="s">
        <v>1565</v>
      </c>
      <c r="D52" s="1375">
        <v>2025</v>
      </c>
      <c r="E52" s="1375" t="s">
        <v>98</v>
      </c>
      <c r="F52" s="1470">
        <v>86.139712279999998</v>
      </c>
    </row>
    <row r="53" spans="1:6">
      <c r="A53" s="1375" t="s">
        <v>154</v>
      </c>
      <c r="B53" s="1375" t="s">
        <v>156</v>
      </c>
      <c r="C53" s="1375" t="s">
        <v>1566</v>
      </c>
      <c r="D53" s="1375">
        <v>2022</v>
      </c>
      <c r="E53" s="1375" t="s">
        <v>99</v>
      </c>
      <c r="F53" s="1470">
        <v>0</v>
      </c>
    </row>
    <row r="54" spans="1:6">
      <c r="A54" s="1375" t="s">
        <v>154</v>
      </c>
      <c r="B54" s="1375" t="s">
        <v>156</v>
      </c>
      <c r="C54" s="1375" t="s">
        <v>1566</v>
      </c>
      <c r="D54" s="1375">
        <v>2023</v>
      </c>
      <c r="E54" s="1375" t="s">
        <v>99</v>
      </c>
      <c r="F54" s="1470">
        <v>0</v>
      </c>
    </row>
    <row r="55" spans="1:6">
      <c r="A55" s="1375" t="s">
        <v>154</v>
      </c>
      <c r="B55" s="1375" t="s">
        <v>156</v>
      </c>
      <c r="C55" s="1375" t="s">
        <v>1566</v>
      </c>
      <c r="D55" s="1375">
        <v>2024</v>
      </c>
      <c r="E55" s="1375" t="s">
        <v>99</v>
      </c>
      <c r="F55" s="1470">
        <v>0</v>
      </c>
    </row>
    <row r="56" spans="1:6">
      <c r="A56" s="1375" t="s">
        <v>154</v>
      </c>
      <c r="B56" s="1375" t="s">
        <v>156</v>
      </c>
      <c r="C56" s="1375" t="s">
        <v>1566</v>
      </c>
      <c r="D56" s="1375">
        <v>2025</v>
      </c>
      <c r="E56" s="1375" t="s">
        <v>99</v>
      </c>
      <c r="F56" s="1470">
        <v>0</v>
      </c>
    </row>
    <row r="57" spans="1:6">
      <c r="A57" s="1375" t="s">
        <v>154</v>
      </c>
      <c r="B57" s="1375" t="s">
        <v>315</v>
      </c>
      <c r="C57" s="1375" t="s">
        <v>1007</v>
      </c>
      <c r="D57" s="1375">
        <v>2022</v>
      </c>
      <c r="E57" s="1375" t="s">
        <v>2322</v>
      </c>
      <c r="F57" s="1470">
        <v>-48.371692029999998</v>
      </c>
    </row>
    <row r="58" spans="1:6">
      <c r="A58" s="1375" t="s">
        <v>154</v>
      </c>
      <c r="B58" s="1375" t="s">
        <v>315</v>
      </c>
      <c r="C58" s="1375" t="s">
        <v>1007</v>
      </c>
      <c r="D58" s="1375">
        <v>2023</v>
      </c>
      <c r="E58" s="1375" t="s">
        <v>2322</v>
      </c>
      <c r="F58" s="1470">
        <v>-48.371692029999998</v>
      </c>
    </row>
    <row r="59" spans="1:6">
      <c r="A59" s="1375" t="s">
        <v>154</v>
      </c>
      <c r="B59" s="1375" t="s">
        <v>315</v>
      </c>
      <c r="C59" s="1375" t="s">
        <v>1007</v>
      </c>
      <c r="D59" s="1375">
        <v>2024</v>
      </c>
      <c r="E59" s="1375" t="s">
        <v>2322</v>
      </c>
      <c r="F59" s="1470">
        <v>-48.371692029999998</v>
      </c>
    </row>
    <row r="60" spans="1:6">
      <c r="A60" s="1375" t="s">
        <v>154</v>
      </c>
      <c r="B60" s="1375" t="s">
        <v>315</v>
      </c>
      <c r="C60" s="1375" t="s">
        <v>1007</v>
      </c>
      <c r="D60" s="1375">
        <v>2025</v>
      </c>
      <c r="E60" s="1375" t="s">
        <v>2322</v>
      </c>
      <c r="F60" s="1470">
        <v>-48.371692029999998</v>
      </c>
    </row>
    <row r="61" spans="1:6">
      <c r="A61" s="1375" t="s">
        <v>154</v>
      </c>
      <c r="B61" s="1375" t="s">
        <v>315</v>
      </c>
      <c r="C61" s="1375" t="s">
        <v>1262</v>
      </c>
      <c r="D61" s="1375">
        <v>2022</v>
      </c>
      <c r="E61" s="1375" t="s">
        <v>447</v>
      </c>
      <c r="F61" s="1470">
        <v>-7.9734500700000002</v>
      </c>
    </row>
    <row r="62" spans="1:6">
      <c r="A62" s="1375" t="s">
        <v>154</v>
      </c>
      <c r="B62" s="1375" t="s">
        <v>315</v>
      </c>
      <c r="C62" s="1375" t="s">
        <v>1262</v>
      </c>
      <c r="D62" s="1375">
        <v>2023</v>
      </c>
      <c r="E62" s="1375" t="s">
        <v>447</v>
      </c>
      <c r="F62" s="1470">
        <v>-7.9734500700000002</v>
      </c>
    </row>
    <row r="63" spans="1:6">
      <c r="A63" s="1375" t="s">
        <v>154</v>
      </c>
      <c r="B63" s="1375" t="s">
        <v>315</v>
      </c>
      <c r="C63" s="1375" t="s">
        <v>1262</v>
      </c>
      <c r="D63" s="1375">
        <v>2024</v>
      </c>
      <c r="E63" s="1375" t="s">
        <v>447</v>
      </c>
      <c r="F63" s="1470">
        <v>-7.9734500700000002</v>
      </c>
    </row>
    <row r="64" spans="1:6">
      <c r="A64" s="1375" t="s">
        <v>154</v>
      </c>
      <c r="B64" s="1375" t="s">
        <v>315</v>
      </c>
      <c r="C64" s="1375" t="s">
        <v>1262</v>
      </c>
      <c r="D64" s="1375">
        <v>2025</v>
      </c>
      <c r="E64" s="1375" t="s">
        <v>447</v>
      </c>
      <c r="F64" s="1470">
        <v>-7.9734500700000002</v>
      </c>
    </row>
    <row r="65" spans="1:6">
      <c r="A65" s="1375" t="s">
        <v>154</v>
      </c>
      <c r="B65" s="1375" t="s">
        <v>315</v>
      </c>
      <c r="C65" s="1375" t="s">
        <v>163</v>
      </c>
      <c r="D65" s="1375">
        <v>2022</v>
      </c>
      <c r="E65" s="1375" t="s">
        <v>448</v>
      </c>
      <c r="F65" s="1470">
        <v>94.712395810000004</v>
      </c>
    </row>
    <row r="66" spans="1:6">
      <c r="A66" s="1375" t="s">
        <v>154</v>
      </c>
      <c r="B66" s="1375" t="s">
        <v>315</v>
      </c>
      <c r="C66" s="1375" t="s">
        <v>163</v>
      </c>
      <c r="D66" s="1375">
        <v>2023</v>
      </c>
      <c r="E66" s="1375" t="s">
        <v>448</v>
      </c>
      <c r="F66" s="1470">
        <v>94.712395810000004</v>
      </c>
    </row>
    <row r="67" spans="1:6">
      <c r="A67" s="1375" t="s">
        <v>154</v>
      </c>
      <c r="B67" s="1375" t="s">
        <v>315</v>
      </c>
      <c r="C67" s="1375" t="s">
        <v>163</v>
      </c>
      <c r="D67" s="1375">
        <v>2024</v>
      </c>
      <c r="E67" s="1375" t="s">
        <v>448</v>
      </c>
      <c r="F67" s="1470">
        <v>94.712395810000004</v>
      </c>
    </row>
    <row r="68" spans="1:6">
      <c r="A68" s="1375" t="s">
        <v>154</v>
      </c>
      <c r="B68" s="1375" t="s">
        <v>315</v>
      </c>
      <c r="C68" s="1375" t="s">
        <v>163</v>
      </c>
      <c r="D68" s="1375">
        <v>2025</v>
      </c>
      <c r="E68" s="1375" t="s">
        <v>448</v>
      </c>
      <c r="F68" s="1470">
        <v>94.712395810000004</v>
      </c>
    </row>
    <row r="69" spans="1:6">
      <c r="A69" s="1375" t="s">
        <v>154</v>
      </c>
      <c r="B69" s="1375" t="s">
        <v>317</v>
      </c>
      <c r="C69" s="1375" t="s">
        <v>1007</v>
      </c>
      <c r="D69" s="1375">
        <v>2022</v>
      </c>
      <c r="E69" s="1375" t="s">
        <v>2324</v>
      </c>
      <c r="F69" s="1470">
        <v>-2.5188902299999998</v>
      </c>
    </row>
    <row r="70" spans="1:6">
      <c r="A70" s="1375" t="s">
        <v>154</v>
      </c>
      <c r="B70" s="1375" t="s">
        <v>317</v>
      </c>
      <c r="C70" s="1375" t="s">
        <v>1007</v>
      </c>
      <c r="D70" s="1375">
        <v>2023</v>
      </c>
      <c r="E70" s="1375" t="s">
        <v>2324</v>
      </c>
      <c r="F70" s="1470">
        <v>-2.5188902299999998</v>
      </c>
    </row>
    <row r="71" spans="1:6">
      <c r="A71" s="1375" t="s">
        <v>154</v>
      </c>
      <c r="B71" s="1375" t="s">
        <v>317</v>
      </c>
      <c r="C71" s="1375" t="s">
        <v>1007</v>
      </c>
      <c r="D71" s="1375">
        <v>2024</v>
      </c>
      <c r="E71" s="1375" t="s">
        <v>2324</v>
      </c>
      <c r="F71" s="1470">
        <v>-2.5188902299999998</v>
      </c>
    </row>
    <row r="72" spans="1:6">
      <c r="A72" s="1375" t="s">
        <v>154</v>
      </c>
      <c r="B72" s="1375" t="s">
        <v>317</v>
      </c>
      <c r="C72" s="1375" t="s">
        <v>1007</v>
      </c>
      <c r="D72" s="1375">
        <v>2025</v>
      </c>
      <c r="E72" s="1375" t="s">
        <v>2324</v>
      </c>
      <c r="F72" s="1470">
        <v>-2.5188902299999998</v>
      </c>
    </row>
    <row r="73" spans="1:6">
      <c r="A73" s="1375" t="s">
        <v>154</v>
      </c>
      <c r="B73" s="1375" t="s">
        <v>317</v>
      </c>
      <c r="C73" s="1375" t="s">
        <v>1262</v>
      </c>
      <c r="D73" s="1375">
        <v>2022</v>
      </c>
      <c r="E73" s="1375" t="s">
        <v>449</v>
      </c>
      <c r="F73" s="1470">
        <v>32.220843780000003</v>
      </c>
    </row>
    <row r="74" spans="1:6">
      <c r="A74" s="1375" t="s">
        <v>154</v>
      </c>
      <c r="B74" s="1375" t="s">
        <v>317</v>
      </c>
      <c r="C74" s="1375" t="s">
        <v>1262</v>
      </c>
      <c r="D74" s="1375">
        <v>2023</v>
      </c>
      <c r="E74" s="1375" t="s">
        <v>449</v>
      </c>
      <c r="F74" s="1470">
        <v>32.220843780000003</v>
      </c>
    </row>
    <row r="75" spans="1:6">
      <c r="A75" s="1375" t="s">
        <v>154</v>
      </c>
      <c r="B75" s="1375" t="s">
        <v>317</v>
      </c>
      <c r="C75" s="1375" t="s">
        <v>1262</v>
      </c>
      <c r="D75" s="1375">
        <v>2024</v>
      </c>
      <c r="E75" s="1375" t="s">
        <v>449</v>
      </c>
      <c r="F75" s="1470">
        <v>32.220843780000003</v>
      </c>
    </row>
    <row r="76" spans="1:6">
      <c r="A76" s="1375" t="s">
        <v>154</v>
      </c>
      <c r="B76" s="1375" t="s">
        <v>317</v>
      </c>
      <c r="C76" s="1375" t="s">
        <v>1262</v>
      </c>
      <c r="D76" s="1375">
        <v>2025</v>
      </c>
      <c r="E76" s="1375" t="s">
        <v>449</v>
      </c>
      <c r="F76" s="1470">
        <v>32.220843780000003</v>
      </c>
    </row>
    <row r="77" spans="1:6">
      <c r="A77" s="1375" t="s">
        <v>154</v>
      </c>
      <c r="B77" s="1375" t="s">
        <v>317</v>
      </c>
      <c r="C77" s="1375" t="s">
        <v>163</v>
      </c>
      <c r="D77" s="1375">
        <v>2022</v>
      </c>
      <c r="E77" s="1375" t="s">
        <v>450</v>
      </c>
      <c r="F77" s="1470">
        <v>1.41537398</v>
      </c>
    </row>
    <row r="78" spans="1:6">
      <c r="A78" s="1375" t="s">
        <v>154</v>
      </c>
      <c r="B78" s="1375" t="s">
        <v>317</v>
      </c>
      <c r="C78" s="1375" t="s">
        <v>163</v>
      </c>
      <c r="D78" s="1375">
        <v>2023</v>
      </c>
      <c r="E78" s="1375" t="s">
        <v>450</v>
      </c>
      <c r="F78" s="1470">
        <v>106.05575447</v>
      </c>
    </row>
    <row r="79" spans="1:6">
      <c r="A79" s="1375" t="s">
        <v>154</v>
      </c>
      <c r="B79" s="1375" t="s">
        <v>317</v>
      </c>
      <c r="C79" s="1375" t="s">
        <v>163</v>
      </c>
      <c r="D79" s="1375">
        <v>2024</v>
      </c>
      <c r="E79" s="1375" t="s">
        <v>450</v>
      </c>
      <c r="F79" s="1470">
        <v>106.05575447</v>
      </c>
    </row>
    <row r="80" spans="1:6">
      <c r="A80" s="1375" t="s">
        <v>154</v>
      </c>
      <c r="B80" s="1375" t="s">
        <v>317</v>
      </c>
      <c r="C80" s="1375" t="s">
        <v>163</v>
      </c>
      <c r="D80" s="1375">
        <v>2025</v>
      </c>
      <c r="E80" s="1375" t="s">
        <v>450</v>
      </c>
      <c r="F80" s="1470">
        <v>106.05575447</v>
      </c>
    </row>
    <row r="81" spans="1:6">
      <c r="A81" s="1375" t="s">
        <v>154</v>
      </c>
      <c r="B81" s="1375" t="s">
        <v>512</v>
      </c>
      <c r="C81" s="1375" t="s">
        <v>1007</v>
      </c>
      <c r="D81" s="1375">
        <v>2022</v>
      </c>
      <c r="E81" s="1375" t="s">
        <v>2343</v>
      </c>
      <c r="F81" s="1470">
        <v>0</v>
      </c>
    </row>
    <row r="82" spans="1:6">
      <c r="A82" s="1375" t="s">
        <v>154</v>
      </c>
      <c r="B82" s="1375" t="s">
        <v>512</v>
      </c>
      <c r="C82" s="1375" t="s">
        <v>1007</v>
      </c>
      <c r="D82" s="1375">
        <v>2023</v>
      </c>
      <c r="E82" s="1375" t="s">
        <v>2343</v>
      </c>
      <c r="F82" s="1470">
        <v>0</v>
      </c>
    </row>
    <row r="83" spans="1:6">
      <c r="A83" s="1375" t="s">
        <v>154</v>
      </c>
      <c r="B83" s="1375" t="s">
        <v>512</v>
      </c>
      <c r="C83" s="1375" t="s">
        <v>1007</v>
      </c>
      <c r="D83" s="1375">
        <v>2024</v>
      </c>
      <c r="E83" s="1375" t="s">
        <v>2343</v>
      </c>
      <c r="F83" s="1470">
        <v>0</v>
      </c>
    </row>
    <row r="84" spans="1:6">
      <c r="A84" s="1375" t="s">
        <v>154</v>
      </c>
      <c r="B84" s="1375" t="s">
        <v>512</v>
      </c>
      <c r="C84" s="1375" t="s">
        <v>1007</v>
      </c>
      <c r="D84" s="1375">
        <v>2025</v>
      </c>
      <c r="E84" s="1375" t="s">
        <v>2343</v>
      </c>
      <c r="F84" s="1470">
        <v>0</v>
      </c>
    </row>
    <row r="85" spans="1:6">
      <c r="A85" s="1375" t="s">
        <v>154</v>
      </c>
      <c r="B85" s="1375" t="s">
        <v>512</v>
      </c>
      <c r="C85" s="1375" t="s">
        <v>163</v>
      </c>
      <c r="D85" s="1375">
        <v>2022</v>
      </c>
      <c r="E85" s="1375" t="s">
        <v>1394</v>
      </c>
      <c r="F85" s="1470">
        <v>58.958138820000002</v>
      </c>
    </row>
    <row r="86" spans="1:6">
      <c r="A86" s="1375" t="s">
        <v>154</v>
      </c>
      <c r="B86" s="1375" t="s">
        <v>512</v>
      </c>
      <c r="C86" s="1375" t="s">
        <v>163</v>
      </c>
      <c r="D86" s="1375">
        <v>2023</v>
      </c>
      <c r="E86" s="1375" t="s">
        <v>1394</v>
      </c>
      <c r="F86" s="1470">
        <v>58.958138820000002</v>
      </c>
    </row>
    <row r="87" spans="1:6">
      <c r="A87" s="1375" t="s">
        <v>154</v>
      </c>
      <c r="B87" s="1375" t="s">
        <v>512</v>
      </c>
      <c r="C87" s="1375" t="s">
        <v>163</v>
      </c>
      <c r="D87" s="1375">
        <v>2024</v>
      </c>
      <c r="E87" s="1375" t="s">
        <v>1394</v>
      </c>
      <c r="F87" s="1470">
        <v>58.958138820000002</v>
      </c>
    </row>
    <row r="88" spans="1:6">
      <c r="A88" s="1375" t="s">
        <v>154</v>
      </c>
      <c r="B88" s="1375" t="s">
        <v>512</v>
      </c>
      <c r="C88" s="1375" t="s">
        <v>163</v>
      </c>
      <c r="D88" s="1375">
        <v>2025</v>
      </c>
      <c r="E88" s="1375" t="s">
        <v>1394</v>
      </c>
      <c r="F88" s="1470">
        <v>58.958138820000002</v>
      </c>
    </row>
    <row r="89" spans="1:6">
      <c r="A89" s="1375" t="s">
        <v>154</v>
      </c>
      <c r="B89" s="1375" t="s">
        <v>512</v>
      </c>
      <c r="C89" s="1375" t="s">
        <v>948</v>
      </c>
      <c r="D89" s="1375">
        <v>2022</v>
      </c>
      <c r="E89" s="1375" t="s">
        <v>120</v>
      </c>
      <c r="F89" s="1470">
        <v>-1.90699087</v>
      </c>
    </row>
    <row r="90" spans="1:6">
      <c r="A90" s="1375" t="s">
        <v>154</v>
      </c>
      <c r="B90" s="1375" t="s">
        <v>512</v>
      </c>
      <c r="C90" s="1375" t="s">
        <v>948</v>
      </c>
      <c r="D90" s="1375">
        <v>2023</v>
      </c>
      <c r="E90" s="1375" t="s">
        <v>120</v>
      </c>
      <c r="F90" s="1470">
        <v>-1.90699087</v>
      </c>
    </row>
    <row r="91" spans="1:6">
      <c r="A91" s="1375" t="s">
        <v>154</v>
      </c>
      <c r="B91" s="1375" t="s">
        <v>512</v>
      </c>
      <c r="C91" s="1375" t="s">
        <v>948</v>
      </c>
      <c r="D91" s="1375">
        <v>2024</v>
      </c>
      <c r="E91" s="1375" t="s">
        <v>120</v>
      </c>
      <c r="F91" s="1470">
        <v>-1.90699087</v>
      </c>
    </row>
    <row r="92" spans="1:6">
      <c r="A92" s="1375" t="s">
        <v>154</v>
      </c>
      <c r="B92" s="1375" t="s">
        <v>512</v>
      </c>
      <c r="C92" s="1375" t="s">
        <v>948</v>
      </c>
      <c r="D92" s="1375">
        <v>2025</v>
      </c>
      <c r="E92" s="1375" t="s">
        <v>120</v>
      </c>
      <c r="F92" s="1470">
        <v>-1.90699087</v>
      </c>
    </row>
    <row r="93" spans="1:6">
      <c r="A93" s="1375" t="s">
        <v>154</v>
      </c>
      <c r="B93" s="1375" t="s">
        <v>316</v>
      </c>
      <c r="C93" s="1375" t="s">
        <v>1007</v>
      </c>
      <c r="D93" s="1375">
        <v>2022</v>
      </c>
      <c r="E93" s="1375" t="s">
        <v>2347</v>
      </c>
      <c r="F93" s="1470">
        <v>-12.82470554</v>
      </c>
    </row>
    <row r="94" spans="1:6">
      <c r="A94" s="1375" t="s">
        <v>154</v>
      </c>
      <c r="B94" s="1375" t="s">
        <v>316</v>
      </c>
      <c r="C94" s="1375" t="s">
        <v>1007</v>
      </c>
      <c r="D94" s="1375">
        <v>2023</v>
      </c>
      <c r="E94" s="1375" t="s">
        <v>2347</v>
      </c>
      <c r="F94" s="1470">
        <v>-12.82470554</v>
      </c>
    </row>
    <row r="95" spans="1:6">
      <c r="A95" s="1375" t="s">
        <v>154</v>
      </c>
      <c r="B95" s="1375" t="s">
        <v>316</v>
      </c>
      <c r="C95" s="1375" t="s">
        <v>1007</v>
      </c>
      <c r="D95" s="1375">
        <v>2024</v>
      </c>
      <c r="E95" s="1375" t="s">
        <v>2347</v>
      </c>
      <c r="F95" s="1470">
        <v>-12.82470554</v>
      </c>
    </row>
    <row r="96" spans="1:6">
      <c r="A96" s="1375" t="s">
        <v>154</v>
      </c>
      <c r="B96" s="1375" t="s">
        <v>316</v>
      </c>
      <c r="C96" s="1375" t="s">
        <v>1007</v>
      </c>
      <c r="D96" s="1375">
        <v>2025</v>
      </c>
      <c r="E96" s="1375" t="s">
        <v>2347</v>
      </c>
      <c r="F96" s="1470">
        <v>-12.82470554</v>
      </c>
    </row>
    <row r="97" spans="1:6">
      <c r="A97" s="1375" t="s">
        <v>154</v>
      </c>
      <c r="B97" s="1375" t="s">
        <v>316</v>
      </c>
      <c r="C97" s="1375" t="s">
        <v>1262</v>
      </c>
      <c r="D97" s="1375">
        <v>2022</v>
      </c>
      <c r="E97" s="1375" t="s">
        <v>95</v>
      </c>
      <c r="F97" s="1470">
        <v>5.7231145999999997</v>
      </c>
    </row>
    <row r="98" spans="1:6">
      <c r="A98" s="1375" t="s">
        <v>154</v>
      </c>
      <c r="B98" s="1375" t="s">
        <v>316</v>
      </c>
      <c r="C98" s="1375" t="s">
        <v>1262</v>
      </c>
      <c r="D98" s="1375">
        <v>2023</v>
      </c>
      <c r="E98" s="1375" t="s">
        <v>95</v>
      </c>
      <c r="F98" s="1470">
        <v>5.7231145999999997</v>
      </c>
    </row>
    <row r="99" spans="1:6">
      <c r="A99" s="1375" t="s">
        <v>154</v>
      </c>
      <c r="B99" s="1375" t="s">
        <v>316</v>
      </c>
      <c r="C99" s="1375" t="s">
        <v>1262</v>
      </c>
      <c r="D99" s="1375">
        <v>2024</v>
      </c>
      <c r="E99" s="1375" t="s">
        <v>95</v>
      </c>
      <c r="F99" s="1470">
        <v>5.7231145999999997</v>
      </c>
    </row>
    <row r="100" spans="1:6">
      <c r="A100" s="1375" t="s">
        <v>154</v>
      </c>
      <c r="B100" s="1375" t="s">
        <v>316</v>
      </c>
      <c r="C100" s="1375" t="s">
        <v>1262</v>
      </c>
      <c r="D100" s="1375">
        <v>2025</v>
      </c>
      <c r="E100" s="1375" t="s">
        <v>95</v>
      </c>
      <c r="F100" s="1470">
        <v>5.7231145999999997</v>
      </c>
    </row>
    <row r="101" spans="1:6">
      <c r="A101" s="1375" t="s">
        <v>154</v>
      </c>
      <c r="B101" s="1375" t="s">
        <v>316</v>
      </c>
      <c r="C101" s="1375" t="s">
        <v>163</v>
      </c>
      <c r="D101" s="1375">
        <v>2022</v>
      </c>
      <c r="E101" s="1375" t="s">
        <v>96</v>
      </c>
      <c r="F101" s="1470">
        <v>20.72905729</v>
      </c>
    </row>
    <row r="102" spans="1:6">
      <c r="A102" s="1375" t="s">
        <v>154</v>
      </c>
      <c r="B102" s="1375" t="s">
        <v>316</v>
      </c>
      <c r="C102" s="1375" t="s">
        <v>163</v>
      </c>
      <c r="D102" s="1375">
        <v>2023</v>
      </c>
      <c r="E102" s="1375" t="s">
        <v>96</v>
      </c>
      <c r="F102" s="1470">
        <v>20.72905729</v>
      </c>
    </row>
    <row r="103" spans="1:6">
      <c r="A103" s="1375" t="s">
        <v>154</v>
      </c>
      <c r="B103" s="1375" t="s">
        <v>316</v>
      </c>
      <c r="C103" s="1375" t="s">
        <v>163</v>
      </c>
      <c r="D103" s="1375">
        <v>2024</v>
      </c>
      <c r="E103" s="1375" t="s">
        <v>96</v>
      </c>
      <c r="F103" s="1470">
        <v>20.72905729</v>
      </c>
    </row>
    <row r="104" spans="1:6">
      <c r="A104" s="1375" t="s">
        <v>154</v>
      </c>
      <c r="B104" s="1375" t="s">
        <v>316</v>
      </c>
      <c r="C104" s="1375" t="s">
        <v>163</v>
      </c>
      <c r="D104" s="1375">
        <v>2025</v>
      </c>
      <c r="E104" s="1375" t="s">
        <v>96</v>
      </c>
      <c r="F104" s="1470">
        <v>20.72905729</v>
      </c>
    </row>
    <row r="105" spans="1:6">
      <c r="A105" s="1375" t="s">
        <v>154</v>
      </c>
      <c r="B105" s="1375" t="s">
        <v>945</v>
      </c>
      <c r="C105" s="1375" t="s">
        <v>1007</v>
      </c>
      <c r="D105" s="1375">
        <v>2022</v>
      </c>
      <c r="E105" s="1375" t="s">
        <v>115</v>
      </c>
      <c r="F105" s="1470">
        <v>-1.72686059</v>
      </c>
    </row>
    <row r="106" spans="1:6">
      <c r="A106" s="1375" t="s">
        <v>154</v>
      </c>
      <c r="B106" s="1375" t="s">
        <v>945</v>
      </c>
      <c r="C106" s="1375" t="s">
        <v>1007</v>
      </c>
      <c r="D106" s="1375">
        <v>2023</v>
      </c>
      <c r="E106" s="1375" t="s">
        <v>115</v>
      </c>
      <c r="F106" s="1470">
        <v>-1.72686059</v>
      </c>
    </row>
    <row r="107" spans="1:6">
      <c r="A107" s="1375" t="s">
        <v>154</v>
      </c>
      <c r="B107" s="1375" t="s">
        <v>945</v>
      </c>
      <c r="C107" s="1375" t="s">
        <v>1007</v>
      </c>
      <c r="D107" s="1375">
        <v>2024</v>
      </c>
      <c r="E107" s="1375" t="s">
        <v>115</v>
      </c>
      <c r="F107" s="1470">
        <v>-1.72686059</v>
      </c>
    </row>
    <row r="108" spans="1:6">
      <c r="A108" s="1375" t="s">
        <v>154</v>
      </c>
      <c r="B108" s="1375" t="s">
        <v>945</v>
      </c>
      <c r="C108" s="1375" t="s">
        <v>1007</v>
      </c>
      <c r="D108" s="1375">
        <v>2025</v>
      </c>
      <c r="E108" s="1375" t="s">
        <v>115</v>
      </c>
      <c r="F108" s="1470">
        <v>-1.72686059</v>
      </c>
    </row>
    <row r="109" spans="1:6">
      <c r="A109" s="1375" t="s">
        <v>154</v>
      </c>
      <c r="B109" s="1375" t="s">
        <v>945</v>
      </c>
      <c r="C109" s="1375" t="s">
        <v>1262</v>
      </c>
      <c r="D109" s="1375">
        <v>2022</v>
      </c>
      <c r="E109" s="1375" t="s">
        <v>114</v>
      </c>
      <c r="F109" s="1470">
        <v>21.616066579999998</v>
      </c>
    </row>
    <row r="110" spans="1:6">
      <c r="A110" s="1375" t="s">
        <v>154</v>
      </c>
      <c r="B110" s="1375" t="s">
        <v>945</v>
      </c>
      <c r="C110" s="1375" t="s">
        <v>1262</v>
      </c>
      <c r="D110" s="1375">
        <v>2023</v>
      </c>
      <c r="E110" s="1375" t="s">
        <v>114</v>
      </c>
      <c r="F110" s="1470">
        <v>21.616066579999998</v>
      </c>
    </row>
    <row r="111" spans="1:6">
      <c r="A111" s="1375" t="s">
        <v>154</v>
      </c>
      <c r="B111" s="1375" t="s">
        <v>945</v>
      </c>
      <c r="C111" s="1375" t="s">
        <v>1262</v>
      </c>
      <c r="D111" s="1375">
        <v>2024</v>
      </c>
      <c r="E111" s="1375" t="s">
        <v>114</v>
      </c>
      <c r="F111" s="1470">
        <v>21.616066579999998</v>
      </c>
    </row>
    <row r="112" spans="1:6">
      <c r="A112" s="1375" t="s">
        <v>154</v>
      </c>
      <c r="B112" s="1375" t="s">
        <v>945</v>
      </c>
      <c r="C112" s="1375" t="s">
        <v>1262</v>
      </c>
      <c r="D112" s="1375">
        <v>2025</v>
      </c>
      <c r="E112" s="1375" t="s">
        <v>114</v>
      </c>
      <c r="F112" s="1470">
        <v>21.616066579999998</v>
      </c>
    </row>
    <row r="113" spans="1:6">
      <c r="A113" s="1375" t="s">
        <v>154</v>
      </c>
      <c r="B113" s="1375" t="s">
        <v>945</v>
      </c>
      <c r="C113" s="1375" t="s">
        <v>1130</v>
      </c>
      <c r="D113" s="1375">
        <v>2022</v>
      </c>
      <c r="E113" s="1375" t="s">
        <v>400</v>
      </c>
      <c r="F113" s="1470">
        <v>44.790115290000003</v>
      </c>
    </row>
    <row r="114" spans="1:6">
      <c r="A114" s="1375" t="s">
        <v>154</v>
      </c>
      <c r="B114" s="1375" t="s">
        <v>945</v>
      </c>
      <c r="C114" s="1375" t="s">
        <v>1130</v>
      </c>
      <c r="D114" s="1375">
        <v>2023</v>
      </c>
      <c r="E114" s="1375" t="s">
        <v>400</v>
      </c>
      <c r="F114" s="1470">
        <v>44.790115290000003</v>
      </c>
    </row>
    <row r="115" spans="1:6">
      <c r="A115" s="1375" t="s">
        <v>154</v>
      </c>
      <c r="B115" s="1375" t="s">
        <v>945</v>
      </c>
      <c r="C115" s="1375" t="s">
        <v>1130</v>
      </c>
      <c r="D115" s="1375">
        <v>2024</v>
      </c>
      <c r="E115" s="1375" t="s">
        <v>400</v>
      </c>
      <c r="F115" s="1470">
        <v>44.790115290000003</v>
      </c>
    </row>
    <row r="116" spans="1:6">
      <c r="A116" s="1375" t="s">
        <v>154</v>
      </c>
      <c r="B116" s="1375" t="s">
        <v>945</v>
      </c>
      <c r="C116" s="1375" t="s">
        <v>1130</v>
      </c>
      <c r="D116" s="1375">
        <v>2025</v>
      </c>
      <c r="E116" s="1375" t="s">
        <v>400</v>
      </c>
      <c r="F116" s="1470">
        <v>44.790115290000003</v>
      </c>
    </row>
    <row r="117" spans="1:6">
      <c r="A117" s="1375" t="s">
        <v>154</v>
      </c>
      <c r="B117" s="1375" t="s">
        <v>952</v>
      </c>
      <c r="C117" s="1375" t="s">
        <v>1007</v>
      </c>
      <c r="D117" s="1375">
        <v>2022</v>
      </c>
      <c r="E117" s="1375" t="s">
        <v>2346</v>
      </c>
      <c r="F117" s="1470">
        <v>-7.9393648099999998</v>
      </c>
    </row>
    <row r="118" spans="1:6">
      <c r="A118" s="1375" t="s">
        <v>154</v>
      </c>
      <c r="B118" s="1375" t="s">
        <v>952</v>
      </c>
      <c r="C118" s="1375" t="s">
        <v>1007</v>
      </c>
      <c r="D118" s="1375">
        <v>2023</v>
      </c>
      <c r="E118" s="1375" t="s">
        <v>2346</v>
      </c>
      <c r="F118" s="1470">
        <v>-7.9393648099999998</v>
      </c>
    </row>
    <row r="119" spans="1:6">
      <c r="A119" s="1375" t="s">
        <v>154</v>
      </c>
      <c r="B119" s="1375" t="s">
        <v>952</v>
      </c>
      <c r="C119" s="1375" t="s">
        <v>1007</v>
      </c>
      <c r="D119" s="1375">
        <v>2024</v>
      </c>
      <c r="E119" s="1375" t="s">
        <v>2346</v>
      </c>
      <c r="F119" s="1470">
        <v>-7.9393648099999998</v>
      </c>
    </row>
    <row r="120" spans="1:6">
      <c r="A120" s="1375" t="s">
        <v>154</v>
      </c>
      <c r="B120" s="1375" t="s">
        <v>952</v>
      </c>
      <c r="C120" s="1375" t="s">
        <v>1007</v>
      </c>
      <c r="D120" s="1375">
        <v>2025</v>
      </c>
      <c r="E120" s="1375" t="s">
        <v>2346</v>
      </c>
      <c r="F120" s="1470">
        <v>-7.9393648099999998</v>
      </c>
    </row>
    <row r="121" spans="1:6">
      <c r="A121" s="1375" t="s">
        <v>154</v>
      </c>
      <c r="B121" s="1375" t="s">
        <v>952</v>
      </c>
      <c r="C121" s="1375" t="s">
        <v>1262</v>
      </c>
      <c r="D121" s="1375">
        <v>2022</v>
      </c>
      <c r="E121" s="1375" t="s">
        <v>116</v>
      </c>
      <c r="F121" s="1470">
        <v>35.752220960000002</v>
      </c>
    </row>
    <row r="122" spans="1:6">
      <c r="A122" s="1375" t="s">
        <v>154</v>
      </c>
      <c r="B122" s="1375" t="s">
        <v>952</v>
      </c>
      <c r="C122" s="1375" t="s">
        <v>1262</v>
      </c>
      <c r="D122" s="1375">
        <v>2023</v>
      </c>
      <c r="E122" s="1375" t="s">
        <v>116</v>
      </c>
      <c r="F122" s="1470">
        <v>35.752220960000002</v>
      </c>
    </row>
    <row r="123" spans="1:6">
      <c r="A123" s="1375" t="s">
        <v>154</v>
      </c>
      <c r="B123" s="1375" t="s">
        <v>952</v>
      </c>
      <c r="C123" s="1375" t="s">
        <v>1262</v>
      </c>
      <c r="D123" s="1375">
        <v>2024</v>
      </c>
      <c r="E123" s="1375" t="s">
        <v>116</v>
      </c>
      <c r="F123" s="1470">
        <v>35.752220960000002</v>
      </c>
    </row>
    <row r="124" spans="1:6">
      <c r="A124" s="1375" t="s">
        <v>154</v>
      </c>
      <c r="B124" s="1375" t="s">
        <v>952</v>
      </c>
      <c r="C124" s="1375" t="s">
        <v>1262</v>
      </c>
      <c r="D124" s="1375">
        <v>2025</v>
      </c>
      <c r="E124" s="1375" t="s">
        <v>116</v>
      </c>
      <c r="F124" s="1470">
        <v>35.752220960000002</v>
      </c>
    </row>
    <row r="125" spans="1:6">
      <c r="A125" s="1375" t="s">
        <v>154</v>
      </c>
      <c r="B125" s="1375" t="s">
        <v>952</v>
      </c>
      <c r="C125" s="1375" t="s">
        <v>1130</v>
      </c>
      <c r="D125" s="1375">
        <v>2022</v>
      </c>
      <c r="E125" s="1375" t="s">
        <v>1543</v>
      </c>
      <c r="F125" s="1470">
        <v>101.96812629999999</v>
      </c>
    </row>
    <row r="126" spans="1:6">
      <c r="A126" s="1375" t="s">
        <v>154</v>
      </c>
      <c r="B126" s="1375" t="s">
        <v>952</v>
      </c>
      <c r="C126" s="1375" t="s">
        <v>1130</v>
      </c>
      <c r="D126" s="1375">
        <v>2023</v>
      </c>
      <c r="E126" s="1375" t="s">
        <v>1543</v>
      </c>
      <c r="F126" s="1470">
        <v>101.96812629999999</v>
      </c>
    </row>
    <row r="127" spans="1:6">
      <c r="A127" s="1375" t="s">
        <v>154</v>
      </c>
      <c r="B127" s="1375" t="s">
        <v>952</v>
      </c>
      <c r="C127" s="1375" t="s">
        <v>1130</v>
      </c>
      <c r="D127" s="1375">
        <v>2024</v>
      </c>
      <c r="E127" s="1375" t="s">
        <v>1543</v>
      </c>
      <c r="F127" s="1470">
        <v>101.96812629999999</v>
      </c>
    </row>
    <row r="128" spans="1:6">
      <c r="A128" s="1375" t="s">
        <v>154</v>
      </c>
      <c r="B128" s="1375" t="s">
        <v>952</v>
      </c>
      <c r="C128" s="1375" t="s">
        <v>1130</v>
      </c>
      <c r="D128" s="1375">
        <v>2025</v>
      </c>
      <c r="E128" s="1375" t="s">
        <v>1543</v>
      </c>
      <c r="F128" s="1470">
        <v>101.96812629999999</v>
      </c>
    </row>
    <row r="129" spans="1:6">
      <c r="A129" s="1375" t="s">
        <v>154</v>
      </c>
      <c r="B129" s="1375" t="s">
        <v>952</v>
      </c>
      <c r="C129" s="1375" t="s">
        <v>332</v>
      </c>
      <c r="D129" s="1375">
        <v>2022</v>
      </c>
      <c r="E129" s="1375" t="s">
        <v>454</v>
      </c>
      <c r="F129" s="1470">
        <v>0</v>
      </c>
    </row>
    <row r="130" spans="1:6">
      <c r="A130" s="1375" t="s">
        <v>154</v>
      </c>
      <c r="B130" s="1375" t="s">
        <v>952</v>
      </c>
      <c r="C130" s="1375" t="s">
        <v>332</v>
      </c>
      <c r="D130" s="1375">
        <v>2023</v>
      </c>
      <c r="E130" s="1375" t="s">
        <v>454</v>
      </c>
      <c r="F130" s="1470">
        <v>0</v>
      </c>
    </row>
    <row r="131" spans="1:6">
      <c r="A131" s="1375" t="s">
        <v>154</v>
      </c>
      <c r="B131" s="1375" t="s">
        <v>952</v>
      </c>
      <c r="C131" s="1375" t="s">
        <v>332</v>
      </c>
      <c r="D131" s="1375">
        <v>2024</v>
      </c>
      <c r="E131" s="1375" t="s">
        <v>454</v>
      </c>
      <c r="F131" s="1470">
        <v>0</v>
      </c>
    </row>
    <row r="132" spans="1:6">
      <c r="A132" s="1375" t="s">
        <v>154</v>
      </c>
      <c r="B132" s="1375" t="s">
        <v>952</v>
      </c>
      <c r="C132" s="1375" t="s">
        <v>332</v>
      </c>
      <c r="D132" s="1375">
        <v>2025</v>
      </c>
      <c r="E132" s="1375" t="s">
        <v>454</v>
      </c>
      <c r="F132" s="1470">
        <v>0</v>
      </c>
    </row>
    <row r="133" spans="1:6">
      <c r="A133" s="1375" t="s">
        <v>154</v>
      </c>
      <c r="B133" s="1375" t="s">
        <v>953</v>
      </c>
      <c r="C133" s="1375" t="s">
        <v>1007</v>
      </c>
      <c r="D133" s="1375">
        <v>2022</v>
      </c>
      <c r="E133" s="1375" t="s">
        <v>106</v>
      </c>
      <c r="F133" s="1470">
        <v>-2.8473778300000001</v>
      </c>
    </row>
    <row r="134" spans="1:6">
      <c r="A134" s="1375" t="s">
        <v>154</v>
      </c>
      <c r="B134" s="1375" t="s">
        <v>953</v>
      </c>
      <c r="C134" s="1375" t="s">
        <v>1007</v>
      </c>
      <c r="D134" s="1375">
        <v>2023</v>
      </c>
      <c r="E134" s="1375" t="s">
        <v>106</v>
      </c>
      <c r="F134" s="1470">
        <v>-2.8473778300000001</v>
      </c>
    </row>
    <row r="135" spans="1:6">
      <c r="A135" s="1375" t="s">
        <v>154</v>
      </c>
      <c r="B135" s="1375" t="s">
        <v>953</v>
      </c>
      <c r="C135" s="1375" t="s">
        <v>1007</v>
      </c>
      <c r="D135" s="1375">
        <v>2024</v>
      </c>
      <c r="E135" s="1375" t="s">
        <v>106</v>
      </c>
      <c r="F135" s="1470">
        <v>-2.8473778300000001</v>
      </c>
    </row>
    <row r="136" spans="1:6">
      <c r="A136" s="1375" t="s">
        <v>154</v>
      </c>
      <c r="B136" s="1375" t="s">
        <v>953</v>
      </c>
      <c r="C136" s="1375" t="s">
        <v>1007</v>
      </c>
      <c r="D136" s="1375">
        <v>2025</v>
      </c>
      <c r="E136" s="1375" t="s">
        <v>106</v>
      </c>
      <c r="F136" s="1470">
        <v>-2.8473778300000001</v>
      </c>
    </row>
    <row r="137" spans="1:6">
      <c r="A137" s="1375" t="s">
        <v>154</v>
      </c>
      <c r="B137" s="1375" t="s">
        <v>953</v>
      </c>
      <c r="C137" s="1375" t="s">
        <v>1262</v>
      </c>
      <c r="D137" s="1375">
        <v>2022</v>
      </c>
      <c r="E137" s="1375" t="s">
        <v>107</v>
      </c>
      <c r="F137" s="1470">
        <v>24.641119249999999</v>
      </c>
    </row>
    <row r="138" spans="1:6">
      <c r="A138" s="1375" t="s">
        <v>154</v>
      </c>
      <c r="B138" s="1375" t="s">
        <v>953</v>
      </c>
      <c r="C138" s="1375" t="s">
        <v>1262</v>
      </c>
      <c r="D138" s="1375">
        <v>2023</v>
      </c>
      <c r="E138" s="1375" t="s">
        <v>107</v>
      </c>
      <c r="F138" s="1470">
        <v>24.641119249999999</v>
      </c>
    </row>
    <row r="139" spans="1:6">
      <c r="A139" s="1375" t="s">
        <v>154</v>
      </c>
      <c r="B139" s="1375" t="s">
        <v>953</v>
      </c>
      <c r="C139" s="1375" t="s">
        <v>1262</v>
      </c>
      <c r="D139" s="1375">
        <v>2024</v>
      </c>
      <c r="E139" s="1375" t="s">
        <v>107</v>
      </c>
      <c r="F139" s="1470">
        <v>24.641119249999999</v>
      </c>
    </row>
    <row r="140" spans="1:6">
      <c r="A140" s="1375" t="s">
        <v>154</v>
      </c>
      <c r="B140" s="1375" t="s">
        <v>953</v>
      </c>
      <c r="C140" s="1375" t="s">
        <v>1262</v>
      </c>
      <c r="D140" s="1375">
        <v>2025</v>
      </c>
      <c r="E140" s="1375" t="s">
        <v>107</v>
      </c>
      <c r="F140" s="1470">
        <v>24.641119249999999</v>
      </c>
    </row>
    <row r="141" spans="1:6">
      <c r="A141" s="1375" t="s">
        <v>154</v>
      </c>
      <c r="B141" s="1375" t="s">
        <v>953</v>
      </c>
      <c r="C141" s="1375" t="s">
        <v>1130</v>
      </c>
      <c r="D141" s="1375">
        <v>2022</v>
      </c>
      <c r="E141" s="1375" t="s">
        <v>108</v>
      </c>
      <c r="F141" s="1470">
        <v>51.916314100000001</v>
      </c>
    </row>
    <row r="142" spans="1:6">
      <c r="A142" s="1375" t="s">
        <v>154</v>
      </c>
      <c r="B142" s="1375" t="s">
        <v>953</v>
      </c>
      <c r="C142" s="1375" t="s">
        <v>1130</v>
      </c>
      <c r="D142" s="1375">
        <v>2023</v>
      </c>
      <c r="E142" s="1375" t="s">
        <v>108</v>
      </c>
      <c r="F142" s="1470">
        <v>51.916314079999999</v>
      </c>
    </row>
    <row r="143" spans="1:6">
      <c r="A143" s="1375" t="s">
        <v>154</v>
      </c>
      <c r="B143" s="1375" t="s">
        <v>953</v>
      </c>
      <c r="C143" s="1375" t="s">
        <v>1130</v>
      </c>
      <c r="D143" s="1375">
        <v>2024</v>
      </c>
      <c r="E143" s="1375" t="s">
        <v>108</v>
      </c>
      <c r="F143" s="1470">
        <v>51.916314069999999</v>
      </c>
    </row>
    <row r="144" spans="1:6">
      <c r="A144" s="1375" t="s">
        <v>154</v>
      </c>
      <c r="B144" s="1375" t="s">
        <v>953</v>
      </c>
      <c r="C144" s="1375" t="s">
        <v>1130</v>
      </c>
      <c r="D144" s="1375">
        <v>2025</v>
      </c>
      <c r="E144" s="1375" t="s">
        <v>108</v>
      </c>
      <c r="F144" s="1470">
        <v>51.916314059999998</v>
      </c>
    </row>
    <row r="145" spans="1:6">
      <c r="A145" s="1375" t="s">
        <v>154</v>
      </c>
      <c r="B145" s="1375" t="s">
        <v>1535</v>
      </c>
      <c r="C145" s="1375" t="s">
        <v>1007</v>
      </c>
      <c r="D145" s="1375">
        <v>2022</v>
      </c>
      <c r="E145" s="1375" t="s">
        <v>2326</v>
      </c>
      <c r="F145" s="1470">
        <v>-41.42004567</v>
      </c>
    </row>
    <row r="146" spans="1:6">
      <c r="A146" s="1375" t="s">
        <v>154</v>
      </c>
      <c r="B146" s="1375" t="s">
        <v>1535</v>
      </c>
      <c r="C146" s="1375" t="s">
        <v>1007</v>
      </c>
      <c r="D146" s="1375">
        <v>2023</v>
      </c>
      <c r="E146" s="1375" t="s">
        <v>2326</v>
      </c>
      <c r="F146" s="1470">
        <v>-41.42004567</v>
      </c>
    </row>
    <row r="147" spans="1:6">
      <c r="A147" s="1375" t="s">
        <v>154</v>
      </c>
      <c r="B147" s="1375" t="s">
        <v>1535</v>
      </c>
      <c r="C147" s="1375" t="s">
        <v>1007</v>
      </c>
      <c r="D147" s="1375">
        <v>2024</v>
      </c>
      <c r="E147" s="1375" t="s">
        <v>2326</v>
      </c>
      <c r="F147" s="1470">
        <v>-41.42004567</v>
      </c>
    </row>
    <row r="148" spans="1:6">
      <c r="A148" s="1375" t="s">
        <v>154</v>
      </c>
      <c r="B148" s="1375" t="s">
        <v>1535</v>
      </c>
      <c r="C148" s="1375" t="s">
        <v>1007</v>
      </c>
      <c r="D148" s="1375">
        <v>2025</v>
      </c>
      <c r="E148" s="1375" t="s">
        <v>2326</v>
      </c>
      <c r="F148" s="1470">
        <v>-41.42004567</v>
      </c>
    </row>
    <row r="149" spans="1:6">
      <c r="A149" s="1375" t="s">
        <v>154</v>
      </c>
      <c r="B149" s="1375" t="s">
        <v>1535</v>
      </c>
      <c r="C149" s="1375" t="s">
        <v>1536</v>
      </c>
      <c r="D149" s="1375">
        <v>2022</v>
      </c>
      <c r="E149" s="1375" t="s">
        <v>1534</v>
      </c>
      <c r="F149" s="1470">
        <v>52.031702559999999</v>
      </c>
    </row>
    <row r="150" spans="1:6">
      <c r="A150" s="1375" t="s">
        <v>154</v>
      </c>
      <c r="B150" s="1375" t="s">
        <v>1535</v>
      </c>
      <c r="C150" s="1375" t="s">
        <v>1536</v>
      </c>
      <c r="D150" s="1375">
        <v>2023</v>
      </c>
      <c r="E150" s="1375" t="s">
        <v>1534</v>
      </c>
      <c r="F150" s="1470">
        <v>52.031702559999999</v>
      </c>
    </row>
    <row r="151" spans="1:6">
      <c r="A151" s="1375" t="s">
        <v>154</v>
      </c>
      <c r="B151" s="1375" t="s">
        <v>1535</v>
      </c>
      <c r="C151" s="1375" t="s">
        <v>1536</v>
      </c>
      <c r="D151" s="1375">
        <v>2024</v>
      </c>
      <c r="E151" s="1375" t="s">
        <v>1534</v>
      </c>
      <c r="F151" s="1470">
        <v>52.031702559999999</v>
      </c>
    </row>
    <row r="152" spans="1:6">
      <c r="A152" s="1375" t="s">
        <v>154</v>
      </c>
      <c r="B152" s="1375" t="s">
        <v>1535</v>
      </c>
      <c r="C152" s="1375" t="s">
        <v>1536</v>
      </c>
      <c r="D152" s="1375">
        <v>2025</v>
      </c>
      <c r="E152" s="1375" t="s">
        <v>1534</v>
      </c>
      <c r="F152" s="1470">
        <v>52.031702559999999</v>
      </c>
    </row>
    <row r="153" spans="1:6">
      <c r="A153" s="1375" t="s">
        <v>154</v>
      </c>
      <c r="B153" s="1375" t="s">
        <v>1535</v>
      </c>
      <c r="C153" s="1375" t="s">
        <v>1386</v>
      </c>
      <c r="D153" s="1375">
        <v>2022</v>
      </c>
      <c r="E153" s="1375" t="s">
        <v>1537</v>
      </c>
      <c r="F153" s="1470">
        <v>280.96180164999998</v>
      </c>
    </row>
    <row r="154" spans="1:6">
      <c r="A154" s="1375" t="s">
        <v>154</v>
      </c>
      <c r="B154" s="1375" t="s">
        <v>1535</v>
      </c>
      <c r="C154" s="1375" t="s">
        <v>1386</v>
      </c>
      <c r="D154" s="1375">
        <v>2023</v>
      </c>
      <c r="E154" s="1375" t="s">
        <v>1537</v>
      </c>
      <c r="F154" s="1470">
        <v>280.96180164999998</v>
      </c>
    </row>
    <row r="155" spans="1:6">
      <c r="A155" s="1375" t="s">
        <v>154</v>
      </c>
      <c r="B155" s="1375" t="s">
        <v>1535</v>
      </c>
      <c r="C155" s="1375" t="s">
        <v>1386</v>
      </c>
      <c r="D155" s="1375">
        <v>2024</v>
      </c>
      <c r="E155" s="1375" t="s">
        <v>1537</v>
      </c>
      <c r="F155" s="1470">
        <v>280.96180164999998</v>
      </c>
    </row>
    <row r="156" spans="1:6">
      <c r="A156" s="1375" t="s">
        <v>154</v>
      </c>
      <c r="B156" s="1375" t="s">
        <v>1535</v>
      </c>
      <c r="C156" s="1375" t="s">
        <v>1386</v>
      </c>
      <c r="D156" s="1375">
        <v>2025</v>
      </c>
      <c r="E156" s="1375" t="s">
        <v>1537</v>
      </c>
      <c r="F156" s="1470">
        <v>280.96180164999998</v>
      </c>
    </row>
    <row r="157" spans="1:6">
      <c r="A157" s="1375" t="s">
        <v>154</v>
      </c>
      <c r="B157" s="1375" t="s">
        <v>1535</v>
      </c>
      <c r="C157" s="1375" t="s">
        <v>1387</v>
      </c>
      <c r="D157" s="1375">
        <v>2022</v>
      </c>
      <c r="E157" s="1375" t="s">
        <v>1538</v>
      </c>
      <c r="F157" s="1470">
        <v>355.55630531000003</v>
      </c>
    </row>
    <row r="158" spans="1:6">
      <c r="A158" s="1375" t="s">
        <v>154</v>
      </c>
      <c r="B158" s="1375" t="s">
        <v>1535</v>
      </c>
      <c r="C158" s="1375" t="s">
        <v>1387</v>
      </c>
      <c r="D158" s="1375">
        <v>2023</v>
      </c>
      <c r="E158" s="1375" t="s">
        <v>1538</v>
      </c>
      <c r="F158" s="1470">
        <v>355.55630531000003</v>
      </c>
    </row>
    <row r="159" spans="1:6">
      <c r="A159" s="1375" t="s">
        <v>154</v>
      </c>
      <c r="B159" s="1375" t="s">
        <v>1535</v>
      </c>
      <c r="C159" s="1375" t="s">
        <v>1387</v>
      </c>
      <c r="D159" s="1375">
        <v>2024</v>
      </c>
      <c r="E159" s="1375" t="s">
        <v>1538</v>
      </c>
      <c r="F159" s="1470">
        <v>355.55630531000003</v>
      </c>
    </row>
    <row r="160" spans="1:6">
      <c r="A160" s="1375" t="s">
        <v>154</v>
      </c>
      <c r="B160" s="1375" t="s">
        <v>1535</v>
      </c>
      <c r="C160" s="1375" t="s">
        <v>1387</v>
      </c>
      <c r="D160" s="1375">
        <v>2025</v>
      </c>
      <c r="E160" s="1375" t="s">
        <v>1538</v>
      </c>
      <c r="F160" s="1470">
        <v>355.55630531000003</v>
      </c>
    </row>
    <row r="161" spans="1:6">
      <c r="A161" s="1375" t="s">
        <v>154</v>
      </c>
      <c r="B161" s="1375" t="s">
        <v>1535</v>
      </c>
      <c r="C161" s="1375" t="s">
        <v>1388</v>
      </c>
      <c r="D161" s="1375">
        <v>2022</v>
      </c>
      <c r="E161" s="1375" t="s">
        <v>1539</v>
      </c>
      <c r="F161" s="1470">
        <v>436.91925670000001</v>
      </c>
    </row>
    <row r="162" spans="1:6">
      <c r="A162" s="1375" t="s">
        <v>154</v>
      </c>
      <c r="B162" s="1375" t="s">
        <v>1535</v>
      </c>
      <c r="C162" s="1375" t="s">
        <v>1388</v>
      </c>
      <c r="D162" s="1375">
        <v>2023</v>
      </c>
      <c r="E162" s="1375" t="s">
        <v>1539</v>
      </c>
      <c r="F162" s="1470">
        <v>436.91925670000001</v>
      </c>
    </row>
    <row r="163" spans="1:6">
      <c r="A163" s="1375" t="s">
        <v>154</v>
      </c>
      <c r="B163" s="1375" t="s">
        <v>1535</v>
      </c>
      <c r="C163" s="1375" t="s">
        <v>1388</v>
      </c>
      <c r="D163" s="1375">
        <v>2024</v>
      </c>
      <c r="E163" s="1375" t="s">
        <v>1539</v>
      </c>
      <c r="F163" s="1470">
        <v>436.91925670000001</v>
      </c>
    </row>
    <row r="164" spans="1:6">
      <c r="A164" s="1375" t="s">
        <v>154</v>
      </c>
      <c r="B164" s="1375" t="s">
        <v>1535</v>
      </c>
      <c r="C164" s="1375" t="s">
        <v>1388</v>
      </c>
      <c r="D164" s="1375">
        <v>2025</v>
      </c>
      <c r="E164" s="1375" t="s">
        <v>1539</v>
      </c>
      <c r="F164" s="1470">
        <v>436.91925670000001</v>
      </c>
    </row>
    <row r="165" spans="1:6">
      <c r="A165" s="1375" t="s">
        <v>154</v>
      </c>
      <c r="B165" s="1375" t="s">
        <v>1535</v>
      </c>
      <c r="C165" s="1375" t="s">
        <v>1389</v>
      </c>
      <c r="D165" s="1375">
        <v>2022</v>
      </c>
      <c r="E165" s="1375" t="s">
        <v>1540</v>
      </c>
      <c r="F165" s="1470">
        <v>478.15276754000001</v>
      </c>
    </row>
    <row r="166" spans="1:6">
      <c r="A166" s="1375" t="s">
        <v>154</v>
      </c>
      <c r="B166" s="1375" t="s">
        <v>1535</v>
      </c>
      <c r="C166" s="1375" t="s">
        <v>1389</v>
      </c>
      <c r="D166" s="1375">
        <v>2023</v>
      </c>
      <c r="E166" s="1375" t="s">
        <v>1540</v>
      </c>
      <c r="F166" s="1470">
        <v>478.15276754000001</v>
      </c>
    </row>
    <row r="167" spans="1:6">
      <c r="A167" s="1375" t="s">
        <v>154</v>
      </c>
      <c r="B167" s="1375" t="s">
        <v>1535</v>
      </c>
      <c r="C167" s="1375" t="s">
        <v>1389</v>
      </c>
      <c r="D167" s="1375">
        <v>2024</v>
      </c>
      <c r="E167" s="1375" t="s">
        <v>1540</v>
      </c>
      <c r="F167" s="1470">
        <v>478.15276754000001</v>
      </c>
    </row>
    <row r="168" spans="1:6">
      <c r="A168" s="1375" t="s">
        <v>154</v>
      </c>
      <c r="B168" s="1375" t="s">
        <v>1535</v>
      </c>
      <c r="C168" s="1375" t="s">
        <v>1389</v>
      </c>
      <c r="D168" s="1375">
        <v>2025</v>
      </c>
      <c r="E168" s="1375" t="s">
        <v>1540</v>
      </c>
      <c r="F168" s="1470">
        <v>478.15276754000001</v>
      </c>
    </row>
    <row r="169" spans="1:6">
      <c r="A169" s="1375" t="s">
        <v>154</v>
      </c>
      <c r="B169" s="1375" t="s">
        <v>1535</v>
      </c>
      <c r="C169" s="1375" t="s">
        <v>1390</v>
      </c>
      <c r="D169" s="1375">
        <v>2022</v>
      </c>
      <c r="E169" s="1375" t="s">
        <v>1541</v>
      </c>
      <c r="F169" s="1470">
        <v>510.39602108999998</v>
      </c>
    </row>
    <row r="170" spans="1:6">
      <c r="A170" s="1375" t="s">
        <v>154</v>
      </c>
      <c r="B170" s="1375" t="s">
        <v>1535</v>
      </c>
      <c r="C170" s="1375" t="s">
        <v>1390</v>
      </c>
      <c r="D170" s="1375">
        <v>2023</v>
      </c>
      <c r="E170" s="1375" t="s">
        <v>1541</v>
      </c>
      <c r="F170" s="1470">
        <v>510.39602108999998</v>
      </c>
    </row>
    <row r="171" spans="1:6">
      <c r="A171" s="1375" t="s">
        <v>154</v>
      </c>
      <c r="B171" s="1375" t="s">
        <v>1535</v>
      </c>
      <c r="C171" s="1375" t="s">
        <v>1390</v>
      </c>
      <c r="D171" s="1375">
        <v>2024</v>
      </c>
      <c r="E171" s="1375" t="s">
        <v>1541</v>
      </c>
      <c r="F171" s="1470">
        <v>510.39602108999998</v>
      </c>
    </row>
    <row r="172" spans="1:6">
      <c r="A172" s="1375" t="s">
        <v>154</v>
      </c>
      <c r="B172" s="1375" t="s">
        <v>1535</v>
      </c>
      <c r="C172" s="1375" t="s">
        <v>1390</v>
      </c>
      <c r="D172" s="1375">
        <v>2025</v>
      </c>
      <c r="E172" s="1375" t="s">
        <v>1541</v>
      </c>
      <c r="F172" s="1470">
        <v>510.39602108999998</v>
      </c>
    </row>
    <row r="173" spans="1:6">
      <c r="A173" s="1375" t="s">
        <v>154</v>
      </c>
      <c r="B173" s="1375" t="s">
        <v>3058</v>
      </c>
      <c r="C173" s="1375" t="s">
        <v>3059</v>
      </c>
      <c r="D173" s="1375">
        <v>2022</v>
      </c>
      <c r="E173" s="1375" t="s">
        <v>86</v>
      </c>
      <c r="F173" s="1470">
        <v>58.514212579999999</v>
      </c>
    </row>
    <row r="174" spans="1:6">
      <c r="A174" s="1375" t="s">
        <v>154</v>
      </c>
      <c r="B174" s="1375" t="s">
        <v>3058</v>
      </c>
      <c r="C174" s="1375" t="s">
        <v>3059</v>
      </c>
      <c r="D174" s="1375">
        <v>2023</v>
      </c>
      <c r="E174" s="1375" t="s">
        <v>86</v>
      </c>
      <c r="F174" s="1470">
        <v>63.329866010000003</v>
      </c>
    </row>
    <row r="175" spans="1:6">
      <c r="A175" s="1375" t="s">
        <v>154</v>
      </c>
      <c r="B175" s="1375" t="s">
        <v>3058</v>
      </c>
      <c r="C175" s="1375" t="s">
        <v>3059</v>
      </c>
      <c r="D175" s="1375">
        <v>2024</v>
      </c>
      <c r="E175" s="1375" t="s">
        <v>86</v>
      </c>
      <c r="F175" s="1470">
        <v>66.850502989999995</v>
      </c>
    </row>
    <row r="176" spans="1:6">
      <c r="A176" s="1375" t="s">
        <v>154</v>
      </c>
      <c r="B176" s="1375" t="s">
        <v>3058</v>
      </c>
      <c r="C176" s="1375" t="s">
        <v>3059</v>
      </c>
      <c r="D176" s="1375">
        <v>2025</v>
      </c>
      <c r="E176" s="1375" t="s">
        <v>86</v>
      </c>
      <c r="F176" s="1470">
        <v>67.670604659999995</v>
      </c>
    </row>
    <row r="177" spans="1:6">
      <c r="A177" s="1375" t="s">
        <v>154</v>
      </c>
      <c r="B177" s="1375" t="s">
        <v>3071</v>
      </c>
      <c r="C177" s="1375" t="s">
        <v>3059</v>
      </c>
      <c r="D177" s="1375">
        <v>2022</v>
      </c>
      <c r="E177" s="1375" t="s">
        <v>3070</v>
      </c>
      <c r="F177" s="1470">
        <v>82.400400000000005</v>
      </c>
    </row>
    <row r="178" spans="1:6">
      <c r="A178" s="1375" t="s">
        <v>154</v>
      </c>
      <c r="B178" s="1375" t="s">
        <v>3071</v>
      </c>
      <c r="C178" s="1375" t="s">
        <v>3059</v>
      </c>
      <c r="D178" s="1375">
        <v>2023</v>
      </c>
      <c r="E178" s="1375" t="s">
        <v>3070</v>
      </c>
      <c r="F178" s="1470">
        <v>82.400400000000005</v>
      </c>
    </row>
    <row r="179" spans="1:6">
      <c r="A179" s="1375" t="s">
        <v>154</v>
      </c>
      <c r="B179" s="1375" t="s">
        <v>3071</v>
      </c>
      <c r="C179" s="1375" t="s">
        <v>3059</v>
      </c>
      <c r="D179" s="1375">
        <v>2024</v>
      </c>
      <c r="E179" s="1375" t="s">
        <v>3070</v>
      </c>
      <c r="F179" s="1470">
        <v>82.400400000000005</v>
      </c>
    </row>
    <row r="180" spans="1:6">
      <c r="A180" s="1375" t="s">
        <v>154</v>
      </c>
      <c r="B180" s="1375" t="s">
        <v>3071</v>
      </c>
      <c r="C180" s="1375" t="s">
        <v>3059</v>
      </c>
      <c r="D180" s="1375">
        <v>2025</v>
      </c>
      <c r="E180" s="1375" t="s">
        <v>3070</v>
      </c>
      <c r="F180" s="1470">
        <v>82.400400000000005</v>
      </c>
    </row>
    <row r="181" spans="1:6">
      <c r="A181" s="1375" t="s">
        <v>1758</v>
      </c>
      <c r="B181" s="1375" t="s">
        <v>1575</v>
      </c>
      <c r="C181" s="1375" t="s">
        <v>334</v>
      </c>
      <c r="D181" s="1375">
        <v>2022</v>
      </c>
      <c r="E181" s="1375" t="s">
        <v>1559</v>
      </c>
      <c r="F181" s="1470">
        <v>1523.1456348700001</v>
      </c>
    </row>
    <row r="182" spans="1:6">
      <c r="A182" s="1375" t="s">
        <v>1758</v>
      </c>
      <c r="B182" s="1375" t="s">
        <v>1575</v>
      </c>
      <c r="C182" s="1375" t="s">
        <v>334</v>
      </c>
      <c r="D182" s="1375">
        <v>2023</v>
      </c>
      <c r="E182" s="1375" t="s">
        <v>1559</v>
      </c>
      <c r="F182" s="1470">
        <v>1523.1456348700001</v>
      </c>
    </row>
    <row r="183" spans="1:6">
      <c r="A183" s="1375" t="s">
        <v>1758</v>
      </c>
      <c r="B183" s="1375" t="s">
        <v>1575</v>
      </c>
      <c r="C183" s="1375" t="s">
        <v>334</v>
      </c>
      <c r="D183" s="1375">
        <v>2024</v>
      </c>
      <c r="E183" s="1375" t="s">
        <v>1559</v>
      </c>
      <c r="F183" s="1470">
        <v>1523.1456348700001</v>
      </c>
    </row>
    <row r="184" spans="1:6">
      <c r="A184" s="1375" t="s">
        <v>1758</v>
      </c>
      <c r="B184" s="1375" t="s">
        <v>1575</v>
      </c>
      <c r="C184" s="1375" t="s">
        <v>334</v>
      </c>
      <c r="D184" s="1375">
        <v>2025</v>
      </c>
      <c r="E184" s="1375" t="s">
        <v>1559</v>
      </c>
      <c r="F184" s="1470">
        <v>1523.1456348700001</v>
      </c>
    </row>
    <row r="185" spans="1:6">
      <c r="A185" s="1375" t="s">
        <v>1758</v>
      </c>
      <c r="B185" s="1375" t="s">
        <v>1570</v>
      </c>
      <c r="C185" s="1375" t="s">
        <v>157</v>
      </c>
      <c r="D185" s="1375">
        <v>2022</v>
      </c>
      <c r="E185" s="1375" t="s">
        <v>1556</v>
      </c>
      <c r="F185" s="1470">
        <v>34.146078369999998</v>
      </c>
    </row>
    <row r="186" spans="1:6">
      <c r="A186" s="1375" t="s">
        <v>1758</v>
      </c>
      <c r="B186" s="1375" t="s">
        <v>1570</v>
      </c>
      <c r="C186" s="1375" t="s">
        <v>157</v>
      </c>
      <c r="D186" s="1375">
        <v>2023</v>
      </c>
      <c r="E186" s="1375" t="s">
        <v>1556</v>
      </c>
      <c r="F186" s="1470">
        <v>34.146078369999998</v>
      </c>
    </row>
    <row r="187" spans="1:6">
      <c r="A187" s="1375" t="s">
        <v>1758</v>
      </c>
      <c r="B187" s="1375" t="s">
        <v>1570</v>
      </c>
      <c r="C187" s="1375" t="s">
        <v>157</v>
      </c>
      <c r="D187" s="1375">
        <v>2024</v>
      </c>
      <c r="E187" s="1375" t="s">
        <v>1556</v>
      </c>
      <c r="F187" s="1470">
        <v>34.146078369999998</v>
      </c>
    </row>
    <row r="188" spans="1:6">
      <c r="A188" s="1375" t="s">
        <v>1758</v>
      </c>
      <c r="B188" s="1375" t="s">
        <v>1570</v>
      </c>
      <c r="C188" s="1375" t="s">
        <v>157</v>
      </c>
      <c r="D188" s="1375">
        <v>2025</v>
      </c>
      <c r="E188" s="1375" t="s">
        <v>1556</v>
      </c>
      <c r="F188" s="1470">
        <v>34.146078369999998</v>
      </c>
    </row>
    <row r="189" spans="1:6">
      <c r="A189" s="1375" t="s">
        <v>1758</v>
      </c>
      <c r="B189" s="1375" t="s">
        <v>1570</v>
      </c>
      <c r="C189" s="1375" t="s">
        <v>158</v>
      </c>
      <c r="D189" s="1375">
        <v>2022</v>
      </c>
      <c r="E189" s="1375" t="s">
        <v>1557</v>
      </c>
      <c r="F189" s="1470">
        <v>645.70325013000001</v>
      </c>
    </row>
    <row r="190" spans="1:6">
      <c r="A190" s="1375" t="s">
        <v>1758</v>
      </c>
      <c r="B190" s="1375" t="s">
        <v>1570</v>
      </c>
      <c r="C190" s="1375" t="s">
        <v>158</v>
      </c>
      <c r="D190" s="1375">
        <v>2023</v>
      </c>
      <c r="E190" s="1375" t="s">
        <v>1557</v>
      </c>
      <c r="F190" s="1470">
        <v>645.70325013000001</v>
      </c>
    </row>
    <row r="191" spans="1:6">
      <c r="A191" s="1375" t="s">
        <v>1758</v>
      </c>
      <c r="B191" s="1375" t="s">
        <v>1570</v>
      </c>
      <c r="C191" s="1375" t="s">
        <v>158</v>
      </c>
      <c r="D191" s="1375">
        <v>2024</v>
      </c>
      <c r="E191" s="1375" t="s">
        <v>1557</v>
      </c>
      <c r="F191" s="1470">
        <v>645.70325013000001</v>
      </c>
    </row>
    <row r="192" spans="1:6">
      <c r="A192" s="1375" t="s">
        <v>1758</v>
      </c>
      <c r="B192" s="1375" t="s">
        <v>1570</v>
      </c>
      <c r="C192" s="1375" t="s">
        <v>158</v>
      </c>
      <c r="D192" s="1375">
        <v>2025</v>
      </c>
      <c r="E192" s="1375" t="s">
        <v>1557</v>
      </c>
      <c r="F192" s="1470">
        <v>645.70325013000001</v>
      </c>
    </row>
    <row r="193" spans="1:6">
      <c r="A193" s="1375" t="s">
        <v>1758</v>
      </c>
      <c r="B193" s="1375" t="s">
        <v>1570</v>
      </c>
      <c r="C193" s="1375" t="s">
        <v>818</v>
      </c>
      <c r="D193" s="1375">
        <v>2022</v>
      </c>
      <c r="E193" s="1375" t="s">
        <v>1558</v>
      </c>
      <c r="F193" s="1470">
        <v>2499.4300000500002</v>
      </c>
    </row>
    <row r="194" spans="1:6">
      <c r="A194" s="1375" t="s">
        <v>1758</v>
      </c>
      <c r="B194" s="1375" t="s">
        <v>1570</v>
      </c>
      <c r="C194" s="1375" t="s">
        <v>818</v>
      </c>
      <c r="D194" s="1375">
        <v>2023</v>
      </c>
      <c r="E194" s="1375" t="s">
        <v>1558</v>
      </c>
      <c r="F194" s="1470">
        <v>2499.4300000500002</v>
      </c>
    </row>
    <row r="195" spans="1:6">
      <c r="A195" s="1375" t="s">
        <v>1758</v>
      </c>
      <c r="B195" s="1375" t="s">
        <v>1570</v>
      </c>
      <c r="C195" s="1375" t="s">
        <v>818</v>
      </c>
      <c r="D195" s="1375">
        <v>2024</v>
      </c>
      <c r="E195" s="1375" t="s">
        <v>1558</v>
      </c>
      <c r="F195" s="1470">
        <v>2499.4300000500002</v>
      </c>
    </row>
    <row r="196" spans="1:6">
      <c r="A196" s="1375" t="s">
        <v>1758</v>
      </c>
      <c r="B196" s="1375" t="s">
        <v>1570</v>
      </c>
      <c r="C196" s="1375" t="s">
        <v>818</v>
      </c>
      <c r="D196" s="1375">
        <v>2025</v>
      </c>
      <c r="E196" s="1375" t="s">
        <v>1558</v>
      </c>
      <c r="F196" s="1470">
        <v>2499.4300000500002</v>
      </c>
    </row>
    <row r="197" spans="1:6">
      <c r="A197" s="1375" t="s">
        <v>1758</v>
      </c>
      <c r="B197" s="1375" t="s">
        <v>1568</v>
      </c>
      <c r="C197" s="1375" t="s">
        <v>157</v>
      </c>
      <c r="D197" s="1375">
        <v>2022</v>
      </c>
      <c r="E197" s="1375" t="s">
        <v>1551</v>
      </c>
      <c r="F197" s="1470">
        <v>766.63359917000002</v>
      </c>
    </row>
    <row r="198" spans="1:6">
      <c r="A198" s="1375" t="s">
        <v>1758</v>
      </c>
      <c r="B198" s="1375" t="s">
        <v>1568</v>
      </c>
      <c r="C198" s="1375" t="s">
        <v>157</v>
      </c>
      <c r="D198" s="1375">
        <v>2023</v>
      </c>
      <c r="E198" s="1375" t="s">
        <v>1551</v>
      </c>
      <c r="F198" s="1470">
        <v>766.63359917000002</v>
      </c>
    </row>
    <row r="199" spans="1:6">
      <c r="A199" s="1375" t="s">
        <v>1758</v>
      </c>
      <c r="B199" s="1375" t="s">
        <v>1568</v>
      </c>
      <c r="C199" s="1375" t="s">
        <v>157</v>
      </c>
      <c r="D199" s="1375">
        <v>2024</v>
      </c>
      <c r="E199" s="1375" t="s">
        <v>1551</v>
      </c>
      <c r="F199" s="1470">
        <v>766.63359917000002</v>
      </c>
    </row>
    <row r="200" spans="1:6">
      <c r="A200" s="1375" t="s">
        <v>1758</v>
      </c>
      <c r="B200" s="1375" t="s">
        <v>1568</v>
      </c>
      <c r="C200" s="1375" t="s">
        <v>157</v>
      </c>
      <c r="D200" s="1375">
        <v>2025</v>
      </c>
      <c r="E200" s="1375" t="s">
        <v>1551</v>
      </c>
      <c r="F200" s="1470">
        <v>766.63359917000002</v>
      </c>
    </row>
    <row r="201" spans="1:6">
      <c r="A201" s="1375" t="s">
        <v>1758</v>
      </c>
      <c r="B201" s="1375" t="s">
        <v>1568</v>
      </c>
      <c r="C201" s="1375" t="s">
        <v>158</v>
      </c>
      <c r="D201" s="1375">
        <v>2022</v>
      </c>
      <c r="E201" s="1375" t="s">
        <v>1552</v>
      </c>
      <c r="F201" s="1470">
        <v>783.99738831000002</v>
      </c>
    </row>
    <row r="202" spans="1:6">
      <c r="A202" s="1375" t="s">
        <v>1758</v>
      </c>
      <c r="B202" s="1375" t="s">
        <v>1568</v>
      </c>
      <c r="C202" s="1375" t="s">
        <v>158</v>
      </c>
      <c r="D202" s="1375">
        <v>2023</v>
      </c>
      <c r="E202" s="1375" t="s">
        <v>1552</v>
      </c>
      <c r="F202" s="1470">
        <v>783.99738831000002</v>
      </c>
    </row>
    <row r="203" spans="1:6">
      <c r="A203" s="1375" t="s">
        <v>1758</v>
      </c>
      <c r="B203" s="1375" t="s">
        <v>1568</v>
      </c>
      <c r="C203" s="1375" t="s">
        <v>158</v>
      </c>
      <c r="D203" s="1375">
        <v>2024</v>
      </c>
      <c r="E203" s="1375" t="s">
        <v>1552</v>
      </c>
      <c r="F203" s="1470">
        <v>783.99738831000002</v>
      </c>
    </row>
    <row r="204" spans="1:6">
      <c r="A204" s="1375" t="s">
        <v>1758</v>
      </c>
      <c r="B204" s="1375" t="s">
        <v>1568</v>
      </c>
      <c r="C204" s="1375" t="s">
        <v>158</v>
      </c>
      <c r="D204" s="1375">
        <v>2025</v>
      </c>
      <c r="E204" s="1375" t="s">
        <v>1552</v>
      </c>
      <c r="F204" s="1470">
        <v>783.99738831000002</v>
      </c>
    </row>
    <row r="205" spans="1:6">
      <c r="A205" s="1375" t="s">
        <v>1758</v>
      </c>
      <c r="B205" s="1375" t="s">
        <v>1743</v>
      </c>
      <c r="C205" s="1375" t="s">
        <v>157</v>
      </c>
      <c r="D205" s="1375">
        <v>2022</v>
      </c>
      <c r="E205" s="1375" t="s">
        <v>1560</v>
      </c>
      <c r="F205" s="1470">
        <v>1187.56299171</v>
      </c>
    </row>
    <row r="206" spans="1:6">
      <c r="A206" s="1375" t="s">
        <v>1758</v>
      </c>
      <c r="B206" s="1375" t="s">
        <v>1743</v>
      </c>
      <c r="C206" s="1375" t="s">
        <v>157</v>
      </c>
      <c r="D206" s="1375">
        <v>2023</v>
      </c>
      <c r="E206" s="1375" t="s">
        <v>1560</v>
      </c>
      <c r="F206" s="1470">
        <v>1187.56299171</v>
      </c>
    </row>
    <row r="207" spans="1:6">
      <c r="A207" s="1375" t="s">
        <v>1758</v>
      </c>
      <c r="B207" s="1375" t="s">
        <v>1743</v>
      </c>
      <c r="C207" s="1375" t="s">
        <v>157</v>
      </c>
      <c r="D207" s="1375">
        <v>2024</v>
      </c>
      <c r="E207" s="1375" t="s">
        <v>1560</v>
      </c>
      <c r="F207" s="1470">
        <v>1187.56299171</v>
      </c>
    </row>
    <row r="208" spans="1:6">
      <c r="A208" s="1375" t="s">
        <v>1758</v>
      </c>
      <c r="B208" s="1375" t="s">
        <v>1743</v>
      </c>
      <c r="C208" s="1375" t="s">
        <v>157</v>
      </c>
      <c r="D208" s="1375">
        <v>2025</v>
      </c>
      <c r="E208" s="1375" t="s">
        <v>1560</v>
      </c>
      <c r="F208" s="1470">
        <v>1187.56299171</v>
      </c>
    </row>
    <row r="209" spans="1:6">
      <c r="A209" s="1375" t="s">
        <v>1758</v>
      </c>
      <c r="B209" s="1375" t="s">
        <v>1743</v>
      </c>
      <c r="C209" s="1375" t="s">
        <v>158</v>
      </c>
      <c r="D209" s="1375">
        <v>2022</v>
      </c>
      <c r="E209" s="1375" t="s">
        <v>1561</v>
      </c>
      <c r="F209" s="1470">
        <v>553.12676630999999</v>
      </c>
    </row>
    <row r="210" spans="1:6">
      <c r="A210" s="1375" t="s">
        <v>1758</v>
      </c>
      <c r="B210" s="1375" t="s">
        <v>1743</v>
      </c>
      <c r="C210" s="1375" t="s">
        <v>158</v>
      </c>
      <c r="D210" s="1375">
        <v>2023</v>
      </c>
      <c r="E210" s="1375" t="s">
        <v>1561</v>
      </c>
      <c r="F210" s="1470">
        <v>553.12676630999999</v>
      </c>
    </row>
    <row r="211" spans="1:6">
      <c r="A211" s="1375" t="s">
        <v>1758</v>
      </c>
      <c r="B211" s="1375" t="s">
        <v>1743</v>
      </c>
      <c r="C211" s="1375" t="s">
        <v>158</v>
      </c>
      <c r="D211" s="1375">
        <v>2024</v>
      </c>
      <c r="E211" s="1375" t="s">
        <v>1561</v>
      </c>
      <c r="F211" s="1470">
        <v>553.12676630999999</v>
      </c>
    </row>
    <row r="212" spans="1:6">
      <c r="A212" s="1375" t="s">
        <v>1758</v>
      </c>
      <c r="B212" s="1375" t="s">
        <v>1743</v>
      </c>
      <c r="C212" s="1375" t="s">
        <v>158</v>
      </c>
      <c r="D212" s="1375">
        <v>2025</v>
      </c>
      <c r="E212" s="1375" t="s">
        <v>1561</v>
      </c>
      <c r="F212" s="1470">
        <v>553.12676630999999</v>
      </c>
    </row>
    <row r="213" spans="1:6">
      <c r="A213" s="1375" t="s">
        <v>1758</v>
      </c>
      <c r="B213" s="1375" t="s">
        <v>1569</v>
      </c>
      <c r="C213" s="1375" t="s">
        <v>157</v>
      </c>
      <c r="D213" s="1375">
        <v>2022</v>
      </c>
      <c r="E213" s="1375" t="s">
        <v>1553</v>
      </c>
      <c r="F213" s="1470">
        <v>88.223883990000004</v>
      </c>
    </row>
    <row r="214" spans="1:6">
      <c r="A214" s="1375" t="s">
        <v>1758</v>
      </c>
      <c r="B214" s="1375" t="s">
        <v>1569</v>
      </c>
      <c r="C214" s="1375" t="s">
        <v>157</v>
      </c>
      <c r="D214" s="1375">
        <v>2023</v>
      </c>
      <c r="E214" s="1375" t="s">
        <v>1553</v>
      </c>
      <c r="F214" s="1470">
        <v>88.223883990000004</v>
      </c>
    </row>
    <row r="215" spans="1:6">
      <c r="A215" s="1375" t="s">
        <v>1758</v>
      </c>
      <c r="B215" s="1375" t="s">
        <v>1569</v>
      </c>
      <c r="C215" s="1375" t="s">
        <v>157</v>
      </c>
      <c r="D215" s="1375">
        <v>2024</v>
      </c>
      <c r="E215" s="1375" t="s">
        <v>1553</v>
      </c>
      <c r="F215" s="1470">
        <v>88.223883990000004</v>
      </c>
    </row>
    <row r="216" spans="1:6">
      <c r="A216" s="1375" t="s">
        <v>1758</v>
      </c>
      <c r="B216" s="1375" t="s">
        <v>1569</v>
      </c>
      <c r="C216" s="1375" t="s">
        <v>157</v>
      </c>
      <c r="D216" s="1375">
        <v>2025</v>
      </c>
      <c r="E216" s="1375" t="s">
        <v>1553</v>
      </c>
      <c r="F216" s="1470">
        <v>88.223883990000004</v>
      </c>
    </row>
    <row r="217" spans="1:6">
      <c r="A217" s="1375" t="s">
        <v>1758</v>
      </c>
      <c r="B217" s="1375" t="s">
        <v>1569</v>
      </c>
      <c r="C217" s="1375" t="s">
        <v>158</v>
      </c>
      <c r="D217" s="1375">
        <v>2022</v>
      </c>
      <c r="E217" s="1375" t="s">
        <v>1554</v>
      </c>
      <c r="F217" s="1470">
        <v>270.25194477999997</v>
      </c>
    </row>
    <row r="218" spans="1:6">
      <c r="A218" s="1375" t="s">
        <v>1758</v>
      </c>
      <c r="B218" s="1375" t="s">
        <v>1569</v>
      </c>
      <c r="C218" s="1375" t="s">
        <v>158</v>
      </c>
      <c r="D218" s="1375">
        <v>2023</v>
      </c>
      <c r="E218" s="1375" t="s">
        <v>1554</v>
      </c>
      <c r="F218" s="1470">
        <v>270.25194477999997</v>
      </c>
    </row>
    <row r="219" spans="1:6">
      <c r="A219" s="1375" t="s">
        <v>1758</v>
      </c>
      <c r="B219" s="1375" t="s">
        <v>1569</v>
      </c>
      <c r="C219" s="1375" t="s">
        <v>158</v>
      </c>
      <c r="D219" s="1375">
        <v>2024</v>
      </c>
      <c r="E219" s="1375" t="s">
        <v>1554</v>
      </c>
      <c r="F219" s="1470">
        <v>270.25194477999997</v>
      </c>
    </row>
    <row r="220" spans="1:6">
      <c r="A220" s="1375" t="s">
        <v>1758</v>
      </c>
      <c r="B220" s="1375" t="s">
        <v>1569</v>
      </c>
      <c r="C220" s="1375" t="s">
        <v>158</v>
      </c>
      <c r="D220" s="1375">
        <v>2025</v>
      </c>
      <c r="E220" s="1375" t="s">
        <v>1554</v>
      </c>
      <c r="F220" s="1470">
        <v>270.25194477999997</v>
      </c>
    </row>
    <row r="221" spans="1:6">
      <c r="A221" s="1375" t="s">
        <v>1758</v>
      </c>
      <c r="B221" s="1375" t="s">
        <v>1569</v>
      </c>
      <c r="C221" s="1375" t="s">
        <v>818</v>
      </c>
      <c r="D221" s="1375">
        <v>2022</v>
      </c>
      <c r="E221" s="1375" t="s">
        <v>1555</v>
      </c>
      <c r="F221" s="1470">
        <v>1613.5065321300001</v>
      </c>
    </row>
    <row r="222" spans="1:6">
      <c r="A222" s="1375" t="s">
        <v>1758</v>
      </c>
      <c r="B222" s="1375" t="s">
        <v>1569</v>
      </c>
      <c r="C222" s="1375" t="s">
        <v>818</v>
      </c>
      <c r="D222" s="1375">
        <v>2023</v>
      </c>
      <c r="E222" s="1375" t="s">
        <v>1555</v>
      </c>
      <c r="F222" s="1470">
        <v>1613.5065321300001</v>
      </c>
    </row>
    <row r="223" spans="1:6">
      <c r="A223" s="1375" t="s">
        <v>1758</v>
      </c>
      <c r="B223" s="1375" t="s">
        <v>1569</v>
      </c>
      <c r="C223" s="1375" t="s">
        <v>818</v>
      </c>
      <c r="D223" s="1375">
        <v>2024</v>
      </c>
      <c r="E223" s="1375" t="s">
        <v>1555</v>
      </c>
      <c r="F223" s="1470">
        <v>1613.5065321300001</v>
      </c>
    </row>
    <row r="224" spans="1:6">
      <c r="A224" s="1375" t="s">
        <v>1758</v>
      </c>
      <c r="B224" s="1375" t="s">
        <v>1569</v>
      </c>
      <c r="C224" s="1375" t="s">
        <v>818</v>
      </c>
      <c r="D224" s="1375">
        <v>2025</v>
      </c>
      <c r="E224" s="1375" t="s">
        <v>1555</v>
      </c>
      <c r="F224" s="1470">
        <v>1613.5065321300001</v>
      </c>
    </row>
    <row r="225" spans="1:6">
      <c r="A225" s="1375" t="s">
        <v>1758</v>
      </c>
      <c r="B225" s="1375" t="s">
        <v>1567</v>
      </c>
      <c r="C225" s="1375" t="s">
        <v>157</v>
      </c>
      <c r="D225" s="1375">
        <v>2022</v>
      </c>
      <c r="E225" s="1375" t="s">
        <v>1549</v>
      </c>
      <c r="F225" s="1470">
        <v>87.042615659999996</v>
      </c>
    </row>
    <row r="226" spans="1:6">
      <c r="A226" s="1375" t="s">
        <v>1758</v>
      </c>
      <c r="B226" s="1375" t="s">
        <v>1567</v>
      </c>
      <c r="C226" s="1375" t="s">
        <v>157</v>
      </c>
      <c r="D226" s="1375">
        <v>2023</v>
      </c>
      <c r="E226" s="1375" t="s">
        <v>1549</v>
      </c>
      <c r="F226" s="1470">
        <v>87.042615659999996</v>
      </c>
    </row>
    <row r="227" spans="1:6">
      <c r="A227" s="1375" t="s">
        <v>1758</v>
      </c>
      <c r="B227" s="1375" t="s">
        <v>1567</v>
      </c>
      <c r="C227" s="1375" t="s">
        <v>157</v>
      </c>
      <c r="D227" s="1375">
        <v>2024</v>
      </c>
      <c r="E227" s="1375" t="s">
        <v>1549</v>
      </c>
      <c r="F227" s="1470">
        <v>87.042615659999996</v>
      </c>
    </row>
    <row r="228" spans="1:6">
      <c r="A228" s="1375" t="s">
        <v>1758</v>
      </c>
      <c r="B228" s="1375" t="s">
        <v>1567</v>
      </c>
      <c r="C228" s="1375" t="s">
        <v>157</v>
      </c>
      <c r="D228" s="1375">
        <v>2025</v>
      </c>
      <c r="E228" s="1375" t="s">
        <v>1549</v>
      </c>
      <c r="F228" s="1470">
        <v>87.042615659999996</v>
      </c>
    </row>
    <row r="229" spans="1:6">
      <c r="A229" s="1375" t="s">
        <v>1758</v>
      </c>
      <c r="B229" s="1375" t="s">
        <v>1567</v>
      </c>
      <c r="C229" s="1375" t="s">
        <v>158</v>
      </c>
      <c r="D229" s="1375">
        <v>2022</v>
      </c>
      <c r="E229" s="1375" t="s">
        <v>1550</v>
      </c>
      <c r="F229" s="1470">
        <v>343.30448959</v>
      </c>
    </row>
    <row r="230" spans="1:6">
      <c r="A230" s="1375" t="s">
        <v>1758</v>
      </c>
      <c r="B230" s="1375" t="s">
        <v>1567</v>
      </c>
      <c r="C230" s="1375" t="s">
        <v>158</v>
      </c>
      <c r="D230" s="1375">
        <v>2023</v>
      </c>
      <c r="E230" s="1375" t="s">
        <v>1550</v>
      </c>
      <c r="F230" s="1470">
        <v>343.30448959</v>
      </c>
    </row>
    <row r="231" spans="1:6">
      <c r="A231" s="1375" t="s">
        <v>1758</v>
      </c>
      <c r="B231" s="1375" t="s">
        <v>1567</v>
      </c>
      <c r="C231" s="1375" t="s">
        <v>158</v>
      </c>
      <c r="D231" s="1375">
        <v>2024</v>
      </c>
      <c r="E231" s="1375" t="s">
        <v>1550</v>
      </c>
      <c r="F231" s="1470">
        <v>343.30448959</v>
      </c>
    </row>
    <row r="232" spans="1:6">
      <c r="A232" s="1375" t="s">
        <v>1758</v>
      </c>
      <c r="B232" s="1375" t="s">
        <v>1567</v>
      </c>
      <c r="C232" s="1375" t="s">
        <v>158</v>
      </c>
      <c r="D232" s="1375">
        <v>2025</v>
      </c>
      <c r="E232" s="1375" t="s">
        <v>1550</v>
      </c>
      <c r="F232" s="1470">
        <v>343.30448959</v>
      </c>
    </row>
    <row r="233" spans="1:6">
      <c r="A233" s="1375" t="s">
        <v>152</v>
      </c>
      <c r="B233" s="1375" t="s">
        <v>805</v>
      </c>
      <c r="C233" s="1375" t="s">
        <v>157</v>
      </c>
      <c r="D233" s="1375">
        <v>2022</v>
      </c>
      <c r="E233" s="1375" t="s">
        <v>57</v>
      </c>
      <c r="F233" s="1470">
        <v>1049.1477771</v>
      </c>
    </row>
    <row r="234" spans="1:6">
      <c r="A234" s="1375" t="s">
        <v>152</v>
      </c>
      <c r="B234" s="1375" t="s">
        <v>805</v>
      </c>
      <c r="C234" s="1375" t="s">
        <v>157</v>
      </c>
      <c r="D234" s="1375">
        <v>2023</v>
      </c>
      <c r="E234" s="1375" t="s">
        <v>57</v>
      </c>
      <c r="F234" s="1470">
        <v>1049.1477771</v>
      </c>
    </row>
    <row r="235" spans="1:6">
      <c r="A235" s="1375" t="s">
        <v>152</v>
      </c>
      <c r="B235" s="1375" t="s">
        <v>805</v>
      </c>
      <c r="C235" s="1375" t="s">
        <v>157</v>
      </c>
      <c r="D235" s="1375">
        <v>2024</v>
      </c>
      <c r="E235" s="1375" t="s">
        <v>57</v>
      </c>
      <c r="F235" s="1470">
        <v>1049.1477771</v>
      </c>
    </row>
    <row r="236" spans="1:6">
      <c r="A236" s="1375" t="s">
        <v>152</v>
      </c>
      <c r="B236" s="1375" t="s">
        <v>805</v>
      </c>
      <c r="C236" s="1375" t="s">
        <v>157</v>
      </c>
      <c r="D236" s="1375">
        <v>2025</v>
      </c>
      <c r="E236" s="1375" t="s">
        <v>57</v>
      </c>
      <c r="F236" s="1470">
        <v>1049.1477771</v>
      </c>
    </row>
    <row r="237" spans="1:6">
      <c r="A237" s="1375" t="s">
        <v>152</v>
      </c>
      <c r="B237" s="1375" t="s">
        <v>805</v>
      </c>
      <c r="C237" s="1375" t="s">
        <v>158</v>
      </c>
      <c r="D237" s="1375">
        <v>2022</v>
      </c>
      <c r="E237" s="1375" t="s">
        <v>58</v>
      </c>
      <c r="F237" s="1470">
        <v>288.90995240000001</v>
      </c>
    </row>
    <row r="238" spans="1:6">
      <c r="A238" s="1375" t="s">
        <v>152</v>
      </c>
      <c r="B238" s="1375" t="s">
        <v>805</v>
      </c>
      <c r="C238" s="1375" t="s">
        <v>158</v>
      </c>
      <c r="D238" s="1375">
        <v>2023</v>
      </c>
      <c r="E238" s="1375" t="s">
        <v>58</v>
      </c>
      <c r="F238" s="1470">
        <v>288.90995240000001</v>
      </c>
    </row>
    <row r="239" spans="1:6">
      <c r="A239" s="1375" t="s">
        <v>152</v>
      </c>
      <c r="B239" s="1375" t="s">
        <v>805</v>
      </c>
      <c r="C239" s="1375" t="s">
        <v>158</v>
      </c>
      <c r="D239" s="1375">
        <v>2024</v>
      </c>
      <c r="E239" s="1375" t="s">
        <v>58</v>
      </c>
      <c r="F239" s="1470">
        <v>288.90995240000001</v>
      </c>
    </row>
    <row r="240" spans="1:6">
      <c r="A240" s="1375" t="s">
        <v>152</v>
      </c>
      <c r="B240" s="1375" t="s">
        <v>805</v>
      </c>
      <c r="C240" s="1375" t="s">
        <v>158</v>
      </c>
      <c r="D240" s="1375">
        <v>2025</v>
      </c>
      <c r="E240" s="1375" t="s">
        <v>58</v>
      </c>
      <c r="F240" s="1470">
        <v>288.90995240000001</v>
      </c>
    </row>
    <row r="241" spans="1:6">
      <c r="A241" s="1375" t="s">
        <v>152</v>
      </c>
      <c r="B241" s="1375" t="s">
        <v>805</v>
      </c>
      <c r="C241" s="1375" t="s">
        <v>818</v>
      </c>
      <c r="D241" s="1375">
        <v>2022</v>
      </c>
      <c r="E241" s="1375" t="s">
        <v>762</v>
      </c>
      <c r="F241" s="1470">
        <v>169.11900077000001</v>
      </c>
    </row>
    <row r="242" spans="1:6">
      <c r="A242" s="1375" t="s">
        <v>152</v>
      </c>
      <c r="B242" s="1375" t="s">
        <v>805</v>
      </c>
      <c r="C242" s="1375" t="s">
        <v>818</v>
      </c>
      <c r="D242" s="1375">
        <v>2023</v>
      </c>
      <c r="E242" s="1375" t="s">
        <v>762</v>
      </c>
      <c r="F242" s="1470">
        <v>169.11900077000001</v>
      </c>
    </row>
    <row r="243" spans="1:6">
      <c r="A243" s="1375" t="s">
        <v>152</v>
      </c>
      <c r="B243" s="1375" t="s">
        <v>805</v>
      </c>
      <c r="C243" s="1375" t="s">
        <v>818</v>
      </c>
      <c r="D243" s="1375">
        <v>2024</v>
      </c>
      <c r="E243" s="1375" t="s">
        <v>762</v>
      </c>
      <c r="F243" s="1470">
        <v>169.11900077000001</v>
      </c>
    </row>
    <row r="244" spans="1:6">
      <c r="A244" s="1375" t="s">
        <v>152</v>
      </c>
      <c r="B244" s="1375" t="s">
        <v>805</v>
      </c>
      <c r="C244" s="1375" t="s">
        <v>818</v>
      </c>
      <c r="D244" s="1375">
        <v>2025</v>
      </c>
      <c r="E244" s="1375" t="s">
        <v>762</v>
      </c>
      <c r="F244" s="1470">
        <v>169.11900077000001</v>
      </c>
    </row>
    <row r="245" spans="1:6">
      <c r="A245" s="1375" t="s">
        <v>152</v>
      </c>
      <c r="B245" s="1375" t="s">
        <v>805</v>
      </c>
      <c r="C245" s="1375" t="s">
        <v>819</v>
      </c>
      <c r="D245" s="1375">
        <v>2022</v>
      </c>
      <c r="E245" s="1375" t="s">
        <v>763</v>
      </c>
      <c r="F245" s="1470">
        <v>290.07965223000002</v>
      </c>
    </row>
    <row r="246" spans="1:6">
      <c r="A246" s="1375" t="s">
        <v>152</v>
      </c>
      <c r="B246" s="1375" t="s">
        <v>805</v>
      </c>
      <c r="C246" s="1375" t="s">
        <v>819</v>
      </c>
      <c r="D246" s="1375">
        <v>2023</v>
      </c>
      <c r="E246" s="1375" t="s">
        <v>763</v>
      </c>
      <c r="F246" s="1470">
        <v>290.07965223000002</v>
      </c>
    </row>
    <row r="247" spans="1:6">
      <c r="A247" s="1375" t="s">
        <v>152</v>
      </c>
      <c r="B247" s="1375" t="s">
        <v>805</v>
      </c>
      <c r="C247" s="1375" t="s">
        <v>819</v>
      </c>
      <c r="D247" s="1375">
        <v>2024</v>
      </c>
      <c r="E247" s="1375" t="s">
        <v>763</v>
      </c>
      <c r="F247" s="1470">
        <v>290.07965223000002</v>
      </c>
    </row>
    <row r="248" spans="1:6">
      <c r="A248" s="1375" t="s">
        <v>152</v>
      </c>
      <c r="B248" s="1375" t="s">
        <v>805</v>
      </c>
      <c r="C248" s="1375" t="s">
        <v>819</v>
      </c>
      <c r="D248" s="1375">
        <v>2025</v>
      </c>
      <c r="E248" s="1375" t="s">
        <v>763</v>
      </c>
      <c r="F248" s="1470">
        <v>290.07965223000002</v>
      </c>
    </row>
    <row r="249" spans="1:6">
      <c r="A249" s="1375" t="s">
        <v>152</v>
      </c>
      <c r="B249" s="1375" t="s">
        <v>804</v>
      </c>
      <c r="C249" s="1375" t="s">
        <v>157</v>
      </c>
      <c r="D249" s="1375">
        <v>2022</v>
      </c>
      <c r="E249" s="1375" t="s">
        <v>55</v>
      </c>
      <c r="F249" s="1470">
        <v>1049.1477771</v>
      </c>
    </row>
    <row r="250" spans="1:6">
      <c r="A250" s="1375" t="s">
        <v>152</v>
      </c>
      <c r="B250" s="1375" t="s">
        <v>804</v>
      </c>
      <c r="C250" s="1375" t="s">
        <v>157</v>
      </c>
      <c r="D250" s="1375">
        <v>2023</v>
      </c>
      <c r="E250" s="1375" t="s">
        <v>55</v>
      </c>
      <c r="F250" s="1470">
        <v>1049.1477771</v>
      </c>
    </row>
    <row r="251" spans="1:6">
      <c r="A251" s="1375" t="s">
        <v>152</v>
      </c>
      <c r="B251" s="1375" t="s">
        <v>804</v>
      </c>
      <c r="C251" s="1375" t="s">
        <v>157</v>
      </c>
      <c r="D251" s="1375">
        <v>2024</v>
      </c>
      <c r="E251" s="1375" t="s">
        <v>55</v>
      </c>
      <c r="F251" s="1470">
        <v>1049.1477771</v>
      </c>
    </row>
    <row r="252" spans="1:6">
      <c r="A252" s="1375" t="s">
        <v>152</v>
      </c>
      <c r="B252" s="1375" t="s">
        <v>804</v>
      </c>
      <c r="C252" s="1375" t="s">
        <v>157</v>
      </c>
      <c r="D252" s="1375">
        <v>2025</v>
      </c>
      <c r="E252" s="1375" t="s">
        <v>55</v>
      </c>
      <c r="F252" s="1470">
        <v>1049.1477771</v>
      </c>
    </row>
    <row r="253" spans="1:6">
      <c r="A253" s="1375" t="s">
        <v>152</v>
      </c>
      <c r="B253" s="1375" t="s">
        <v>804</v>
      </c>
      <c r="C253" s="1375" t="s">
        <v>158</v>
      </c>
      <c r="D253" s="1375">
        <v>2022</v>
      </c>
      <c r="E253" s="1375" t="s">
        <v>56</v>
      </c>
      <c r="F253" s="1470">
        <v>288.90995240000001</v>
      </c>
    </row>
    <row r="254" spans="1:6">
      <c r="A254" s="1375" t="s">
        <v>152</v>
      </c>
      <c r="B254" s="1375" t="s">
        <v>804</v>
      </c>
      <c r="C254" s="1375" t="s">
        <v>158</v>
      </c>
      <c r="D254" s="1375">
        <v>2023</v>
      </c>
      <c r="E254" s="1375" t="s">
        <v>56</v>
      </c>
      <c r="F254" s="1470">
        <v>288.90995240000001</v>
      </c>
    </row>
    <row r="255" spans="1:6">
      <c r="A255" s="1375" t="s">
        <v>152</v>
      </c>
      <c r="B255" s="1375" t="s">
        <v>804</v>
      </c>
      <c r="C255" s="1375" t="s">
        <v>158</v>
      </c>
      <c r="D255" s="1375">
        <v>2024</v>
      </c>
      <c r="E255" s="1375" t="s">
        <v>56</v>
      </c>
      <c r="F255" s="1470">
        <v>288.90995240000001</v>
      </c>
    </row>
    <row r="256" spans="1:6">
      <c r="A256" s="1375" t="s">
        <v>152</v>
      </c>
      <c r="B256" s="1375" t="s">
        <v>804</v>
      </c>
      <c r="C256" s="1375" t="s">
        <v>158</v>
      </c>
      <c r="D256" s="1375">
        <v>2025</v>
      </c>
      <c r="E256" s="1375" t="s">
        <v>56</v>
      </c>
      <c r="F256" s="1470">
        <v>288.90995240000001</v>
      </c>
    </row>
    <row r="257" spans="1:6">
      <c r="A257" s="1375" t="s">
        <v>152</v>
      </c>
      <c r="B257" s="1375" t="s">
        <v>804</v>
      </c>
      <c r="C257" s="1375" t="s">
        <v>818</v>
      </c>
      <c r="D257" s="1375">
        <v>2022</v>
      </c>
      <c r="E257" s="1375" t="s">
        <v>770</v>
      </c>
      <c r="F257" s="1470">
        <v>169.11900077000001</v>
      </c>
    </row>
    <row r="258" spans="1:6">
      <c r="A258" s="1375" t="s">
        <v>152</v>
      </c>
      <c r="B258" s="1375" t="s">
        <v>804</v>
      </c>
      <c r="C258" s="1375" t="s">
        <v>818</v>
      </c>
      <c r="D258" s="1375">
        <v>2023</v>
      </c>
      <c r="E258" s="1375" t="s">
        <v>770</v>
      </c>
      <c r="F258" s="1470">
        <v>169.11900077000001</v>
      </c>
    </row>
    <row r="259" spans="1:6">
      <c r="A259" s="1375" t="s">
        <v>152</v>
      </c>
      <c r="B259" s="1375" t="s">
        <v>804</v>
      </c>
      <c r="C259" s="1375" t="s">
        <v>818</v>
      </c>
      <c r="D259" s="1375">
        <v>2024</v>
      </c>
      <c r="E259" s="1375" t="s">
        <v>770</v>
      </c>
      <c r="F259" s="1470">
        <v>169.11900077000001</v>
      </c>
    </row>
    <row r="260" spans="1:6">
      <c r="A260" s="1375" t="s">
        <v>152</v>
      </c>
      <c r="B260" s="1375" t="s">
        <v>804</v>
      </c>
      <c r="C260" s="1375" t="s">
        <v>818</v>
      </c>
      <c r="D260" s="1375">
        <v>2025</v>
      </c>
      <c r="E260" s="1375" t="s">
        <v>770</v>
      </c>
      <c r="F260" s="1470">
        <v>169.11900077000001</v>
      </c>
    </row>
    <row r="261" spans="1:6">
      <c r="A261" s="1375" t="s">
        <v>152</v>
      </c>
      <c r="B261" s="1375" t="s">
        <v>804</v>
      </c>
      <c r="C261" s="1375" t="s">
        <v>819</v>
      </c>
      <c r="D261" s="1375">
        <v>2022</v>
      </c>
      <c r="E261" s="1375" t="s">
        <v>771</v>
      </c>
      <c r="F261" s="1470">
        <v>290.07965223000002</v>
      </c>
    </row>
    <row r="262" spans="1:6">
      <c r="A262" s="1375" t="s">
        <v>152</v>
      </c>
      <c r="B262" s="1375" t="s">
        <v>804</v>
      </c>
      <c r="C262" s="1375" t="s">
        <v>819</v>
      </c>
      <c r="D262" s="1375">
        <v>2023</v>
      </c>
      <c r="E262" s="1375" t="s">
        <v>771</v>
      </c>
      <c r="F262" s="1470">
        <v>290.07965223000002</v>
      </c>
    </row>
    <row r="263" spans="1:6">
      <c r="A263" s="1375" t="s">
        <v>152</v>
      </c>
      <c r="B263" s="1375" t="s">
        <v>804</v>
      </c>
      <c r="C263" s="1375" t="s">
        <v>819</v>
      </c>
      <c r="D263" s="1375">
        <v>2024</v>
      </c>
      <c r="E263" s="1375" t="s">
        <v>771</v>
      </c>
      <c r="F263" s="1470">
        <v>290.07965223000002</v>
      </c>
    </row>
    <row r="264" spans="1:6">
      <c r="A264" s="1375" t="s">
        <v>152</v>
      </c>
      <c r="B264" s="1375" t="s">
        <v>804</v>
      </c>
      <c r="C264" s="1375" t="s">
        <v>819</v>
      </c>
      <c r="D264" s="1375">
        <v>2025</v>
      </c>
      <c r="E264" s="1375" t="s">
        <v>771</v>
      </c>
      <c r="F264" s="1470">
        <v>290.07965223000002</v>
      </c>
    </row>
    <row r="265" spans="1:6">
      <c r="A265" s="1375" t="s">
        <v>152</v>
      </c>
      <c r="B265" s="1375" t="s">
        <v>806</v>
      </c>
      <c r="C265" s="1375" t="s">
        <v>157</v>
      </c>
      <c r="D265" s="1375">
        <v>2022</v>
      </c>
      <c r="E265" s="1375" t="s">
        <v>744</v>
      </c>
      <c r="F265" s="1470">
        <v>586.74410101000001</v>
      </c>
    </row>
    <row r="266" spans="1:6">
      <c r="A266" s="1375" t="s">
        <v>152</v>
      </c>
      <c r="B266" s="1375" t="s">
        <v>806</v>
      </c>
      <c r="C266" s="1375" t="s">
        <v>157</v>
      </c>
      <c r="D266" s="1375">
        <v>2023</v>
      </c>
      <c r="E266" s="1375" t="s">
        <v>744</v>
      </c>
      <c r="F266" s="1470">
        <v>578.18144970000003</v>
      </c>
    </row>
    <row r="267" spans="1:6">
      <c r="A267" s="1375" t="s">
        <v>152</v>
      </c>
      <c r="B267" s="1375" t="s">
        <v>806</v>
      </c>
      <c r="C267" s="1375" t="s">
        <v>157</v>
      </c>
      <c r="D267" s="1375">
        <v>2024</v>
      </c>
      <c r="E267" s="1375" t="s">
        <v>744</v>
      </c>
      <c r="F267" s="1470">
        <v>564.82716061999997</v>
      </c>
    </row>
    <row r="268" spans="1:6">
      <c r="A268" s="1375" t="s">
        <v>152</v>
      </c>
      <c r="B268" s="1375" t="s">
        <v>806</v>
      </c>
      <c r="C268" s="1375" t="s">
        <v>157</v>
      </c>
      <c r="D268" s="1375">
        <v>2025</v>
      </c>
      <c r="E268" s="1375" t="s">
        <v>744</v>
      </c>
      <c r="F268" s="1470">
        <v>576.24648145000003</v>
      </c>
    </row>
    <row r="269" spans="1:6">
      <c r="A269" s="1375" t="s">
        <v>152</v>
      </c>
      <c r="B269" s="1375" t="s">
        <v>806</v>
      </c>
      <c r="C269" s="1375" t="s">
        <v>158</v>
      </c>
      <c r="D269" s="1375">
        <v>2022</v>
      </c>
      <c r="E269" s="1375" t="s">
        <v>745</v>
      </c>
      <c r="F269" s="1470">
        <v>161.57515079999999</v>
      </c>
    </row>
    <row r="270" spans="1:6">
      <c r="A270" s="1375" t="s">
        <v>152</v>
      </c>
      <c r="B270" s="1375" t="s">
        <v>806</v>
      </c>
      <c r="C270" s="1375" t="s">
        <v>158</v>
      </c>
      <c r="D270" s="1375">
        <v>2023</v>
      </c>
      <c r="E270" s="1375" t="s">
        <v>745</v>
      </c>
      <c r="F270" s="1470">
        <v>159.21720349</v>
      </c>
    </row>
    <row r="271" spans="1:6">
      <c r="A271" s="1375" t="s">
        <v>152</v>
      </c>
      <c r="B271" s="1375" t="s">
        <v>806</v>
      </c>
      <c r="C271" s="1375" t="s">
        <v>158</v>
      </c>
      <c r="D271" s="1375">
        <v>2024</v>
      </c>
      <c r="E271" s="1375" t="s">
        <v>745</v>
      </c>
      <c r="F271" s="1470">
        <v>155.53975489000001</v>
      </c>
    </row>
    <row r="272" spans="1:6">
      <c r="A272" s="1375" t="s">
        <v>152</v>
      </c>
      <c r="B272" s="1375" t="s">
        <v>806</v>
      </c>
      <c r="C272" s="1375" t="s">
        <v>158</v>
      </c>
      <c r="D272" s="1375">
        <v>2025</v>
      </c>
      <c r="E272" s="1375" t="s">
        <v>745</v>
      </c>
      <c r="F272" s="1470">
        <v>158.68435997</v>
      </c>
    </row>
    <row r="273" spans="1:6">
      <c r="A273" s="1375" t="s">
        <v>152</v>
      </c>
      <c r="B273" s="1375" t="s">
        <v>806</v>
      </c>
      <c r="C273" s="1375" t="s">
        <v>818</v>
      </c>
      <c r="D273" s="1375">
        <v>2022</v>
      </c>
      <c r="E273" s="1375" t="s">
        <v>764</v>
      </c>
      <c r="F273" s="1470">
        <v>94.581124070000001</v>
      </c>
    </row>
    <row r="274" spans="1:6">
      <c r="A274" s="1375" t="s">
        <v>152</v>
      </c>
      <c r="B274" s="1375" t="s">
        <v>806</v>
      </c>
      <c r="C274" s="1375" t="s">
        <v>818</v>
      </c>
      <c r="D274" s="1375">
        <v>2023</v>
      </c>
      <c r="E274" s="1375" t="s">
        <v>764</v>
      </c>
      <c r="F274" s="1470">
        <v>93.200854230000004</v>
      </c>
    </row>
    <row r="275" spans="1:6">
      <c r="A275" s="1375" t="s">
        <v>152</v>
      </c>
      <c r="B275" s="1375" t="s">
        <v>806</v>
      </c>
      <c r="C275" s="1375" t="s">
        <v>818</v>
      </c>
      <c r="D275" s="1375">
        <v>2024</v>
      </c>
      <c r="E275" s="1375" t="s">
        <v>764</v>
      </c>
      <c r="F275" s="1470">
        <v>91.048188920000001</v>
      </c>
    </row>
    <row r="276" spans="1:6">
      <c r="A276" s="1375" t="s">
        <v>152</v>
      </c>
      <c r="B276" s="1375" t="s">
        <v>806</v>
      </c>
      <c r="C276" s="1375" t="s">
        <v>818</v>
      </c>
      <c r="D276" s="1375">
        <v>2025</v>
      </c>
      <c r="E276" s="1375" t="s">
        <v>764</v>
      </c>
      <c r="F276" s="1470">
        <v>92.888944030000005</v>
      </c>
    </row>
    <row r="277" spans="1:6">
      <c r="A277" s="1375" t="s">
        <v>152</v>
      </c>
      <c r="B277" s="1375" t="s">
        <v>806</v>
      </c>
      <c r="C277" s="1375" t="s">
        <v>819</v>
      </c>
      <c r="D277" s="1375">
        <v>2022</v>
      </c>
      <c r="E277" s="1375" t="s">
        <v>765</v>
      </c>
      <c r="F277" s="1470">
        <v>162.22931457999999</v>
      </c>
    </row>
    <row r="278" spans="1:6">
      <c r="A278" s="1375" t="s">
        <v>152</v>
      </c>
      <c r="B278" s="1375" t="s">
        <v>806</v>
      </c>
      <c r="C278" s="1375" t="s">
        <v>819</v>
      </c>
      <c r="D278" s="1375">
        <v>2023</v>
      </c>
      <c r="E278" s="1375" t="s">
        <v>765</v>
      </c>
      <c r="F278" s="1470">
        <v>159.86182073000001</v>
      </c>
    </row>
    <row r="279" spans="1:6">
      <c r="A279" s="1375" t="s">
        <v>152</v>
      </c>
      <c r="B279" s="1375" t="s">
        <v>806</v>
      </c>
      <c r="C279" s="1375" t="s">
        <v>819</v>
      </c>
      <c r="D279" s="1375">
        <v>2024</v>
      </c>
      <c r="E279" s="1375" t="s">
        <v>765</v>
      </c>
      <c r="F279" s="1470">
        <v>156.16948336999999</v>
      </c>
    </row>
    <row r="280" spans="1:6">
      <c r="A280" s="1375" t="s">
        <v>152</v>
      </c>
      <c r="B280" s="1375" t="s">
        <v>806</v>
      </c>
      <c r="C280" s="1375" t="s">
        <v>819</v>
      </c>
      <c r="D280" s="1375">
        <v>2025</v>
      </c>
      <c r="E280" s="1375" t="s">
        <v>765</v>
      </c>
      <c r="F280" s="1470">
        <v>159.32681991000001</v>
      </c>
    </row>
    <row r="281" spans="1:6">
      <c r="A281" s="1375" t="s">
        <v>152</v>
      </c>
      <c r="B281" s="1375" t="s">
        <v>807</v>
      </c>
      <c r="C281" s="1375" t="s">
        <v>157</v>
      </c>
      <c r="D281" s="1375">
        <v>2022</v>
      </c>
      <c r="E281" s="1375" t="s">
        <v>766</v>
      </c>
      <c r="F281" s="1470">
        <v>367.38964633000001</v>
      </c>
    </row>
    <row r="282" spans="1:6">
      <c r="A282" s="1375" t="s">
        <v>152</v>
      </c>
      <c r="B282" s="1375" t="s">
        <v>807</v>
      </c>
      <c r="C282" s="1375" t="s">
        <v>157</v>
      </c>
      <c r="D282" s="1375">
        <v>2023</v>
      </c>
      <c r="E282" s="1375" t="s">
        <v>766</v>
      </c>
      <c r="F282" s="1470">
        <v>347.41678026</v>
      </c>
    </row>
    <row r="283" spans="1:6">
      <c r="A283" s="1375" t="s">
        <v>152</v>
      </c>
      <c r="B283" s="1375" t="s">
        <v>807</v>
      </c>
      <c r="C283" s="1375" t="s">
        <v>157</v>
      </c>
      <c r="D283" s="1375">
        <v>2024</v>
      </c>
      <c r="E283" s="1375" t="s">
        <v>766</v>
      </c>
      <c r="F283" s="1470">
        <v>291.20049375000002</v>
      </c>
    </row>
    <row r="284" spans="1:6">
      <c r="A284" s="1375" t="s">
        <v>152</v>
      </c>
      <c r="B284" s="1375" t="s">
        <v>807</v>
      </c>
      <c r="C284" s="1375" t="s">
        <v>157</v>
      </c>
      <c r="D284" s="1375">
        <v>2025</v>
      </c>
      <c r="E284" s="1375" t="s">
        <v>766</v>
      </c>
      <c r="F284" s="1470">
        <v>492.45087756999999</v>
      </c>
    </row>
    <row r="285" spans="1:6">
      <c r="A285" s="1375" t="s">
        <v>152</v>
      </c>
      <c r="B285" s="1375" t="s">
        <v>807</v>
      </c>
      <c r="C285" s="1375" t="s">
        <v>158</v>
      </c>
      <c r="D285" s="1375">
        <v>2022</v>
      </c>
      <c r="E285" s="1375" t="s">
        <v>767</v>
      </c>
      <c r="F285" s="1470">
        <v>101.17023316</v>
      </c>
    </row>
    <row r="286" spans="1:6">
      <c r="A286" s="1375" t="s">
        <v>152</v>
      </c>
      <c r="B286" s="1375" t="s">
        <v>807</v>
      </c>
      <c r="C286" s="1375" t="s">
        <v>158</v>
      </c>
      <c r="D286" s="1375">
        <v>2023</v>
      </c>
      <c r="E286" s="1375" t="s">
        <v>767</v>
      </c>
      <c r="F286" s="1470">
        <v>95.670188359999997</v>
      </c>
    </row>
    <row r="287" spans="1:6">
      <c r="A287" s="1375" t="s">
        <v>152</v>
      </c>
      <c r="B287" s="1375" t="s">
        <v>807</v>
      </c>
      <c r="C287" s="1375" t="s">
        <v>158</v>
      </c>
      <c r="D287" s="1375">
        <v>2024</v>
      </c>
      <c r="E287" s="1375" t="s">
        <v>767</v>
      </c>
      <c r="F287" s="1470">
        <v>80.189581129999993</v>
      </c>
    </row>
    <row r="288" spans="1:6">
      <c r="A288" s="1375" t="s">
        <v>152</v>
      </c>
      <c r="B288" s="1375" t="s">
        <v>807</v>
      </c>
      <c r="C288" s="1375" t="s">
        <v>158</v>
      </c>
      <c r="D288" s="1375">
        <v>2025</v>
      </c>
      <c r="E288" s="1375" t="s">
        <v>767</v>
      </c>
      <c r="F288" s="1470">
        <v>135.60907501</v>
      </c>
    </row>
    <row r="289" spans="1:6">
      <c r="A289" s="1375" t="s">
        <v>152</v>
      </c>
      <c r="B289" s="1375" t="s">
        <v>807</v>
      </c>
      <c r="C289" s="1375" t="s">
        <v>818</v>
      </c>
      <c r="D289" s="1375">
        <v>2022</v>
      </c>
      <c r="E289" s="1375" t="s">
        <v>768</v>
      </c>
      <c r="F289" s="1470">
        <v>59.221943029999998</v>
      </c>
    </row>
    <row r="290" spans="1:6">
      <c r="A290" s="1375" t="s">
        <v>152</v>
      </c>
      <c r="B290" s="1375" t="s">
        <v>807</v>
      </c>
      <c r="C290" s="1375" t="s">
        <v>818</v>
      </c>
      <c r="D290" s="1375">
        <v>2023</v>
      </c>
      <c r="E290" s="1375" t="s">
        <v>768</v>
      </c>
      <c r="F290" s="1470">
        <v>56.002385949999997</v>
      </c>
    </row>
    <row r="291" spans="1:6">
      <c r="A291" s="1375" t="s">
        <v>152</v>
      </c>
      <c r="B291" s="1375" t="s">
        <v>807</v>
      </c>
      <c r="C291" s="1375" t="s">
        <v>818</v>
      </c>
      <c r="D291" s="1375">
        <v>2024</v>
      </c>
      <c r="E291" s="1375" t="s">
        <v>768</v>
      </c>
      <c r="F291" s="1470">
        <v>46.940514579999999</v>
      </c>
    </row>
    <row r="292" spans="1:6">
      <c r="A292" s="1375" t="s">
        <v>152</v>
      </c>
      <c r="B292" s="1375" t="s">
        <v>807</v>
      </c>
      <c r="C292" s="1375" t="s">
        <v>818</v>
      </c>
      <c r="D292" s="1375">
        <v>2025</v>
      </c>
      <c r="E292" s="1375" t="s">
        <v>768</v>
      </c>
      <c r="F292" s="1470">
        <v>79.381381880000006</v>
      </c>
    </row>
    <row r="293" spans="1:6">
      <c r="A293" s="1375" t="s">
        <v>152</v>
      </c>
      <c r="B293" s="1375" t="s">
        <v>807</v>
      </c>
      <c r="C293" s="1375" t="s">
        <v>819</v>
      </c>
      <c r="D293" s="1375">
        <v>2022</v>
      </c>
      <c r="E293" s="1375" t="s">
        <v>769</v>
      </c>
      <c r="F293" s="1470">
        <v>101.57983762000001</v>
      </c>
    </row>
    <row r="294" spans="1:6">
      <c r="A294" s="1375" t="s">
        <v>152</v>
      </c>
      <c r="B294" s="1375" t="s">
        <v>807</v>
      </c>
      <c r="C294" s="1375" t="s">
        <v>819</v>
      </c>
      <c r="D294" s="1375">
        <v>2023</v>
      </c>
      <c r="E294" s="1375" t="s">
        <v>769</v>
      </c>
      <c r="F294" s="1470">
        <v>96.057524970000003</v>
      </c>
    </row>
    <row r="295" spans="1:6">
      <c r="A295" s="1375" t="s">
        <v>152</v>
      </c>
      <c r="B295" s="1375" t="s">
        <v>807</v>
      </c>
      <c r="C295" s="1375" t="s">
        <v>819</v>
      </c>
      <c r="D295" s="1375">
        <v>2024</v>
      </c>
      <c r="E295" s="1375" t="s">
        <v>769</v>
      </c>
      <c r="F295" s="1470">
        <v>80.514241940000005</v>
      </c>
    </row>
    <row r="296" spans="1:6">
      <c r="A296" s="1375" t="s">
        <v>152</v>
      </c>
      <c r="B296" s="1375" t="s">
        <v>807</v>
      </c>
      <c r="C296" s="1375" t="s">
        <v>819</v>
      </c>
      <c r="D296" s="1375">
        <v>2025</v>
      </c>
      <c r="E296" s="1375" t="s">
        <v>769</v>
      </c>
      <c r="F296" s="1470">
        <v>136.15811083</v>
      </c>
    </row>
    <row r="297" spans="1:6">
      <c r="A297" s="1375" t="s">
        <v>746</v>
      </c>
      <c r="B297" s="1375" t="s">
        <v>295</v>
      </c>
      <c r="C297" s="1375" t="s">
        <v>367</v>
      </c>
      <c r="D297" s="1375">
        <v>2022</v>
      </c>
      <c r="E297" s="1375" t="s">
        <v>2305</v>
      </c>
      <c r="F297" s="1470">
        <v>504</v>
      </c>
    </row>
    <row r="298" spans="1:6">
      <c r="A298" s="1375" t="s">
        <v>746</v>
      </c>
      <c r="B298" s="1375" t="s">
        <v>295</v>
      </c>
      <c r="C298" s="1375" t="s">
        <v>367</v>
      </c>
      <c r="D298" s="1375">
        <v>2023</v>
      </c>
      <c r="E298" s="1375" t="s">
        <v>2305</v>
      </c>
      <c r="F298" s="1470">
        <v>504</v>
      </c>
    </row>
    <row r="299" spans="1:6">
      <c r="A299" s="1375" t="s">
        <v>746</v>
      </c>
      <c r="B299" s="1375" t="s">
        <v>295</v>
      </c>
      <c r="C299" s="1375" t="s">
        <v>367</v>
      </c>
      <c r="D299" s="1375">
        <v>2024</v>
      </c>
      <c r="E299" s="1375" t="s">
        <v>2305</v>
      </c>
      <c r="F299" s="1470">
        <v>504</v>
      </c>
    </row>
    <row r="300" spans="1:6">
      <c r="A300" s="1375" t="s">
        <v>746</v>
      </c>
      <c r="B300" s="1375" t="s">
        <v>295</v>
      </c>
      <c r="C300" s="1375" t="s">
        <v>367</v>
      </c>
      <c r="D300" s="1375">
        <v>2025</v>
      </c>
      <c r="E300" s="1375" t="s">
        <v>2305</v>
      </c>
      <c r="F300" s="1470">
        <v>504</v>
      </c>
    </row>
    <row r="301" spans="1:6">
      <c r="A301" s="1375" t="s">
        <v>746</v>
      </c>
      <c r="B301" s="1375" t="s">
        <v>295</v>
      </c>
      <c r="C301" s="1375" t="s">
        <v>357</v>
      </c>
      <c r="D301" s="1375">
        <v>2022</v>
      </c>
      <c r="E301" s="1375" t="s">
        <v>62</v>
      </c>
      <c r="F301" s="1470">
        <v>746.36554107999996</v>
      </c>
    </row>
    <row r="302" spans="1:6">
      <c r="A302" s="1375" t="s">
        <v>746</v>
      </c>
      <c r="B302" s="1375" t="s">
        <v>295</v>
      </c>
      <c r="C302" s="1375" t="s">
        <v>357</v>
      </c>
      <c r="D302" s="1375">
        <v>2023</v>
      </c>
      <c r="E302" s="1375" t="s">
        <v>62</v>
      </c>
      <c r="F302" s="1470">
        <v>746.36554107999996</v>
      </c>
    </row>
    <row r="303" spans="1:6">
      <c r="A303" s="1375" t="s">
        <v>746</v>
      </c>
      <c r="B303" s="1375" t="s">
        <v>295</v>
      </c>
      <c r="C303" s="1375" t="s">
        <v>357</v>
      </c>
      <c r="D303" s="1375">
        <v>2024</v>
      </c>
      <c r="E303" s="1375" t="s">
        <v>62</v>
      </c>
      <c r="F303" s="1470">
        <v>746.36554107999996</v>
      </c>
    </row>
    <row r="304" spans="1:6">
      <c r="A304" s="1375" t="s">
        <v>746</v>
      </c>
      <c r="B304" s="1375" t="s">
        <v>295</v>
      </c>
      <c r="C304" s="1375" t="s">
        <v>357</v>
      </c>
      <c r="D304" s="1375">
        <v>2025</v>
      </c>
      <c r="E304" s="1375" t="s">
        <v>62</v>
      </c>
      <c r="F304" s="1470">
        <v>746.36554107999996</v>
      </c>
    </row>
    <row r="305" spans="1:6">
      <c r="A305" s="1375" t="s">
        <v>746</v>
      </c>
      <c r="B305" s="1375" t="s">
        <v>303</v>
      </c>
      <c r="C305" s="1375" t="s">
        <v>367</v>
      </c>
      <c r="D305" s="1375">
        <v>2022</v>
      </c>
      <c r="E305" s="1375" t="s">
        <v>64</v>
      </c>
      <c r="F305" s="1470">
        <v>5</v>
      </c>
    </row>
    <row r="306" spans="1:6">
      <c r="A306" s="1375" t="s">
        <v>746</v>
      </c>
      <c r="B306" s="1375" t="s">
        <v>303</v>
      </c>
      <c r="C306" s="1375" t="s">
        <v>367</v>
      </c>
      <c r="D306" s="1375">
        <v>2023</v>
      </c>
      <c r="E306" s="1375" t="s">
        <v>64</v>
      </c>
      <c r="F306" s="1470">
        <v>5</v>
      </c>
    </row>
    <row r="307" spans="1:6">
      <c r="A307" s="1375" t="s">
        <v>746</v>
      </c>
      <c r="B307" s="1375" t="s">
        <v>303</v>
      </c>
      <c r="C307" s="1375" t="s">
        <v>367</v>
      </c>
      <c r="D307" s="1375">
        <v>2024</v>
      </c>
      <c r="E307" s="1375" t="s">
        <v>64</v>
      </c>
      <c r="F307" s="1470">
        <v>5</v>
      </c>
    </row>
    <row r="308" spans="1:6">
      <c r="A308" s="1375" t="s">
        <v>746</v>
      </c>
      <c r="B308" s="1375" t="s">
        <v>303</v>
      </c>
      <c r="C308" s="1375" t="s">
        <v>367</v>
      </c>
      <c r="D308" s="1375">
        <v>2025</v>
      </c>
      <c r="E308" s="1375" t="s">
        <v>64</v>
      </c>
      <c r="F308" s="1470">
        <v>5</v>
      </c>
    </row>
    <row r="309" spans="1:6">
      <c r="A309" s="1375" t="s">
        <v>746</v>
      </c>
      <c r="B309" s="1375" t="s">
        <v>303</v>
      </c>
      <c r="C309" s="1375" t="s">
        <v>357</v>
      </c>
      <c r="D309" s="1375">
        <v>2022</v>
      </c>
      <c r="E309" s="1375" t="s">
        <v>63</v>
      </c>
      <c r="F309" s="1470">
        <v>850.39740426000003</v>
      </c>
    </row>
    <row r="310" spans="1:6">
      <c r="A310" s="1375" t="s">
        <v>746</v>
      </c>
      <c r="B310" s="1375" t="s">
        <v>303</v>
      </c>
      <c r="C310" s="1375" t="s">
        <v>357</v>
      </c>
      <c r="D310" s="1375">
        <v>2023</v>
      </c>
      <c r="E310" s="1375" t="s">
        <v>63</v>
      </c>
      <c r="F310" s="1470">
        <v>850.39740426000003</v>
      </c>
    </row>
    <row r="311" spans="1:6">
      <c r="A311" s="1375" t="s">
        <v>746</v>
      </c>
      <c r="B311" s="1375" t="s">
        <v>303</v>
      </c>
      <c r="C311" s="1375" t="s">
        <v>357</v>
      </c>
      <c r="D311" s="1375">
        <v>2024</v>
      </c>
      <c r="E311" s="1375" t="s">
        <v>63</v>
      </c>
      <c r="F311" s="1470">
        <v>850.39740426000003</v>
      </c>
    </row>
    <row r="312" spans="1:6">
      <c r="A312" s="1375" t="s">
        <v>746</v>
      </c>
      <c r="B312" s="1375" t="s">
        <v>303</v>
      </c>
      <c r="C312" s="1375" t="s">
        <v>357</v>
      </c>
      <c r="D312" s="1375">
        <v>2025</v>
      </c>
      <c r="E312" s="1375" t="s">
        <v>63</v>
      </c>
      <c r="F312" s="1470">
        <v>850.39740426000003</v>
      </c>
    </row>
    <row r="313" spans="1:6">
      <c r="A313" s="1375" t="s">
        <v>746</v>
      </c>
      <c r="B313" s="1375" t="s">
        <v>309</v>
      </c>
      <c r="C313" s="1375" t="s">
        <v>1564</v>
      </c>
      <c r="D313" s="1375">
        <v>2022</v>
      </c>
      <c r="E313" s="1375" t="s">
        <v>65</v>
      </c>
      <c r="F313" s="1470">
        <v>671</v>
      </c>
    </row>
    <row r="314" spans="1:6">
      <c r="A314" s="1375" t="s">
        <v>746</v>
      </c>
      <c r="B314" s="1375" t="s">
        <v>309</v>
      </c>
      <c r="C314" s="1375" t="s">
        <v>1564</v>
      </c>
      <c r="D314" s="1375">
        <v>2023</v>
      </c>
      <c r="E314" s="1375" t="s">
        <v>65</v>
      </c>
      <c r="F314" s="1470">
        <v>671</v>
      </c>
    </row>
    <row r="315" spans="1:6">
      <c r="A315" s="1375" t="s">
        <v>746</v>
      </c>
      <c r="B315" s="1375" t="s">
        <v>309</v>
      </c>
      <c r="C315" s="1375" t="s">
        <v>1564</v>
      </c>
      <c r="D315" s="1375">
        <v>2024</v>
      </c>
      <c r="E315" s="1375" t="s">
        <v>65</v>
      </c>
      <c r="F315" s="1470">
        <v>671</v>
      </c>
    </row>
    <row r="316" spans="1:6">
      <c r="A316" s="1375" t="s">
        <v>746</v>
      </c>
      <c r="B316" s="1375" t="s">
        <v>309</v>
      </c>
      <c r="C316" s="1375" t="s">
        <v>1564</v>
      </c>
      <c r="D316" s="1375">
        <v>2025</v>
      </c>
      <c r="E316" s="1375" t="s">
        <v>65</v>
      </c>
      <c r="F316" s="1470">
        <v>671</v>
      </c>
    </row>
    <row r="317" spans="1:6">
      <c r="A317" s="1375" t="s">
        <v>746</v>
      </c>
      <c r="B317" s="1375" t="s">
        <v>309</v>
      </c>
      <c r="C317" s="1375" t="s">
        <v>944</v>
      </c>
      <c r="D317" s="1375">
        <v>2022</v>
      </c>
      <c r="E317" s="1375" t="s">
        <v>66</v>
      </c>
      <c r="F317" s="1470">
        <v>943</v>
      </c>
    </row>
    <row r="318" spans="1:6">
      <c r="A318" s="1375" t="s">
        <v>746</v>
      </c>
      <c r="B318" s="1375" t="s">
        <v>309</v>
      </c>
      <c r="C318" s="1375" t="s">
        <v>944</v>
      </c>
      <c r="D318" s="1375">
        <v>2023</v>
      </c>
      <c r="E318" s="1375" t="s">
        <v>66</v>
      </c>
      <c r="F318" s="1470">
        <v>943</v>
      </c>
    </row>
    <row r="319" spans="1:6">
      <c r="A319" s="1375" t="s">
        <v>746</v>
      </c>
      <c r="B319" s="1375" t="s">
        <v>309</v>
      </c>
      <c r="C319" s="1375" t="s">
        <v>944</v>
      </c>
      <c r="D319" s="1375">
        <v>2024</v>
      </c>
      <c r="E319" s="1375" t="s">
        <v>66</v>
      </c>
      <c r="F319" s="1470">
        <v>943</v>
      </c>
    </row>
    <row r="320" spans="1:6">
      <c r="A320" s="1375" t="s">
        <v>746</v>
      </c>
      <c r="B320" s="1375" t="s">
        <v>309</v>
      </c>
      <c r="C320" s="1375" t="s">
        <v>944</v>
      </c>
      <c r="D320" s="1375">
        <v>2025</v>
      </c>
      <c r="E320" s="1375" t="s">
        <v>66</v>
      </c>
      <c r="F320" s="1470">
        <v>943</v>
      </c>
    </row>
    <row r="321" spans="1:6">
      <c r="A321" s="1375" t="s">
        <v>746</v>
      </c>
      <c r="B321" s="1375" t="s">
        <v>327</v>
      </c>
      <c r="C321" s="1375" t="s">
        <v>885</v>
      </c>
      <c r="D321" s="1375">
        <v>2022</v>
      </c>
      <c r="E321" s="1375" t="s">
        <v>458</v>
      </c>
      <c r="F321" s="1470">
        <v>126</v>
      </c>
    </row>
    <row r="322" spans="1:6">
      <c r="A322" s="1375" t="s">
        <v>746</v>
      </c>
      <c r="B322" s="1375" t="s">
        <v>327</v>
      </c>
      <c r="C322" s="1375" t="s">
        <v>885</v>
      </c>
      <c r="D322" s="1375">
        <v>2023</v>
      </c>
      <c r="E322" s="1375" t="s">
        <v>458</v>
      </c>
      <c r="F322" s="1470">
        <v>126</v>
      </c>
    </row>
    <row r="323" spans="1:6">
      <c r="A323" s="1375" t="s">
        <v>746</v>
      </c>
      <c r="B323" s="1375" t="s">
        <v>327</v>
      </c>
      <c r="C323" s="1375" t="s">
        <v>885</v>
      </c>
      <c r="D323" s="1375">
        <v>2024</v>
      </c>
      <c r="E323" s="1375" t="s">
        <v>458</v>
      </c>
      <c r="F323" s="1470">
        <v>126</v>
      </c>
    </row>
    <row r="324" spans="1:6">
      <c r="A324" s="1375" t="s">
        <v>746</v>
      </c>
      <c r="B324" s="1375" t="s">
        <v>327</v>
      </c>
      <c r="C324" s="1375" t="s">
        <v>885</v>
      </c>
      <c r="D324" s="1375">
        <v>2025</v>
      </c>
      <c r="E324" s="1375" t="s">
        <v>458</v>
      </c>
      <c r="F324" s="1470">
        <v>126</v>
      </c>
    </row>
    <row r="325" spans="1:6">
      <c r="A325" s="1375" t="s">
        <v>746</v>
      </c>
      <c r="B325" s="1375" t="s">
        <v>682</v>
      </c>
      <c r="C325" s="1375" t="s">
        <v>927</v>
      </c>
      <c r="D325" s="1375">
        <v>2022</v>
      </c>
      <c r="E325" s="1375" t="s">
        <v>681</v>
      </c>
      <c r="F325" s="1470">
        <v>1720.5918970299999</v>
      </c>
    </row>
    <row r="326" spans="1:6">
      <c r="A326" s="1375" t="s">
        <v>746</v>
      </c>
      <c r="B326" s="1375" t="s">
        <v>682</v>
      </c>
      <c r="C326" s="1375" t="s">
        <v>927</v>
      </c>
      <c r="D326" s="1375">
        <v>2023</v>
      </c>
      <c r="E326" s="1375" t="s">
        <v>681</v>
      </c>
      <c r="F326" s="1470">
        <v>1720.5918970299999</v>
      </c>
    </row>
    <row r="327" spans="1:6">
      <c r="A327" s="1375" t="s">
        <v>746</v>
      </c>
      <c r="B327" s="1375" t="s">
        <v>682</v>
      </c>
      <c r="C327" s="1375" t="s">
        <v>927</v>
      </c>
      <c r="D327" s="1375">
        <v>2024</v>
      </c>
      <c r="E327" s="1375" t="s">
        <v>681</v>
      </c>
      <c r="F327" s="1470">
        <v>1594.5823335499999</v>
      </c>
    </row>
    <row r="328" spans="1:6">
      <c r="A328" s="1375" t="s">
        <v>746</v>
      </c>
      <c r="B328" s="1375" t="s">
        <v>682</v>
      </c>
      <c r="C328" s="1375" t="s">
        <v>927</v>
      </c>
      <c r="D328" s="1375">
        <v>2025</v>
      </c>
      <c r="E328" s="1375" t="s">
        <v>681</v>
      </c>
      <c r="F328" s="1470">
        <v>1123.17322201</v>
      </c>
    </row>
    <row r="329" spans="1:6">
      <c r="A329" s="1375" t="s">
        <v>746</v>
      </c>
      <c r="B329" s="1375" t="s">
        <v>932</v>
      </c>
      <c r="C329" s="1375" t="s">
        <v>927</v>
      </c>
      <c r="D329" s="1375">
        <v>2022</v>
      </c>
      <c r="E329" s="1375" t="s">
        <v>77</v>
      </c>
      <c r="F329" s="1470">
        <v>1087.4826316900001</v>
      </c>
    </row>
    <row r="330" spans="1:6">
      <c r="A330" s="1375" t="s">
        <v>746</v>
      </c>
      <c r="B330" s="1375" t="s">
        <v>932</v>
      </c>
      <c r="C330" s="1375" t="s">
        <v>927</v>
      </c>
      <c r="D330" s="1375">
        <v>2023</v>
      </c>
      <c r="E330" s="1375" t="s">
        <v>77</v>
      </c>
      <c r="F330" s="1470">
        <v>1087.4826316900001</v>
      </c>
    </row>
    <row r="331" spans="1:6">
      <c r="A331" s="1375" t="s">
        <v>746</v>
      </c>
      <c r="B331" s="1375" t="s">
        <v>932</v>
      </c>
      <c r="C331" s="1375" t="s">
        <v>927</v>
      </c>
      <c r="D331" s="1375">
        <v>2024</v>
      </c>
      <c r="E331" s="1375" t="s">
        <v>77</v>
      </c>
      <c r="F331" s="1470">
        <v>1058.5783644600001</v>
      </c>
    </row>
    <row r="332" spans="1:6">
      <c r="A332" s="1375" t="s">
        <v>746</v>
      </c>
      <c r="B332" s="1375" t="s">
        <v>932</v>
      </c>
      <c r="C332" s="1375" t="s">
        <v>927</v>
      </c>
      <c r="D332" s="1375">
        <v>2025</v>
      </c>
      <c r="E332" s="1375" t="s">
        <v>77</v>
      </c>
      <c r="F332" s="1470">
        <v>807.60851158000003</v>
      </c>
    </row>
    <row r="333" spans="1:6">
      <c r="A333" s="1375" t="s">
        <v>746</v>
      </c>
      <c r="B333" s="1375" t="s">
        <v>1529</v>
      </c>
      <c r="C333" s="1375" t="s">
        <v>927</v>
      </c>
      <c r="D333" s="1375">
        <v>2022</v>
      </c>
      <c r="E333" s="1375" t="s">
        <v>81</v>
      </c>
      <c r="F333" s="1470">
        <v>1087.4826316900001</v>
      </c>
    </row>
    <row r="334" spans="1:6">
      <c r="A334" s="1375" t="s">
        <v>746</v>
      </c>
      <c r="B334" s="1375" t="s">
        <v>1529</v>
      </c>
      <c r="C334" s="1375" t="s">
        <v>927</v>
      </c>
      <c r="D334" s="1375">
        <v>2023</v>
      </c>
      <c r="E334" s="1375" t="s">
        <v>81</v>
      </c>
      <c r="F334" s="1470">
        <v>1087.4826316900001</v>
      </c>
    </row>
    <row r="335" spans="1:6">
      <c r="A335" s="1375" t="s">
        <v>746</v>
      </c>
      <c r="B335" s="1375" t="s">
        <v>1529</v>
      </c>
      <c r="C335" s="1375" t="s">
        <v>927</v>
      </c>
      <c r="D335" s="1375">
        <v>2024</v>
      </c>
      <c r="E335" s="1375" t="s">
        <v>81</v>
      </c>
      <c r="F335" s="1470">
        <v>1058.5783644600001</v>
      </c>
    </row>
    <row r="336" spans="1:6">
      <c r="A336" s="1375" t="s">
        <v>746</v>
      </c>
      <c r="B336" s="1375" t="s">
        <v>1529</v>
      </c>
      <c r="C336" s="1375" t="s">
        <v>927</v>
      </c>
      <c r="D336" s="1375">
        <v>2025</v>
      </c>
      <c r="E336" s="1375" t="s">
        <v>81</v>
      </c>
      <c r="F336" s="1470">
        <v>807.60851158000003</v>
      </c>
    </row>
    <row r="337" spans="1:6">
      <c r="A337" s="1375" t="s">
        <v>746</v>
      </c>
      <c r="B337" s="1375" t="s">
        <v>937</v>
      </c>
      <c r="C337" s="1375" t="s">
        <v>927</v>
      </c>
      <c r="D337" s="1375">
        <v>2022</v>
      </c>
      <c r="E337" s="1375" t="s">
        <v>757</v>
      </c>
      <c r="F337" s="1470">
        <v>1098.98668868</v>
      </c>
    </row>
    <row r="338" spans="1:6">
      <c r="A338" s="1375" t="s">
        <v>746</v>
      </c>
      <c r="B338" s="1375" t="s">
        <v>937</v>
      </c>
      <c r="C338" s="1375" t="s">
        <v>927</v>
      </c>
      <c r="D338" s="1375">
        <v>2023</v>
      </c>
      <c r="E338" s="1375" t="s">
        <v>757</v>
      </c>
      <c r="F338" s="1470">
        <v>1098.98668868</v>
      </c>
    </row>
    <row r="339" spans="1:6">
      <c r="A339" s="1375" t="s">
        <v>746</v>
      </c>
      <c r="B339" s="1375" t="s">
        <v>937</v>
      </c>
      <c r="C339" s="1375" t="s">
        <v>927</v>
      </c>
      <c r="D339" s="1375">
        <v>2024</v>
      </c>
      <c r="E339" s="1375" t="s">
        <v>757</v>
      </c>
      <c r="F339" s="1470">
        <v>1070.0808553899999</v>
      </c>
    </row>
    <row r="340" spans="1:6">
      <c r="A340" s="1375" t="s">
        <v>746</v>
      </c>
      <c r="B340" s="1375" t="s">
        <v>937</v>
      </c>
      <c r="C340" s="1375" t="s">
        <v>927</v>
      </c>
      <c r="D340" s="1375">
        <v>2025</v>
      </c>
      <c r="E340" s="1375" t="s">
        <v>757</v>
      </c>
      <c r="F340" s="1470">
        <v>819.10931174999996</v>
      </c>
    </row>
    <row r="341" spans="1:6">
      <c r="A341" s="1375" t="s">
        <v>746</v>
      </c>
      <c r="B341" s="1375" t="s">
        <v>933</v>
      </c>
      <c r="C341" s="1375" t="s">
        <v>927</v>
      </c>
      <c r="D341" s="1375">
        <v>2022</v>
      </c>
      <c r="E341" s="1375" t="s">
        <v>78</v>
      </c>
      <c r="F341" s="1470">
        <v>846.85874944</v>
      </c>
    </row>
    <row r="342" spans="1:6">
      <c r="A342" s="1375" t="s">
        <v>746</v>
      </c>
      <c r="B342" s="1375" t="s">
        <v>933</v>
      </c>
      <c r="C342" s="1375" t="s">
        <v>927</v>
      </c>
      <c r="D342" s="1375">
        <v>2023</v>
      </c>
      <c r="E342" s="1375" t="s">
        <v>78</v>
      </c>
      <c r="F342" s="1470">
        <v>846.85874944</v>
      </c>
    </row>
    <row r="343" spans="1:6">
      <c r="A343" s="1375" t="s">
        <v>746</v>
      </c>
      <c r="B343" s="1375" t="s">
        <v>933</v>
      </c>
      <c r="C343" s="1375" t="s">
        <v>927</v>
      </c>
      <c r="D343" s="1375">
        <v>2024</v>
      </c>
      <c r="E343" s="1375" t="s">
        <v>78</v>
      </c>
      <c r="F343" s="1470">
        <v>848.91482299999996</v>
      </c>
    </row>
    <row r="344" spans="1:6">
      <c r="A344" s="1375" t="s">
        <v>746</v>
      </c>
      <c r="B344" s="1375" t="s">
        <v>933</v>
      </c>
      <c r="C344" s="1375" t="s">
        <v>927</v>
      </c>
      <c r="D344" s="1375">
        <v>2025</v>
      </c>
      <c r="E344" s="1375" t="s">
        <v>78</v>
      </c>
      <c r="F344" s="1470">
        <v>834.34440517999997</v>
      </c>
    </row>
    <row r="345" spans="1:6">
      <c r="A345" s="1375" t="s">
        <v>746</v>
      </c>
      <c r="B345" s="1375" t="s">
        <v>1530</v>
      </c>
      <c r="C345" s="1375" t="s">
        <v>927</v>
      </c>
      <c r="D345" s="1375">
        <v>2022</v>
      </c>
      <c r="E345" s="1375" t="s">
        <v>82</v>
      </c>
      <c r="F345" s="1470">
        <v>846.85874944</v>
      </c>
    </row>
    <row r="346" spans="1:6">
      <c r="A346" s="1375" t="s">
        <v>746</v>
      </c>
      <c r="B346" s="1375" t="s">
        <v>1530</v>
      </c>
      <c r="C346" s="1375" t="s">
        <v>927</v>
      </c>
      <c r="D346" s="1375">
        <v>2023</v>
      </c>
      <c r="E346" s="1375" t="s">
        <v>82</v>
      </c>
      <c r="F346" s="1470">
        <v>846.85874944</v>
      </c>
    </row>
    <row r="347" spans="1:6">
      <c r="A347" s="1375" t="s">
        <v>746</v>
      </c>
      <c r="B347" s="1375" t="s">
        <v>1530</v>
      </c>
      <c r="C347" s="1375" t="s">
        <v>927</v>
      </c>
      <c r="D347" s="1375">
        <v>2024</v>
      </c>
      <c r="E347" s="1375" t="s">
        <v>82</v>
      </c>
      <c r="F347" s="1470">
        <v>848.91482299999996</v>
      </c>
    </row>
    <row r="348" spans="1:6">
      <c r="A348" s="1375" t="s">
        <v>746</v>
      </c>
      <c r="B348" s="1375" t="s">
        <v>1530</v>
      </c>
      <c r="C348" s="1375" t="s">
        <v>927</v>
      </c>
      <c r="D348" s="1375">
        <v>2025</v>
      </c>
      <c r="E348" s="1375" t="s">
        <v>82</v>
      </c>
      <c r="F348" s="1470">
        <v>834.34440517999997</v>
      </c>
    </row>
    <row r="349" spans="1:6">
      <c r="A349" s="1375" t="s">
        <v>746</v>
      </c>
      <c r="B349" s="1375" t="s">
        <v>938</v>
      </c>
      <c r="C349" s="1375" t="s">
        <v>927</v>
      </c>
      <c r="D349" s="1375">
        <v>2022</v>
      </c>
      <c r="E349" s="1375" t="s">
        <v>758</v>
      </c>
      <c r="F349" s="1470">
        <v>846.85874944</v>
      </c>
    </row>
    <row r="350" spans="1:6">
      <c r="A350" s="1375" t="s">
        <v>746</v>
      </c>
      <c r="B350" s="1375" t="s">
        <v>938</v>
      </c>
      <c r="C350" s="1375" t="s">
        <v>927</v>
      </c>
      <c r="D350" s="1375">
        <v>2023</v>
      </c>
      <c r="E350" s="1375" t="s">
        <v>758</v>
      </c>
      <c r="F350" s="1470">
        <v>846.85874944</v>
      </c>
    </row>
    <row r="351" spans="1:6">
      <c r="A351" s="1375" t="s">
        <v>746</v>
      </c>
      <c r="B351" s="1375" t="s">
        <v>938</v>
      </c>
      <c r="C351" s="1375" t="s">
        <v>927</v>
      </c>
      <c r="D351" s="1375">
        <v>2024</v>
      </c>
      <c r="E351" s="1375" t="s">
        <v>758</v>
      </c>
      <c r="F351" s="1470">
        <v>848.91482299999996</v>
      </c>
    </row>
    <row r="352" spans="1:6">
      <c r="A352" s="1375" t="s">
        <v>746</v>
      </c>
      <c r="B352" s="1375" t="s">
        <v>938</v>
      </c>
      <c r="C352" s="1375" t="s">
        <v>927</v>
      </c>
      <c r="D352" s="1375">
        <v>2025</v>
      </c>
      <c r="E352" s="1375" t="s">
        <v>758</v>
      </c>
      <c r="F352" s="1470">
        <v>834.34440517999997</v>
      </c>
    </row>
    <row r="353" spans="1:6">
      <c r="A353" s="1375" t="s">
        <v>746</v>
      </c>
      <c r="B353" s="1375" t="s">
        <v>942</v>
      </c>
      <c r="C353" s="1375" t="s">
        <v>927</v>
      </c>
      <c r="D353" s="1375">
        <v>2022</v>
      </c>
      <c r="E353" s="1375" t="s">
        <v>756</v>
      </c>
      <c r="F353" s="1470">
        <v>1763.96806713</v>
      </c>
    </row>
    <row r="354" spans="1:6">
      <c r="A354" s="1375" t="s">
        <v>746</v>
      </c>
      <c r="B354" s="1375" t="s">
        <v>942</v>
      </c>
      <c r="C354" s="1375" t="s">
        <v>927</v>
      </c>
      <c r="D354" s="1375">
        <v>2023</v>
      </c>
      <c r="E354" s="1375" t="s">
        <v>756</v>
      </c>
      <c r="F354" s="1470">
        <v>1742.23141743</v>
      </c>
    </row>
    <row r="355" spans="1:6">
      <c r="A355" s="1375" t="s">
        <v>746</v>
      </c>
      <c r="B355" s="1375" t="s">
        <v>942</v>
      </c>
      <c r="C355" s="1375" t="s">
        <v>927</v>
      </c>
      <c r="D355" s="1375">
        <v>2024</v>
      </c>
      <c r="E355" s="1375" t="s">
        <v>756</v>
      </c>
      <c r="F355" s="1470">
        <v>1711.9891222000001</v>
      </c>
    </row>
    <row r="356" spans="1:6">
      <c r="A356" s="1375" t="s">
        <v>746</v>
      </c>
      <c r="B356" s="1375" t="s">
        <v>942</v>
      </c>
      <c r="C356" s="1375" t="s">
        <v>927</v>
      </c>
      <c r="D356" s="1375">
        <v>2025</v>
      </c>
      <c r="E356" s="1375" t="s">
        <v>756</v>
      </c>
      <c r="F356" s="1470">
        <v>1240.5800106500001</v>
      </c>
    </row>
    <row r="357" spans="1:6">
      <c r="A357" s="1375" t="s">
        <v>746</v>
      </c>
      <c r="B357" s="1375" t="s">
        <v>934</v>
      </c>
      <c r="C357" s="1375" t="s">
        <v>927</v>
      </c>
      <c r="D357" s="1375">
        <v>2022</v>
      </c>
      <c r="E357" s="1375" t="s">
        <v>79</v>
      </c>
      <c r="F357" s="1470">
        <v>1763.96806713</v>
      </c>
    </row>
    <row r="358" spans="1:6">
      <c r="A358" s="1375" t="s">
        <v>746</v>
      </c>
      <c r="B358" s="1375" t="s">
        <v>934</v>
      </c>
      <c r="C358" s="1375" t="s">
        <v>927</v>
      </c>
      <c r="D358" s="1375">
        <v>2023</v>
      </c>
      <c r="E358" s="1375" t="s">
        <v>79</v>
      </c>
      <c r="F358" s="1470">
        <v>1742.23141743</v>
      </c>
    </row>
    <row r="359" spans="1:6">
      <c r="A359" s="1375" t="s">
        <v>746</v>
      </c>
      <c r="B359" s="1375" t="s">
        <v>934</v>
      </c>
      <c r="C359" s="1375" t="s">
        <v>927</v>
      </c>
      <c r="D359" s="1375">
        <v>2024</v>
      </c>
      <c r="E359" s="1375" t="s">
        <v>79</v>
      </c>
      <c r="F359" s="1470">
        <v>1711.9891222000001</v>
      </c>
    </row>
    <row r="360" spans="1:6">
      <c r="A360" s="1375" t="s">
        <v>746</v>
      </c>
      <c r="B360" s="1375" t="s">
        <v>934</v>
      </c>
      <c r="C360" s="1375" t="s">
        <v>927</v>
      </c>
      <c r="D360" s="1375">
        <v>2025</v>
      </c>
      <c r="E360" s="1375" t="s">
        <v>79</v>
      </c>
      <c r="F360" s="1470">
        <v>1240.5800106500001</v>
      </c>
    </row>
    <row r="361" spans="1:6">
      <c r="A361" s="1375" t="s">
        <v>746</v>
      </c>
      <c r="B361" s="1375" t="s">
        <v>1531</v>
      </c>
      <c r="C361" s="1375" t="s">
        <v>927</v>
      </c>
      <c r="D361" s="1375">
        <v>2022</v>
      </c>
      <c r="E361" s="1375" t="s">
        <v>83</v>
      </c>
      <c r="F361" s="1470">
        <v>1763.96806713</v>
      </c>
    </row>
    <row r="362" spans="1:6">
      <c r="A362" s="1375" t="s">
        <v>746</v>
      </c>
      <c r="B362" s="1375" t="s">
        <v>1531</v>
      </c>
      <c r="C362" s="1375" t="s">
        <v>927</v>
      </c>
      <c r="D362" s="1375">
        <v>2023</v>
      </c>
      <c r="E362" s="1375" t="s">
        <v>83</v>
      </c>
      <c r="F362" s="1470">
        <v>1742.23141743</v>
      </c>
    </row>
    <row r="363" spans="1:6">
      <c r="A363" s="1375" t="s">
        <v>746</v>
      </c>
      <c r="B363" s="1375" t="s">
        <v>1531</v>
      </c>
      <c r="C363" s="1375" t="s">
        <v>927</v>
      </c>
      <c r="D363" s="1375">
        <v>2024</v>
      </c>
      <c r="E363" s="1375" t="s">
        <v>83</v>
      </c>
      <c r="F363" s="1470">
        <v>1711.9891222000001</v>
      </c>
    </row>
    <row r="364" spans="1:6">
      <c r="A364" s="1375" t="s">
        <v>746</v>
      </c>
      <c r="B364" s="1375" t="s">
        <v>1531</v>
      </c>
      <c r="C364" s="1375" t="s">
        <v>927</v>
      </c>
      <c r="D364" s="1375">
        <v>2025</v>
      </c>
      <c r="E364" s="1375" t="s">
        <v>83</v>
      </c>
      <c r="F364" s="1470">
        <v>1240.5800106500001</v>
      </c>
    </row>
    <row r="365" spans="1:6">
      <c r="A365" s="1375" t="s">
        <v>746</v>
      </c>
      <c r="B365" s="1375" t="s">
        <v>939</v>
      </c>
      <c r="C365" s="1375" t="s">
        <v>927</v>
      </c>
      <c r="D365" s="1375">
        <v>2022</v>
      </c>
      <c r="E365" s="1375" t="s">
        <v>759</v>
      </c>
      <c r="F365" s="1470">
        <v>1720.5918970299999</v>
      </c>
    </row>
    <row r="366" spans="1:6">
      <c r="A366" s="1375" t="s">
        <v>746</v>
      </c>
      <c r="B366" s="1375" t="s">
        <v>939</v>
      </c>
      <c r="C366" s="1375" t="s">
        <v>927</v>
      </c>
      <c r="D366" s="1375">
        <v>2023</v>
      </c>
      <c r="E366" s="1375" t="s">
        <v>759</v>
      </c>
      <c r="F366" s="1470">
        <v>1720.5918970299999</v>
      </c>
    </row>
    <row r="367" spans="1:6">
      <c r="A367" s="1375" t="s">
        <v>746</v>
      </c>
      <c r="B367" s="1375" t="s">
        <v>939</v>
      </c>
      <c r="C367" s="1375" t="s">
        <v>927</v>
      </c>
      <c r="D367" s="1375">
        <v>2024</v>
      </c>
      <c r="E367" s="1375" t="s">
        <v>759</v>
      </c>
      <c r="F367" s="1470">
        <v>1594.5823335499999</v>
      </c>
    </row>
    <row r="368" spans="1:6">
      <c r="A368" s="1375" t="s">
        <v>746</v>
      </c>
      <c r="B368" s="1375" t="s">
        <v>939</v>
      </c>
      <c r="C368" s="1375" t="s">
        <v>927</v>
      </c>
      <c r="D368" s="1375">
        <v>2025</v>
      </c>
      <c r="E368" s="1375" t="s">
        <v>759</v>
      </c>
      <c r="F368" s="1470">
        <v>1123.17322201</v>
      </c>
    </row>
    <row r="369" spans="1:6">
      <c r="A369" s="1375" t="s">
        <v>746</v>
      </c>
      <c r="B369" s="1375" t="s">
        <v>931</v>
      </c>
      <c r="C369" s="1375" t="s">
        <v>927</v>
      </c>
      <c r="D369" s="1375">
        <v>2022</v>
      </c>
      <c r="E369" s="1375" t="s">
        <v>76</v>
      </c>
      <c r="F369" s="1470">
        <v>1046.33714108</v>
      </c>
    </row>
    <row r="370" spans="1:6">
      <c r="A370" s="1375" t="s">
        <v>746</v>
      </c>
      <c r="B370" s="1375" t="s">
        <v>931</v>
      </c>
      <c r="C370" s="1375" t="s">
        <v>927</v>
      </c>
      <c r="D370" s="1375">
        <v>2023</v>
      </c>
      <c r="E370" s="1375" t="s">
        <v>76</v>
      </c>
      <c r="F370" s="1470">
        <v>1046.33714108</v>
      </c>
    </row>
    <row r="371" spans="1:6">
      <c r="A371" s="1375" t="s">
        <v>746</v>
      </c>
      <c r="B371" s="1375" t="s">
        <v>931</v>
      </c>
      <c r="C371" s="1375" t="s">
        <v>927</v>
      </c>
      <c r="D371" s="1375">
        <v>2024</v>
      </c>
      <c r="E371" s="1375" t="s">
        <v>76</v>
      </c>
      <c r="F371" s="1470">
        <v>1329.89976553</v>
      </c>
    </row>
    <row r="372" spans="1:6">
      <c r="A372" s="1375" t="s">
        <v>746</v>
      </c>
      <c r="B372" s="1375" t="s">
        <v>931</v>
      </c>
      <c r="C372" s="1375" t="s">
        <v>927</v>
      </c>
      <c r="D372" s="1375">
        <v>2025</v>
      </c>
      <c r="E372" s="1375" t="s">
        <v>76</v>
      </c>
      <c r="F372" s="1470">
        <v>1329.89976553</v>
      </c>
    </row>
    <row r="373" spans="1:6">
      <c r="A373" s="1375" t="s">
        <v>746</v>
      </c>
      <c r="B373" s="1375" t="s">
        <v>935</v>
      </c>
      <c r="C373" s="1375" t="s">
        <v>927</v>
      </c>
      <c r="D373" s="1375">
        <v>2022</v>
      </c>
      <c r="E373" s="1375" t="s">
        <v>80</v>
      </c>
      <c r="F373" s="1470">
        <v>1046.33714108</v>
      </c>
    </row>
    <row r="374" spans="1:6">
      <c r="A374" s="1375" t="s">
        <v>746</v>
      </c>
      <c r="B374" s="1375" t="s">
        <v>935</v>
      </c>
      <c r="C374" s="1375" t="s">
        <v>927</v>
      </c>
      <c r="D374" s="1375">
        <v>2023</v>
      </c>
      <c r="E374" s="1375" t="s">
        <v>80</v>
      </c>
      <c r="F374" s="1470">
        <v>1046.33714108</v>
      </c>
    </row>
    <row r="375" spans="1:6">
      <c r="A375" s="1375" t="s">
        <v>746</v>
      </c>
      <c r="B375" s="1375" t="s">
        <v>935</v>
      </c>
      <c r="C375" s="1375" t="s">
        <v>927</v>
      </c>
      <c r="D375" s="1375">
        <v>2024</v>
      </c>
      <c r="E375" s="1375" t="s">
        <v>80</v>
      </c>
      <c r="F375" s="1470">
        <v>1329.89976553</v>
      </c>
    </row>
    <row r="376" spans="1:6">
      <c r="A376" s="1375" t="s">
        <v>746</v>
      </c>
      <c r="B376" s="1375" t="s">
        <v>935</v>
      </c>
      <c r="C376" s="1375" t="s">
        <v>927</v>
      </c>
      <c r="D376" s="1375">
        <v>2025</v>
      </c>
      <c r="E376" s="1375" t="s">
        <v>80</v>
      </c>
      <c r="F376" s="1470">
        <v>1329.89976553</v>
      </c>
    </row>
    <row r="377" spans="1:6">
      <c r="A377" s="1375" t="s">
        <v>746</v>
      </c>
      <c r="B377" s="1375" t="s">
        <v>930</v>
      </c>
      <c r="C377" s="1375" t="s">
        <v>927</v>
      </c>
      <c r="D377" s="1375">
        <v>2022</v>
      </c>
      <c r="E377" s="1375" t="s">
        <v>84</v>
      </c>
      <c r="F377" s="1470">
        <v>1046.33714108</v>
      </c>
    </row>
    <row r="378" spans="1:6">
      <c r="A378" s="1375" t="s">
        <v>746</v>
      </c>
      <c r="B378" s="1375" t="s">
        <v>930</v>
      </c>
      <c r="C378" s="1375" t="s">
        <v>927</v>
      </c>
      <c r="D378" s="1375">
        <v>2023</v>
      </c>
      <c r="E378" s="1375" t="s">
        <v>84</v>
      </c>
      <c r="F378" s="1470">
        <v>1046.33714108</v>
      </c>
    </row>
    <row r="379" spans="1:6">
      <c r="A379" s="1375" t="s">
        <v>746</v>
      </c>
      <c r="B379" s="1375" t="s">
        <v>930</v>
      </c>
      <c r="C379" s="1375" t="s">
        <v>927</v>
      </c>
      <c r="D379" s="1375">
        <v>2024</v>
      </c>
      <c r="E379" s="1375" t="s">
        <v>84</v>
      </c>
      <c r="F379" s="1470">
        <v>1329.89976553</v>
      </c>
    </row>
    <row r="380" spans="1:6">
      <c r="A380" s="1375" t="s">
        <v>746</v>
      </c>
      <c r="B380" s="1375" t="s">
        <v>930</v>
      </c>
      <c r="C380" s="1375" t="s">
        <v>927</v>
      </c>
      <c r="D380" s="1375">
        <v>2025</v>
      </c>
      <c r="E380" s="1375" t="s">
        <v>84</v>
      </c>
      <c r="F380" s="1470">
        <v>1329.89976553</v>
      </c>
    </row>
    <row r="381" spans="1:6">
      <c r="A381" s="1375" t="s">
        <v>746</v>
      </c>
      <c r="B381" s="1375" t="s">
        <v>940</v>
      </c>
      <c r="C381" s="1375" t="s">
        <v>927</v>
      </c>
      <c r="D381" s="1375">
        <v>2022</v>
      </c>
      <c r="E381" s="1375" t="s">
        <v>760</v>
      </c>
      <c r="F381" s="1470">
        <v>2172.5869015200001</v>
      </c>
    </row>
    <row r="382" spans="1:6">
      <c r="A382" s="1375" t="s">
        <v>746</v>
      </c>
      <c r="B382" s="1375" t="s">
        <v>940</v>
      </c>
      <c r="C382" s="1375" t="s">
        <v>927</v>
      </c>
      <c r="D382" s="1375">
        <v>2023</v>
      </c>
      <c r="E382" s="1375" t="s">
        <v>760</v>
      </c>
      <c r="F382" s="1470">
        <v>2172.5869015200001</v>
      </c>
    </row>
    <row r="383" spans="1:6">
      <c r="A383" s="1375" t="s">
        <v>746</v>
      </c>
      <c r="B383" s="1375" t="s">
        <v>940</v>
      </c>
      <c r="C383" s="1375" t="s">
        <v>927</v>
      </c>
      <c r="D383" s="1375">
        <v>2024</v>
      </c>
      <c r="E383" s="1375" t="s">
        <v>760</v>
      </c>
      <c r="F383" s="1470">
        <v>2736.7661195800001</v>
      </c>
    </row>
    <row r="384" spans="1:6">
      <c r="A384" s="1375" t="s">
        <v>746</v>
      </c>
      <c r="B384" s="1375" t="s">
        <v>940</v>
      </c>
      <c r="C384" s="1375" t="s">
        <v>927</v>
      </c>
      <c r="D384" s="1375">
        <v>2025</v>
      </c>
      <c r="E384" s="1375" t="s">
        <v>760</v>
      </c>
      <c r="F384" s="1470">
        <v>2736.7661195800001</v>
      </c>
    </row>
    <row r="385" spans="1:6">
      <c r="A385" s="1375" t="s">
        <v>746</v>
      </c>
      <c r="B385" s="1375" t="s">
        <v>1399</v>
      </c>
      <c r="C385" s="1375" t="s">
        <v>927</v>
      </c>
      <c r="D385" s="1375">
        <v>2022</v>
      </c>
      <c r="E385" s="1375" t="s">
        <v>1398</v>
      </c>
      <c r="F385" s="1470">
        <v>2000</v>
      </c>
    </row>
    <row r="386" spans="1:6">
      <c r="A386" s="1375" t="s">
        <v>746</v>
      </c>
      <c r="B386" s="1375" t="s">
        <v>1399</v>
      </c>
      <c r="C386" s="1375" t="s">
        <v>927</v>
      </c>
      <c r="D386" s="1375">
        <v>2023</v>
      </c>
      <c r="E386" s="1375" t="s">
        <v>1398</v>
      </c>
      <c r="F386" s="1470">
        <v>2000</v>
      </c>
    </row>
    <row r="387" spans="1:6">
      <c r="A387" s="1375" t="s">
        <v>746</v>
      </c>
      <c r="B387" s="1375" t="s">
        <v>1399</v>
      </c>
      <c r="C387" s="1375" t="s">
        <v>927</v>
      </c>
      <c r="D387" s="1375">
        <v>2024</v>
      </c>
      <c r="E387" s="1375" t="s">
        <v>1398</v>
      </c>
      <c r="F387" s="1470">
        <v>2000</v>
      </c>
    </row>
    <row r="388" spans="1:6">
      <c r="A388" s="1375" t="s">
        <v>746</v>
      </c>
      <c r="B388" s="1375" t="s">
        <v>1403</v>
      </c>
      <c r="C388" s="1375" t="s">
        <v>927</v>
      </c>
      <c r="D388" s="1375">
        <v>2022</v>
      </c>
      <c r="E388" s="1375" t="s">
        <v>1402</v>
      </c>
      <c r="F388" s="1470">
        <v>2000</v>
      </c>
    </row>
    <row r="389" spans="1:6">
      <c r="A389" s="1375" t="s">
        <v>746</v>
      </c>
      <c r="B389" s="1375" t="s">
        <v>1403</v>
      </c>
      <c r="C389" s="1375" t="s">
        <v>927</v>
      </c>
      <c r="D389" s="1375">
        <v>2023</v>
      </c>
      <c r="E389" s="1375" t="s">
        <v>1402</v>
      </c>
      <c r="F389" s="1470">
        <v>2000</v>
      </c>
    </row>
    <row r="390" spans="1:6">
      <c r="A390" s="1375" t="s">
        <v>746</v>
      </c>
      <c r="B390" s="1375" t="s">
        <v>1403</v>
      </c>
      <c r="C390" s="1375" t="s">
        <v>927</v>
      </c>
      <c r="D390" s="1375">
        <v>2024</v>
      </c>
      <c r="E390" s="1375" t="s">
        <v>1402</v>
      </c>
      <c r="F390" s="1470">
        <v>2000</v>
      </c>
    </row>
    <row r="391" spans="1:6">
      <c r="A391" s="1375" t="s">
        <v>746</v>
      </c>
      <c r="B391" s="1375" t="s">
        <v>1405</v>
      </c>
      <c r="C391" s="1375" t="s">
        <v>927</v>
      </c>
      <c r="D391" s="1375">
        <v>2022</v>
      </c>
      <c r="E391" s="1375" t="s">
        <v>1404</v>
      </c>
      <c r="F391" s="1470">
        <v>300</v>
      </c>
    </row>
    <row r="392" spans="1:6">
      <c r="A392" s="1375" t="s">
        <v>746</v>
      </c>
      <c r="B392" s="1375" t="s">
        <v>1405</v>
      </c>
      <c r="C392" s="1375" t="s">
        <v>927</v>
      </c>
      <c r="D392" s="1375">
        <v>2023</v>
      </c>
      <c r="E392" s="1375" t="s">
        <v>1404</v>
      </c>
      <c r="F392" s="1470">
        <v>300</v>
      </c>
    </row>
    <row r="393" spans="1:6">
      <c r="A393" s="1375" t="s">
        <v>746</v>
      </c>
      <c r="B393" s="1375" t="s">
        <v>1405</v>
      </c>
      <c r="C393" s="1375" t="s">
        <v>927</v>
      </c>
      <c r="D393" s="1375">
        <v>2024</v>
      </c>
      <c r="E393" s="1375" t="s">
        <v>1404</v>
      </c>
      <c r="F393" s="1470">
        <v>300</v>
      </c>
    </row>
    <row r="394" spans="1:6">
      <c r="A394" s="1375" t="s">
        <v>857</v>
      </c>
      <c r="B394" s="1375" t="s">
        <v>1395</v>
      </c>
      <c r="C394" s="1375" t="s">
        <v>955</v>
      </c>
      <c r="D394" s="1375">
        <v>2022</v>
      </c>
      <c r="E394" s="1375" t="s">
        <v>954</v>
      </c>
      <c r="F394" s="1470">
        <v>0</v>
      </c>
    </row>
    <row r="395" spans="1:6">
      <c r="A395" s="1375" t="s">
        <v>857</v>
      </c>
      <c r="B395" s="1375" t="s">
        <v>1395</v>
      </c>
      <c r="C395" s="1375" t="s">
        <v>955</v>
      </c>
      <c r="D395" s="1375">
        <v>2023</v>
      </c>
      <c r="E395" s="1375" t="s">
        <v>954</v>
      </c>
      <c r="F395" s="1470">
        <v>0</v>
      </c>
    </row>
    <row r="396" spans="1:6">
      <c r="A396" s="1375" t="s">
        <v>857</v>
      </c>
      <c r="B396" s="1375" t="s">
        <v>1395</v>
      </c>
      <c r="C396" s="1375" t="s">
        <v>955</v>
      </c>
      <c r="D396" s="1375">
        <v>2024</v>
      </c>
      <c r="E396" s="1375" t="s">
        <v>954</v>
      </c>
      <c r="F396" s="1470">
        <v>0</v>
      </c>
    </row>
    <row r="397" spans="1:6">
      <c r="A397" s="1375" t="s">
        <v>857</v>
      </c>
      <c r="B397" s="1375" t="s">
        <v>1395</v>
      </c>
      <c r="C397" s="1375" t="s">
        <v>955</v>
      </c>
      <c r="D397" s="1375">
        <v>2025</v>
      </c>
      <c r="E397" s="1375" t="s">
        <v>954</v>
      </c>
      <c r="F397" s="1470">
        <v>0</v>
      </c>
    </row>
    <row r="398" spans="1:6">
      <c r="A398" s="1375" t="s">
        <v>857</v>
      </c>
      <c r="B398" s="1375" t="s">
        <v>1395</v>
      </c>
      <c r="C398" s="1375" t="s">
        <v>1397</v>
      </c>
      <c r="D398" s="1375">
        <v>2022</v>
      </c>
      <c r="E398" s="1375" t="s">
        <v>1396</v>
      </c>
      <c r="F398" s="1470">
        <v>1328.9311196399999</v>
      </c>
    </row>
    <row r="399" spans="1:6">
      <c r="A399" s="1375" t="s">
        <v>857</v>
      </c>
      <c r="B399" s="1375" t="s">
        <v>1395</v>
      </c>
      <c r="C399" s="1375" t="s">
        <v>1397</v>
      </c>
      <c r="D399" s="1375">
        <v>2023</v>
      </c>
      <c r="E399" s="1375" t="s">
        <v>1396</v>
      </c>
      <c r="F399" s="1470">
        <v>1328.9311196399999</v>
      </c>
    </row>
    <row r="400" spans="1:6">
      <c r="A400" s="1375" t="s">
        <v>857</v>
      </c>
      <c r="B400" s="1375" t="s">
        <v>1395</v>
      </c>
      <c r="C400" s="1375" t="s">
        <v>1397</v>
      </c>
      <c r="D400" s="1375">
        <v>2024</v>
      </c>
      <c r="E400" s="1375" t="s">
        <v>1396</v>
      </c>
      <c r="F400" s="1470">
        <v>1328.9311196399999</v>
      </c>
    </row>
    <row r="401" spans="1:6">
      <c r="A401" s="1375" t="s">
        <v>857</v>
      </c>
      <c r="B401" s="1375" t="s">
        <v>1395</v>
      </c>
      <c r="C401" s="1375" t="s">
        <v>1397</v>
      </c>
      <c r="D401" s="1375">
        <v>2025</v>
      </c>
      <c r="E401" s="1375" t="s">
        <v>1396</v>
      </c>
      <c r="F401" s="1470">
        <v>1328.9311196399999</v>
      </c>
    </row>
    <row r="402" spans="1:6">
      <c r="A402" s="1375" t="s">
        <v>857</v>
      </c>
      <c r="B402" s="1375" t="s">
        <v>1395</v>
      </c>
      <c r="C402" s="1375" t="s">
        <v>1327</v>
      </c>
      <c r="D402" s="1375">
        <v>2022</v>
      </c>
      <c r="E402" s="1375" t="s">
        <v>956</v>
      </c>
      <c r="F402" s="1470">
        <v>1893.4229323</v>
      </c>
    </row>
    <row r="403" spans="1:6">
      <c r="A403" s="1375" t="s">
        <v>857</v>
      </c>
      <c r="B403" s="1375" t="s">
        <v>1395</v>
      </c>
      <c r="C403" s="1375" t="s">
        <v>1327</v>
      </c>
      <c r="D403" s="1375">
        <v>2023</v>
      </c>
      <c r="E403" s="1375" t="s">
        <v>956</v>
      </c>
      <c r="F403" s="1470">
        <v>1893.4229323</v>
      </c>
    </row>
    <row r="404" spans="1:6">
      <c r="A404" s="1375" t="s">
        <v>857</v>
      </c>
      <c r="B404" s="1375" t="s">
        <v>1395</v>
      </c>
      <c r="C404" s="1375" t="s">
        <v>1327</v>
      </c>
      <c r="D404" s="1375">
        <v>2024</v>
      </c>
      <c r="E404" s="1375" t="s">
        <v>956</v>
      </c>
      <c r="F404" s="1470">
        <v>1893.4229323</v>
      </c>
    </row>
    <row r="405" spans="1:6">
      <c r="A405" s="1375" t="s">
        <v>857</v>
      </c>
      <c r="B405" s="1375" t="s">
        <v>1395</v>
      </c>
      <c r="C405" s="1375" t="s">
        <v>1327</v>
      </c>
      <c r="D405" s="1375">
        <v>2025</v>
      </c>
      <c r="E405" s="1375" t="s">
        <v>956</v>
      </c>
      <c r="F405" s="1470">
        <v>1893.4229323</v>
      </c>
    </row>
    <row r="406" spans="1:6">
      <c r="A406" s="1375" t="s">
        <v>857</v>
      </c>
      <c r="B406" s="1375" t="s">
        <v>1395</v>
      </c>
      <c r="C406" s="1375" t="s">
        <v>1948</v>
      </c>
      <c r="D406" s="1375">
        <v>2022</v>
      </c>
      <c r="E406" s="1375" t="s">
        <v>2354</v>
      </c>
      <c r="F406" s="1470">
        <v>-1200.06674404</v>
      </c>
    </row>
    <row r="407" spans="1:6">
      <c r="A407" s="1375" t="s">
        <v>857</v>
      </c>
      <c r="B407" s="1375" t="s">
        <v>1395</v>
      </c>
      <c r="C407" s="1375" t="s">
        <v>1948</v>
      </c>
      <c r="D407" s="1375">
        <v>2023</v>
      </c>
      <c r="E407" s="1375" t="s">
        <v>2354</v>
      </c>
      <c r="F407" s="1470">
        <v>-1200.06674404</v>
      </c>
    </row>
    <row r="408" spans="1:6">
      <c r="A408" s="1375" t="s">
        <v>857</v>
      </c>
      <c r="B408" s="1375" t="s">
        <v>1395</v>
      </c>
      <c r="C408" s="1375" t="s">
        <v>1948</v>
      </c>
      <c r="D408" s="1375">
        <v>2024</v>
      </c>
      <c r="E408" s="1375" t="s">
        <v>2354</v>
      </c>
      <c r="F408" s="1470">
        <v>-1200.06674404</v>
      </c>
    </row>
    <row r="409" spans="1:6">
      <c r="A409" s="1375" t="s">
        <v>857</v>
      </c>
      <c r="B409" s="1375" t="s">
        <v>1395</v>
      </c>
      <c r="C409" s="1375" t="s">
        <v>1948</v>
      </c>
      <c r="D409" s="1375">
        <v>2025</v>
      </c>
      <c r="E409" s="1375" t="s">
        <v>2354</v>
      </c>
      <c r="F409" s="1470">
        <v>-1200.06674404</v>
      </c>
    </row>
    <row r="410" spans="1:6">
      <c r="A410" s="1375" t="s">
        <v>138</v>
      </c>
      <c r="B410" s="1375" t="s">
        <v>476</v>
      </c>
      <c r="C410" s="1375" t="s">
        <v>1007</v>
      </c>
      <c r="D410" s="1375">
        <v>2022</v>
      </c>
      <c r="E410" s="1375" t="s">
        <v>1434</v>
      </c>
      <c r="F410" s="1470">
        <v>-27.799353010000001</v>
      </c>
    </row>
    <row r="411" spans="1:6">
      <c r="A411" s="1375" t="s">
        <v>138</v>
      </c>
      <c r="B411" s="1375" t="s">
        <v>476</v>
      </c>
      <c r="C411" s="1375" t="s">
        <v>1007</v>
      </c>
      <c r="D411" s="1375">
        <v>2023</v>
      </c>
      <c r="E411" s="1375" t="s">
        <v>1434</v>
      </c>
      <c r="F411" s="1470">
        <v>-27.799353010000001</v>
      </c>
    </row>
    <row r="412" spans="1:6">
      <c r="A412" s="1375" t="s">
        <v>138</v>
      </c>
      <c r="B412" s="1375" t="s">
        <v>476</v>
      </c>
      <c r="C412" s="1375" t="s">
        <v>1007</v>
      </c>
      <c r="D412" s="1375">
        <v>2024</v>
      </c>
      <c r="E412" s="1375" t="s">
        <v>1434</v>
      </c>
      <c r="F412" s="1470">
        <v>-27.799353010000001</v>
      </c>
    </row>
    <row r="413" spans="1:6">
      <c r="A413" s="1375" t="s">
        <v>138</v>
      </c>
      <c r="B413" s="1375" t="s">
        <v>476</v>
      </c>
      <c r="C413" s="1375" t="s">
        <v>1007</v>
      </c>
      <c r="D413" s="1375">
        <v>2025</v>
      </c>
      <c r="E413" s="1375" t="s">
        <v>1434</v>
      </c>
      <c r="F413" s="1470">
        <v>-27.799353010000001</v>
      </c>
    </row>
    <row r="414" spans="1:6">
      <c r="A414" s="1375" t="s">
        <v>138</v>
      </c>
      <c r="B414" s="1375" t="s">
        <v>476</v>
      </c>
      <c r="C414" s="1375" t="s">
        <v>1517</v>
      </c>
      <c r="D414" s="1375">
        <v>2022</v>
      </c>
      <c r="E414" s="1375" t="s">
        <v>1516</v>
      </c>
      <c r="F414" s="1470">
        <v>43.851798770000002</v>
      </c>
    </row>
    <row r="415" spans="1:6">
      <c r="A415" s="1375" t="s">
        <v>138</v>
      </c>
      <c r="B415" s="1375" t="s">
        <v>476</v>
      </c>
      <c r="C415" s="1375" t="s">
        <v>1517</v>
      </c>
      <c r="D415" s="1375">
        <v>2023</v>
      </c>
      <c r="E415" s="1375" t="s">
        <v>1516</v>
      </c>
      <c r="F415" s="1470">
        <v>43.85302961</v>
      </c>
    </row>
    <row r="416" spans="1:6">
      <c r="A416" s="1375" t="s">
        <v>138</v>
      </c>
      <c r="B416" s="1375" t="s">
        <v>476</v>
      </c>
      <c r="C416" s="1375" t="s">
        <v>1517</v>
      </c>
      <c r="D416" s="1375">
        <v>2024</v>
      </c>
      <c r="E416" s="1375" t="s">
        <v>1516</v>
      </c>
      <c r="F416" s="1470">
        <v>43.850650590000001</v>
      </c>
    </row>
    <row r="417" spans="1:6">
      <c r="A417" s="1375" t="s">
        <v>138</v>
      </c>
      <c r="B417" s="1375" t="s">
        <v>476</v>
      </c>
      <c r="C417" s="1375" t="s">
        <v>1517</v>
      </c>
      <c r="D417" s="1375">
        <v>2025</v>
      </c>
      <c r="E417" s="1375" t="s">
        <v>1516</v>
      </c>
      <c r="F417" s="1470">
        <v>43.848761519999996</v>
      </c>
    </row>
    <row r="418" spans="1:6">
      <c r="A418" s="1375" t="s">
        <v>146</v>
      </c>
      <c r="B418" s="1375" t="s">
        <v>493</v>
      </c>
      <c r="C418" s="1375" t="s">
        <v>334</v>
      </c>
      <c r="D418" s="1375">
        <v>2022</v>
      </c>
      <c r="E418" s="1375" t="s">
        <v>39</v>
      </c>
      <c r="F418" s="1470">
        <v>8760000</v>
      </c>
    </row>
    <row r="419" spans="1:6">
      <c r="A419" s="1375" t="s">
        <v>146</v>
      </c>
      <c r="B419" s="1375" t="s">
        <v>493</v>
      </c>
      <c r="C419" s="1375" t="s">
        <v>334</v>
      </c>
      <c r="D419" s="1375">
        <v>2023</v>
      </c>
      <c r="E419" s="1375" t="s">
        <v>39</v>
      </c>
      <c r="F419" s="1470">
        <v>8760000</v>
      </c>
    </row>
    <row r="420" spans="1:6">
      <c r="A420" s="1375" t="s">
        <v>146</v>
      </c>
      <c r="B420" s="1375" t="s">
        <v>493</v>
      </c>
      <c r="C420" s="1375" t="s">
        <v>334</v>
      </c>
      <c r="D420" s="1375">
        <v>2024</v>
      </c>
      <c r="E420" s="1375" t="s">
        <v>39</v>
      </c>
      <c r="F420" s="1470">
        <v>8760000</v>
      </c>
    </row>
    <row r="421" spans="1:6">
      <c r="A421" s="1375" t="s">
        <v>146</v>
      </c>
      <c r="B421" s="1375" t="s">
        <v>493</v>
      </c>
      <c r="C421" s="1375" t="s">
        <v>334</v>
      </c>
      <c r="D421" s="1375">
        <v>2025</v>
      </c>
      <c r="E421" s="1375" t="s">
        <v>39</v>
      </c>
      <c r="F421" s="1470">
        <v>8760000</v>
      </c>
    </row>
    <row r="422" spans="1:6">
      <c r="A422" s="1375" t="s">
        <v>149</v>
      </c>
      <c r="B422" s="1375" t="s">
        <v>298</v>
      </c>
      <c r="C422" s="1375" t="s">
        <v>367</v>
      </c>
      <c r="D422" s="1375">
        <v>2022</v>
      </c>
      <c r="E422" s="1375" t="s">
        <v>1519</v>
      </c>
      <c r="F422" s="1470">
        <v>443.7</v>
      </c>
    </row>
    <row r="423" spans="1:6">
      <c r="A423" s="1375" t="s">
        <v>149</v>
      </c>
      <c r="B423" s="1375" t="s">
        <v>298</v>
      </c>
      <c r="C423" s="1375" t="s">
        <v>367</v>
      </c>
      <c r="D423" s="1375">
        <v>2023</v>
      </c>
      <c r="E423" s="1375" t="s">
        <v>1519</v>
      </c>
      <c r="F423" s="1470">
        <v>443.7</v>
      </c>
    </row>
    <row r="424" spans="1:6">
      <c r="A424" s="1375" t="s">
        <v>149</v>
      </c>
      <c r="B424" s="1375" t="s">
        <v>298</v>
      </c>
      <c r="C424" s="1375" t="s">
        <v>367</v>
      </c>
      <c r="D424" s="1375">
        <v>2024</v>
      </c>
      <c r="E424" s="1375" t="s">
        <v>1519</v>
      </c>
      <c r="F424" s="1470">
        <v>443.7</v>
      </c>
    </row>
    <row r="425" spans="1:6">
      <c r="A425" s="1375" t="s">
        <v>149</v>
      </c>
      <c r="B425" s="1375" t="s">
        <v>298</v>
      </c>
      <c r="C425" s="1375" t="s">
        <v>367</v>
      </c>
      <c r="D425" s="1375">
        <v>2025</v>
      </c>
      <c r="E425" s="1375" t="s">
        <v>1519</v>
      </c>
      <c r="F425" s="1470">
        <v>443.7</v>
      </c>
    </row>
    <row r="426" spans="1:6">
      <c r="A426" s="1375" t="s">
        <v>149</v>
      </c>
      <c r="B426" s="1375" t="s">
        <v>298</v>
      </c>
      <c r="C426" s="1375" t="s">
        <v>357</v>
      </c>
      <c r="D426" s="1375">
        <v>2022</v>
      </c>
      <c r="E426" s="1375" t="s">
        <v>74</v>
      </c>
      <c r="F426" s="1470">
        <v>1059.31079563</v>
      </c>
    </row>
    <row r="427" spans="1:6">
      <c r="A427" s="1375" t="s">
        <v>149</v>
      </c>
      <c r="B427" s="1375" t="s">
        <v>298</v>
      </c>
      <c r="C427" s="1375" t="s">
        <v>357</v>
      </c>
      <c r="D427" s="1375">
        <v>2023</v>
      </c>
      <c r="E427" s="1375" t="s">
        <v>74</v>
      </c>
      <c r="F427" s="1470">
        <v>1059.31079563</v>
      </c>
    </row>
    <row r="428" spans="1:6">
      <c r="A428" s="1375" t="s">
        <v>149</v>
      </c>
      <c r="B428" s="1375" t="s">
        <v>298</v>
      </c>
      <c r="C428" s="1375" t="s">
        <v>357</v>
      </c>
      <c r="D428" s="1375">
        <v>2024</v>
      </c>
      <c r="E428" s="1375" t="s">
        <v>74</v>
      </c>
      <c r="F428" s="1470">
        <v>1059.31079563</v>
      </c>
    </row>
    <row r="429" spans="1:6">
      <c r="A429" s="1375" t="s">
        <v>149</v>
      </c>
      <c r="B429" s="1375" t="s">
        <v>298</v>
      </c>
      <c r="C429" s="1375" t="s">
        <v>357</v>
      </c>
      <c r="D429" s="1375">
        <v>2025</v>
      </c>
      <c r="E429" s="1375" t="s">
        <v>74</v>
      </c>
      <c r="F429" s="1470">
        <v>1059.31079563</v>
      </c>
    </row>
    <row r="430" spans="1:6">
      <c r="A430" s="1375" t="s">
        <v>149</v>
      </c>
      <c r="B430" s="1375" t="s">
        <v>306</v>
      </c>
      <c r="C430" s="1375" t="s">
        <v>367</v>
      </c>
      <c r="D430" s="1375">
        <v>2022</v>
      </c>
      <c r="E430" s="1375" t="s">
        <v>1520</v>
      </c>
      <c r="F430" s="1470">
        <v>15.83712487</v>
      </c>
    </row>
    <row r="431" spans="1:6">
      <c r="A431" s="1375" t="s">
        <v>149</v>
      </c>
      <c r="B431" s="1375" t="s">
        <v>306</v>
      </c>
      <c r="C431" s="1375" t="s">
        <v>367</v>
      </c>
      <c r="D431" s="1375">
        <v>2023</v>
      </c>
      <c r="E431" s="1375" t="s">
        <v>1520</v>
      </c>
      <c r="F431" s="1470">
        <v>15.83712487</v>
      </c>
    </row>
    <row r="432" spans="1:6">
      <c r="A432" s="1375" t="s">
        <v>149</v>
      </c>
      <c r="B432" s="1375" t="s">
        <v>306</v>
      </c>
      <c r="C432" s="1375" t="s">
        <v>367</v>
      </c>
      <c r="D432" s="1375">
        <v>2024</v>
      </c>
      <c r="E432" s="1375" t="s">
        <v>1520</v>
      </c>
      <c r="F432" s="1470">
        <v>15.83712487</v>
      </c>
    </row>
    <row r="433" spans="1:6">
      <c r="A433" s="1375" t="s">
        <v>149</v>
      </c>
      <c r="B433" s="1375" t="s">
        <v>306</v>
      </c>
      <c r="C433" s="1375" t="s">
        <v>367</v>
      </c>
      <c r="D433" s="1375">
        <v>2025</v>
      </c>
      <c r="E433" s="1375" t="s">
        <v>1520</v>
      </c>
      <c r="F433" s="1470">
        <v>15.83712487</v>
      </c>
    </row>
    <row r="434" spans="1:6">
      <c r="A434" s="1375" t="s">
        <v>149</v>
      </c>
      <c r="B434" s="1375" t="s">
        <v>306</v>
      </c>
      <c r="C434" s="1375" t="s">
        <v>357</v>
      </c>
      <c r="D434" s="1375">
        <v>2022</v>
      </c>
      <c r="E434" s="1375" t="s">
        <v>75</v>
      </c>
      <c r="F434" s="1470">
        <v>505</v>
      </c>
    </row>
    <row r="435" spans="1:6">
      <c r="A435" s="1375" t="s">
        <v>149</v>
      </c>
      <c r="B435" s="1375" t="s">
        <v>306</v>
      </c>
      <c r="C435" s="1375" t="s">
        <v>357</v>
      </c>
      <c r="D435" s="1375">
        <v>2023</v>
      </c>
      <c r="E435" s="1375" t="s">
        <v>75</v>
      </c>
      <c r="F435" s="1470">
        <v>505</v>
      </c>
    </row>
    <row r="436" spans="1:6">
      <c r="A436" s="1375" t="s">
        <v>149</v>
      </c>
      <c r="B436" s="1375" t="s">
        <v>306</v>
      </c>
      <c r="C436" s="1375" t="s">
        <v>357</v>
      </c>
      <c r="D436" s="1375">
        <v>2024</v>
      </c>
      <c r="E436" s="1375" t="s">
        <v>75</v>
      </c>
      <c r="F436" s="1470">
        <v>505</v>
      </c>
    </row>
    <row r="437" spans="1:6">
      <c r="A437" s="1375" t="s">
        <v>149</v>
      </c>
      <c r="B437" s="1375" t="s">
        <v>306</v>
      </c>
      <c r="C437" s="1375" t="s">
        <v>357</v>
      </c>
      <c r="D437" s="1375">
        <v>2025</v>
      </c>
      <c r="E437" s="1375" t="s">
        <v>75</v>
      </c>
      <c r="F437" s="1470">
        <v>505</v>
      </c>
    </row>
    <row r="438" spans="1:6">
      <c r="A438" s="1375" t="s">
        <v>149</v>
      </c>
      <c r="B438" s="1375" t="s">
        <v>312</v>
      </c>
      <c r="C438" s="1375" t="s">
        <v>1564</v>
      </c>
      <c r="D438" s="1375">
        <v>2022</v>
      </c>
      <c r="E438" s="1375" t="s">
        <v>1312</v>
      </c>
      <c r="F438" s="1470">
        <v>0</v>
      </c>
    </row>
    <row r="439" spans="1:6">
      <c r="A439" s="1375" t="s">
        <v>149</v>
      </c>
      <c r="B439" s="1375" t="s">
        <v>312</v>
      </c>
      <c r="C439" s="1375" t="s">
        <v>1564</v>
      </c>
      <c r="D439" s="1375">
        <v>2023</v>
      </c>
      <c r="E439" s="1375" t="s">
        <v>1312</v>
      </c>
      <c r="F439" s="1470">
        <v>0</v>
      </c>
    </row>
    <row r="440" spans="1:6">
      <c r="A440" s="1375" t="s">
        <v>149</v>
      </c>
      <c r="B440" s="1375" t="s">
        <v>312</v>
      </c>
      <c r="C440" s="1375" t="s">
        <v>1564</v>
      </c>
      <c r="D440" s="1375">
        <v>2024</v>
      </c>
      <c r="E440" s="1375" t="s">
        <v>1312</v>
      </c>
      <c r="F440" s="1470">
        <v>0</v>
      </c>
    </row>
    <row r="441" spans="1:6">
      <c r="A441" s="1375" t="s">
        <v>149</v>
      </c>
      <c r="B441" s="1375" t="s">
        <v>312</v>
      </c>
      <c r="C441" s="1375" t="s">
        <v>1564</v>
      </c>
      <c r="D441" s="1375">
        <v>2025</v>
      </c>
      <c r="E441" s="1375" t="s">
        <v>1312</v>
      </c>
      <c r="F441" s="1470">
        <v>0</v>
      </c>
    </row>
    <row r="442" spans="1:6">
      <c r="A442" s="1375" t="s">
        <v>149</v>
      </c>
      <c r="B442" s="1375" t="s">
        <v>312</v>
      </c>
      <c r="C442" s="1375" t="s">
        <v>944</v>
      </c>
      <c r="D442" s="1375">
        <v>2022</v>
      </c>
      <c r="E442" s="1375" t="s">
        <v>1524</v>
      </c>
      <c r="F442" s="1470">
        <v>195</v>
      </c>
    </row>
    <row r="443" spans="1:6">
      <c r="A443" s="1375" t="s">
        <v>149</v>
      </c>
      <c r="B443" s="1375" t="s">
        <v>312</v>
      </c>
      <c r="C443" s="1375" t="s">
        <v>944</v>
      </c>
      <c r="D443" s="1375">
        <v>2023</v>
      </c>
      <c r="E443" s="1375" t="s">
        <v>1524</v>
      </c>
      <c r="F443" s="1470">
        <v>195</v>
      </c>
    </row>
    <row r="444" spans="1:6">
      <c r="A444" s="1375" t="s">
        <v>149</v>
      </c>
      <c r="B444" s="1375" t="s">
        <v>312</v>
      </c>
      <c r="C444" s="1375" t="s">
        <v>944</v>
      </c>
      <c r="D444" s="1375">
        <v>2024</v>
      </c>
      <c r="E444" s="1375" t="s">
        <v>1524</v>
      </c>
      <c r="F444" s="1470">
        <v>195</v>
      </c>
    </row>
    <row r="445" spans="1:6">
      <c r="A445" s="1375" t="s">
        <v>149</v>
      </c>
      <c r="B445" s="1375" t="s">
        <v>312</v>
      </c>
      <c r="C445" s="1375" t="s">
        <v>944</v>
      </c>
      <c r="D445" s="1375">
        <v>2025</v>
      </c>
      <c r="E445" s="1375" t="s">
        <v>1524</v>
      </c>
      <c r="F445" s="1470">
        <v>195</v>
      </c>
    </row>
    <row r="446" spans="1:6">
      <c r="A446" s="1375" t="s">
        <v>149</v>
      </c>
      <c r="B446" s="1375" t="s">
        <v>330</v>
      </c>
      <c r="C446" s="1375" t="s">
        <v>885</v>
      </c>
      <c r="D446" s="1375">
        <v>2022</v>
      </c>
      <c r="E446" s="1375" t="s">
        <v>1525</v>
      </c>
      <c r="F446" s="1470">
        <v>542</v>
      </c>
    </row>
    <row r="447" spans="1:6">
      <c r="A447" s="1375" t="s">
        <v>149</v>
      </c>
      <c r="B447" s="1375" t="s">
        <v>330</v>
      </c>
      <c r="C447" s="1375" t="s">
        <v>885</v>
      </c>
      <c r="D447" s="1375">
        <v>2023</v>
      </c>
      <c r="E447" s="1375" t="s">
        <v>1525</v>
      </c>
      <c r="F447" s="1470">
        <v>542</v>
      </c>
    </row>
    <row r="448" spans="1:6">
      <c r="A448" s="1375" t="s">
        <v>149</v>
      </c>
      <c r="B448" s="1375" t="s">
        <v>330</v>
      </c>
      <c r="C448" s="1375" t="s">
        <v>885</v>
      </c>
      <c r="D448" s="1375">
        <v>2024</v>
      </c>
      <c r="E448" s="1375" t="s">
        <v>1525</v>
      </c>
      <c r="F448" s="1470">
        <v>542</v>
      </c>
    </row>
    <row r="449" spans="1:6">
      <c r="A449" s="1375" t="s">
        <v>149</v>
      </c>
      <c r="B449" s="1375" t="s">
        <v>330</v>
      </c>
      <c r="C449" s="1375" t="s">
        <v>885</v>
      </c>
      <c r="D449" s="1375">
        <v>2025</v>
      </c>
      <c r="E449" s="1375" t="s">
        <v>1525</v>
      </c>
      <c r="F449" s="1470">
        <v>542</v>
      </c>
    </row>
    <row r="450" spans="1:6">
      <c r="A450" s="1375" t="s">
        <v>143</v>
      </c>
      <c r="B450" s="1375" t="s">
        <v>323</v>
      </c>
      <c r="C450" s="1375" t="s">
        <v>157</v>
      </c>
      <c r="D450" s="1375">
        <v>2022</v>
      </c>
      <c r="E450" s="1375" t="s">
        <v>30</v>
      </c>
      <c r="F450" s="1470">
        <v>14.519726670000001</v>
      </c>
    </row>
    <row r="451" spans="1:6">
      <c r="A451" s="1375" t="s">
        <v>143</v>
      </c>
      <c r="B451" s="1375" t="s">
        <v>323</v>
      </c>
      <c r="C451" s="1375" t="s">
        <v>157</v>
      </c>
      <c r="D451" s="1375">
        <v>2023</v>
      </c>
      <c r="E451" s="1375" t="s">
        <v>30</v>
      </c>
      <c r="F451" s="1470">
        <v>14.519726670000001</v>
      </c>
    </row>
    <row r="452" spans="1:6">
      <c r="A452" s="1375" t="s">
        <v>143</v>
      </c>
      <c r="B452" s="1375" t="s">
        <v>323</v>
      </c>
      <c r="C452" s="1375" t="s">
        <v>157</v>
      </c>
      <c r="D452" s="1375">
        <v>2024</v>
      </c>
      <c r="E452" s="1375" t="s">
        <v>30</v>
      </c>
      <c r="F452" s="1470">
        <v>14.519726670000001</v>
      </c>
    </row>
    <row r="453" spans="1:6">
      <c r="A453" s="1375" t="s">
        <v>143</v>
      </c>
      <c r="B453" s="1375" t="s">
        <v>323</v>
      </c>
      <c r="C453" s="1375" t="s">
        <v>157</v>
      </c>
      <c r="D453" s="1375">
        <v>2025</v>
      </c>
      <c r="E453" s="1375" t="s">
        <v>30</v>
      </c>
      <c r="F453" s="1470">
        <v>14.519726670000001</v>
      </c>
    </row>
    <row r="454" spans="1:6">
      <c r="A454" s="1375" t="s">
        <v>143</v>
      </c>
      <c r="B454" s="1375" t="s">
        <v>321</v>
      </c>
      <c r="C454" s="1375" t="s">
        <v>157</v>
      </c>
      <c r="D454" s="1375">
        <v>2022</v>
      </c>
      <c r="E454" s="1375" t="s">
        <v>31</v>
      </c>
      <c r="F454" s="1470">
        <v>24.39671551</v>
      </c>
    </row>
    <row r="455" spans="1:6">
      <c r="A455" s="1375" t="s">
        <v>143</v>
      </c>
      <c r="B455" s="1375" t="s">
        <v>321</v>
      </c>
      <c r="C455" s="1375" t="s">
        <v>157</v>
      </c>
      <c r="D455" s="1375">
        <v>2023</v>
      </c>
      <c r="E455" s="1375" t="s">
        <v>31</v>
      </c>
      <c r="F455" s="1470">
        <v>24.39671551</v>
      </c>
    </row>
    <row r="456" spans="1:6">
      <c r="A456" s="1375" t="s">
        <v>143</v>
      </c>
      <c r="B456" s="1375" t="s">
        <v>321</v>
      </c>
      <c r="C456" s="1375" t="s">
        <v>157</v>
      </c>
      <c r="D456" s="1375">
        <v>2024</v>
      </c>
      <c r="E456" s="1375" t="s">
        <v>31</v>
      </c>
      <c r="F456" s="1470">
        <v>24.39671551</v>
      </c>
    </row>
    <row r="457" spans="1:6">
      <c r="A457" s="1375" t="s">
        <v>143</v>
      </c>
      <c r="B457" s="1375" t="s">
        <v>321</v>
      </c>
      <c r="C457" s="1375" t="s">
        <v>157</v>
      </c>
      <c r="D457" s="1375">
        <v>2025</v>
      </c>
      <c r="E457" s="1375" t="s">
        <v>31</v>
      </c>
      <c r="F457" s="1470">
        <v>24.39671551</v>
      </c>
    </row>
    <row r="458" spans="1:6">
      <c r="A458" s="1375" t="s">
        <v>143</v>
      </c>
      <c r="B458" s="1375" t="s">
        <v>324</v>
      </c>
      <c r="C458" s="1375" t="s">
        <v>157</v>
      </c>
      <c r="D458" s="1375">
        <v>2022</v>
      </c>
      <c r="E458" s="1375" t="s">
        <v>93</v>
      </c>
      <c r="F458" s="1470">
        <v>14.519726670000001</v>
      </c>
    </row>
    <row r="459" spans="1:6">
      <c r="A459" s="1375" t="s">
        <v>143</v>
      </c>
      <c r="B459" s="1375" t="s">
        <v>324</v>
      </c>
      <c r="C459" s="1375" t="s">
        <v>157</v>
      </c>
      <c r="D459" s="1375">
        <v>2023</v>
      </c>
      <c r="E459" s="1375" t="s">
        <v>93</v>
      </c>
      <c r="F459" s="1470">
        <v>14.519726670000001</v>
      </c>
    </row>
    <row r="460" spans="1:6">
      <c r="A460" s="1375" t="s">
        <v>143</v>
      </c>
      <c r="B460" s="1375" t="s">
        <v>324</v>
      </c>
      <c r="C460" s="1375" t="s">
        <v>157</v>
      </c>
      <c r="D460" s="1375">
        <v>2024</v>
      </c>
      <c r="E460" s="1375" t="s">
        <v>93</v>
      </c>
      <c r="F460" s="1470">
        <v>14.519726670000001</v>
      </c>
    </row>
    <row r="461" spans="1:6">
      <c r="A461" s="1375" t="s">
        <v>143</v>
      </c>
      <c r="B461" s="1375" t="s">
        <v>324</v>
      </c>
      <c r="C461" s="1375" t="s">
        <v>157</v>
      </c>
      <c r="D461" s="1375">
        <v>2025</v>
      </c>
      <c r="E461" s="1375" t="s">
        <v>93</v>
      </c>
      <c r="F461" s="1470">
        <v>14.519726670000001</v>
      </c>
    </row>
    <row r="462" spans="1:6">
      <c r="A462" s="1375" t="s">
        <v>143</v>
      </c>
      <c r="B462" s="1375" t="s">
        <v>322</v>
      </c>
      <c r="C462" s="1375" t="s">
        <v>157</v>
      </c>
      <c r="D462" s="1375">
        <v>2022</v>
      </c>
      <c r="E462" s="1375" t="s">
        <v>94</v>
      </c>
      <c r="F462" s="1470">
        <v>24.39671551</v>
      </c>
    </row>
    <row r="463" spans="1:6">
      <c r="A463" s="1375" t="s">
        <v>143</v>
      </c>
      <c r="B463" s="1375" t="s">
        <v>322</v>
      </c>
      <c r="C463" s="1375" t="s">
        <v>157</v>
      </c>
      <c r="D463" s="1375">
        <v>2023</v>
      </c>
      <c r="E463" s="1375" t="s">
        <v>94</v>
      </c>
      <c r="F463" s="1470">
        <v>24.39671551</v>
      </c>
    </row>
    <row r="464" spans="1:6">
      <c r="A464" s="1375" t="s">
        <v>143</v>
      </c>
      <c r="B464" s="1375" t="s">
        <v>322</v>
      </c>
      <c r="C464" s="1375" t="s">
        <v>157</v>
      </c>
      <c r="D464" s="1375">
        <v>2024</v>
      </c>
      <c r="E464" s="1375" t="s">
        <v>94</v>
      </c>
      <c r="F464" s="1470">
        <v>24.39671551</v>
      </c>
    </row>
    <row r="465" spans="1:6">
      <c r="A465" s="1375" t="s">
        <v>143</v>
      </c>
      <c r="B465" s="1375" t="s">
        <v>322</v>
      </c>
      <c r="C465" s="1375" t="s">
        <v>157</v>
      </c>
      <c r="D465" s="1375">
        <v>2025</v>
      </c>
      <c r="E465" s="1375" t="s">
        <v>94</v>
      </c>
      <c r="F465" s="1470">
        <v>24.39671551</v>
      </c>
    </row>
    <row r="466" spans="1:6">
      <c r="A466" s="1375" t="s">
        <v>470</v>
      </c>
      <c r="B466" s="1375" t="s">
        <v>1933</v>
      </c>
      <c r="C466" s="1375" t="s">
        <v>1954</v>
      </c>
      <c r="D466" s="1375">
        <v>2022</v>
      </c>
      <c r="E466" s="1375" t="s">
        <v>2319</v>
      </c>
      <c r="F466" s="1470">
        <v>32.630683519999998</v>
      </c>
    </row>
    <row r="467" spans="1:6">
      <c r="A467" s="1375" t="s">
        <v>470</v>
      </c>
      <c r="B467" s="1375" t="s">
        <v>1933</v>
      </c>
      <c r="C467" s="1375" t="s">
        <v>1954</v>
      </c>
      <c r="D467" s="1375">
        <v>2023</v>
      </c>
      <c r="E467" s="1375" t="s">
        <v>2319</v>
      </c>
      <c r="F467" s="1470">
        <v>32.630683519999998</v>
      </c>
    </row>
    <row r="468" spans="1:6">
      <c r="A468" s="1375" t="s">
        <v>470</v>
      </c>
      <c r="B468" s="1375" t="s">
        <v>1933</v>
      </c>
      <c r="C468" s="1375" t="s">
        <v>1954</v>
      </c>
      <c r="D468" s="1375">
        <v>2024</v>
      </c>
      <c r="E468" s="1375" t="s">
        <v>2319</v>
      </c>
      <c r="F468" s="1470">
        <v>32.630683519999998</v>
      </c>
    </row>
    <row r="469" spans="1:6">
      <c r="A469" s="1375" t="s">
        <v>470</v>
      </c>
      <c r="B469" s="1375" t="s">
        <v>1933</v>
      </c>
      <c r="C469" s="1375" t="s">
        <v>1954</v>
      </c>
      <c r="D469" s="1375">
        <v>2025</v>
      </c>
      <c r="E469" s="1375" t="s">
        <v>2319</v>
      </c>
      <c r="F469" s="1470">
        <v>32.630683519999998</v>
      </c>
    </row>
    <row r="470" spans="1:6">
      <c r="A470" s="1375" t="s">
        <v>470</v>
      </c>
      <c r="B470" s="1375" t="s">
        <v>1932</v>
      </c>
      <c r="C470" s="1375" t="s">
        <v>1954</v>
      </c>
      <c r="D470" s="1375">
        <v>2025</v>
      </c>
      <c r="E470" s="1375" t="s">
        <v>2318</v>
      </c>
      <c r="F470" s="1470">
        <v>41.58485623</v>
      </c>
    </row>
    <row r="471" spans="1:6">
      <c r="A471" s="1375" t="s">
        <v>141</v>
      </c>
      <c r="B471" s="1375" t="s">
        <v>1933</v>
      </c>
      <c r="C471" s="1375" t="s">
        <v>1953</v>
      </c>
      <c r="D471" s="1375">
        <v>2022</v>
      </c>
      <c r="E471" s="1375" t="s">
        <v>2281</v>
      </c>
      <c r="F471" s="1470">
        <v>32.461487609999999</v>
      </c>
    </row>
    <row r="472" spans="1:6">
      <c r="A472" s="1375" t="s">
        <v>141</v>
      </c>
      <c r="B472" s="1375" t="s">
        <v>1933</v>
      </c>
      <c r="C472" s="1375" t="s">
        <v>1953</v>
      </c>
      <c r="D472" s="1375">
        <v>2023</v>
      </c>
      <c r="E472" s="1375" t="s">
        <v>2281</v>
      </c>
      <c r="F472" s="1470">
        <v>32.461487609999999</v>
      </c>
    </row>
    <row r="473" spans="1:6">
      <c r="A473" s="1375" t="s">
        <v>141</v>
      </c>
      <c r="B473" s="1375" t="s">
        <v>1933</v>
      </c>
      <c r="C473" s="1375" t="s">
        <v>1953</v>
      </c>
      <c r="D473" s="1375">
        <v>2024</v>
      </c>
      <c r="E473" s="1375" t="s">
        <v>2281</v>
      </c>
      <c r="F473" s="1470">
        <v>32.461487609999999</v>
      </c>
    </row>
    <row r="474" spans="1:6">
      <c r="A474" s="1375" t="s">
        <v>141</v>
      </c>
      <c r="B474" s="1375" t="s">
        <v>1933</v>
      </c>
      <c r="C474" s="1375" t="s">
        <v>1953</v>
      </c>
      <c r="D474" s="1375">
        <v>2025</v>
      </c>
      <c r="E474" s="1375" t="s">
        <v>2281</v>
      </c>
      <c r="F474" s="1470">
        <v>32.461487609999999</v>
      </c>
    </row>
    <row r="475" spans="1:6">
      <c r="A475" s="1375" t="s">
        <v>141</v>
      </c>
      <c r="B475" s="1375" t="s">
        <v>1928</v>
      </c>
      <c r="C475" s="1375" t="s">
        <v>1951</v>
      </c>
      <c r="D475" s="1375">
        <v>2022</v>
      </c>
      <c r="E475" s="1375" t="s">
        <v>2278</v>
      </c>
      <c r="F475" s="1470">
        <v>2335.0974863000001</v>
      </c>
    </row>
    <row r="476" spans="1:6">
      <c r="A476" s="1375" t="s">
        <v>141</v>
      </c>
      <c r="B476" s="1375" t="s">
        <v>1928</v>
      </c>
      <c r="C476" s="1375" t="s">
        <v>1951</v>
      </c>
      <c r="D476" s="1375">
        <v>2023</v>
      </c>
      <c r="E476" s="1375" t="s">
        <v>2278</v>
      </c>
      <c r="F476" s="1470">
        <v>2335.0974863000001</v>
      </c>
    </row>
    <row r="477" spans="1:6">
      <c r="A477" s="1375" t="s">
        <v>141</v>
      </c>
      <c r="B477" s="1375" t="s">
        <v>1928</v>
      </c>
      <c r="C477" s="1375" t="s">
        <v>1951</v>
      </c>
      <c r="D477" s="1375">
        <v>2024</v>
      </c>
      <c r="E477" s="1375" t="s">
        <v>2278</v>
      </c>
      <c r="F477" s="1470">
        <v>2335.0974863000001</v>
      </c>
    </row>
    <row r="478" spans="1:6">
      <c r="A478" s="1375" t="s">
        <v>141</v>
      </c>
      <c r="B478" s="1375" t="s">
        <v>1928</v>
      </c>
      <c r="C478" s="1375" t="s">
        <v>1951</v>
      </c>
      <c r="D478" s="1375">
        <v>2025</v>
      </c>
      <c r="E478" s="1375" t="s">
        <v>2278</v>
      </c>
      <c r="F478" s="1470">
        <v>2335.0974863000001</v>
      </c>
    </row>
    <row r="479" spans="1:6">
      <c r="A479" s="1375" t="s">
        <v>141</v>
      </c>
      <c r="B479" s="1375" t="s">
        <v>1928</v>
      </c>
      <c r="C479" s="1375" t="s">
        <v>1952</v>
      </c>
      <c r="D479" s="1375">
        <v>2022</v>
      </c>
      <c r="E479" s="1375" t="s">
        <v>2279</v>
      </c>
      <c r="F479" s="1470">
        <v>5048.06036356</v>
      </c>
    </row>
    <row r="480" spans="1:6">
      <c r="A480" s="1375" t="s">
        <v>141</v>
      </c>
      <c r="B480" s="1375" t="s">
        <v>1928</v>
      </c>
      <c r="C480" s="1375" t="s">
        <v>1952</v>
      </c>
      <c r="D480" s="1375">
        <v>2023</v>
      </c>
      <c r="E480" s="1375" t="s">
        <v>2279</v>
      </c>
      <c r="F480" s="1470">
        <v>5048.06036356</v>
      </c>
    </row>
    <row r="481" spans="1:6">
      <c r="A481" s="1375" t="s">
        <v>141</v>
      </c>
      <c r="B481" s="1375" t="s">
        <v>1928</v>
      </c>
      <c r="C481" s="1375" t="s">
        <v>1952</v>
      </c>
      <c r="D481" s="1375">
        <v>2024</v>
      </c>
      <c r="E481" s="1375" t="s">
        <v>2279</v>
      </c>
      <c r="F481" s="1470">
        <v>5048.06036356</v>
      </c>
    </row>
    <row r="482" spans="1:6">
      <c r="A482" s="1375" t="s">
        <v>141</v>
      </c>
      <c r="B482" s="1375" t="s">
        <v>1928</v>
      </c>
      <c r="C482" s="1375" t="s">
        <v>1952</v>
      </c>
      <c r="D482" s="1375">
        <v>2025</v>
      </c>
      <c r="E482" s="1375" t="s">
        <v>2279</v>
      </c>
      <c r="F482" s="1470">
        <v>5048.06036356</v>
      </c>
    </row>
    <row r="483" spans="1:6">
      <c r="A483" s="1375" t="s">
        <v>141</v>
      </c>
      <c r="B483" s="1375" t="s">
        <v>1932</v>
      </c>
      <c r="C483" s="1375" t="s">
        <v>1953</v>
      </c>
      <c r="D483" s="1375">
        <v>2025</v>
      </c>
      <c r="E483" s="1375" t="s">
        <v>2280</v>
      </c>
      <c r="F483" s="1470">
        <v>58.720546859999999</v>
      </c>
    </row>
    <row r="484" spans="1:6">
      <c r="A484" s="1375" t="s">
        <v>144</v>
      </c>
      <c r="B484" s="1375" t="s">
        <v>285</v>
      </c>
      <c r="C484" s="1375" t="s">
        <v>334</v>
      </c>
      <c r="D484" s="1375">
        <v>2022</v>
      </c>
      <c r="E484" s="1375" t="s">
        <v>399</v>
      </c>
      <c r="F484" s="1470">
        <v>8760000</v>
      </c>
    </row>
    <row r="485" spans="1:6">
      <c r="A485" s="1375" t="s">
        <v>144</v>
      </c>
      <c r="B485" s="1375" t="s">
        <v>285</v>
      </c>
      <c r="C485" s="1375" t="s">
        <v>334</v>
      </c>
      <c r="D485" s="1375">
        <v>2023</v>
      </c>
      <c r="E485" s="1375" t="s">
        <v>399</v>
      </c>
      <c r="F485" s="1470">
        <v>8760000</v>
      </c>
    </row>
    <row r="486" spans="1:6">
      <c r="A486" s="1375" t="s">
        <v>144</v>
      </c>
      <c r="B486" s="1375" t="s">
        <v>285</v>
      </c>
      <c r="C486" s="1375" t="s">
        <v>334</v>
      </c>
      <c r="D486" s="1375">
        <v>2024</v>
      </c>
      <c r="E486" s="1375" t="s">
        <v>399</v>
      </c>
      <c r="F486" s="1470">
        <v>8760000</v>
      </c>
    </row>
    <row r="487" spans="1:6">
      <c r="A487" s="1375" t="s">
        <v>144</v>
      </c>
      <c r="B487" s="1375" t="s">
        <v>285</v>
      </c>
      <c r="C487" s="1375" t="s">
        <v>334</v>
      </c>
      <c r="D487" s="1375">
        <v>2025</v>
      </c>
      <c r="E487" s="1375" t="s">
        <v>399</v>
      </c>
      <c r="F487" s="1470">
        <v>8760000</v>
      </c>
    </row>
    <row r="488" spans="1:6">
      <c r="A488" s="1375" t="s">
        <v>144</v>
      </c>
      <c r="B488" s="1375" t="s">
        <v>299</v>
      </c>
      <c r="C488" s="1375" t="s">
        <v>334</v>
      </c>
      <c r="D488" s="1375">
        <v>2022</v>
      </c>
      <c r="E488" s="1375" t="s">
        <v>420</v>
      </c>
      <c r="F488" s="1470">
        <v>8760000</v>
      </c>
    </row>
    <row r="489" spans="1:6">
      <c r="A489" s="1375" t="s">
        <v>144</v>
      </c>
      <c r="B489" s="1375" t="s">
        <v>299</v>
      </c>
      <c r="C489" s="1375" t="s">
        <v>334</v>
      </c>
      <c r="D489" s="1375">
        <v>2023</v>
      </c>
      <c r="E489" s="1375" t="s">
        <v>420</v>
      </c>
      <c r="F489" s="1470">
        <v>8760000</v>
      </c>
    </row>
    <row r="490" spans="1:6">
      <c r="A490" s="1375" t="s">
        <v>144</v>
      </c>
      <c r="B490" s="1375" t="s">
        <v>299</v>
      </c>
      <c r="C490" s="1375" t="s">
        <v>334</v>
      </c>
      <c r="D490" s="1375">
        <v>2024</v>
      </c>
      <c r="E490" s="1375" t="s">
        <v>420</v>
      </c>
      <c r="F490" s="1470">
        <v>8760000</v>
      </c>
    </row>
    <row r="491" spans="1:6">
      <c r="A491" s="1375" t="s">
        <v>144</v>
      </c>
      <c r="B491" s="1375" t="s">
        <v>299</v>
      </c>
      <c r="C491" s="1375" t="s">
        <v>334</v>
      </c>
      <c r="D491" s="1375">
        <v>2025</v>
      </c>
      <c r="E491" s="1375" t="s">
        <v>420</v>
      </c>
      <c r="F491" s="1470">
        <v>8760000</v>
      </c>
    </row>
    <row r="492" spans="1:6">
      <c r="A492" s="1375" t="s">
        <v>137</v>
      </c>
      <c r="B492" s="1375" t="s">
        <v>296</v>
      </c>
      <c r="C492" s="1375" t="s">
        <v>1362</v>
      </c>
      <c r="D492" s="1375">
        <v>2022</v>
      </c>
      <c r="E492" s="1375" t="s">
        <v>21</v>
      </c>
      <c r="F492" s="1470">
        <v>0.79809925000000004</v>
      </c>
    </row>
    <row r="493" spans="1:6">
      <c r="A493" s="1375" t="s">
        <v>137</v>
      </c>
      <c r="B493" s="1375" t="s">
        <v>296</v>
      </c>
      <c r="C493" s="1375" t="s">
        <v>1362</v>
      </c>
      <c r="D493" s="1375">
        <v>2023</v>
      </c>
      <c r="E493" s="1375" t="s">
        <v>21</v>
      </c>
      <c r="F493" s="1470">
        <v>0.80074279999999998</v>
      </c>
    </row>
    <row r="494" spans="1:6">
      <c r="A494" s="1375" t="s">
        <v>137</v>
      </c>
      <c r="B494" s="1375" t="s">
        <v>296</v>
      </c>
      <c r="C494" s="1375" t="s">
        <v>1362</v>
      </c>
      <c r="D494" s="1375">
        <v>2024</v>
      </c>
      <c r="E494" s="1375" t="s">
        <v>21</v>
      </c>
      <c r="F494" s="1470">
        <v>0.80083786999999995</v>
      </c>
    </row>
    <row r="495" spans="1:6">
      <c r="A495" s="1375" t="s">
        <v>137</v>
      </c>
      <c r="B495" s="1375" t="s">
        <v>296</v>
      </c>
      <c r="C495" s="1375" t="s">
        <v>1362</v>
      </c>
      <c r="D495" s="1375">
        <v>2025</v>
      </c>
      <c r="E495" s="1375" t="s">
        <v>21</v>
      </c>
      <c r="F495" s="1470">
        <v>0.80088550000000003</v>
      </c>
    </row>
    <row r="496" spans="1:6">
      <c r="A496" s="1375" t="s">
        <v>137</v>
      </c>
      <c r="B496" s="1375" t="s">
        <v>296</v>
      </c>
      <c r="C496" s="1375" t="s">
        <v>1364</v>
      </c>
      <c r="D496" s="1375">
        <v>2022</v>
      </c>
      <c r="E496" s="1375" t="s">
        <v>1363</v>
      </c>
      <c r="F496" s="1470">
        <v>0.34608329999999998</v>
      </c>
    </row>
    <row r="497" spans="1:6">
      <c r="A497" s="1375" t="s">
        <v>137</v>
      </c>
      <c r="B497" s="1375" t="s">
        <v>296</v>
      </c>
      <c r="C497" s="1375" t="s">
        <v>1364</v>
      </c>
      <c r="D497" s="1375">
        <v>2023</v>
      </c>
      <c r="E497" s="1375" t="s">
        <v>1363</v>
      </c>
      <c r="F497" s="1470">
        <v>0.34758841000000001</v>
      </c>
    </row>
    <row r="498" spans="1:6">
      <c r="A498" s="1375" t="s">
        <v>137</v>
      </c>
      <c r="B498" s="1375" t="s">
        <v>296</v>
      </c>
      <c r="C498" s="1375" t="s">
        <v>1364</v>
      </c>
      <c r="D498" s="1375">
        <v>2024</v>
      </c>
      <c r="E498" s="1375" t="s">
        <v>1363</v>
      </c>
      <c r="F498" s="1470">
        <v>0.34764253000000001</v>
      </c>
    </row>
    <row r="499" spans="1:6">
      <c r="A499" s="1375" t="s">
        <v>137</v>
      </c>
      <c r="B499" s="1375" t="s">
        <v>296</v>
      </c>
      <c r="C499" s="1375" t="s">
        <v>1364</v>
      </c>
      <c r="D499" s="1375">
        <v>2025</v>
      </c>
      <c r="E499" s="1375" t="s">
        <v>1363</v>
      </c>
      <c r="F499" s="1470">
        <v>0.34766965</v>
      </c>
    </row>
    <row r="500" spans="1:6">
      <c r="A500" s="1375" t="s">
        <v>137</v>
      </c>
      <c r="B500" s="1375" t="s">
        <v>296</v>
      </c>
      <c r="C500" s="1375" t="s">
        <v>1365</v>
      </c>
      <c r="D500" s="1375">
        <v>2022</v>
      </c>
      <c r="E500" s="1375" t="s">
        <v>871</v>
      </c>
      <c r="F500" s="1470">
        <v>0.35392056</v>
      </c>
    </row>
    <row r="501" spans="1:6">
      <c r="A501" s="1375" t="s">
        <v>137</v>
      </c>
      <c r="B501" s="1375" t="s">
        <v>296</v>
      </c>
      <c r="C501" s="1375" t="s">
        <v>1365</v>
      </c>
      <c r="D501" s="1375">
        <v>2023</v>
      </c>
      <c r="E501" s="1375" t="s">
        <v>871</v>
      </c>
      <c r="F501" s="1470">
        <v>0.35567070000000001</v>
      </c>
    </row>
    <row r="502" spans="1:6">
      <c r="A502" s="1375" t="s">
        <v>137</v>
      </c>
      <c r="B502" s="1375" t="s">
        <v>296</v>
      </c>
      <c r="C502" s="1375" t="s">
        <v>1365</v>
      </c>
      <c r="D502" s="1375">
        <v>2024</v>
      </c>
      <c r="E502" s="1375" t="s">
        <v>871</v>
      </c>
      <c r="F502" s="1470">
        <v>0.35742083000000002</v>
      </c>
    </row>
    <row r="503" spans="1:6">
      <c r="A503" s="1375" t="s">
        <v>137</v>
      </c>
      <c r="B503" s="1375" t="s">
        <v>296</v>
      </c>
      <c r="C503" s="1375" t="s">
        <v>1365</v>
      </c>
      <c r="D503" s="1375">
        <v>2025</v>
      </c>
      <c r="E503" s="1375" t="s">
        <v>871</v>
      </c>
      <c r="F503" s="1470">
        <v>0.35917096999999998</v>
      </c>
    </row>
    <row r="504" spans="1:6">
      <c r="A504" s="1375" t="s">
        <v>137</v>
      </c>
      <c r="B504" s="1375" t="s">
        <v>304</v>
      </c>
      <c r="C504" s="1375" t="s">
        <v>1368</v>
      </c>
      <c r="D504" s="1375">
        <v>2022</v>
      </c>
      <c r="E504" s="1375" t="s">
        <v>22</v>
      </c>
      <c r="F504" s="1470">
        <v>1.5685777700000001</v>
      </c>
    </row>
    <row r="505" spans="1:6">
      <c r="A505" s="1375" t="s">
        <v>137</v>
      </c>
      <c r="B505" s="1375" t="s">
        <v>304</v>
      </c>
      <c r="C505" s="1375" t="s">
        <v>1368</v>
      </c>
      <c r="D505" s="1375">
        <v>2023</v>
      </c>
      <c r="E505" s="1375" t="s">
        <v>22</v>
      </c>
      <c r="F505" s="1470">
        <v>1.57730737</v>
      </c>
    </row>
    <row r="506" spans="1:6">
      <c r="A506" s="1375" t="s">
        <v>137</v>
      </c>
      <c r="B506" s="1375" t="s">
        <v>304</v>
      </c>
      <c r="C506" s="1375" t="s">
        <v>1368</v>
      </c>
      <c r="D506" s="1375">
        <v>2024</v>
      </c>
      <c r="E506" s="1375" t="s">
        <v>22</v>
      </c>
      <c r="F506" s="1470">
        <v>1.5756065400000001</v>
      </c>
    </row>
    <row r="507" spans="1:6">
      <c r="A507" s="1375" t="s">
        <v>137</v>
      </c>
      <c r="B507" s="1375" t="s">
        <v>304</v>
      </c>
      <c r="C507" s="1375" t="s">
        <v>1368</v>
      </c>
      <c r="D507" s="1375">
        <v>2025</v>
      </c>
      <c r="E507" s="1375" t="s">
        <v>22</v>
      </c>
      <c r="F507" s="1470">
        <v>1.57648089</v>
      </c>
    </row>
    <row r="508" spans="1:6">
      <c r="A508" s="1375" t="s">
        <v>137</v>
      </c>
      <c r="B508" s="1375" t="s">
        <v>304</v>
      </c>
      <c r="C508" s="1375" t="s">
        <v>1370</v>
      </c>
      <c r="D508" s="1375">
        <v>2022</v>
      </c>
      <c r="E508" s="1375" t="s">
        <v>1369</v>
      </c>
      <c r="F508" s="1470">
        <v>0.43079165000000003</v>
      </c>
    </row>
    <row r="509" spans="1:6">
      <c r="A509" s="1375" t="s">
        <v>137</v>
      </c>
      <c r="B509" s="1375" t="s">
        <v>304</v>
      </c>
      <c r="C509" s="1375" t="s">
        <v>1370</v>
      </c>
      <c r="D509" s="1375">
        <v>2023</v>
      </c>
      <c r="E509" s="1375" t="s">
        <v>1369</v>
      </c>
      <c r="F509" s="1470">
        <v>0.43292192000000002</v>
      </c>
    </row>
    <row r="510" spans="1:6">
      <c r="A510" s="1375" t="s">
        <v>137</v>
      </c>
      <c r="B510" s="1375" t="s">
        <v>304</v>
      </c>
      <c r="C510" s="1375" t="s">
        <v>1370</v>
      </c>
      <c r="D510" s="1375">
        <v>2024</v>
      </c>
      <c r="E510" s="1375" t="s">
        <v>1369</v>
      </c>
      <c r="F510" s="1470">
        <v>0.43505218000000001</v>
      </c>
    </row>
    <row r="511" spans="1:6">
      <c r="A511" s="1375" t="s">
        <v>137</v>
      </c>
      <c r="B511" s="1375" t="s">
        <v>304</v>
      </c>
      <c r="C511" s="1375" t="s">
        <v>1370</v>
      </c>
      <c r="D511" s="1375">
        <v>2025</v>
      </c>
      <c r="E511" s="1375" t="s">
        <v>1369</v>
      </c>
      <c r="F511" s="1470">
        <v>0.43718245</v>
      </c>
    </row>
    <row r="512" spans="1:6">
      <c r="A512" s="1375" t="s">
        <v>137</v>
      </c>
      <c r="B512" s="1375" t="s">
        <v>310</v>
      </c>
      <c r="C512" s="1375" t="s">
        <v>1511</v>
      </c>
      <c r="D512" s="1375">
        <v>2022</v>
      </c>
      <c r="E512" s="1375" t="s">
        <v>23</v>
      </c>
      <c r="F512" s="1470">
        <v>0.77643001</v>
      </c>
    </row>
    <row r="513" spans="1:6">
      <c r="A513" s="1375" t="s">
        <v>137</v>
      </c>
      <c r="B513" s="1375" t="s">
        <v>310</v>
      </c>
      <c r="C513" s="1375" t="s">
        <v>1511</v>
      </c>
      <c r="D513" s="1375">
        <v>2023</v>
      </c>
      <c r="E513" s="1375" t="s">
        <v>23</v>
      </c>
      <c r="F513" s="1470">
        <v>0.77670844000000006</v>
      </c>
    </row>
    <row r="514" spans="1:6">
      <c r="A514" s="1375" t="s">
        <v>137</v>
      </c>
      <c r="B514" s="1375" t="s">
        <v>310</v>
      </c>
      <c r="C514" s="1375" t="s">
        <v>1511</v>
      </c>
      <c r="D514" s="1375">
        <v>2024</v>
      </c>
      <c r="E514" s="1375" t="s">
        <v>23</v>
      </c>
      <c r="F514" s="1470">
        <v>0.77563837999999996</v>
      </c>
    </row>
    <row r="515" spans="1:6">
      <c r="A515" s="1375" t="s">
        <v>137</v>
      </c>
      <c r="B515" s="1375" t="s">
        <v>310</v>
      </c>
      <c r="C515" s="1375" t="s">
        <v>1511</v>
      </c>
      <c r="D515" s="1375">
        <v>2025</v>
      </c>
      <c r="E515" s="1375" t="s">
        <v>23</v>
      </c>
      <c r="F515" s="1470">
        <v>0.77530597000000001</v>
      </c>
    </row>
    <row r="516" spans="1:6">
      <c r="A516" s="1375" t="s">
        <v>137</v>
      </c>
      <c r="B516" s="1375" t="s">
        <v>310</v>
      </c>
      <c r="C516" s="1375" t="s">
        <v>1512</v>
      </c>
      <c r="D516" s="1375">
        <v>2022</v>
      </c>
      <c r="E516" s="1375" t="s">
        <v>1374</v>
      </c>
      <c r="F516" s="1470">
        <v>0.26325198999999999</v>
      </c>
    </row>
    <row r="517" spans="1:6">
      <c r="A517" s="1375" t="s">
        <v>137</v>
      </c>
      <c r="B517" s="1375" t="s">
        <v>310</v>
      </c>
      <c r="C517" s="1375" t="s">
        <v>1512</v>
      </c>
      <c r="D517" s="1375">
        <v>2023</v>
      </c>
      <c r="E517" s="1375" t="s">
        <v>1374</v>
      </c>
      <c r="F517" s="1470">
        <v>0.26277029000000002</v>
      </c>
    </row>
    <row r="518" spans="1:6">
      <c r="A518" s="1375" t="s">
        <v>137</v>
      </c>
      <c r="B518" s="1375" t="s">
        <v>310</v>
      </c>
      <c r="C518" s="1375" t="s">
        <v>1512</v>
      </c>
      <c r="D518" s="1375">
        <v>2024</v>
      </c>
      <c r="E518" s="1375" t="s">
        <v>1374</v>
      </c>
      <c r="F518" s="1470">
        <v>0.26462155999999998</v>
      </c>
    </row>
    <row r="519" spans="1:6">
      <c r="A519" s="1375" t="s">
        <v>137</v>
      </c>
      <c r="B519" s="1375" t="s">
        <v>310</v>
      </c>
      <c r="C519" s="1375" t="s">
        <v>1512</v>
      </c>
      <c r="D519" s="1375">
        <v>2025</v>
      </c>
      <c r="E519" s="1375" t="s">
        <v>1374</v>
      </c>
      <c r="F519" s="1470">
        <v>0.26519665999999997</v>
      </c>
    </row>
    <row r="520" spans="1:6">
      <c r="A520" s="1375" t="s">
        <v>137</v>
      </c>
      <c r="B520" s="1375" t="s">
        <v>310</v>
      </c>
      <c r="C520" s="1375" t="s">
        <v>1513</v>
      </c>
      <c r="D520" s="1375">
        <v>2022</v>
      </c>
      <c r="E520" s="1375" t="s">
        <v>1375</v>
      </c>
      <c r="F520" s="1470">
        <v>0.42931032000000002</v>
      </c>
    </row>
    <row r="521" spans="1:6">
      <c r="A521" s="1375" t="s">
        <v>137</v>
      </c>
      <c r="B521" s="1375" t="s">
        <v>310</v>
      </c>
      <c r="C521" s="1375" t="s">
        <v>1513</v>
      </c>
      <c r="D521" s="1375">
        <v>2023</v>
      </c>
      <c r="E521" s="1375" t="s">
        <v>1375</v>
      </c>
      <c r="F521" s="1470">
        <v>0.43101648999999997</v>
      </c>
    </row>
    <row r="522" spans="1:6">
      <c r="A522" s="1375" t="s">
        <v>137</v>
      </c>
      <c r="B522" s="1375" t="s">
        <v>310</v>
      </c>
      <c r="C522" s="1375" t="s">
        <v>1513</v>
      </c>
      <c r="D522" s="1375">
        <v>2024</v>
      </c>
      <c r="E522" s="1375" t="s">
        <v>1375</v>
      </c>
      <c r="F522" s="1470">
        <v>0.43272265999999998</v>
      </c>
    </row>
    <row r="523" spans="1:6">
      <c r="A523" s="1375" t="s">
        <v>137</v>
      </c>
      <c r="B523" s="1375" t="s">
        <v>310</v>
      </c>
      <c r="C523" s="1375" t="s">
        <v>1513</v>
      </c>
      <c r="D523" s="1375">
        <v>2025</v>
      </c>
      <c r="E523" s="1375" t="s">
        <v>1375</v>
      </c>
      <c r="F523" s="1470">
        <v>0.43442882999999999</v>
      </c>
    </row>
    <row r="524" spans="1:6">
      <c r="A524" s="1375" t="s">
        <v>137</v>
      </c>
      <c r="B524" s="1375" t="s">
        <v>328</v>
      </c>
      <c r="C524" s="1375" t="s">
        <v>882</v>
      </c>
      <c r="D524" s="1375">
        <v>2022</v>
      </c>
      <c r="E524" s="1375" t="s">
        <v>24</v>
      </c>
      <c r="F524" s="1470">
        <v>0.56968410999999997</v>
      </c>
    </row>
    <row r="525" spans="1:6">
      <c r="A525" s="1375" t="s">
        <v>137</v>
      </c>
      <c r="B525" s="1375" t="s">
        <v>328</v>
      </c>
      <c r="C525" s="1375" t="s">
        <v>882</v>
      </c>
      <c r="D525" s="1375">
        <v>2023</v>
      </c>
      <c r="E525" s="1375" t="s">
        <v>24</v>
      </c>
      <c r="F525" s="1470">
        <v>0.57092916000000005</v>
      </c>
    </row>
    <row r="526" spans="1:6">
      <c r="A526" s="1375" t="s">
        <v>137</v>
      </c>
      <c r="B526" s="1375" t="s">
        <v>328</v>
      </c>
      <c r="C526" s="1375" t="s">
        <v>882</v>
      </c>
      <c r="D526" s="1375">
        <v>2024</v>
      </c>
      <c r="E526" s="1375" t="s">
        <v>24</v>
      </c>
      <c r="F526" s="1470">
        <v>0.57074044000000002</v>
      </c>
    </row>
    <row r="527" spans="1:6">
      <c r="A527" s="1375" t="s">
        <v>137</v>
      </c>
      <c r="B527" s="1375" t="s">
        <v>328</v>
      </c>
      <c r="C527" s="1375" t="s">
        <v>882</v>
      </c>
      <c r="D527" s="1375">
        <v>2025</v>
      </c>
      <c r="E527" s="1375" t="s">
        <v>24</v>
      </c>
      <c r="F527" s="1470">
        <v>0.57087186999999995</v>
      </c>
    </row>
    <row r="528" spans="1:6">
      <c r="A528" s="1375" t="s">
        <v>137</v>
      </c>
      <c r="B528" s="1375" t="s">
        <v>328</v>
      </c>
      <c r="C528" s="1375" t="s">
        <v>1378</v>
      </c>
      <c r="D528" s="1375">
        <v>2022</v>
      </c>
      <c r="E528" s="1375" t="s">
        <v>1377</v>
      </c>
      <c r="F528" s="1470">
        <v>0.27665813</v>
      </c>
    </row>
    <row r="529" spans="1:6">
      <c r="A529" s="1375" t="s">
        <v>137</v>
      </c>
      <c r="B529" s="1375" t="s">
        <v>328</v>
      </c>
      <c r="C529" s="1375" t="s">
        <v>1378</v>
      </c>
      <c r="D529" s="1375">
        <v>2023</v>
      </c>
      <c r="E529" s="1375" t="s">
        <v>1377</v>
      </c>
      <c r="F529" s="1470">
        <v>0.27776269999999997</v>
      </c>
    </row>
    <row r="530" spans="1:6">
      <c r="A530" s="1375" t="s">
        <v>137</v>
      </c>
      <c r="B530" s="1375" t="s">
        <v>328</v>
      </c>
      <c r="C530" s="1375" t="s">
        <v>1378</v>
      </c>
      <c r="D530" s="1375">
        <v>2024</v>
      </c>
      <c r="E530" s="1375" t="s">
        <v>1377</v>
      </c>
      <c r="F530" s="1470">
        <v>0.27886727</v>
      </c>
    </row>
    <row r="531" spans="1:6">
      <c r="A531" s="1375" t="s">
        <v>137</v>
      </c>
      <c r="B531" s="1375" t="s">
        <v>328</v>
      </c>
      <c r="C531" s="1375" t="s">
        <v>1378</v>
      </c>
      <c r="D531" s="1375">
        <v>2025</v>
      </c>
      <c r="E531" s="1375" t="s">
        <v>1377</v>
      </c>
      <c r="F531" s="1470">
        <v>0.27997184000000003</v>
      </c>
    </row>
    <row r="532" spans="1:6">
      <c r="A532" s="1375" t="s">
        <v>137</v>
      </c>
      <c r="B532" s="1375" t="s">
        <v>328</v>
      </c>
      <c r="C532" s="1375" t="s">
        <v>1379</v>
      </c>
      <c r="D532" s="1375">
        <v>2022</v>
      </c>
      <c r="E532" s="1375" t="s">
        <v>883</v>
      </c>
      <c r="F532" s="1470">
        <v>0.53118361000000003</v>
      </c>
    </row>
    <row r="533" spans="1:6">
      <c r="A533" s="1375" t="s">
        <v>137</v>
      </c>
      <c r="B533" s="1375" t="s">
        <v>328</v>
      </c>
      <c r="C533" s="1375" t="s">
        <v>1379</v>
      </c>
      <c r="D533" s="1375">
        <v>2023</v>
      </c>
      <c r="E533" s="1375" t="s">
        <v>883</v>
      </c>
      <c r="F533" s="1470">
        <v>0.53330438000000002</v>
      </c>
    </row>
    <row r="534" spans="1:6">
      <c r="A534" s="1375" t="s">
        <v>137</v>
      </c>
      <c r="B534" s="1375" t="s">
        <v>328</v>
      </c>
      <c r="C534" s="1375" t="s">
        <v>1379</v>
      </c>
      <c r="D534" s="1375">
        <v>2024</v>
      </c>
      <c r="E534" s="1375" t="s">
        <v>883</v>
      </c>
      <c r="F534" s="1470">
        <v>0.53542515999999996</v>
      </c>
    </row>
    <row r="535" spans="1:6">
      <c r="A535" s="1375" t="s">
        <v>137</v>
      </c>
      <c r="B535" s="1375" t="s">
        <v>328</v>
      </c>
      <c r="C535" s="1375" t="s">
        <v>1379</v>
      </c>
      <c r="D535" s="1375">
        <v>2025</v>
      </c>
      <c r="E535" s="1375" t="s">
        <v>883</v>
      </c>
      <c r="F535" s="1470">
        <v>0.53754592999999995</v>
      </c>
    </row>
    <row r="536" spans="1:6">
      <c r="A536" s="1375" t="s">
        <v>137</v>
      </c>
      <c r="B536" s="1375" t="s">
        <v>328</v>
      </c>
      <c r="C536" s="1375" t="s">
        <v>1380</v>
      </c>
      <c r="D536" s="1375">
        <v>2022</v>
      </c>
      <c r="E536" s="1375" t="s">
        <v>884</v>
      </c>
      <c r="F536" s="1470">
        <v>0.48868892000000003</v>
      </c>
    </row>
    <row r="537" spans="1:6">
      <c r="A537" s="1375" t="s">
        <v>137</v>
      </c>
      <c r="B537" s="1375" t="s">
        <v>328</v>
      </c>
      <c r="C537" s="1375" t="s">
        <v>1380</v>
      </c>
      <c r="D537" s="1375">
        <v>2023</v>
      </c>
      <c r="E537" s="1375" t="s">
        <v>884</v>
      </c>
      <c r="F537" s="1470">
        <v>0.49064003</v>
      </c>
    </row>
    <row r="538" spans="1:6">
      <c r="A538" s="1375" t="s">
        <v>137</v>
      </c>
      <c r="B538" s="1375" t="s">
        <v>328</v>
      </c>
      <c r="C538" s="1375" t="s">
        <v>1380</v>
      </c>
      <c r="D538" s="1375">
        <v>2024</v>
      </c>
      <c r="E538" s="1375" t="s">
        <v>884</v>
      </c>
      <c r="F538" s="1470">
        <v>0.49259113999999998</v>
      </c>
    </row>
    <row r="539" spans="1:6">
      <c r="A539" s="1375" t="s">
        <v>137</v>
      </c>
      <c r="B539" s="1375" t="s">
        <v>328</v>
      </c>
      <c r="C539" s="1375" t="s">
        <v>1380</v>
      </c>
      <c r="D539" s="1375">
        <v>2025</v>
      </c>
      <c r="E539" s="1375" t="s">
        <v>884</v>
      </c>
      <c r="F539" s="1470">
        <v>0.49454226000000001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539"/>
  <sheetViews>
    <sheetView workbookViewId="0">
      <selection sqref="A1:H539"/>
    </sheetView>
  </sheetViews>
  <sheetFormatPr defaultRowHeight="15"/>
  <cols>
    <col min="1" max="1" width="21.140625" bestFit="1" customWidth="1"/>
    <col min="2" max="2" width="28" bestFit="1" customWidth="1"/>
    <col min="3" max="3" width="54.140625" customWidth="1"/>
    <col min="4" max="4" width="25.28515625" customWidth="1"/>
    <col min="5" max="5" width="18.7109375" bestFit="1" customWidth="1"/>
    <col min="6" max="6" width="23.85546875" bestFit="1" customWidth="1"/>
    <col min="7" max="7" width="23.28515625" bestFit="1" customWidth="1"/>
    <col min="8" max="8" width="16" bestFit="1" customWidth="1"/>
  </cols>
  <sheetData>
    <row r="1" spans="1:8">
      <c r="A1" s="65" t="s">
        <v>1750</v>
      </c>
      <c r="B1" s="1375" t="s">
        <v>134</v>
      </c>
    </row>
    <row r="3" spans="1:8">
      <c r="A3" s="65" t="s">
        <v>1756</v>
      </c>
      <c r="F3" s="65" t="s">
        <v>1751</v>
      </c>
    </row>
    <row r="4" spans="1:8">
      <c r="A4" s="65" t="s">
        <v>8</v>
      </c>
      <c r="B4" s="65" t="s">
        <v>4</v>
      </c>
      <c r="C4" s="65" t="s">
        <v>5</v>
      </c>
      <c r="D4" s="65" t="s">
        <v>6</v>
      </c>
      <c r="E4" s="65" t="s">
        <v>0</v>
      </c>
      <c r="F4" s="1375" t="s">
        <v>1753</v>
      </c>
      <c r="G4" s="1375" t="s">
        <v>1752</v>
      </c>
      <c r="H4" s="1375" t="s">
        <v>1759</v>
      </c>
    </row>
    <row r="5" spans="1:8">
      <c r="A5" s="1375">
        <v>2022</v>
      </c>
      <c r="B5" s="1375" t="s">
        <v>150</v>
      </c>
      <c r="C5" s="1375" t="s">
        <v>288</v>
      </c>
      <c r="D5" s="1375" t="s">
        <v>157</v>
      </c>
      <c r="E5" s="1375" t="s">
        <v>52</v>
      </c>
      <c r="F5" s="1470">
        <v>2452.7910000000002</v>
      </c>
      <c r="G5" s="1470">
        <v>1113.8720623700001</v>
      </c>
      <c r="H5" s="1470">
        <v>0</v>
      </c>
    </row>
    <row r="6" spans="1:8">
      <c r="A6" s="1375">
        <v>2022</v>
      </c>
      <c r="B6" s="1375" t="s">
        <v>150</v>
      </c>
      <c r="C6" s="1375" t="s">
        <v>289</v>
      </c>
      <c r="D6" s="1375" t="s">
        <v>157</v>
      </c>
      <c r="E6" s="1375" t="s">
        <v>53</v>
      </c>
      <c r="F6" s="1470">
        <v>2650.9906354999998</v>
      </c>
      <c r="G6" s="1470">
        <v>1203.87933847</v>
      </c>
      <c r="H6" s="1470">
        <v>0</v>
      </c>
    </row>
    <row r="7" spans="1:8">
      <c r="A7" s="1375">
        <v>2022</v>
      </c>
      <c r="B7" s="1375" t="s">
        <v>150</v>
      </c>
      <c r="C7" s="1375" t="s">
        <v>290</v>
      </c>
      <c r="D7" s="1375" t="s">
        <v>157</v>
      </c>
      <c r="E7" s="1375" t="s">
        <v>51</v>
      </c>
      <c r="F7" s="1470">
        <v>18375.02623639</v>
      </c>
      <c r="G7" s="1470">
        <v>8344.5464248900007</v>
      </c>
      <c r="H7" s="1470">
        <v>0</v>
      </c>
    </row>
    <row r="8" spans="1:8">
      <c r="A8" s="1375">
        <v>2022</v>
      </c>
      <c r="B8" s="1375" t="s">
        <v>154</v>
      </c>
      <c r="C8" s="1375" t="s">
        <v>279</v>
      </c>
      <c r="D8" s="1375" t="s">
        <v>1542</v>
      </c>
      <c r="E8" s="1375" t="s">
        <v>392</v>
      </c>
      <c r="F8" s="1470">
        <v>33692.596311070003</v>
      </c>
      <c r="G8" s="1470"/>
      <c r="H8" s="1470"/>
    </row>
    <row r="9" spans="1:8">
      <c r="A9" s="1375">
        <v>2022</v>
      </c>
      <c r="B9" s="1375" t="s">
        <v>154</v>
      </c>
      <c r="C9" s="1375" t="s">
        <v>279</v>
      </c>
      <c r="D9" s="1375" t="s">
        <v>1007</v>
      </c>
      <c r="E9" s="1375" t="s">
        <v>1749</v>
      </c>
      <c r="F9" s="1470">
        <v>195428.08806186001</v>
      </c>
      <c r="G9" s="1470"/>
      <c r="H9" s="1470"/>
    </row>
    <row r="10" spans="1:8">
      <c r="A10" s="1375">
        <v>2022</v>
      </c>
      <c r="B10" s="1375" t="s">
        <v>154</v>
      </c>
      <c r="C10" s="1375" t="s">
        <v>284</v>
      </c>
      <c r="D10" s="1375" t="s">
        <v>1007</v>
      </c>
      <c r="E10" s="1375" t="s">
        <v>1913</v>
      </c>
      <c r="F10" s="1470">
        <v>181804.80848440999</v>
      </c>
      <c r="G10" s="1470">
        <v>0</v>
      </c>
      <c r="H10" s="1470"/>
    </row>
    <row r="11" spans="1:8">
      <c r="A11" s="1375">
        <v>2022</v>
      </c>
      <c r="B11" s="1375" t="s">
        <v>154</v>
      </c>
      <c r="C11" s="1375" t="s">
        <v>284</v>
      </c>
      <c r="D11" s="1375" t="s">
        <v>1392</v>
      </c>
      <c r="E11" s="1375" t="s">
        <v>268</v>
      </c>
      <c r="F11" s="1470">
        <v>82097.419863000003</v>
      </c>
      <c r="G11" s="1470">
        <v>0</v>
      </c>
      <c r="H11" s="1470"/>
    </row>
    <row r="12" spans="1:8">
      <c r="A12" s="1375">
        <v>2022</v>
      </c>
      <c r="B12" s="1375" t="s">
        <v>154</v>
      </c>
      <c r="C12" s="1375" t="s">
        <v>284</v>
      </c>
      <c r="D12" s="1375" t="s">
        <v>1393</v>
      </c>
      <c r="E12" s="1375" t="s">
        <v>270</v>
      </c>
      <c r="F12" s="1470">
        <v>0</v>
      </c>
      <c r="G12" s="1470"/>
      <c r="H12" s="1470"/>
    </row>
    <row r="13" spans="1:8">
      <c r="A13" s="1375">
        <v>2022</v>
      </c>
      <c r="B13" s="1375" t="s">
        <v>154</v>
      </c>
      <c r="C13" s="1375" t="s">
        <v>284</v>
      </c>
      <c r="D13" s="1375" t="s">
        <v>947</v>
      </c>
      <c r="E13" s="1375" t="s">
        <v>269</v>
      </c>
      <c r="F13" s="1470">
        <v>40132.596937629998</v>
      </c>
      <c r="G13" s="1470">
        <v>0</v>
      </c>
      <c r="H13" s="1470"/>
    </row>
    <row r="14" spans="1:8">
      <c r="A14" s="1375">
        <v>2022</v>
      </c>
      <c r="B14" s="1375" t="s">
        <v>154</v>
      </c>
      <c r="C14" s="1375" t="s">
        <v>156</v>
      </c>
      <c r="D14" s="1375" t="s">
        <v>1007</v>
      </c>
      <c r="E14" s="1375" t="s">
        <v>135</v>
      </c>
      <c r="F14" s="1470">
        <v>8628.7433806400004</v>
      </c>
      <c r="G14" s="1470">
        <v>0</v>
      </c>
      <c r="H14" s="1470"/>
    </row>
    <row r="15" spans="1:8">
      <c r="A15" s="1375">
        <v>2022</v>
      </c>
      <c r="B15" s="1375" t="s">
        <v>154</v>
      </c>
      <c r="C15" s="1375" t="s">
        <v>156</v>
      </c>
      <c r="D15" s="1375" t="s">
        <v>947</v>
      </c>
      <c r="E15" s="1375" t="s">
        <v>97</v>
      </c>
      <c r="F15" s="1470">
        <v>11273.822707859999</v>
      </c>
      <c r="G15" s="1470"/>
      <c r="H15" s="1470"/>
    </row>
    <row r="16" spans="1:8">
      <c r="A16" s="1375">
        <v>2022</v>
      </c>
      <c r="B16" s="1375" t="s">
        <v>154</v>
      </c>
      <c r="C16" s="1375" t="s">
        <v>156</v>
      </c>
      <c r="D16" s="1375" t="s">
        <v>1565</v>
      </c>
      <c r="E16" s="1375" t="s">
        <v>98</v>
      </c>
      <c r="F16" s="1470">
        <v>155202.60862645999</v>
      </c>
      <c r="G16" s="1470">
        <v>0</v>
      </c>
      <c r="H16" s="1470"/>
    </row>
    <row r="17" spans="1:8">
      <c r="A17" s="1375">
        <v>2022</v>
      </c>
      <c r="B17" s="1375" t="s">
        <v>154</v>
      </c>
      <c r="C17" s="1375" t="s">
        <v>156</v>
      </c>
      <c r="D17" s="1375" t="s">
        <v>1566</v>
      </c>
      <c r="E17" s="1375" t="s">
        <v>99</v>
      </c>
      <c r="F17" s="1470">
        <v>0</v>
      </c>
      <c r="G17" s="1470">
        <v>0</v>
      </c>
      <c r="H17" s="1470"/>
    </row>
    <row r="18" spans="1:8">
      <c r="A18" s="1375">
        <v>2022</v>
      </c>
      <c r="B18" s="1375" t="s">
        <v>154</v>
      </c>
      <c r="C18" s="1375" t="s">
        <v>315</v>
      </c>
      <c r="D18" s="1375" t="s">
        <v>1007</v>
      </c>
      <c r="E18" s="1375" t="s">
        <v>2322</v>
      </c>
      <c r="F18" s="1470">
        <v>9561.0665559400004</v>
      </c>
      <c r="G18" s="1470">
        <v>0</v>
      </c>
      <c r="H18" s="1470"/>
    </row>
    <row r="19" spans="1:8">
      <c r="A19" s="1375">
        <v>2022</v>
      </c>
      <c r="B19" s="1375" t="s">
        <v>154</v>
      </c>
      <c r="C19" s="1375" t="s">
        <v>315</v>
      </c>
      <c r="D19" s="1375" t="s">
        <v>1262</v>
      </c>
      <c r="E19" s="1375" t="s">
        <v>447</v>
      </c>
      <c r="F19" s="1470">
        <v>194156.52925165</v>
      </c>
      <c r="G19" s="1470">
        <v>0</v>
      </c>
      <c r="H19" s="1470"/>
    </row>
    <row r="20" spans="1:8">
      <c r="A20" s="1375">
        <v>2022</v>
      </c>
      <c r="B20" s="1375" t="s">
        <v>154</v>
      </c>
      <c r="C20" s="1375" t="s">
        <v>315</v>
      </c>
      <c r="D20" s="1375" t="s">
        <v>163</v>
      </c>
      <c r="E20" s="1375" t="s">
        <v>448</v>
      </c>
      <c r="F20" s="1470">
        <v>17714.57354849</v>
      </c>
      <c r="G20" s="1470">
        <v>0</v>
      </c>
      <c r="H20" s="1470"/>
    </row>
    <row r="21" spans="1:8">
      <c r="A21" s="1375">
        <v>2022</v>
      </c>
      <c r="B21" s="1375" t="s">
        <v>154</v>
      </c>
      <c r="C21" s="1375" t="s">
        <v>317</v>
      </c>
      <c r="D21" s="1375" t="s">
        <v>1007</v>
      </c>
      <c r="E21" s="1375" t="s">
        <v>2324</v>
      </c>
      <c r="F21" s="1470">
        <v>79241.23883848</v>
      </c>
      <c r="G21" s="1470">
        <v>0</v>
      </c>
      <c r="H21" s="1470"/>
    </row>
    <row r="22" spans="1:8">
      <c r="A22" s="1375">
        <v>2022</v>
      </c>
      <c r="B22" s="1375" t="s">
        <v>154</v>
      </c>
      <c r="C22" s="1375" t="s">
        <v>317</v>
      </c>
      <c r="D22" s="1375" t="s">
        <v>1262</v>
      </c>
      <c r="E22" s="1375" t="s">
        <v>449</v>
      </c>
      <c r="F22" s="1470">
        <v>6109.4500560200004</v>
      </c>
      <c r="G22" s="1470">
        <v>0</v>
      </c>
      <c r="H22" s="1470"/>
    </row>
    <row r="23" spans="1:8">
      <c r="A23" s="1375">
        <v>2022</v>
      </c>
      <c r="B23" s="1375" t="s">
        <v>154</v>
      </c>
      <c r="C23" s="1375" t="s">
        <v>317</v>
      </c>
      <c r="D23" s="1375" t="s">
        <v>163</v>
      </c>
      <c r="E23" s="1375" t="s">
        <v>450</v>
      </c>
      <c r="F23" s="1470">
        <v>4.9999999999999998E-8</v>
      </c>
      <c r="G23" s="1470">
        <v>0</v>
      </c>
      <c r="H23" s="1470"/>
    </row>
    <row r="24" spans="1:8">
      <c r="A24" s="1375">
        <v>2022</v>
      </c>
      <c r="B24" s="1375" t="s">
        <v>154</v>
      </c>
      <c r="C24" s="1375" t="s">
        <v>512</v>
      </c>
      <c r="D24" s="1375" t="s">
        <v>1007</v>
      </c>
      <c r="E24" s="1375" t="s">
        <v>2343</v>
      </c>
      <c r="F24" s="1470">
        <v>2071.6560000200002</v>
      </c>
      <c r="G24" s="1470"/>
      <c r="H24" s="1470"/>
    </row>
    <row r="25" spans="1:8">
      <c r="A25" s="1375">
        <v>2022</v>
      </c>
      <c r="B25" s="1375" t="s">
        <v>154</v>
      </c>
      <c r="C25" s="1375" t="s">
        <v>512</v>
      </c>
      <c r="D25" s="1375" t="s">
        <v>163</v>
      </c>
      <c r="E25" s="1375" t="s">
        <v>1394</v>
      </c>
      <c r="F25" s="1470">
        <v>8630.8546559900005</v>
      </c>
      <c r="G25" s="1470"/>
      <c r="H25" s="1470"/>
    </row>
    <row r="26" spans="1:8">
      <c r="A26" s="1375">
        <v>2022</v>
      </c>
      <c r="B26" s="1375" t="s">
        <v>154</v>
      </c>
      <c r="C26" s="1375" t="s">
        <v>512</v>
      </c>
      <c r="D26" s="1375" t="s">
        <v>948</v>
      </c>
      <c r="E26" s="1375" t="s">
        <v>120</v>
      </c>
      <c r="F26" s="1470">
        <v>30730.60934399</v>
      </c>
      <c r="G26" s="1470"/>
      <c r="H26" s="1470"/>
    </row>
    <row r="27" spans="1:8">
      <c r="A27" s="1375">
        <v>2022</v>
      </c>
      <c r="B27" s="1375" t="s">
        <v>154</v>
      </c>
      <c r="C27" s="1375" t="s">
        <v>316</v>
      </c>
      <c r="D27" s="1375" t="s">
        <v>1007</v>
      </c>
      <c r="E27" s="1375" t="s">
        <v>2347</v>
      </c>
      <c r="F27" s="1470">
        <v>107161.78537182001</v>
      </c>
      <c r="G27" s="1470">
        <v>0</v>
      </c>
      <c r="H27" s="1470"/>
    </row>
    <row r="28" spans="1:8">
      <c r="A28" s="1375">
        <v>2022</v>
      </c>
      <c r="B28" s="1375" t="s">
        <v>154</v>
      </c>
      <c r="C28" s="1375" t="s">
        <v>316</v>
      </c>
      <c r="D28" s="1375" t="s">
        <v>1262</v>
      </c>
      <c r="E28" s="1375" t="s">
        <v>95</v>
      </c>
      <c r="F28" s="1470">
        <v>4.0000000000000001E-8</v>
      </c>
      <c r="G28" s="1470">
        <v>0</v>
      </c>
      <c r="H28" s="1470"/>
    </row>
    <row r="29" spans="1:8">
      <c r="A29" s="1375">
        <v>2022</v>
      </c>
      <c r="B29" s="1375" t="s">
        <v>154</v>
      </c>
      <c r="C29" s="1375" t="s">
        <v>316</v>
      </c>
      <c r="D29" s="1375" t="s">
        <v>163</v>
      </c>
      <c r="E29" s="1375" t="s">
        <v>96</v>
      </c>
      <c r="F29" s="1470">
        <v>85034.356377570002</v>
      </c>
      <c r="G29" s="1470">
        <v>0</v>
      </c>
      <c r="H29" s="1470"/>
    </row>
    <row r="30" spans="1:8">
      <c r="A30" s="1375">
        <v>2022</v>
      </c>
      <c r="B30" s="1375" t="s">
        <v>154</v>
      </c>
      <c r="C30" s="1375" t="s">
        <v>945</v>
      </c>
      <c r="D30" s="1375" t="s">
        <v>1007</v>
      </c>
      <c r="E30" s="1375" t="s">
        <v>115</v>
      </c>
      <c r="F30" s="1470">
        <v>58228.421123469998</v>
      </c>
      <c r="G30" s="1470"/>
      <c r="H30" s="1470"/>
    </row>
    <row r="31" spans="1:8">
      <c r="A31" s="1375">
        <v>2022</v>
      </c>
      <c r="B31" s="1375" t="s">
        <v>154</v>
      </c>
      <c r="C31" s="1375" t="s">
        <v>945</v>
      </c>
      <c r="D31" s="1375" t="s">
        <v>1262</v>
      </c>
      <c r="E31" s="1375" t="s">
        <v>114</v>
      </c>
      <c r="F31" s="1470">
        <v>3886.4699854099999</v>
      </c>
      <c r="G31" s="1470">
        <v>0</v>
      </c>
      <c r="H31" s="1470"/>
    </row>
    <row r="32" spans="1:8">
      <c r="A32" s="1375">
        <v>2022</v>
      </c>
      <c r="B32" s="1375" t="s">
        <v>154</v>
      </c>
      <c r="C32" s="1375" t="s">
        <v>945</v>
      </c>
      <c r="D32" s="1375" t="s">
        <v>1130</v>
      </c>
      <c r="E32" s="1375" t="s">
        <v>400</v>
      </c>
      <c r="F32" s="1470">
        <v>43.871596879999998</v>
      </c>
      <c r="G32" s="1470">
        <v>0</v>
      </c>
      <c r="H32" s="1470"/>
    </row>
    <row r="33" spans="1:8">
      <c r="A33" s="1375">
        <v>2022</v>
      </c>
      <c r="B33" s="1375" t="s">
        <v>154</v>
      </c>
      <c r="C33" s="1375" t="s">
        <v>952</v>
      </c>
      <c r="D33" s="1375" t="s">
        <v>1007</v>
      </c>
      <c r="E33" s="1375" t="s">
        <v>2346</v>
      </c>
      <c r="F33" s="1470">
        <v>25908.346439590001</v>
      </c>
      <c r="G33" s="1470"/>
      <c r="H33" s="1470"/>
    </row>
    <row r="34" spans="1:8">
      <c r="A34" s="1375">
        <v>2022</v>
      </c>
      <c r="B34" s="1375" t="s">
        <v>154</v>
      </c>
      <c r="C34" s="1375" t="s">
        <v>952</v>
      </c>
      <c r="D34" s="1375" t="s">
        <v>1262</v>
      </c>
      <c r="E34" s="1375" t="s">
        <v>116</v>
      </c>
      <c r="F34" s="1470">
        <v>12360.58163721</v>
      </c>
      <c r="G34" s="1470">
        <v>0</v>
      </c>
      <c r="H34" s="1470"/>
    </row>
    <row r="35" spans="1:8">
      <c r="A35" s="1375">
        <v>2022</v>
      </c>
      <c r="B35" s="1375" t="s">
        <v>154</v>
      </c>
      <c r="C35" s="1375" t="s">
        <v>952</v>
      </c>
      <c r="D35" s="1375" t="s">
        <v>1130</v>
      </c>
      <c r="E35" s="1375" t="s">
        <v>1543</v>
      </c>
      <c r="F35" s="1470">
        <v>1625.9321781399999</v>
      </c>
      <c r="G35" s="1470">
        <v>0</v>
      </c>
      <c r="H35" s="1470"/>
    </row>
    <row r="36" spans="1:8">
      <c r="A36" s="1375">
        <v>2022</v>
      </c>
      <c r="B36" s="1375" t="s">
        <v>154</v>
      </c>
      <c r="C36" s="1375" t="s">
        <v>952</v>
      </c>
      <c r="D36" s="1375" t="s">
        <v>332</v>
      </c>
      <c r="E36" s="1375" t="s">
        <v>454</v>
      </c>
      <c r="F36" s="1470">
        <v>0</v>
      </c>
      <c r="G36" s="1470"/>
      <c r="H36" s="1470"/>
    </row>
    <row r="37" spans="1:8">
      <c r="A37" s="1375">
        <v>2022</v>
      </c>
      <c r="B37" s="1375" t="s">
        <v>154</v>
      </c>
      <c r="C37" s="1375" t="s">
        <v>953</v>
      </c>
      <c r="D37" s="1375" t="s">
        <v>1007</v>
      </c>
      <c r="E37" s="1375" t="s">
        <v>106</v>
      </c>
      <c r="F37" s="1470">
        <v>16035.337229000001</v>
      </c>
      <c r="G37" s="1470"/>
      <c r="H37" s="1470"/>
    </row>
    <row r="38" spans="1:8">
      <c r="A38" s="1375">
        <v>2022</v>
      </c>
      <c r="B38" s="1375" t="s">
        <v>154</v>
      </c>
      <c r="C38" s="1375" t="s">
        <v>953</v>
      </c>
      <c r="D38" s="1375" t="s">
        <v>1262</v>
      </c>
      <c r="E38" s="1375" t="s">
        <v>107</v>
      </c>
      <c r="F38" s="1470">
        <v>1908.1900012399999</v>
      </c>
      <c r="G38" s="1470">
        <v>0</v>
      </c>
      <c r="H38" s="1470"/>
    </row>
    <row r="39" spans="1:8">
      <c r="A39" s="1375">
        <v>2022</v>
      </c>
      <c r="B39" s="1375" t="s">
        <v>154</v>
      </c>
      <c r="C39" s="1375" t="s">
        <v>953</v>
      </c>
      <c r="D39" s="1375" t="s">
        <v>1130</v>
      </c>
      <c r="E39" s="1375" t="s">
        <v>108</v>
      </c>
      <c r="F39" s="1470">
        <v>2.8439357699999999</v>
      </c>
      <c r="G39" s="1470">
        <v>0</v>
      </c>
      <c r="H39" s="1470"/>
    </row>
    <row r="40" spans="1:8">
      <c r="A40" s="1375">
        <v>2022</v>
      </c>
      <c r="B40" s="1375" t="s">
        <v>154</v>
      </c>
      <c r="C40" s="1375" t="s">
        <v>1535</v>
      </c>
      <c r="D40" s="1375" t="s">
        <v>1007</v>
      </c>
      <c r="E40" s="1375" t="s">
        <v>2326</v>
      </c>
      <c r="F40" s="1470">
        <v>189925.97731953999</v>
      </c>
      <c r="G40" s="1470">
        <v>0</v>
      </c>
      <c r="H40" s="1470">
        <v>0</v>
      </c>
    </row>
    <row r="41" spans="1:8">
      <c r="A41" s="1375">
        <v>2022</v>
      </c>
      <c r="B41" s="1375" t="s">
        <v>154</v>
      </c>
      <c r="C41" s="1375" t="s">
        <v>1535</v>
      </c>
      <c r="D41" s="1375" t="s">
        <v>1536</v>
      </c>
      <c r="E41" s="1375" t="s">
        <v>1534</v>
      </c>
      <c r="F41" s="1470">
        <v>164473.17791368</v>
      </c>
      <c r="G41" s="1470">
        <v>23162.707369939999</v>
      </c>
      <c r="H41" s="1470">
        <v>0</v>
      </c>
    </row>
    <row r="42" spans="1:8">
      <c r="A42" s="1375">
        <v>2022</v>
      </c>
      <c r="B42" s="1375" t="s">
        <v>154</v>
      </c>
      <c r="C42" s="1375" t="s">
        <v>1535</v>
      </c>
      <c r="D42" s="1375" t="s">
        <v>1386</v>
      </c>
      <c r="E42" s="1375" t="s">
        <v>1537</v>
      </c>
      <c r="F42" s="1470">
        <v>2793.2035820900001</v>
      </c>
      <c r="G42" s="1470">
        <v>1775.63612203</v>
      </c>
      <c r="H42" s="1470">
        <v>0</v>
      </c>
    </row>
    <row r="43" spans="1:8">
      <c r="A43" s="1375">
        <v>2022</v>
      </c>
      <c r="B43" s="1375" t="s">
        <v>154</v>
      </c>
      <c r="C43" s="1375" t="s">
        <v>1535</v>
      </c>
      <c r="D43" s="1375" t="s">
        <v>1387</v>
      </c>
      <c r="E43" s="1375" t="s">
        <v>1538</v>
      </c>
      <c r="F43" s="1470">
        <v>0</v>
      </c>
      <c r="G43" s="1470">
        <v>0</v>
      </c>
      <c r="H43" s="1470">
        <v>0</v>
      </c>
    </row>
    <row r="44" spans="1:8">
      <c r="A44" s="1375">
        <v>2022</v>
      </c>
      <c r="B44" s="1375" t="s">
        <v>154</v>
      </c>
      <c r="C44" s="1375" t="s">
        <v>1535</v>
      </c>
      <c r="D44" s="1375" t="s">
        <v>1388</v>
      </c>
      <c r="E44" s="1375" t="s">
        <v>1539</v>
      </c>
      <c r="F44" s="1470">
        <v>0</v>
      </c>
      <c r="G44" s="1470">
        <v>0</v>
      </c>
      <c r="H44" s="1470">
        <v>0</v>
      </c>
    </row>
    <row r="45" spans="1:8">
      <c r="A45" s="1375">
        <v>2022</v>
      </c>
      <c r="B45" s="1375" t="s">
        <v>154</v>
      </c>
      <c r="C45" s="1375" t="s">
        <v>1535</v>
      </c>
      <c r="D45" s="1375" t="s">
        <v>1389</v>
      </c>
      <c r="E45" s="1375" t="s">
        <v>1540</v>
      </c>
      <c r="F45" s="1470">
        <v>0</v>
      </c>
      <c r="G45" s="1470">
        <v>0</v>
      </c>
      <c r="H45" s="1470">
        <v>0</v>
      </c>
    </row>
    <row r="46" spans="1:8">
      <c r="A46" s="1375">
        <v>2022</v>
      </c>
      <c r="B46" s="1375" t="s">
        <v>154</v>
      </c>
      <c r="C46" s="1375" t="s">
        <v>1535</v>
      </c>
      <c r="D46" s="1375" t="s">
        <v>1390</v>
      </c>
      <c r="E46" s="1375" t="s">
        <v>1541</v>
      </c>
      <c r="F46" s="1470">
        <v>1516.1373239500001</v>
      </c>
      <c r="G46" s="1470">
        <v>379.03433099</v>
      </c>
      <c r="H46" s="1470">
        <v>0</v>
      </c>
    </row>
    <row r="47" spans="1:8">
      <c r="A47" s="1375">
        <v>2022</v>
      </c>
      <c r="B47" s="1375" t="s">
        <v>154</v>
      </c>
      <c r="C47" s="1375" t="s">
        <v>3058</v>
      </c>
      <c r="D47" s="1375" t="s">
        <v>3059</v>
      </c>
      <c r="E47" s="1375" t="s">
        <v>86</v>
      </c>
      <c r="F47" s="1470">
        <v>519796.02342956001</v>
      </c>
      <c r="G47" s="1470"/>
      <c r="H47" s="1470">
        <v>518701.51353768999</v>
      </c>
    </row>
    <row r="48" spans="1:8">
      <c r="A48" s="1375">
        <v>2022</v>
      </c>
      <c r="B48" s="1375" t="s">
        <v>154</v>
      </c>
      <c r="C48" s="1375" t="s">
        <v>3071</v>
      </c>
      <c r="D48" s="1375" t="s">
        <v>3059</v>
      </c>
      <c r="E48" s="1375" t="s">
        <v>3070</v>
      </c>
      <c r="F48" s="1470">
        <v>519796.02342956001</v>
      </c>
      <c r="G48" s="1470"/>
      <c r="H48" s="1470">
        <v>518701.51353768999</v>
      </c>
    </row>
    <row r="49" spans="1:8">
      <c r="A49" s="1375">
        <v>2022</v>
      </c>
      <c r="B49" s="1375" t="s">
        <v>1758</v>
      </c>
      <c r="C49" s="1375" t="s">
        <v>1575</v>
      </c>
      <c r="D49" s="1375" t="s">
        <v>334</v>
      </c>
      <c r="E49" s="1375" t="s">
        <v>1559</v>
      </c>
      <c r="F49" s="1470">
        <v>1280.5448203200001</v>
      </c>
      <c r="G49" s="1470">
        <v>0</v>
      </c>
      <c r="H49" s="1470">
        <v>0</v>
      </c>
    </row>
    <row r="50" spans="1:8">
      <c r="A50" s="1375">
        <v>2022</v>
      </c>
      <c r="B50" s="1375" t="s">
        <v>1758</v>
      </c>
      <c r="C50" s="1375" t="s">
        <v>1570</v>
      </c>
      <c r="D50" s="1375" t="s">
        <v>157</v>
      </c>
      <c r="E50" s="1375" t="s">
        <v>1556</v>
      </c>
      <c r="F50" s="1470">
        <v>20.625</v>
      </c>
      <c r="G50" s="1470">
        <v>0</v>
      </c>
      <c r="H50" s="1470">
        <v>0</v>
      </c>
    </row>
    <row r="51" spans="1:8">
      <c r="A51" s="1375">
        <v>2022</v>
      </c>
      <c r="B51" s="1375" t="s">
        <v>1758</v>
      </c>
      <c r="C51" s="1375" t="s">
        <v>1570</v>
      </c>
      <c r="D51" s="1375" t="s">
        <v>158</v>
      </c>
      <c r="E51" s="1375" t="s">
        <v>1557</v>
      </c>
      <c r="F51" s="1470">
        <v>0</v>
      </c>
      <c r="G51" s="1470">
        <v>0</v>
      </c>
      <c r="H51" s="1470">
        <v>0</v>
      </c>
    </row>
    <row r="52" spans="1:8">
      <c r="A52" s="1375">
        <v>2022</v>
      </c>
      <c r="B52" s="1375" t="s">
        <v>1758</v>
      </c>
      <c r="C52" s="1375" t="s">
        <v>1570</v>
      </c>
      <c r="D52" s="1375" t="s">
        <v>818</v>
      </c>
      <c r="E52" s="1375" t="s">
        <v>1558</v>
      </c>
      <c r="F52" s="1470">
        <v>16.5</v>
      </c>
      <c r="G52" s="1470">
        <v>0</v>
      </c>
      <c r="H52" s="1470">
        <v>0</v>
      </c>
    </row>
    <row r="53" spans="1:8">
      <c r="A53" s="1375">
        <v>2022</v>
      </c>
      <c r="B53" s="1375" t="s">
        <v>1758</v>
      </c>
      <c r="C53" s="1375" t="s">
        <v>1568</v>
      </c>
      <c r="D53" s="1375" t="s">
        <v>157</v>
      </c>
      <c r="E53" s="1375" t="s">
        <v>1551</v>
      </c>
      <c r="F53" s="1470">
        <v>13.2</v>
      </c>
      <c r="G53" s="1470">
        <v>0</v>
      </c>
      <c r="H53" s="1470">
        <v>0</v>
      </c>
    </row>
    <row r="54" spans="1:8">
      <c r="A54" s="1375">
        <v>2022</v>
      </c>
      <c r="B54" s="1375" t="s">
        <v>1758</v>
      </c>
      <c r="C54" s="1375" t="s">
        <v>1568</v>
      </c>
      <c r="D54" s="1375" t="s">
        <v>158</v>
      </c>
      <c r="E54" s="1375" t="s">
        <v>1552</v>
      </c>
      <c r="F54" s="1470">
        <v>180.125</v>
      </c>
      <c r="G54" s="1470">
        <v>0</v>
      </c>
      <c r="H54" s="1470">
        <v>0</v>
      </c>
    </row>
    <row r="55" spans="1:8">
      <c r="A55" s="1375">
        <v>2022</v>
      </c>
      <c r="B55" s="1375" t="s">
        <v>1758</v>
      </c>
      <c r="C55" s="1375" t="s">
        <v>1743</v>
      </c>
      <c r="D55" s="1375" t="s">
        <v>157</v>
      </c>
      <c r="E55" s="1375" t="s">
        <v>1560</v>
      </c>
      <c r="F55" s="1470">
        <v>243.22911033</v>
      </c>
      <c r="G55" s="1470">
        <v>0</v>
      </c>
      <c r="H55" s="1470">
        <v>0</v>
      </c>
    </row>
    <row r="56" spans="1:8">
      <c r="A56" s="1375">
        <v>2022</v>
      </c>
      <c r="B56" s="1375" t="s">
        <v>1758</v>
      </c>
      <c r="C56" s="1375" t="s">
        <v>1743</v>
      </c>
      <c r="D56" s="1375" t="s">
        <v>158</v>
      </c>
      <c r="E56" s="1375" t="s">
        <v>1561</v>
      </c>
      <c r="F56" s="1470">
        <v>127.00254179</v>
      </c>
      <c r="G56" s="1470">
        <v>0</v>
      </c>
      <c r="H56" s="1470">
        <v>0</v>
      </c>
    </row>
    <row r="57" spans="1:8">
      <c r="A57" s="1375">
        <v>2022</v>
      </c>
      <c r="B57" s="1375" t="s">
        <v>1758</v>
      </c>
      <c r="C57" s="1375" t="s">
        <v>1569</v>
      </c>
      <c r="D57" s="1375" t="s">
        <v>157</v>
      </c>
      <c r="E57" s="1375" t="s">
        <v>1553</v>
      </c>
      <c r="F57" s="1470">
        <v>944.625</v>
      </c>
      <c r="G57" s="1470">
        <v>0</v>
      </c>
      <c r="H57" s="1470">
        <v>0</v>
      </c>
    </row>
    <row r="58" spans="1:8">
      <c r="A58" s="1375">
        <v>2022</v>
      </c>
      <c r="B58" s="1375" t="s">
        <v>1758</v>
      </c>
      <c r="C58" s="1375" t="s">
        <v>1569</v>
      </c>
      <c r="D58" s="1375" t="s">
        <v>158</v>
      </c>
      <c r="E58" s="1375" t="s">
        <v>1554</v>
      </c>
      <c r="F58" s="1470">
        <v>562.375</v>
      </c>
      <c r="G58" s="1470">
        <v>0</v>
      </c>
      <c r="H58" s="1470">
        <v>0</v>
      </c>
    </row>
    <row r="59" spans="1:8">
      <c r="A59" s="1375">
        <v>2022</v>
      </c>
      <c r="B59" s="1375" t="s">
        <v>1758</v>
      </c>
      <c r="C59" s="1375" t="s">
        <v>1569</v>
      </c>
      <c r="D59" s="1375" t="s">
        <v>818</v>
      </c>
      <c r="E59" s="1375" t="s">
        <v>1555</v>
      </c>
      <c r="F59" s="1470">
        <v>1623.875</v>
      </c>
      <c r="G59" s="1470">
        <v>0</v>
      </c>
      <c r="H59" s="1470">
        <v>0</v>
      </c>
    </row>
    <row r="60" spans="1:8">
      <c r="A60" s="1375">
        <v>2022</v>
      </c>
      <c r="B60" s="1375" t="s">
        <v>1758</v>
      </c>
      <c r="C60" s="1375" t="s">
        <v>1567</v>
      </c>
      <c r="D60" s="1375" t="s">
        <v>157</v>
      </c>
      <c r="E60" s="1375" t="s">
        <v>1549</v>
      </c>
      <c r="F60" s="1470">
        <v>708.125</v>
      </c>
      <c r="G60" s="1470">
        <v>0</v>
      </c>
      <c r="H60" s="1470">
        <v>0</v>
      </c>
    </row>
    <row r="61" spans="1:8">
      <c r="A61" s="1375">
        <v>2022</v>
      </c>
      <c r="B61" s="1375" t="s">
        <v>1758</v>
      </c>
      <c r="C61" s="1375" t="s">
        <v>1567</v>
      </c>
      <c r="D61" s="1375" t="s">
        <v>158</v>
      </c>
      <c r="E61" s="1375" t="s">
        <v>1550</v>
      </c>
      <c r="F61" s="1470">
        <v>1600.5</v>
      </c>
      <c r="G61" s="1470">
        <v>0</v>
      </c>
      <c r="H61" s="1470">
        <v>0</v>
      </c>
    </row>
    <row r="62" spans="1:8">
      <c r="A62" s="1375">
        <v>2022</v>
      </c>
      <c r="B62" s="1375" t="s">
        <v>152</v>
      </c>
      <c r="C62" s="1375" t="s">
        <v>805</v>
      </c>
      <c r="D62" s="1375" t="s">
        <v>157</v>
      </c>
      <c r="E62" s="1375" t="s">
        <v>57</v>
      </c>
      <c r="F62" s="1470">
        <v>4083</v>
      </c>
      <c r="G62" s="1470">
        <v>1446</v>
      </c>
      <c r="H62" s="1470">
        <v>4083</v>
      </c>
    </row>
    <row r="63" spans="1:8">
      <c r="A63" s="1375">
        <v>2022</v>
      </c>
      <c r="B63" s="1375" t="s">
        <v>152</v>
      </c>
      <c r="C63" s="1375" t="s">
        <v>805</v>
      </c>
      <c r="D63" s="1375" t="s">
        <v>158</v>
      </c>
      <c r="E63" s="1375" t="s">
        <v>58</v>
      </c>
      <c r="F63" s="1470">
        <v>4079</v>
      </c>
      <c r="G63" s="1470">
        <v>1547</v>
      </c>
      <c r="H63" s="1470">
        <v>142.76499999999999</v>
      </c>
    </row>
    <row r="64" spans="1:8">
      <c r="A64" s="1375">
        <v>2022</v>
      </c>
      <c r="B64" s="1375" t="s">
        <v>152</v>
      </c>
      <c r="C64" s="1375" t="s">
        <v>805</v>
      </c>
      <c r="D64" s="1375" t="s">
        <v>818</v>
      </c>
      <c r="E64" s="1375" t="s">
        <v>762</v>
      </c>
      <c r="F64" s="1470">
        <v>4051</v>
      </c>
      <c r="G64" s="1470">
        <v>1427</v>
      </c>
      <c r="H64" s="1470">
        <v>141.785</v>
      </c>
    </row>
    <row r="65" spans="1:8">
      <c r="A65" s="1375">
        <v>2022</v>
      </c>
      <c r="B65" s="1375" t="s">
        <v>152</v>
      </c>
      <c r="C65" s="1375" t="s">
        <v>805</v>
      </c>
      <c r="D65" s="1375" t="s">
        <v>819</v>
      </c>
      <c r="E65" s="1375" t="s">
        <v>763</v>
      </c>
      <c r="F65" s="1470">
        <v>2450</v>
      </c>
      <c r="G65" s="1470">
        <v>863</v>
      </c>
      <c r="H65" s="1470">
        <v>85.75</v>
      </c>
    </row>
    <row r="66" spans="1:8">
      <c r="A66" s="1375">
        <v>2022</v>
      </c>
      <c r="B66" s="1375" t="s">
        <v>152</v>
      </c>
      <c r="C66" s="1375" t="s">
        <v>804</v>
      </c>
      <c r="D66" s="1375" t="s">
        <v>157</v>
      </c>
      <c r="E66" s="1375" t="s">
        <v>55</v>
      </c>
      <c r="F66" s="1470">
        <v>9900</v>
      </c>
      <c r="G66" s="1470">
        <v>5335</v>
      </c>
      <c r="H66" s="1470">
        <v>346.5</v>
      </c>
    </row>
    <row r="67" spans="1:8">
      <c r="A67" s="1375">
        <v>2022</v>
      </c>
      <c r="B67" s="1375" t="s">
        <v>152</v>
      </c>
      <c r="C67" s="1375" t="s">
        <v>804</v>
      </c>
      <c r="D67" s="1375" t="s">
        <v>158</v>
      </c>
      <c r="E67" s="1375" t="s">
        <v>56</v>
      </c>
      <c r="F67" s="1470">
        <v>9723</v>
      </c>
      <c r="G67" s="1470">
        <v>5065</v>
      </c>
      <c r="H67" s="1470">
        <v>340.30500000000001</v>
      </c>
    </row>
    <row r="68" spans="1:8">
      <c r="A68" s="1375">
        <v>2022</v>
      </c>
      <c r="B68" s="1375" t="s">
        <v>152</v>
      </c>
      <c r="C68" s="1375" t="s">
        <v>804</v>
      </c>
      <c r="D68" s="1375" t="s">
        <v>818</v>
      </c>
      <c r="E68" s="1375" t="s">
        <v>770</v>
      </c>
      <c r="F68" s="1470">
        <v>9657</v>
      </c>
      <c r="G68" s="1470">
        <v>5034</v>
      </c>
      <c r="H68" s="1470">
        <v>337.995</v>
      </c>
    </row>
    <row r="69" spans="1:8">
      <c r="A69" s="1375">
        <v>2022</v>
      </c>
      <c r="B69" s="1375" t="s">
        <v>152</v>
      </c>
      <c r="C69" s="1375" t="s">
        <v>804</v>
      </c>
      <c r="D69" s="1375" t="s">
        <v>819</v>
      </c>
      <c r="E69" s="1375" t="s">
        <v>771</v>
      </c>
      <c r="F69" s="1470">
        <v>5940</v>
      </c>
      <c r="G69" s="1470">
        <v>3096</v>
      </c>
      <c r="H69" s="1470">
        <v>207.9</v>
      </c>
    </row>
    <row r="70" spans="1:8">
      <c r="A70" s="1375">
        <v>2022</v>
      </c>
      <c r="B70" s="1375" t="s">
        <v>152</v>
      </c>
      <c r="C70" s="1375" t="s">
        <v>806</v>
      </c>
      <c r="D70" s="1375" t="s">
        <v>157</v>
      </c>
      <c r="E70" s="1375" t="s">
        <v>744</v>
      </c>
      <c r="F70" s="1470">
        <v>6632</v>
      </c>
      <c r="G70" s="1470">
        <v>2111</v>
      </c>
      <c r="H70" s="1470">
        <v>663.2</v>
      </c>
    </row>
    <row r="71" spans="1:8">
      <c r="A71" s="1375">
        <v>2022</v>
      </c>
      <c r="B71" s="1375" t="s">
        <v>152</v>
      </c>
      <c r="C71" s="1375" t="s">
        <v>806</v>
      </c>
      <c r="D71" s="1375" t="s">
        <v>158</v>
      </c>
      <c r="E71" s="1375" t="s">
        <v>745</v>
      </c>
      <c r="F71" s="1470">
        <v>6513</v>
      </c>
      <c r="G71" s="1470">
        <v>2094</v>
      </c>
      <c r="H71" s="1470">
        <v>651.29999999999995</v>
      </c>
    </row>
    <row r="72" spans="1:8">
      <c r="A72" s="1375">
        <v>2022</v>
      </c>
      <c r="B72" s="1375" t="s">
        <v>152</v>
      </c>
      <c r="C72" s="1375" t="s">
        <v>806</v>
      </c>
      <c r="D72" s="1375" t="s">
        <v>818</v>
      </c>
      <c r="E72" s="1375" t="s">
        <v>764</v>
      </c>
      <c r="F72" s="1470">
        <v>6468</v>
      </c>
      <c r="G72" s="1470">
        <v>2089</v>
      </c>
      <c r="H72" s="1470">
        <v>646.79999999999995</v>
      </c>
    </row>
    <row r="73" spans="1:8">
      <c r="A73" s="1375">
        <v>2022</v>
      </c>
      <c r="B73" s="1375" t="s">
        <v>152</v>
      </c>
      <c r="C73" s="1375" t="s">
        <v>806</v>
      </c>
      <c r="D73" s="1375" t="s">
        <v>819</v>
      </c>
      <c r="E73" s="1375" t="s">
        <v>765</v>
      </c>
      <c r="F73" s="1470">
        <v>3979</v>
      </c>
      <c r="G73" s="1470">
        <v>1285</v>
      </c>
      <c r="H73" s="1470">
        <v>397.9</v>
      </c>
    </row>
    <row r="74" spans="1:8">
      <c r="A74" s="1375">
        <v>2022</v>
      </c>
      <c r="B74" s="1375" t="s">
        <v>152</v>
      </c>
      <c r="C74" s="1375" t="s">
        <v>807</v>
      </c>
      <c r="D74" s="1375" t="s">
        <v>157</v>
      </c>
      <c r="E74" s="1375" t="s">
        <v>766</v>
      </c>
      <c r="F74" s="1470">
        <v>2735</v>
      </c>
      <c r="G74" s="1470">
        <v>844</v>
      </c>
      <c r="H74" s="1470">
        <v>2735</v>
      </c>
    </row>
    <row r="75" spans="1:8">
      <c r="A75" s="1375">
        <v>2022</v>
      </c>
      <c r="B75" s="1375" t="s">
        <v>152</v>
      </c>
      <c r="C75" s="1375" t="s">
        <v>807</v>
      </c>
      <c r="D75" s="1375" t="s">
        <v>158</v>
      </c>
      <c r="E75" s="1375" t="s">
        <v>767</v>
      </c>
      <c r="F75" s="1470">
        <v>2732</v>
      </c>
      <c r="G75" s="1470">
        <v>837</v>
      </c>
      <c r="H75" s="1470">
        <v>273.2</v>
      </c>
    </row>
    <row r="76" spans="1:8">
      <c r="A76" s="1375">
        <v>2022</v>
      </c>
      <c r="B76" s="1375" t="s">
        <v>152</v>
      </c>
      <c r="C76" s="1375" t="s">
        <v>807</v>
      </c>
      <c r="D76" s="1375" t="s">
        <v>818</v>
      </c>
      <c r="E76" s="1375" t="s">
        <v>768</v>
      </c>
      <c r="F76" s="1470">
        <v>2714</v>
      </c>
      <c r="G76" s="1470">
        <v>836</v>
      </c>
      <c r="H76" s="1470">
        <v>271.39999999999998</v>
      </c>
    </row>
    <row r="77" spans="1:8">
      <c r="A77" s="1375">
        <v>2022</v>
      </c>
      <c r="B77" s="1375" t="s">
        <v>152</v>
      </c>
      <c r="C77" s="1375" t="s">
        <v>807</v>
      </c>
      <c r="D77" s="1375" t="s">
        <v>819</v>
      </c>
      <c r="E77" s="1375" t="s">
        <v>769</v>
      </c>
      <c r="F77" s="1470">
        <v>1641</v>
      </c>
      <c r="G77" s="1470">
        <v>505</v>
      </c>
      <c r="H77" s="1470">
        <v>164.1</v>
      </c>
    </row>
    <row r="78" spans="1:8">
      <c r="A78" s="1375">
        <v>2022</v>
      </c>
      <c r="B78" s="1375" t="s">
        <v>746</v>
      </c>
      <c r="C78" s="1375" t="s">
        <v>295</v>
      </c>
      <c r="D78" s="1375" t="s">
        <v>367</v>
      </c>
      <c r="E78" s="1375" t="s">
        <v>2305</v>
      </c>
      <c r="F78" s="1470">
        <v>0</v>
      </c>
      <c r="G78" s="1470"/>
      <c r="H78" s="1470"/>
    </row>
    <row r="79" spans="1:8">
      <c r="A79" s="1375">
        <v>2022</v>
      </c>
      <c r="B79" s="1375" t="s">
        <v>746</v>
      </c>
      <c r="C79" s="1375" t="s">
        <v>295</v>
      </c>
      <c r="D79" s="1375" t="s">
        <v>357</v>
      </c>
      <c r="E79" s="1375" t="s">
        <v>62</v>
      </c>
      <c r="F79" s="1470">
        <v>16624</v>
      </c>
      <c r="G79" s="1470"/>
      <c r="H79" s="1470"/>
    </row>
    <row r="80" spans="1:8">
      <c r="A80" s="1375">
        <v>2022</v>
      </c>
      <c r="B80" s="1375" t="s">
        <v>746</v>
      </c>
      <c r="C80" s="1375" t="s">
        <v>303</v>
      </c>
      <c r="D80" s="1375" t="s">
        <v>367</v>
      </c>
      <c r="E80" s="1375" t="s">
        <v>64</v>
      </c>
      <c r="F80" s="1470">
        <v>0</v>
      </c>
      <c r="G80" s="1470"/>
      <c r="H80" s="1470"/>
    </row>
    <row r="81" spans="1:8">
      <c r="A81" s="1375">
        <v>2022</v>
      </c>
      <c r="B81" s="1375" t="s">
        <v>746</v>
      </c>
      <c r="C81" s="1375" t="s">
        <v>303</v>
      </c>
      <c r="D81" s="1375" t="s">
        <v>357</v>
      </c>
      <c r="E81" s="1375" t="s">
        <v>63</v>
      </c>
      <c r="F81" s="1470">
        <v>3363</v>
      </c>
      <c r="G81" s="1470"/>
      <c r="H81" s="1470"/>
    </row>
    <row r="82" spans="1:8">
      <c r="A82" s="1375">
        <v>2022</v>
      </c>
      <c r="B82" s="1375" t="s">
        <v>746</v>
      </c>
      <c r="C82" s="1375" t="s">
        <v>309</v>
      </c>
      <c r="D82" s="1375" t="s">
        <v>1564</v>
      </c>
      <c r="E82" s="1375" t="s">
        <v>65</v>
      </c>
      <c r="F82" s="1470">
        <v>8374</v>
      </c>
      <c r="G82" s="1470"/>
      <c r="H82" s="1470"/>
    </row>
    <row r="83" spans="1:8">
      <c r="A83" s="1375">
        <v>2022</v>
      </c>
      <c r="B83" s="1375" t="s">
        <v>746</v>
      </c>
      <c r="C83" s="1375" t="s">
        <v>309</v>
      </c>
      <c r="D83" s="1375" t="s">
        <v>944</v>
      </c>
      <c r="E83" s="1375" t="s">
        <v>66</v>
      </c>
      <c r="F83" s="1470">
        <v>0</v>
      </c>
      <c r="G83" s="1470"/>
      <c r="H83" s="1470"/>
    </row>
    <row r="84" spans="1:8">
      <c r="A84" s="1375">
        <v>2022</v>
      </c>
      <c r="B84" s="1375" t="s">
        <v>746</v>
      </c>
      <c r="C84" s="1375" t="s">
        <v>327</v>
      </c>
      <c r="D84" s="1375" t="s">
        <v>885</v>
      </c>
      <c r="E84" s="1375" t="s">
        <v>458</v>
      </c>
      <c r="F84" s="1470">
        <v>0</v>
      </c>
      <c r="G84" s="1470"/>
      <c r="H84" s="1470"/>
    </row>
    <row r="85" spans="1:8">
      <c r="A85" s="1375">
        <v>2022</v>
      </c>
      <c r="B85" s="1375" t="s">
        <v>746</v>
      </c>
      <c r="C85" s="1375" t="s">
        <v>682</v>
      </c>
      <c r="D85" s="1375" t="s">
        <v>927</v>
      </c>
      <c r="E85" s="1375" t="s">
        <v>681</v>
      </c>
      <c r="F85" s="1470">
        <v>2807.25</v>
      </c>
      <c r="G85" s="1470">
        <v>2807.25</v>
      </c>
      <c r="H85" s="1470"/>
    </row>
    <row r="86" spans="1:8">
      <c r="A86" s="1375">
        <v>2022</v>
      </c>
      <c r="B86" s="1375" t="s">
        <v>746</v>
      </c>
      <c r="C86" s="1375" t="s">
        <v>932</v>
      </c>
      <c r="D86" s="1375" t="s">
        <v>927</v>
      </c>
      <c r="E86" s="1375" t="s">
        <v>77</v>
      </c>
      <c r="F86" s="1470">
        <v>3415.5114922299999</v>
      </c>
      <c r="G86" s="1470">
        <v>0</v>
      </c>
      <c r="H86" s="1470"/>
    </row>
    <row r="87" spans="1:8">
      <c r="A87" s="1375">
        <v>2022</v>
      </c>
      <c r="B87" s="1375" t="s">
        <v>746</v>
      </c>
      <c r="C87" s="1375" t="s">
        <v>1529</v>
      </c>
      <c r="D87" s="1375" t="s">
        <v>927</v>
      </c>
      <c r="E87" s="1375" t="s">
        <v>81</v>
      </c>
      <c r="F87" s="1470">
        <v>5</v>
      </c>
      <c r="G87" s="1470">
        <v>0</v>
      </c>
      <c r="H87" s="1470"/>
    </row>
    <row r="88" spans="1:8">
      <c r="A88" s="1375">
        <v>2022</v>
      </c>
      <c r="B88" s="1375" t="s">
        <v>746</v>
      </c>
      <c r="C88" s="1375" t="s">
        <v>937</v>
      </c>
      <c r="D88" s="1375" t="s">
        <v>927</v>
      </c>
      <c r="E88" s="1375" t="s">
        <v>757</v>
      </c>
      <c r="F88" s="1470">
        <v>150</v>
      </c>
      <c r="G88" s="1470">
        <v>150</v>
      </c>
      <c r="H88" s="1470"/>
    </row>
    <row r="89" spans="1:8">
      <c r="A89" s="1375">
        <v>2022</v>
      </c>
      <c r="B89" s="1375" t="s">
        <v>746</v>
      </c>
      <c r="C89" s="1375" t="s">
        <v>933</v>
      </c>
      <c r="D89" s="1375" t="s">
        <v>927</v>
      </c>
      <c r="E89" s="1375" t="s">
        <v>78</v>
      </c>
      <c r="F89" s="1470">
        <v>5</v>
      </c>
      <c r="G89" s="1470">
        <v>0</v>
      </c>
      <c r="H89" s="1470"/>
    </row>
    <row r="90" spans="1:8">
      <c r="A90" s="1375">
        <v>2022</v>
      </c>
      <c r="B90" s="1375" t="s">
        <v>746</v>
      </c>
      <c r="C90" s="1375" t="s">
        <v>1530</v>
      </c>
      <c r="D90" s="1375" t="s">
        <v>927</v>
      </c>
      <c r="E90" s="1375" t="s">
        <v>82</v>
      </c>
      <c r="F90" s="1470">
        <v>0</v>
      </c>
      <c r="G90" s="1470">
        <v>0</v>
      </c>
      <c r="H90" s="1470"/>
    </row>
    <row r="91" spans="1:8">
      <c r="A91" s="1375">
        <v>2022</v>
      </c>
      <c r="B91" s="1375" t="s">
        <v>746</v>
      </c>
      <c r="C91" s="1375" t="s">
        <v>938</v>
      </c>
      <c r="D91" s="1375" t="s">
        <v>927</v>
      </c>
      <c r="E91" s="1375" t="s">
        <v>758</v>
      </c>
      <c r="F91" s="1470">
        <v>0</v>
      </c>
      <c r="G91" s="1470">
        <v>0</v>
      </c>
      <c r="H91" s="1470"/>
    </row>
    <row r="92" spans="1:8">
      <c r="A92" s="1375">
        <v>2022</v>
      </c>
      <c r="B92" s="1375" t="s">
        <v>746</v>
      </c>
      <c r="C92" s="1375" t="s">
        <v>942</v>
      </c>
      <c r="D92" s="1375" t="s">
        <v>927</v>
      </c>
      <c r="E92" s="1375" t="s">
        <v>756</v>
      </c>
      <c r="F92" s="1470">
        <v>5</v>
      </c>
      <c r="G92" s="1470">
        <v>0</v>
      </c>
      <c r="H92" s="1470"/>
    </row>
    <row r="93" spans="1:8">
      <c r="A93" s="1375">
        <v>2022</v>
      </c>
      <c r="B93" s="1375" t="s">
        <v>746</v>
      </c>
      <c r="C93" s="1375" t="s">
        <v>934</v>
      </c>
      <c r="D93" s="1375" t="s">
        <v>927</v>
      </c>
      <c r="E93" s="1375" t="s">
        <v>79</v>
      </c>
      <c r="F93" s="1470">
        <v>38</v>
      </c>
      <c r="G93" s="1470">
        <v>0</v>
      </c>
      <c r="H93" s="1470"/>
    </row>
    <row r="94" spans="1:8">
      <c r="A94" s="1375">
        <v>2022</v>
      </c>
      <c r="B94" s="1375" t="s">
        <v>746</v>
      </c>
      <c r="C94" s="1375" t="s">
        <v>1531</v>
      </c>
      <c r="D94" s="1375" t="s">
        <v>927</v>
      </c>
      <c r="E94" s="1375" t="s">
        <v>83</v>
      </c>
      <c r="F94" s="1470">
        <v>0</v>
      </c>
      <c r="G94" s="1470">
        <v>0</v>
      </c>
      <c r="H94" s="1470"/>
    </row>
    <row r="95" spans="1:8">
      <c r="A95" s="1375">
        <v>2022</v>
      </c>
      <c r="B95" s="1375" t="s">
        <v>746</v>
      </c>
      <c r="C95" s="1375" t="s">
        <v>939</v>
      </c>
      <c r="D95" s="1375" t="s">
        <v>927</v>
      </c>
      <c r="E95" s="1375" t="s">
        <v>759</v>
      </c>
      <c r="F95" s="1470">
        <v>10</v>
      </c>
      <c r="G95" s="1470">
        <v>10</v>
      </c>
      <c r="H95" s="1470"/>
    </row>
    <row r="96" spans="1:8">
      <c r="A96" s="1375">
        <v>2022</v>
      </c>
      <c r="B96" s="1375" t="s">
        <v>746</v>
      </c>
      <c r="C96" s="1375" t="s">
        <v>931</v>
      </c>
      <c r="D96" s="1375" t="s">
        <v>927</v>
      </c>
      <c r="E96" s="1375" t="s">
        <v>76</v>
      </c>
      <c r="F96" s="1470">
        <v>584.4</v>
      </c>
      <c r="G96" s="1470">
        <v>0</v>
      </c>
      <c r="H96" s="1470"/>
    </row>
    <row r="97" spans="1:8">
      <c r="A97" s="1375">
        <v>2022</v>
      </c>
      <c r="B97" s="1375" t="s">
        <v>746</v>
      </c>
      <c r="C97" s="1375" t="s">
        <v>935</v>
      </c>
      <c r="D97" s="1375" t="s">
        <v>927</v>
      </c>
      <c r="E97" s="1375" t="s">
        <v>80</v>
      </c>
      <c r="F97" s="1470">
        <v>379.8</v>
      </c>
      <c r="G97" s="1470">
        <v>0</v>
      </c>
      <c r="H97" s="1470"/>
    </row>
    <row r="98" spans="1:8">
      <c r="A98" s="1375">
        <v>2022</v>
      </c>
      <c r="B98" s="1375" t="s">
        <v>746</v>
      </c>
      <c r="C98" s="1375" t="s">
        <v>930</v>
      </c>
      <c r="D98" s="1375" t="s">
        <v>927</v>
      </c>
      <c r="E98" s="1375" t="s">
        <v>84</v>
      </c>
      <c r="F98" s="1470">
        <v>9</v>
      </c>
      <c r="G98" s="1470">
        <v>0</v>
      </c>
      <c r="H98" s="1470"/>
    </row>
    <row r="99" spans="1:8">
      <c r="A99" s="1375">
        <v>2022</v>
      </c>
      <c r="B99" s="1375" t="s">
        <v>746</v>
      </c>
      <c r="C99" s="1375" t="s">
        <v>940</v>
      </c>
      <c r="D99" s="1375" t="s">
        <v>927</v>
      </c>
      <c r="E99" s="1375" t="s">
        <v>760</v>
      </c>
      <c r="F99" s="1470">
        <v>100</v>
      </c>
      <c r="G99" s="1470">
        <v>100</v>
      </c>
      <c r="H99" s="1470"/>
    </row>
    <row r="100" spans="1:8">
      <c r="A100" s="1375">
        <v>2022</v>
      </c>
      <c r="B100" s="1375" t="s">
        <v>746</v>
      </c>
      <c r="C100" s="1375" t="s">
        <v>1399</v>
      </c>
      <c r="D100" s="1375" t="s">
        <v>927</v>
      </c>
      <c r="E100" s="1375" t="s">
        <v>1398</v>
      </c>
      <c r="F100" s="1470">
        <v>200</v>
      </c>
      <c r="G100" s="1470">
        <v>0</v>
      </c>
      <c r="H100" s="1470"/>
    </row>
    <row r="101" spans="1:8">
      <c r="A101" s="1375">
        <v>2022</v>
      </c>
      <c r="B101" s="1375" t="s">
        <v>746</v>
      </c>
      <c r="C101" s="1375" t="s">
        <v>1403</v>
      </c>
      <c r="D101" s="1375" t="s">
        <v>927</v>
      </c>
      <c r="E101" s="1375" t="s">
        <v>1402</v>
      </c>
      <c r="F101" s="1470">
        <v>4</v>
      </c>
      <c r="G101" s="1470">
        <v>0</v>
      </c>
      <c r="H101" s="1470"/>
    </row>
    <row r="102" spans="1:8">
      <c r="A102" s="1375">
        <v>2022</v>
      </c>
      <c r="B102" s="1375" t="s">
        <v>746</v>
      </c>
      <c r="C102" s="1375" t="s">
        <v>1405</v>
      </c>
      <c r="D102" s="1375" t="s">
        <v>927</v>
      </c>
      <c r="E102" s="1375" t="s">
        <v>1404</v>
      </c>
      <c r="F102" s="1470">
        <v>0</v>
      </c>
      <c r="G102" s="1470">
        <v>0</v>
      </c>
      <c r="H102" s="1470"/>
    </row>
    <row r="103" spans="1:8">
      <c r="A103" s="1375">
        <v>2022</v>
      </c>
      <c r="B103" s="1375" t="s">
        <v>857</v>
      </c>
      <c r="C103" s="1375" t="s">
        <v>1395</v>
      </c>
      <c r="D103" s="1375" t="s">
        <v>955</v>
      </c>
      <c r="E103" s="1375" t="s">
        <v>954</v>
      </c>
      <c r="F103" s="1470">
        <v>0</v>
      </c>
      <c r="G103" s="1470">
        <v>0</v>
      </c>
      <c r="H103" s="1470"/>
    </row>
    <row r="104" spans="1:8">
      <c r="A104" s="1375">
        <v>2022</v>
      </c>
      <c r="B104" s="1375" t="s">
        <v>857</v>
      </c>
      <c r="C104" s="1375" t="s">
        <v>1395</v>
      </c>
      <c r="D104" s="1375" t="s">
        <v>1397</v>
      </c>
      <c r="E104" s="1375" t="s">
        <v>1396</v>
      </c>
      <c r="F104" s="1470">
        <v>2112.2556</v>
      </c>
      <c r="G104" s="1470">
        <v>644.51477999999997</v>
      </c>
      <c r="H104" s="1470"/>
    </row>
    <row r="105" spans="1:8">
      <c r="A105" s="1375">
        <v>2022</v>
      </c>
      <c r="B105" s="1375" t="s">
        <v>857</v>
      </c>
      <c r="C105" s="1375" t="s">
        <v>1395</v>
      </c>
      <c r="D105" s="1375" t="s">
        <v>1327</v>
      </c>
      <c r="E105" s="1375" t="s">
        <v>956</v>
      </c>
      <c r="F105" s="1470">
        <v>145.56360000000001</v>
      </c>
      <c r="G105" s="1470">
        <v>116.45088</v>
      </c>
      <c r="H105" s="1470"/>
    </row>
    <row r="106" spans="1:8">
      <c r="A106" s="1375">
        <v>2022</v>
      </c>
      <c r="B106" s="1375" t="s">
        <v>857</v>
      </c>
      <c r="C106" s="1375" t="s">
        <v>1395</v>
      </c>
      <c r="D106" s="1375" t="s">
        <v>1948</v>
      </c>
      <c r="E106" s="1375" t="s">
        <v>2354</v>
      </c>
      <c r="F106" s="1470">
        <v>2479.6044000000002</v>
      </c>
      <c r="G106" s="1470">
        <v>0</v>
      </c>
      <c r="H106" s="1470"/>
    </row>
    <row r="107" spans="1:8">
      <c r="A107" s="1375">
        <v>2022</v>
      </c>
      <c r="B107" s="1375" t="s">
        <v>138</v>
      </c>
      <c r="C107" s="1375" t="s">
        <v>476</v>
      </c>
      <c r="D107" s="1375" t="s">
        <v>1007</v>
      </c>
      <c r="E107" s="1375" t="s">
        <v>1434</v>
      </c>
      <c r="F107" s="1470">
        <v>50876.213289879997</v>
      </c>
      <c r="G107" s="1470">
        <v>0</v>
      </c>
      <c r="H107" s="1470">
        <v>0</v>
      </c>
    </row>
    <row r="108" spans="1:8">
      <c r="A108" s="1375">
        <v>2022</v>
      </c>
      <c r="B108" s="1375" t="s">
        <v>138</v>
      </c>
      <c r="C108" s="1375" t="s">
        <v>476</v>
      </c>
      <c r="D108" s="1375" t="s">
        <v>1517</v>
      </c>
      <c r="E108" s="1375" t="s">
        <v>1516</v>
      </c>
      <c r="F108" s="1470">
        <v>330471.39008693001</v>
      </c>
      <c r="G108" s="1470">
        <v>0</v>
      </c>
      <c r="H108" s="1470">
        <v>262877.07708563999</v>
      </c>
    </row>
    <row r="109" spans="1:8">
      <c r="A109" s="1375">
        <v>2022</v>
      </c>
      <c r="B109" s="1375" t="s">
        <v>146</v>
      </c>
      <c r="C109" s="1375" t="s">
        <v>493</v>
      </c>
      <c r="D109" s="1375" t="s">
        <v>334</v>
      </c>
      <c r="E109" s="1375" t="s">
        <v>39</v>
      </c>
      <c r="F109" s="1470">
        <v>0.18843737999999999</v>
      </c>
      <c r="G109" s="1470">
        <v>9.4218689999999994E-2</v>
      </c>
      <c r="H109" s="1470">
        <v>0</v>
      </c>
    </row>
    <row r="110" spans="1:8">
      <c r="A110" s="1375">
        <v>2022</v>
      </c>
      <c r="B110" s="1375" t="s">
        <v>149</v>
      </c>
      <c r="C110" s="1375" t="s">
        <v>298</v>
      </c>
      <c r="D110" s="1375" t="s">
        <v>367</v>
      </c>
      <c r="E110" s="1375" t="s">
        <v>1519</v>
      </c>
      <c r="F110" s="1470">
        <v>0</v>
      </c>
      <c r="G110" s="1470"/>
      <c r="H110" s="1470"/>
    </row>
    <row r="111" spans="1:8">
      <c r="A111" s="1375">
        <v>2022</v>
      </c>
      <c r="B111" s="1375" t="s">
        <v>149</v>
      </c>
      <c r="C111" s="1375" t="s">
        <v>298</v>
      </c>
      <c r="D111" s="1375" t="s">
        <v>357</v>
      </c>
      <c r="E111" s="1375" t="s">
        <v>74</v>
      </c>
      <c r="F111" s="1470">
        <v>3278.4720588800001</v>
      </c>
      <c r="G111" s="1470"/>
      <c r="H111" s="1470"/>
    </row>
    <row r="112" spans="1:8">
      <c r="A112" s="1375">
        <v>2022</v>
      </c>
      <c r="B112" s="1375" t="s">
        <v>149</v>
      </c>
      <c r="C112" s="1375" t="s">
        <v>306</v>
      </c>
      <c r="D112" s="1375" t="s">
        <v>367</v>
      </c>
      <c r="E112" s="1375" t="s">
        <v>1520</v>
      </c>
      <c r="F112" s="1470">
        <v>0</v>
      </c>
      <c r="G112" s="1470"/>
      <c r="H112" s="1470"/>
    </row>
    <row r="113" spans="1:8">
      <c r="A113" s="1375">
        <v>2022</v>
      </c>
      <c r="B113" s="1375" t="s">
        <v>149</v>
      </c>
      <c r="C113" s="1375" t="s">
        <v>306</v>
      </c>
      <c r="D113" s="1375" t="s">
        <v>357</v>
      </c>
      <c r="E113" s="1375" t="s">
        <v>75</v>
      </c>
      <c r="F113" s="1470">
        <v>599.34946043000002</v>
      </c>
      <c r="G113" s="1470"/>
      <c r="H113" s="1470"/>
    </row>
    <row r="114" spans="1:8">
      <c r="A114" s="1375">
        <v>2022</v>
      </c>
      <c r="B114" s="1375" t="s">
        <v>149</v>
      </c>
      <c r="C114" s="1375" t="s">
        <v>312</v>
      </c>
      <c r="D114" s="1375" t="s">
        <v>1564</v>
      </c>
      <c r="E114" s="1375" t="s">
        <v>1312</v>
      </c>
      <c r="F114" s="1470">
        <v>2186.6811668</v>
      </c>
      <c r="G114" s="1470"/>
      <c r="H114" s="1470"/>
    </row>
    <row r="115" spans="1:8">
      <c r="A115" s="1375">
        <v>2022</v>
      </c>
      <c r="B115" s="1375" t="s">
        <v>149</v>
      </c>
      <c r="C115" s="1375" t="s">
        <v>312</v>
      </c>
      <c r="D115" s="1375" t="s">
        <v>944</v>
      </c>
      <c r="E115" s="1375" t="s">
        <v>1524</v>
      </c>
      <c r="F115" s="1470">
        <v>0</v>
      </c>
      <c r="G115" s="1470"/>
      <c r="H115" s="1470"/>
    </row>
    <row r="116" spans="1:8">
      <c r="A116" s="1375">
        <v>2022</v>
      </c>
      <c r="B116" s="1375" t="s">
        <v>149</v>
      </c>
      <c r="C116" s="1375" t="s">
        <v>330</v>
      </c>
      <c r="D116" s="1375" t="s">
        <v>885</v>
      </c>
      <c r="E116" s="1375" t="s">
        <v>1525</v>
      </c>
      <c r="F116" s="1470">
        <v>0</v>
      </c>
      <c r="G116" s="1470"/>
      <c r="H116" s="1470"/>
    </row>
    <row r="117" spans="1:8">
      <c r="A117" s="1375">
        <v>2022</v>
      </c>
      <c r="B117" s="1375" t="s">
        <v>143</v>
      </c>
      <c r="C117" s="1375" t="s">
        <v>323</v>
      </c>
      <c r="D117" s="1375" t="s">
        <v>157</v>
      </c>
      <c r="E117" s="1375" t="s">
        <v>30</v>
      </c>
      <c r="F117" s="1470">
        <v>621183.41297454003</v>
      </c>
      <c r="G117" s="1470">
        <v>2565</v>
      </c>
      <c r="H117" s="1470">
        <v>0</v>
      </c>
    </row>
    <row r="118" spans="1:8">
      <c r="A118" s="1375">
        <v>2022</v>
      </c>
      <c r="B118" s="1375" t="s">
        <v>143</v>
      </c>
      <c r="C118" s="1375" t="s">
        <v>321</v>
      </c>
      <c r="D118" s="1375" t="s">
        <v>157</v>
      </c>
      <c r="E118" s="1375" t="s">
        <v>31</v>
      </c>
      <c r="F118" s="1470">
        <v>36184.47578501</v>
      </c>
      <c r="G118" s="1470">
        <v>26</v>
      </c>
      <c r="H118" s="1470">
        <v>0</v>
      </c>
    </row>
    <row r="119" spans="1:8">
      <c r="A119" s="1375">
        <v>2022</v>
      </c>
      <c r="B119" s="1375" t="s">
        <v>143</v>
      </c>
      <c r="C119" s="1375" t="s">
        <v>324</v>
      </c>
      <c r="D119" s="1375" t="s">
        <v>157</v>
      </c>
      <c r="E119" s="1375" t="s">
        <v>93</v>
      </c>
      <c r="F119" s="1470">
        <v>154473.90875418001</v>
      </c>
      <c r="G119" s="1470">
        <v>2460</v>
      </c>
      <c r="H119" s="1470">
        <v>0</v>
      </c>
    </row>
    <row r="120" spans="1:8">
      <c r="A120" s="1375">
        <v>2022</v>
      </c>
      <c r="B120" s="1375" t="s">
        <v>143</v>
      </c>
      <c r="C120" s="1375" t="s">
        <v>322</v>
      </c>
      <c r="D120" s="1375" t="s">
        <v>157</v>
      </c>
      <c r="E120" s="1375" t="s">
        <v>94</v>
      </c>
      <c r="F120" s="1470">
        <v>3103.6185383799998</v>
      </c>
      <c r="G120" s="1470">
        <v>0</v>
      </c>
      <c r="H120" s="1470">
        <v>0</v>
      </c>
    </row>
    <row r="121" spans="1:8">
      <c r="A121" s="1375">
        <v>2022</v>
      </c>
      <c r="B121" s="1375" t="s">
        <v>470</v>
      </c>
      <c r="C121" s="1375" t="s">
        <v>1933</v>
      </c>
      <c r="D121" s="1375" t="s">
        <v>1954</v>
      </c>
      <c r="E121" s="1375" t="s">
        <v>2319</v>
      </c>
      <c r="F121" s="1470">
        <v>50714.161686530002</v>
      </c>
      <c r="G121" s="1470"/>
      <c r="H121" s="1470"/>
    </row>
    <row r="122" spans="1:8">
      <c r="A122" s="1375">
        <v>2022</v>
      </c>
      <c r="B122" s="1375" t="s">
        <v>141</v>
      </c>
      <c r="C122" s="1375" t="s">
        <v>1933</v>
      </c>
      <c r="D122" s="1375" t="s">
        <v>1953</v>
      </c>
      <c r="E122" s="1375" t="s">
        <v>2281</v>
      </c>
      <c r="F122" s="1470">
        <v>132080.72272076001</v>
      </c>
      <c r="G122" s="1470"/>
      <c r="H122" s="1470"/>
    </row>
    <row r="123" spans="1:8">
      <c r="A123" s="1375">
        <v>2022</v>
      </c>
      <c r="B123" s="1375" t="s">
        <v>141</v>
      </c>
      <c r="C123" s="1375" t="s">
        <v>1928</v>
      </c>
      <c r="D123" s="1375" t="s">
        <v>1951</v>
      </c>
      <c r="E123" s="1375" t="s">
        <v>2278</v>
      </c>
      <c r="F123" s="1470">
        <v>20.296208369999999</v>
      </c>
      <c r="G123" s="1470"/>
      <c r="H123" s="1470"/>
    </row>
    <row r="124" spans="1:8">
      <c r="A124" s="1375">
        <v>2022</v>
      </c>
      <c r="B124" s="1375" t="s">
        <v>141</v>
      </c>
      <c r="C124" s="1375" t="s">
        <v>1928</v>
      </c>
      <c r="D124" s="1375" t="s">
        <v>1952</v>
      </c>
      <c r="E124" s="1375" t="s">
        <v>2279</v>
      </c>
      <c r="F124" s="1470">
        <v>864.41909157999999</v>
      </c>
      <c r="G124" s="1470"/>
      <c r="H124" s="1470"/>
    </row>
    <row r="125" spans="1:8">
      <c r="A125" s="1375">
        <v>2022</v>
      </c>
      <c r="B125" s="1375" t="s">
        <v>144</v>
      </c>
      <c r="C125" s="1375" t="s">
        <v>285</v>
      </c>
      <c r="D125" s="1375" t="s">
        <v>334</v>
      </c>
      <c r="E125" s="1375" t="s">
        <v>399</v>
      </c>
      <c r="F125" s="1470">
        <v>5.4607250599999997</v>
      </c>
      <c r="G125" s="1470">
        <v>5.4607250599999997</v>
      </c>
      <c r="H125" s="1470">
        <v>0.21842900000000001</v>
      </c>
    </row>
    <row r="126" spans="1:8">
      <c r="A126" s="1375">
        <v>2022</v>
      </c>
      <c r="B126" s="1375" t="s">
        <v>144</v>
      </c>
      <c r="C126" s="1375" t="s">
        <v>299</v>
      </c>
      <c r="D126" s="1375" t="s">
        <v>334</v>
      </c>
      <c r="E126" s="1375" t="s">
        <v>420</v>
      </c>
      <c r="F126" s="1470">
        <v>5.7454565200000003</v>
      </c>
      <c r="G126" s="1470">
        <v>5.7454565200000003</v>
      </c>
      <c r="H126" s="1470">
        <v>0.40218196000000001</v>
      </c>
    </row>
    <row r="127" spans="1:8">
      <c r="A127" s="1375">
        <v>2022</v>
      </c>
      <c r="B127" s="1375" t="s">
        <v>137</v>
      </c>
      <c r="C127" s="1375" t="s">
        <v>296</v>
      </c>
      <c r="D127" s="1375" t="s">
        <v>1362</v>
      </c>
      <c r="E127" s="1375" t="s">
        <v>21</v>
      </c>
      <c r="F127" s="1470">
        <v>3796561.6104595899</v>
      </c>
      <c r="G127" s="1470"/>
      <c r="H127" s="1470"/>
    </row>
    <row r="128" spans="1:8">
      <c r="A128" s="1375">
        <v>2022</v>
      </c>
      <c r="B128" s="1375" t="s">
        <v>137</v>
      </c>
      <c r="C128" s="1375" t="s">
        <v>296</v>
      </c>
      <c r="D128" s="1375" t="s">
        <v>1364</v>
      </c>
      <c r="E128" s="1375" t="s">
        <v>1363</v>
      </c>
      <c r="F128" s="1470">
        <v>1898280.80522979</v>
      </c>
      <c r="G128" s="1470"/>
      <c r="H128" s="1470"/>
    </row>
    <row r="129" spans="1:8">
      <c r="A129" s="1375">
        <v>2022</v>
      </c>
      <c r="B129" s="1375" t="s">
        <v>137</v>
      </c>
      <c r="C129" s="1375" t="s">
        <v>296</v>
      </c>
      <c r="D129" s="1375" t="s">
        <v>1365</v>
      </c>
      <c r="E129" s="1375" t="s">
        <v>871</v>
      </c>
      <c r="F129" s="1470">
        <v>0</v>
      </c>
      <c r="G129" s="1470"/>
      <c r="H129" s="1470"/>
    </row>
    <row r="130" spans="1:8">
      <c r="A130" s="1375">
        <v>2022</v>
      </c>
      <c r="B130" s="1375" t="s">
        <v>137</v>
      </c>
      <c r="C130" s="1375" t="s">
        <v>304</v>
      </c>
      <c r="D130" s="1375" t="s">
        <v>1368</v>
      </c>
      <c r="E130" s="1375" t="s">
        <v>22</v>
      </c>
      <c r="F130" s="1470">
        <v>558349.19078220997</v>
      </c>
      <c r="G130" s="1470"/>
      <c r="H130" s="1470"/>
    </row>
    <row r="131" spans="1:8">
      <c r="A131" s="1375">
        <v>2022</v>
      </c>
      <c r="B131" s="1375" t="s">
        <v>137</v>
      </c>
      <c r="C131" s="1375" t="s">
        <v>304</v>
      </c>
      <c r="D131" s="1375" t="s">
        <v>1370</v>
      </c>
      <c r="E131" s="1375" t="s">
        <v>1369</v>
      </c>
      <c r="F131" s="1470">
        <v>0</v>
      </c>
      <c r="G131" s="1470"/>
      <c r="H131" s="1470"/>
    </row>
    <row r="132" spans="1:8">
      <c r="A132" s="1375">
        <v>2022</v>
      </c>
      <c r="B132" s="1375" t="s">
        <v>137</v>
      </c>
      <c r="C132" s="1375" t="s">
        <v>310</v>
      </c>
      <c r="D132" s="1375" t="s">
        <v>1511</v>
      </c>
      <c r="E132" s="1375" t="s">
        <v>23</v>
      </c>
      <c r="F132" s="1470">
        <v>10817532.671890371</v>
      </c>
      <c r="G132" s="1470"/>
      <c r="H132" s="1470"/>
    </row>
    <row r="133" spans="1:8">
      <c r="A133" s="1375">
        <v>2022</v>
      </c>
      <c r="B133" s="1375" t="s">
        <v>137</v>
      </c>
      <c r="C133" s="1375" t="s">
        <v>310</v>
      </c>
      <c r="D133" s="1375" t="s">
        <v>1512</v>
      </c>
      <c r="E133" s="1375" t="s">
        <v>1374</v>
      </c>
      <c r="F133" s="1470">
        <v>2604890.8106224299</v>
      </c>
      <c r="G133" s="1470"/>
      <c r="H133" s="1470"/>
    </row>
    <row r="134" spans="1:8">
      <c r="A134" s="1375">
        <v>2022</v>
      </c>
      <c r="B134" s="1375" t="s">
        <v>137</v>
      </c>
      <c r="C134" s="1375" t="s">
        <v>310</v>
      </c>
      <c r="D134" s="1375" t="s">
        <v>1513</v>
      </c>
      <c r="E134" s="1375" t="s">
        <v>1375</v>
      </c>
      <c r="F134" s="1470">
        <v>0</v>
      </c>
      <c r="G134" s="1470"/>
      <c r="H134" s="1470"/>
    </row>
    <row r="135" spans="1:8">
      <c r="A135" s="1375">
        <v>2022</v>
      </c>
      <c r="B135" s="1375" t="s">
        <v>137</v>
      </c>
      <c r="C135" s="1375" t="s">
        <v>328</v>
      </c>
      <c r="D135" s="1375" t="s">
        <v>882</v>
      </c>
      <c r="E135" s="1375" t="s">
        <v>24</v>
      </c>
      <c r="F135" s="1470">
        <v>23592265.912666921</v>
      </c>
      <c r="G135" s="1470"/>
      <c r="H135" s="1470"/>
    </row>
    <row r="136" spans="1:8">
      <c r="A136" s="1375">
        <v>2022</v>
      </c>
      <c r="B136" s="1375" t="s">
        <v>137</v>
      </c>
      <c r="C136" s="1375" t="s">
        <v>328</v>
      </c>
      <c r="D136" s="1375" t="s">
        <v>1378</v>
      </c>
      <c r="E136" s="1375" t="s">
        <v>1377</v>
      </c>
      <c r="F136" s="1470">
        <v>11206326.308516789</v>
      </c>
      <c r="G136" s="1470"/>
      <c r="H136" s="1470"/>
    </row>
    <row r="137" spans="1:8">
      <c r="A137" s="1375">
        <v>2022</v>
      </c>
      <c r="B137" s="1375" t="s">
        <v>137</v>
      </c>
      <c r="C137" s="1375" t="s">
        <v>328</v>
      </c>
      <c r="D137" s="1375" t="s">
        <v>1379</v>
      </c>
      <c r="E137" s="1375" t="s">
        <v>883</v>
      </c>
      <c r="F137" s="1470">
        <v>0</v>
      </c>
      <c r="G137" s="1470"/>
      <c r="H137" s="1470"/>
    </row>
    <row r="138" spans="1:8">
      <c r="A138" s="1375">
        <v>2022</v>
      </c>
      <c r="B138" s="1375" t="s">
        <v>137</v>
      </c>
      <c r="C138" s="1375" t="s">
        <v>328</v>
      </c>
      <c r="D138" s="1375" t="s">
        <v>1380</v>
      </c>
      <c r="E138" s="1375" t="s">
        <v>884</v>
      </c>
      <c r="F138" s="1470">
        <v>0</v>
      </c>
      <c r="G138" s="1470"/>
      <c r="H138" s="1470"/>
    </row>
    <row r="139" spans="1:8">
      <c r="A139" s="1375">
        <v>2023</v>
      </c>
      <c r="B139" s="1375" t="s">
        <v>150</v>
      </c>
      <c r="C139" s="1375" t="s">
        <v>288</v>
      </c>
      <c r="D139" s="1375" t="s">
        <v>157</v>
      </c>
      <c r="E139" s="1375" t="s">
        <v>52</v>
      </c>
      <c r="F139" s="1470">
        <v>2688.6905338500001</v>
      </c>
      <c r="G139" s="1470">
        <v>1098.8998015</v>
      </c>
      <c r="H139" s="1470">
        <v>0</v>
      </c>
    </row>
    <row r="140" spans="1:8">
      <c r="A140" s="1375">
        <v>2023</v>
      </c>
      <c r="B140" s="1375" t="s">
        <v>150</v>
      </c>
      <c r="C140" s="1375" t="s">
        <v>289</v>
      </c>
      <c r="D140" s="1375" t="s">
        <v>157</v>
      </c>
      <c r="E140" s="1375" t="s">
        <v>53</v>
      </c>
      <c r="F140" s="1470">
        <v>2384.4827317899999</v>
      </c>
      <c r="G140" s="1470">
        <v>974.56645443000002</v>
      </c>
      <c r="H140" s="1470">
        <v>0</v>
      </c>
    </row>
    <row r="141" spans="1:8">
      <c r="A141" s="1375">
        <v>2023</v>
      </c>
      <c r="B141" s="1375" t="s">
        <v>150</v>
      </c>
      <c r="C141" s="1375" t="s">
        <v>290</v>
      </c>
      <c r="D141" s="1375" t="s">
        <v>157</v>
      </c>
      <c r="E141" s="1375" t="s">
        <v>51</v>
      </c>
      <c r="F141" s="1470">
        <v>19459.24548397</v>
      </c>
      <c r="G141" s="1470">
        <v>7711.8480144200003</v>
      </c>
      <c r="H141" s="1470">
        <v>0</v>
      </c>
    </row>
    <row r="142" spans="1:8">
      <c r="A142" s="1375">
        <v>2023</v>
      </c>
      <c r="B142" s="1375" t="s">
        <v>154</v>
      </c>
      <c r="C142" s="1375" t="s">
        <v>279</v>
      </c>
      <c r="D142" s="1375" t="s">
        <v>1542</v>
      </c>
      <c r="E142" s="1375" t="s">
        <v>392</v>
      </c>
      <c r="F142" s="1470">
        <v>46076.169627399999</v>
      </c>
      <c r="G142" s="1470"/>
      <c r="H142" s="1470"/>
    </row>
    <row r="143" spans="1:8">
      <c r="A143" s="1375">
        <v>2023</v>
      </c>
      <c r="B143" s="1375" t="s">
        <v>154</v>
      </c>
      <c r="C143" s="1375" t="s">
        <v>279</v>
      </c>
      <c r="D143" s="1375" t="s">
        <v>1007</v>
      </c>
      <c r="E143" s="1375" t="s">
        <v>1749</v>
      </c>
      <c r="F143" s="1470">
        <v>183044.51474553</v>
      </c>
      <c r="G143" s="1470"/>
      <c r="H143" s="1470"/>
    </row>
    <row r="144" spans="1:8">
      <c r="A144" s="1375">
        <v>2023</v>
      </c>
      <c r="B144" s="1375" t="s">
        <v>154</v>
      </c>
      <c r="C144" s="1375" t="s">
        <v>284</v>
      </c>
      <c r="D144" s="1375" t="s">
        <v>1007</v>
      </c>
      <c r="E144" s="1375" t="s">
        <v>1913</v>
      </c>
      <c r="F144" s="1470">
        <v>173338.71566884001</v>
      </c>
      <c r="G144" s="1470">
        <v>0</v>
      </c>
      <c r="H144" s="1470"/>
    </row>
    <row r="145" spans="1:8">
      <c r="A145" s="1375">
        <v>2023</v>
      </c>
      <c r="B145" s="1375" t="s">
        <v>154</v>
      </c>
      <c r="C145" s="1375" t="s">
        <v>284</v>
      </c>
      <c r="D145" s="1375" t="s">
        <v>1392</v>
      </c>
      <c r="E145" s="1375" t="s">
        <v>268</v>
      </c>
      <c r="F145" s="1470">
        <v>74547.499321469993</v>
      </c>
      <c r="G145" s="1470">
        <v>0</v>
      </c>
      <c r="H145" s="1470"/>
    </row>
    <row r="146" spans="1:8">
      <c r="A146" s="1375">
        <v>2023</v>
      </c>
      <c r="B146" s="1375" t="s">
        <v>154</v>
      </c>
      <c r="C146" s="1375" t="s">
        <v>284</v>
      </c>
      <c r="D146" s="1375" t="s">
        <v>1393</v>
      </c>
      <c r="E146" s="1375" t="s">
        <v>270</v>
      </c>
      <c r="F146" s="1470">
        <v>0</v>
      </c>
      <c r="G146" s="1470"/>
      <c r="H146" s="1470"/>
    </row>
    <row r="147" spans="1:8">
      <c r="A147" s="1375">
        <v>2023</v>
      </c>
      <c r="B147" s="1375" t="s">
        <v>154</v>
      </c>
      <c r="C147" s="1375" t="s">
        <v>284</v>
      </c>
      <c r="D147" s="1375" t="s">
        <v>947</v>
      </c>
      <c r="E147" s="1375" t="s">
        <v>269</v>
      </c>
      <c r="F147" s="1470">
        <v>53539.37040331</v>
      </c>
      <c r="G147" s="1470">
        <v>0</v>
      </c>
      <c r="H147" s="1470"/>
    </row>
    <row r="148" spans="1:8">
      <c r="A148" s="1375">
        <v>2023</v>
      </c>
      <c r="B148" s="1375" t="s">
        <v>154</v>
      </c>
      <c r="C148" s="1375" t="s">
        <v>156</v>
      </c>
      <c r="D148" s="1375" t="s">
        <v>1007</v>
      </c>
      <c r="E148" s="1375" t="s">
        <v>135</v>
      </c>
      <c r="F148" s="1470">
        <v>3421.8764541599999</v>
      </c>
      <c r="G148" s="1470">
        <v>0</v>
      </c>
      <c r="H148" s="1470"/>
    </row>
    <row r="149" spans="1:8">
      <c r="A149" s="1375">
        <v>2023</v>
      </c>
      <c r="B149" s="1375" t="s">
        <v>154</v>
      </c>
      <c r="C149" s="1375" t="s">
        <v>156</v>
      </c>
      <c r="D149" s="1375" t="s">
        <v>947</v>
      </c>
      <c r="E149" s="1375" t="s">
        <v>97</v>
      </c>
      <c r="F149" s="1470">
        <v>4470.8281114199999</v>
      </c>
      <c r="G149" s="1470"/>
      <c r="H149" s="1470"/>
    </row>
    <row r="150" spans="1:8">
      <c r="A150" s="1375">
        <v>2023</v>
      </c>
      <c r="B150" s="1375" t="s">
        <v>154</v>
      </c>
      <c r="C150" s="1375" t="s">
        <v>156</v>
      </c>
      <c r="D150" s="1375" t="s">
        <v>1565</v>
      </c>
      <c r="E150" s="1375" t="s">
        <v>98</v>
      </c>
      <c r="F150" s="1470">
        <v>165709.71004079</v>
      </c>
      <c r="G150" s="1470">
        <v>0</v>
      </c>
      <c r="H150" s="1470"/>
    </row>
    <row r="151" spans="1:8">
      <c r="A151" s="1375">
        <v>2023</v>
      </c>
      <c r="B151" s="1375" t="s">
        <v>154</v>
      </c>
      <c r="C151" s="1375" t="s">
        <v>156</v>
      </c>
      <c r="D151" s="1375" t="s">
        <v>1566</v>
      </c>
      <c r="E151" s="1375" t="s">
        <v>99</v>
      </c>
      <c r="F151" s="1470">
        <v>0</v>
      </c>
      <c r="G151" s="1470">
        <v>0</v>
      </c>
      <c r="H151" s="1470"/>
    </row>
    <row r="152" spans="1:8">
      <c r="A152" s="1375">
        <v>2023</v>
      </c>
      <c r="B152" s="1375" t="s">
        <v>154</v>
      </c>
      <c r="C152" s="1375" t="s">
        <v>315</v>
      </c>
      <c r="D152" s="1375" t="s">
        <v>1007</v>
      </c>
      <c r="E152" s="1375" t="s">
        <v>2322</v>
      </c>
      <c r="F152" s="1470">
        <v>5074.6567500000001</v>
      </c>
      <c r="G152" s="1470">
        <v>0</v>
      </c>
      <c r="H152" s="1470"/>
    </row>
    <row r="153" spans="1:8">
      <c r="A153" s="1375">
        <v>2023</v>
      </c>
      <c r="B153" s="1375" t="s">
        <v>154</v>
      </c>
      <c r="C153" s="1375" t="s">
        <v>315</v>
      </c>
      <c r="D153" s="1375" t="s">
        <v>1262</v>
      </c>
      <c r="E153" s="1375" t="s">
        <v>447</v>
      </c>
      <c r="F153" s="1470">
        <v>193498.86825</v>
      </c>
      <c r="G153" s="1470">
        <v>0</v>
      </c>
      <c r="H153" s="1470"/>
    </row>
    <row r="154" spans="1:8">
      <c r="A154" s="1375">
        <v>2023</v>
      </c>
      <c r="B154" s="1375" t="s">
        <v>154</v>
      </c>
      <c r="C154" s="1375" t="s">
        <v>315</v>
      </c>
      <c r="D154" s="1375" t="s">
        <v>163</v>
      </c>
      <c r="E154" s="1375" t="s">
        <v>448</v>
      </c>
      <c r="F154" s="1470">
        <v>22063.724999999999</v>
      </c>
      <c r="G154" s="1470">
        <v>0</v>
      </c>
      <c r="H154" s="1470"/>
    </row>
    <row r="155" spans="1:8">
      <c r="A155" s="1375">
        <v>2023</v>
      </c>
      <c r="B155" s="1375" t="s">
        <v>154</v>
      </c>
      <c r="C155" s="1375" t="s">
        <v>317</v>
      </c>
      <c r="D155" s="1375" t="s">
        <v>1007</v>
      </c>
      <c r="E155" s="1375" t="s">
        <v>2324</v>
      </c>
      <c r="F155" s="1470">
        <v>65308.625999999997</v>
      </c>
      <c r="G155" s="1470">
        <v>0</v>
      </c>
      <c r="H155" s="1470"/>
    </row>
    <row r="156" spans="1:8">
      <c r="A156" s="1375">
        <v>2023</v>
      </c>
      <c r="B156" s="1375" t="s">
        <v>154</v>
      </c>
      <c r="C156" s="1375" t="s">
        <v>317</v>
      </c>
      <c r="D156" s="1375" t="s">
        <v>1262</v>
      </c>
      <c r="E156" s="1375" t="s">
        <v>449</v>
      </c>
      <c r="F156" s="1470">
        <v>6766.2089999999998</v>
      </c>
      <c r="G156" s="1470">
        <v>0</v>
      </c>
      <c r="H156" s="1470"/>
    </row>
    <row r="157" spans="1:8">
      <c r="A157" s="1375">
        <v>2023</v>
      </c>
      <c r="B157" s="1375" t="s">
        <v>154</v>
      </c>
      <c r="C157" s="1375" t="s">
        <v>317</v>
      </c>
      <c r="D157" s="1375" t="s">
        <v>163</v>
      </c>
      <c r="E157" s="1375" t="s">
        <v>450</v>
      </c>
      <c r="F157" s="1470">
        <v>1470.915</v>
      </c>
      <c r="G157" s="1470">
        <v>0</v>
      </c>
      <c r="H157" s="1470"/>
    </row>
    <row r="158" spans="1:8">
      <c r="A158" s="1375">
        <v>2023</v>
      </c>
      <c r="B158" s="1375" t="s">
        <v>154</v>
      </c>
      <c r="C158" s="1375" t="s">
        <v>512</v>
      </c>
      <c r="D158" s="1375" t="s">
        <v>1007</v>
      </c>
      <c r="E158" s="1375" t="s">
        <v>2343</v>
      </c>
      <c r="F158" s="1470">
        <v>1515.5397324999999</v>
      </c>
      <c r="G158" s="1470"/>
      <c r="H158" s="1470"/>
    </row>
    <row r="159" spans="1:8">
      <c r="A159" s="1375">
        <v>2023</v>
      </c>
      <c r="B159" s="1375" t="s">
        <v>154</v>
      </c>
      <c r="C159" s="1375" t="s">
        <v>512</v>
      </c>
      <c r="D159" s="1375" t="s">
        <v>163</v>
      </c>
      <c r="E159" s="1375" t="s">
        <v>1394</v>
      </c>
      <c r="F159" s="1470">
        <v>9592.9581033800005</v>
      </c>
      <c r="G159" s="1470"/>
      <c r="H159" s="1470"/>
    </row>
    <row r="160" spans="1:8">
      <c r="A160" s="1375">
        <v>2023</v>
      </c>
      <c r="B160" s="1375" t="s">
        <v>154</v>
      </c>
      <c r="C160" s="1375" t="s">
        <v>512</v>
      </c>
      <c r="D160" s="1375" t="s">
        <v>948</v>
      </c>
      <c r="E160" s="1375" t="s">
        <v>120</v>
      </c>
      <c r="F160" s="1470">
        <v>19202.296814130001</v>
      </c>
      <c r="G160" s="1470"/>
      <c r="H160" s="1470"/>
    </row>
    <row r="161" spans="1:8">
      <c r="A161" s="1375">
        <v>2023</v>
      </c>
      <c r="B161" s="1375" t="s">
        <v>154</v>
      </c>
      <c r="C161" s="1375" t="s">
        <v>316</v>
      </c>
      <c r="D161" s="1375" t="s">
        <v>1007</v>
      </c>
      <c r="E161" s="1375" t="s">
        <v>2347</v>
      </c>
      <c r="F161" s="1470">
        <v>90916.022200840001</v>
      </c>
      <c r="G161" s="1470">
        <v>0</v>
      </c>
      <c r="H161" s="1470"/>
    </row>
    <row r="162" spans="1:8">
      <c r="A162" s="1375">
        <v>2023</v>
      </c>
      <c r="B162" s="1375" t="s">
        <v>154</v>
      </c>
      <c r="C162" s="1375" t="s">
        <v>316</v>
      </c>
      <c r="D162" s="1375" t="s">
        <v>1262</v>
      </c>
      <c r="E162" s="1375" t="s">
        <v>95</v>
      </c>
      <c r="F162" s="1470">
        <v>4.0000000000000001E-8</v>
      </c>
      <c r="G162" s="1470">
        <v>0</v>
      </c>
      <c r="H162" s="1470"/>
    </row>
    <row r="163" spans="1:8">
      <c r="A163" s="1375">
        <v>2023</v>
      </c>
      <c r="B163" s="1375" t="s">
        <v>154</v>
      </c>
      <c r="C163" s="1375" t="s">
        <v>316</v>
      </c>
      <c r="D163" s="1375" t="s">
        <v>163</v>
      </c>
      <c r="E163" s="1375" t="s">
        <v>96</v>
      </c>
      <c r="F163" s="1470">
        <v>105205.97779914</v>
      </c>
      <c r="G163" s="1470">
        <v>0</v>
      </c>
      <c r="H163" s="1470"/>
    </row>
    <row r="164" spans="1:8">
      <c r="A164" s="1375">
        <v>2023</v>
      </c>
      <c r="B164" s="1375" t="s">
        <v>154</v>
      </c>
      <c r="C164" s="1375" t="s">
        <v>945</v>
      </c>
      <c r="D164" s="1375" t="s">
        <v>1007</v>
      </c>
      <c r="E164" s="1375" t="s">
        <v>115</v>
      </c>
      <c r="F164" s="1470">
        <v>67521.38129351</v>
      </c>
      <c r="G164" s="1470"/>
      <c r="H164" s="1470"/>
    </row>
    <row r="165" spans="1:8">
      <c r="A165" s="1375">
        <v>2023</v>
      </c>
      <c r="B165" s="1375" t="s">
        <v>154</v>
      </c>
      <c r="C165" s="1375" t="s">
        <v>945</v>
      </c>
      <c r="D165" s="1375" t="s">
        <v>1262</v>
      </c>
      <c r="E165" s="1375" t="s">
        <v>114</v>
      </c>
      <c r="F165" s="1470">
        <v>4933.6012024399997</v>
      </c>
      <c r="G165" s="1470">
        <v>0</v>
      </c>
      <c r="H165" s="1470"/>
    </row>
    <row r="166" spans="1:8">
      <c r="A166" s="1375">
        <v>2023</v>
      </c>
      <c r="B166" s="1375" t="s">
        <v>154</v>
      </c>
      <c r="C166" s="1375" t="s">
        <v>945</v>
      </c>
      <c r="D166" s="1375" t="s">
        <v>1130</v>
      </c>
      <c r="E166" s="1375" t="s">
        <v>400</v>
      </c>
      <c r="F166" s="1470">
        <v>63.572335539999997</v>
      </c>
      <c r="G166" s="1470">
        <v>0</v>
      </c>
      <c r="H166" s="1470"/>
    </row>
    <row r="167" spans="1:8">
      <c r="A167" s="1375">
        <v>2023</v>
      </c>
      <c r="B167" s="1375" t="s">
        <v>154</v>
      </c>
      <c r="C167" s="1375" t="s">
        <v>952</v>
      </c>
      <c r="D167" s="1375" t="s">
        <v>1007</v>
      </c>
      <c r="E167" s="1375" t="s">
        <v>2346</v>
      </c>
      <c r="F167" s="1470">
        <v>28187.361382750001</v>
      </c>
      <c r="G167" s="1470"/>
      <c r="H167" s="1470"/>
    </row>
    <row r="168" spans="1:8">
      <c r="A168" s="1375">
        <v>2023</v>
      </c>
      <c r="B168" s="1375" t="s">
        <v>154</v>
      </c>
      <c r="C168" s="1375" t="s">
        <v>952</v>
      </c>
      <c r="D168" s="1375" t="s">
        <v>1262</v>
      </c>
      <c r="E168" s="1375" t="s">
        <v>116</v>
      </c>
      <c r="F168" s="1470">
        <v>14624.780572940001</v>
      </c>
      <c r="G168" s="1470">
        <v>0</v>
      </c>
      <c r="H168" s="1470"/>
    </row>
    <row r="169" spans="1:8">
      <c r="A169" s="1375">
        <v>2023</v>
      </c>
      <c r="B169" s="1375" t="s">
        <v>154</v>
      </c>
      <c r="C169" s="1375" t="s">
        <v>952</v>
      </c>
      <c r="D169" s="1375" t="s">
        <v>1130</v>
      </c>
      <c r="E169" s="1375" t="s">
        <v>1543</v>
      </c>
      <c r="F169" s="1470">
        <v>3731.8616750599999</v>
      </c>
      <c r="G169" s="1470">
        <v>0</v>
      </c>
      <c r="H169" s="1470"/>
    </row>
    <row r="170" spans="1:8">
      <c r="A170" s="1375">
        <v>2023</v>
      </c>
      <c r="B170" s="1375" t="s">
        <v>154</v>
      </c>
      <c r="C170" s="1375" t="s">
        <v>952</v>
      </c>
      <c r="D170" s="1375" t="s">
        <v>332</v>
      </c>
      <c r="E170" s="1375" t="s">
        <v>454</v>
      </c>
      <c r="F170" s="1470">
        <v>0</v>
      </c>
      <c r="G170" s="1470"/>
      <c r="H170" s="1470"/>
    </row>
    <row r="171" spans="1:8">
      <c r="A171" s="1375">
        <v>2023</v>
      </c>
      <c r="B171" s="1375" t="s">
        <v>154</v>
      </c>
      <c r="C171" s="1375" t="s">
        <v>953</v>
      </c>
      <c r="D171" s="1375" t="s">
        <v>1007</v>
      </c>
      <c r="E171" s="1375" t="s">
        <v>106</v>
      </c>
      <c r="F171" s="1470">
        <v>18600.779895930002</v>
      </c>
      <c r="G171" s="1470"/>
      <c r="H171" s="1470"/>
    </row>
    <row r="172" spans="1:8">
      <c r="A172" s="1375">
        <v>2023</v>
      </c>
      <c r="B172" s="1375" t="s">
        <v>154</v>
      </c>
      <c r="C172" s="1375" t="s">
        <v>953</v>
      </c>
      <c r="D172" s="1375" t="s">
        <v>1262</v>
      </c>
      <c r="E172" s="1375" t="s">
        <v>107</v>
      </c>
      <c r="F172" s="1470">
        <v>2329.75393055</v>
      </c>
      <c r="G172" s="1470">
        <v>0</v>
      </c>
      <c r="H172" s="1470"/>
    </row>
    <row r="173" spans="1:8">
      <c r="A173" s="1375">
        <v>2023</v>
      </c>
      <c r="B173" s="1375" t="s">
        <v>154</v>
      </c>
      <c r="C173" s="1375" t="s">
        <v>953</v>
      </c>
      <c r="D173" s="1375" t="s">
        <v>1130</v>
      </c>
      <c r="E173" s="1375" t="s">
        <v>108</v>
      </c>
      <c r="F173" s="1470">
        <v>6.8992005199999999</v>
      </c>
      <c r="G173" s="1470">
        <v>0</v>
      </c>
      <c r="H173" s="1470"/>
    </row>
    <row r="174" spans="1:8">
      <c r="A174" s="1375">
        <v>2023</v>
      </c>
      <c r="B174" s="1375" t="s">
        <v>154</v>
      </c>
      <c r="C174" s="1375" t="s">
        <v>1535</v>
      </c>
      <c r="D174" s="1375" t="s">
        <v>1007</v>
      </c>
      <c r="E174" s="1375" t="s">
        <v>2326</v>
      </c>
      <c r="F174" s="1470">
        <v>182794.7601594</v>
      </c>
      <c r="G174" s="1470">
        <v>0</v>
      </c>
      <c r="H174" s="1470">
        <v>0</v>
      </c>
    </row>
    <row r="175" spans="1:8">
      <c r="A175" s="1375">
        <v>2023</v>
      </c>
      <c r="B175" s="1375" t="s">
        <v>154</v>
      </c>
      <c r="C175" s="1375" t="s">
        <v>1535</v>
      </c>
      <c r="D175" s="1375" t="s">
        <v>1536</v>
      </c>
      <c r="E175" s="1375" t="s">
        <v>1534</v>
      </c>
      <c r="F175" s="1470">
        <v>168336.77283105999</v>
      </c>
      <c r="G175" s="1470">
        <v>24533.098932379999</v>
      </c>
      <c r="H175" s="1470">
        <v>0</v>
      </c>
    </row>
    <row r="176" spans="1:8">
      <c r="A176" s="1375">
        <v>2023</v>
      </c>
      <c r="B176" s="1375" t="s">
        <v>154</v>
      </c>
      <c r="C176" s="1375" t="s">
        <v>1535</v>
      </c>
      <c r="D176" s="1375" t="s">
        <v>1386</v>
      </c>
      <c r="E176" s="1375" t="s">
        <v>1537</v>
      </c>
      <c r="F176" s="1470">
        <v>5069.21189177</v>
      </c>
      <c r="G176" s="1470">
        <v>1267.30297294</v>
      </c>
      <c r="H176" s="1470">
        <v>0</v>
      </c>
    </row>
    <row r="177" spans="1:8">
      <c r="A177" s="1375">
        <v>2023</v>
      </c>
      <c r="B177" s="1375" t="s">
        <v>154</v>
      </c>
      <c r="C177" s="1375" t="s">
        <v>1535</v>
      </c>
      <c r="D177" s="1375" t="s">
        <v>1387</v>
      </c>
      <c r="E177" s="1375" t="s">
        <v>1538</v>
      </c>
      <c r="F177" s="1470">
        <v>0</v>
      </c>
      <c r="G177" s="1470">
        <v>0</v>
      </c>
      <c r="H177" s="1470">
        <v>0</v>
      </c>
    </row>
    <row r="178" spans="1:8">
      <c r="A178" s="1375">
        <v>2023</v>
      </c>
      <c r="B178" s="1375" t="s">
        <v>154</v>
      </c>
      <c r="C178" s="1375" t="s">
        <v>1535</v>
      </c>
      <c r="D178" s="1375" t="s">
        <v>1388</v>
      </c>
      <c r="E178" s="1375" t="s">
        <v>1539</v>
      </c>
      <c r="F178" s="1470">
        <v>0</v>
      </c>
      <c r="G178" s="1470">
        <v>0</v>
      </c>
      <c r="H178" s="1470">
        <v>0</v>
      </c>
    </row>
    <row r="179" spans="1:8">
      <c r="A179" s="1375">
        <v>2023</v>
      </c>
      <c r="B179" s="1375" t="s">
        <v>154</v>
      </c>
      <c r="C179" s="1375" t="s">
        <v>1535</v>
      </c>
      <c r="D179" s="1375" t="s">
        <v>1389</v>
      </c>
      <c r="E179" s="1375" t="s">
        <v>1540</v>
      </c>
      <c r="F179" s="1470">
        <v>0</v>
      </c>
      <c r="G179" s="1470">
        <v>0</v>
      </c>
      <c r="H179" s="1470">
        <v>0</v>
      </c>
    </row>
    <row r="180" spans="1:8">
      <c r="A180" s="1375">
        <v>2023</v>
      </c>
      <c r="B180" s="1375" t="s">
        <v>154</v>
      </c>
      <c r="C180" s="1375" t="s">
        <v>1535</v>
      </c>
      <c r="D180" s="1375" t="s">
        <v>1390</v>
      </c>
      <c r="E180" s="1375" t="s">
        <v>1541</v>
      </c>
      <c r="F180" s="1470">
        <v>2104.95803101</v>
      </c>
      <c r="G180" s="1470">
        <v>526.23950775000003</v>
      </c>
      <c r="H180" s="1470">
        <v>0</v>
      </c>
    </row>
    <row r="181" spans="1:8">
      <c r="A181" s="1375">
        <v>2023</v>
      </c>
      <c r="B181" s="1375" t="s">
        <v>154</v>
      </c>
      <c r="C181" s="1375" t="s">
        <v>3058</v>
      </c>
      <c r="D181" s="1375" t="s">
        <v>3059</v>
      </c>
      <c r="E181" s="1375" t="s">
        <v>86</v>
      </c>
      <c r="F181" s="1470">
        <v>653871.33095086005</v>
      </c>
      <c r="G181" s="1470"/>
      <c r="H181" s="1470">
        <v>490951.73861972999</v>
      </c>
    </row>
    <row r="182" spans="1:8">
      <c r="A182" s="1375">
        <v>2023</v>
      </c>
      <c r="B182" s="1375" t="s">
        <v>154</v>
      </c>
      <c r="C182" s="1375" t="s">
        <v>3071</v>
      </c>
      <c r="D182" s="1375" t="s">
        <v>3059</v>
      </c>
      <c r="E182" s="1375" t="s">
        <v>3070</v>
      </c>
      <c r="F182" s="1470">
        <v>653871.33095086005</v>
      </c>
      <c r="G182" s="1470"/>
      <c r="H182" s="1470">
        <v>490951.73861972999</v>
      </c>
    </row>
    <row r="183" spans="1:8">
      <c r="A183" s="1375">
        <v>2023</v>
      </c>
      <c r="B183" s="1375" t="s">
        <v>1758</v>
      </c>
      <c r="C183" s="1375" t="s">
        <v>1575</v>
      </c>
      <c r="D183" s="1375" t="s">
        <v>334</v>
      </c>
      <c r="E183" s="1375" t="s">
        <v>1559</v>
      </c>
      <c r="F183" s="1470">
        <v>1298.3988272300001</v>
      </c>
      <c r="G183" s="1470">
        <v>0</v>
      </c>
      <c r="H183" s="1470">
        <v>0</v>
      </c>
    </row>
    <row r="184" spans="1:8">
      <c r="A184" s="1375">
        <v>2023</v>
      </c>
      <c r="B184" s="1375" t="s">
        <v>1758</v>
      </c>
      <c r="C184" s="1375" t="s">
        <v>1570</v>
      </c>
      <c r="D184" s="1375" t="s">
        <v>157</v>
      </c>
      <c r="E184" s="1375" t="s">
        <v>1556</v>
      </c>
      <c r="F184" s="1470">
        <v>22.6875</v>
      </c>
      <c r="G184" s="1470">
        <v>0</v>
      </c>
      <c r="H184" s="1470">
        <v>0</v>
      </c>
    </row>
    <row r="185" spans="1:8">
      <c r="A185" s="1375">
        <v>2023</v>
      </c>
      <c r="B185" s="1375" t="s">
        <v>1758</v>
      </c>
      <c r="C185" s="1375" t="s">
        <v>1570</v>
      </c>
      <c r="D185" s="1375" t="s">
        <v>158</v>
      </c>
      <c r="E185" s="1375" t="s">
        <v>1557</v>
      </c>
      <c r="F185" s="1470">
        <v>0</v>
      </c>
      <c r="G185" s="1470">
        <v>0</v>
      </c>
      <c r="H185" s="1470">
        <v>0</v>
      </c>
    </row>
    <row r="186" spans="1:8">
      <c r="A186" s="1375">
        <v>2023</v>
      </c>
      <c r="B186" s="1375" t="s">
        <v>1758</v>
      </c>
      <c r="C186" s="1375" t="s">
        <v>1570</v>
      </c>
      <c r="D186" s="1375" t="s">
        <v>818</v>
      </c>
      <c r="E186" s="1375" t="s">
        <v>1558</v>
      </c>
      <c r="F186" s="1470">
        <v>18.149999999999999</v>
      </c>
      <c r="G186" s="1470">
        <v>0</v>
      </c>
      <c r="H186" s="1470">
        <v>0</v>
      </c>
    </row>
    <row r="187" spans="1:8">
      <c r="A187" s="1375">
        <v>2023</v>
      </c>
      <c r="B187" s="1375" t="s">
        <v>1758</v>
      </c>
      <c r="C187" s="1375" t="s">
        <v>1568</v>
      </c>
      <c r="D187" s="1375" t="s">
        <v>157</v>
      </c>
      <c r="E187" s="1375" t="s">
        <v>1551</v>
      </c>
      <c r="F187" s="1470">
        <v>14.52</v>
      </c>
      <c r="G187" s="1470">
        <v>0</v>
      </c>
      <c r="H187" s="1470">
        <v>0</v>
      </c>
    </row>
    <row r="188" spans="1:8">
      <c r="A188" s="1375">
        <v>2023</v>
      </c>
      <c r="B188" s="1375" t="s">
        <v>1758</v>
      </c>
      <c r="C188" s="1375" t="s">
        <v>1568</v>
      </c>
      <c r="D188" s="1375" t="s">
        <v>158</v>
      </c>
      <c r="E188" s="1375" t="s">
        <v>1552</v>
      </c>
      <c r="F188" s="1470">
        <v>198.13749999999999</v>
      </c>
      <c r="G188" s="1470">
        <v>0</v>
      </c>
      <c r="H188" s="1470">
        <v>0</v>
      </c>
    </row>
    <row r="189" spans="1:8">
      <c r="A189" s="1375">
        <v>2023</v>
      </c>
      <c r="B189" s="1375" t="s">
        <v>1758</v>
      </c>
      <c r="C189" s="1375" t="s">
        <v>1743</v>
      </c>
      <c r="D189" s="1375" t="s">
        <v>157</v>
      </c>
      <c r="E189" s="1375" t="s">
        <v>1560</v>
      </c>
      <c r="F189" s="1470">
        <v>246.62033424000001</v>
      </c>
      <c r="G189" s="1470">
        <v>0</v>
      </c>
      <c r="H189" s="1470">
        <v>0</v>
      </c>
    </row>
    <row r="190" spans="1:8">
      <c r="A190" s="1375">
        <v>2023</v>
      </c>
      <c r="B190" s="1375" t="s">
        <v>1758</v>
      </c>
      <c r="C190" s="1375" t="s">
        <v>1743</v>
      </c>
      <c r="D190" s="1375" t="s">
        <v>158</v>
      </c>
      <c r="E190" s="1375" t="s">
        <v>1561</v>
      </c>
      <c r="F190" s="1470">
        <v>128.77327579000001</v>
      </c>
      <c r="G190" s="1470">
        <v>0</v>
      </c>
      <c r="H190" s="1470">
        <v>0</v>
      </c>
    </row>
    <row r="191" spans="1:8">
      <c r="A191" s="1375">
        <v>2023</v>
      </c>
      <c r="B191" s="1375" t="s">
        <v>1758</v>
      </c>
      <c r="C191" s="1375" t="s">
        <v>1569</v>
      </c>
      <c r="D191" s="1375" t="s">
        <v>157</v>
      </c>
      <c r="E191" s="1375" t="s">
        <v>1553</v>
      </c>
      <c r="F191" s="1470">
        <v>1039.0875000000001</v>
      </c>
      <c r="G191" s="1470">
        <v>0</v>
      </c>
      <c r="H191" s="1470">
        <v>0</v>
      </c>
    </row>
    <row r="192" spans="1:8">
      <c r="A192" s="1375">
        <v>2023</v>
      </c>
      <c r="B192" s="1375" t="s">
        <v>1758</v>
      </c>
      <c r="C192" s="1375" t="s">
        <v>1569</v>
      </c>
      <c r="D192" s="1375" t="s">
        <v>158</v>
      </c>
      <c r="E192" s="1375" t="s">
        <v>1554</v>
      </c>
      <c r="F192" s="1470">
        <v>618.61249999999995</v>
      </c>
      <c r="G192" s="1470">
        <v>0</v>
      </c>
      <c r="H192" s="1470">
        <v>0</v>
      </c>
    </row>
    <row r="193" spans="1:8">
      <c r="A193" s="1375">
        <v>2023</v>
      </c>
      <c r="B193" s="1375" t="s">
        <v>1758</v>
      </c>
      <c r="C193" s="1375" t="s">
        <v>1569</v>
      </c>
      <c r="D193" s="1375" t="s">
        <v>818</v>
      </c>
      <c r="E193" s="1375" t="s">
        <v>1555</v>
      </c>
      <c r="F193" s="1470">
        <v>1786.2625</v>
      </c>
      <c r="G193" s="1470">
        <v>0</v>
      </c>
      <c r="H193" s="1470">
        <v>0</v>
      </c>
    </row>
    <row r="194" spans="1:8">
      <c r="A194" s="1375">
        <v>2023</v>
      </c>
      <c r="B194" s="1375" t="s">
        <v>1758</v>
      </c>
      <c r="C194" s="1375" t="s">
        <v>1567</v>
      </c>
      <c r="D194" s="1375" t="s">
        <v>157</v>
      </c>
      <c r="E194" s="1375" t="s">
        <v>1549</v>
      </c>
      <c r="F194" s="1470">
        <v>778.9375</v>
      </c>
      <c r="G194" s="1470">
        <v>0</v>
      </c>
      <c r="H194" s="1470">
        <v>0</v>
      </c>
    </row>
    <row r="195" spans="1:8">
      <c r="A195" s="1375">
        <v>2023</v>
      </c>
      <c r="B195" s="1375" t="s">
        <v>1758</v>
      </c>
      <c r="C195" s="1375" t="s">
        <v>1567</v>
      </c>
      <c r="D195" s="1375" t="s">
        <v>158</v>
      </c>
      <c r="E195" s="1375" t="s">
        <v>1550</v>
      </c>
      <c r="F195" s="1470">
        <v>1760.55</v>
      </c>
      <c r="G195" s="1470">
        <v>0</v>
      </c>
      <c r="H195" s="1470">
        <v>0</v>
      </c>
    </row>
    <row r="196" spans="1:8">
      <c r="A196" s="1375">
        <v>2023</v>
      </c>
      <c r="B196" s="1375" t="s">
        <v>152</v>
      </c>
      <c r="C196" s="1375" t="s">
        <v>805</v>
      </c>
      <c r="D196" s="1375" t="s">
        <v>157</v>
      </c>
      <c r="E196" s="1375" t="s">
        <v>57</v>
      </c>
      <c r="F196" s="1470">
        <v>5525</v>
      </c>
      <c r="G196" s="1470">
        <v>1957</v>
      </c>
      <c r="H196" s="1470">
        <v>5525</v>
      </c>
    </row>
    <row r="197" spans="1:8">
      <c r="A197" s="1375">
        <v>2023</v>
      </c>
      <c r="B197" s="1375" t="s">
        <v>152</v>
      </c>
      <c r="C197" s="1375" t="s">
        <v>805</v>
      </c>
      <c r="D197" s="1375" t="s">
        <v>158</v>
      </c>
      <c r="E197" s="1375" t="s">
        <v>58</v>
      </c>
      <c r="F197" s="1470">
        <v>5519</v>
      </c>
      <c r="G197" s="1470">
        <v>2093</v>
      </c>
      <c r="H197" s="1470">
        <v>193.16499999999999</v>
      </c>
    </row>
    <row r="198" spans="1:8">
      <c r="A198" s="1375">
        <v>2023</v>
      </c>
      <c r="B198" s="1375" t="s">
        <v>152</v>
      </c>
      <c r="C198" s="1375" t="s">
        <v>805</v>
      </c>
      <c r="D198" s="1375" t="s">
        <v>818</v>
      </c>
      <c r="E198" s="1375" t="s">
        <v>762</v>
      </c>
      <c r="F198" s="1470">
        <v>5482</v>
      </c>
      <c r="G198" s="1470">
        <v>1931</v>
      </c>
      <c r="H198" s="1470">
        <v>191.87</v>
      </c>
    </row>
    <row r="199" spans="1:8">
      <c r="A199" s="1375">
        <v>2023</v>
      </c>
      <c r="B199" s="1375" t="s">
        <v>152</v>
      </c>
      <c r="C199" s="1375" t="s">
        <v>805</v>
      </c>
      <c r="D199" s="1375" t="s">
        <v>819</v>
      </c>
      <c r="E199" s="1375" t="s">
        <v>763</v>
      </c>
      <c r="F199" s="1470">
        <v>4420</v>
      </c>
      <c r="G199" s="1470">
        <v>1557</v>
      </c>
      <c r="H199" s="1470">
        <v>154.69999999999999</v>
      </c>
    </row>
    <row r="200" spans="1:8">
      <c r="A200" s="1375">
        <v>2023</v>
      </c>
      <c r="B200" s="1375" t="s">
        <v>152</v>
      </c>
      <c r="C200" s="1375" t="s">
        <v>804</v>
      </c>
      <c r="D200" s="1375" t="s">
        <v>157</v>
      </c>
      <c r="E200" s="1375" t="s">
        <v>55</v>
      </c>
      <c r="F200" s="1470">
        <v>12892</v>
      </c>
      <c r="G200" s="1470">
        <v>6947</v>
      </c>
      <c r="H200" s="1470">
        <v>451.22</v>
      </c>
    </row>
    <row r="201" spans="1:8">
      <c r="A201" s="1375">
        <v>2023</v>
      </c>
      <c r="B201" s="1375" t="s">
        <v>152</v>
      </c>
      <c r="C201" s="1375" t="s">
        <v>804</v>
      </c>
      <c r="D201" s="1375" t="s">
        <v>158</v>
      </c>
      <c r="E201" s="1375" t="s">
        <v>56</v>
      </c>
      <c r="F201" s="1470">
        <v>12661</v>
      </c>
      <c r="G201" s="1470">
        <v>6595</v>
      </c>
      <c r="H201" s="1470">
        <v>443.13499999999999</v>
      </c>
    </row>
    <row r="202" spans="1:8">
      <c r="A202" s="1375">
        <v>2023</v>
      </c>
      <c r="B202" s="1375" t="s">
        <v>152</v>
      </c>
      <c r="C202" s="1375" t="s">
        <v>804</v>
      </c>
      <c r="D202" s="1375" t="s">
        <v>818</v>
      </c>
      <c r="E202" s="1375" t="s">
        <v>770</v>
      </c>
      <c r="F202" s="1470">
        <v>12575</v>
      </c>
      <c r="G202" s="1470">
        <v>6555</v>
      </c>
      <c r="H202" s="1470">
        <v>440.125</v>
      </c>
    </row>
    <row r="203" spans="1:8">
      <c r="A203" s="1375">
        <v>2023</v>
      </c>
      <c r="B203" s="1375" t="s">
        <v>152</v>
      </c>
      <c r="C203" s="1375" t="s">
        <v>804</v>
      </c>
      <c r="D203" s="1375" t="s">
        <v>819</v>
      </c>
      <c r="E203" s="1375" t="s">
        <v>771</v>
      </c>
      <c r="F203" s="1470">
        <v>10314</v>
      </c>
      <c r="G203" s="1470">
        <v>5376</v>
      </c>
      <c r="H203" s="1470">
        <v>360.99</v>
      </c>
    </row>
    <row r="204" spans="1:8">
      <c r="A204" s="1375">
        <v>2023</v>
      </c>
      <c r="B204" s="1375" t="s">
        <v>152</v>
      </c>
      <c r="C204" s="1375" t="s">
        <v>806</v>
      </c>
      <c r="D204" s="1375" t="s">
        <v>157</v>
      </c>
      <c r="E204" s="1375" t="s">
        <v>744</v>
      </c>
      <c r="F204" s="1470">
        <v>5981</v>
      </c>
      <c r="G204" s="1470">
        <v>1904</v>
      </c>
      <c r="H204" s="1470">
        <v>598.1</v>
      </c>
    </row>
    <row r="205" spans="1:8">
      <c r="A205" s="1375">
        <v>2023</v>
      </c>
      <c r="B205" s="1375" t="s">
        <v>152</v>
      </c>
      <c r="C205" s="1375" t="s">
        <v>806</v>
      </c>
      <c r="D205" s="1375" t="s">
        <v>158</v>
      </c>
      <c r="E205" s="1375" t="s">
        <v>745</v>
      </c>
      <c r="F205" s="1470">
        <v>5874</v>
      </c>
      <c r="G205" s="1470">
        <v>1889</v>
      </c>
      <c r="H205" s="1470">
        <v>587.4</v>
      </c>
    </row>
    <row r="206" spans="1:8">
      <c r="A206" s="1375">
        <v>2023</v>
      </c>
      <c r="B206" s="1375" t="s">
        <v>152</v>
      </c>
      <c r="C206" s="1375" t="s">
        <v>806</v>
      </c>
      <c r="D206" s="1375" t="s">
        <v>818</v>
      </c>
      <c r="E206" s="1375" t="s">
        <v>764</v>
      </c>
      <c r="F206" s="1470">
        <v>5834</v>
      </c>
      <c r="G206" s="1470">
        <v>1884</v>
      </c>
      <c r="H206" s="1470">
        <v>583.4</v>
      </c>
    </row>
    <row r="207" spans="1:8">
      <c r="A207" s="1375">
        <v>2023</v>
      </c>
      <c r="B207" s="1375" t="s">
        <v>152</v>
      </c>
      <c r="C207" s="1375" t="s">
        <v>806</v>
      </c>
      <c r="D207" s="1375" t="s">
        <v>819</v>
      </c>
      <c r="E207" s="1375" t="s">
        <v>765</v>
      </c>
      <c r="F207" s="1470">
        <v>4785</v>
      </c>
      <c r="G207" s="1470">
        <v>1545</v>
      </c>
      <c r="H207" s="1470">
        <v>478.5</v>
      </c>
    </row>
    <row r="208" spans="1:8">
      <c r="A208" s="1375">
        <v>2023</v>
      </c>
      <c r="B208" s="1375" t="s">
        <v>152</v>
      </c>
      <c r="C208" s="1375" t="s">
        <v>807</v>
      </c>
      <c r="D208" s="1375" t="s">
        <v>157</v>
      </c>
      <c r="E208" s="1375" t="s">
        <v>766</v>
      </c>
      <c r="F208" s="1470">
        <v>2563</v>
      </c>
      <c r="G208" s="1470">
        <v>791</v>
      </c>
      <c r="H208" s="1470">
        <v>2563</v>
      </c>
    </row>
    <row r="209" spans="1:8">
      <c r="A209" s="1375">
        <v>2023</v>
      </c>
      <c r="B209" s="1375" t="s">
        <v>152</v>
      </c>
      <c r="C209" s="1375" t="s">
        <v>807</v>
      </c>
      <c r="D209" s="1375" t="s">
        <v>158</v>
      </c>
      <c r="E209" s="1375" t="s">
        <v>767</v>
      </c>
      <c r="F209" s="1470">
        <v>2560</v>
      </c>
      <c r="G209" s="1470">
        <v>784</v>
      </c>
      <c r="H209" s="1470">
        <v>256</v>
      </c>
    </row>
    <row r="210" spans="1:8">
      <c r="A210" s="1375">
        <v>2023</v>
      </c>
      <c r="B210" s="1375" t="s">
        <v>152</v>
      </c>
      <c r="C210" s="1375" t="s">
        <v>807</v>
      </c>
      <c r="D210" s="1375" t="s">
        <v>818</v>
      </c>
      <c r="E210" s="1375" t="s">
        <v>768</v>
      </c>
      <c r="F210" s="1470">
        <v>2543</v>
      </c>
      <c r="G210" s="1470">
        <v>783</v>
      </c>
      <c r="H210" s="1470">
        <v>254.3</v>
      </c>
    </row>
    <row r="211" spans="1:8">
      <c r="A211" s="1375">
        <v>2023</v>
      </c>
      <c r="B211" s="1375" t="s">
        <v>152</v>
      </c>
      <c r="C211" s="1375" t="s">
        <v>807</v>
      </c>
      <c r="D211" s="1375" t="s">
        <v>819</v>
      </c>
      <c r="E211" s="1375" t="s">
        <v>769</v>
      </c>
      <c r="F211" s="1470">
        <v>2050</v>
      </c>
      <c r="G211" s="1470">
        <v>631</v>
      </c>
      <c r="H211" s="1470">
        <v>205</v>
      </c>
    </row>
    <row r="212" spans="1:8">
      <c r="A212" s="1375">
        <v>2023</v>
      </c>
      <c r="B212" s="1375" t="s">
        <v>746</v>
      </c>
      <c r="C212" s="1375" t="s">
        <v>295</v>
      </c>
      <c r="D212" s="1375" t="s">
        <v>367</v>
      </c>
      <c r="E212" s="1375" t="s">
        <v>2305</v>
      </c>
      <c r="F212" s="1470">
        <v>0</v>
      </c>
      <c r="G212" s="1470"/>
      <c r="H212" s="1470"/>
    </row>
    <row r="213" spans="1:8">
      <c r="A213" s="1375">
        <v>2023</v>
      </c>
      <c r="B213" s="1375" t="s">
        <v>746</v>
      </c>
      <c r="C213" s="1375" t="s">
        <v>295</v>
      </c>
      <c r="D213" s="1375" t="s">
        <v>357</v>
      </c>
      <c r="E213" s="1375" t="s">
        <v>62</v>
      </c>
      <c r="F213" s="1470">
        <v>17593</v>
      </c>
      <c r="G213" s="1470"/>
      <c r="H213" s="1470"/>
    </row>
    <row r="214" spans="1:8">
      <c r="A214" s="1375">
        <v>2023</v>
      </c>
      <c r="B214" s="1375" t="s">
        <v>746</v>
      </c>
      <c r="C214" s="1375" t="s">
        <v>303</v>
      </c>
      <c r="D214" s="1375" t="s">
        <v>367</v>
      </c>
      <c r="E214" s="1375" t="s">
        <v>64</v>
      </c>
      <c r="F214" s="1470">
        <v>0</v>
      </c>
      <c r="G214" s="1470"/>
      <c r="H214" s="1470"/>
    </row>
    <row r="215" spans="1:8">
      <c r="A215" s="1375">
        <v>2023</v>
      </c>
      <c r="B215" s="1375" t="s">
        <v>746</v>
      </c>
      <c r="C215" s="1375" t="s">
        <v>303</v>
      </c>
      <c r="D215" s="1375" t="s">
        <v>357</v>
      </c>
      <c r="E215" s="1375" t="s">
        <v>63</v>
      </c>
      <c r="F215" s="1470">
        <v>3078</v>
      </c>
      <c r="G215" s="1470"/>
      <c r="H215" s="1470"/>
    </row>
    <row r="216" spans="1:8">
      <c r="A216" s="1375">
        <v>2023</v>
      </c>
      <c r="B216" s="1375" t="s">
        <v>746</v>
      </c>
      <c r="C216" s="1375" t="s">
        <v>309</v>
      </c>
      <c r="D216" s="1375" t="s">
        <v>1564</v>
      </c>
      <c r="E216" s="1375" t="s">
        <v>65</v>
      </c>
      <c r="F216" s="1470">
        <v>11547</v>
      </c>
      <c r="G216" s="1470"/>
      <c r="H216" s="1470"/>
    </row>
    <row r="217" spans="1:8">
      <c r="A217" s="1375">
        <v>2023</v>
      </c>
      <c r="B217" s="1375" t="s">
        <v>746</v>
      </c>
      <c r="C217" s="1375" t="s">
        <v>309</v>
      </c>
      <c r="D217" s="1375" t="s">
        <v>944</v>
      </c>
      <c r="E217" s="1375" t="s">
        <v>66</v>
      </c>
      <c r="F217" s="1470">
        <v>0</v>
      </c>
      <c r="G217" s="1470"/>
      <c r="H217" s="1470"/>
    </row>
    <row r="218" spans="1:8">
      <c r="A218" s="1375">
        <v>2023</v>
      </c>
      <c r="B218" s="1375" t="s">
        <v>746</v>
      </c>
      <c r="C218" s="1375" t="s">
        <v>327</v>
      </c>
      <c r="D218" s="1375" t="s">
        <v>885</v>
      </c>
      <c r="E218" s="1375" t="s">
        <v>458</v>
      </c>
      <c r="F218" s="1470">
        <v>0</v>
      </c>
      <c r="G218" s="1470"/>
      <c r="H218" s="1470"/>
    </row>
    <row r="219" spans="1:8">
      <c r="A219" s="1375">
        <v>2023</v>
      </c>
      <c r="B219" s="1375" t="s">
        <v>746</v>
      </c>
      <c r="C219" s="1375" t="s">
        <v>682</v>
      </c>
      <c r="D219" s="1375" t="s">
        <v>927</v>
      </c>
      <c r="E219" s="1375" t="s">
        <v>681</v>
      </c>
      <c r="F219" s="1470">
        <v>2807.25</v>
      </c>
      <c r="G219" s="1470">
        <v>2807.25</v>
      </c>
      <c r="H219" s="1470"/>
    </row>
    <row r="220" spans="1:8">
      <c r="A220" s="1375">
        <v>2023</v>
      </c>
      <c r="B220" s="1375" t="s">
        <v>746</v>
      </c>
      <c r="C220" s="1375" t="s">
        <v>932</v>
      </c>
      <c r="D220" s="1375" t="s">
        <v>927</v>
      </c>
      <c r="E220" s="1375" t="s">
        <v>77</v>
      </c>
      <c r="F220" s="1470">
        <v>3614.6544240600001</v>
      </c>
      <c r="G220" s="1470">
        <v>0</v>
      </c>
      <c r="H220" s="1470"/>
    </row>
    <row r="221" spans="1:8">
      <c r="A221" s="1375">
        <v>2023</v>
      </c>
      <c r="B221" s="1375" t="s">
        <v>746</v>
      </c>
      <c r="C221" s="1375" t="s">
        <v>1529</v>
      </c>
      <c r="D221" s="1375" t="s">
        <v>927</v>
      </c>
      <c r="E221" s="1375" t="s">
        <v>81</v>
      </c>
      <c r="F221" s="1470">
        <v>5</v>
      </c>
      <c r="G221" s="1470">
        <v>0</v>
      </c>
      <c r="H221" s="1470"/>
    </row>
    <row r="222" spans="1:8">
      <c r="A222" s="1375">
        <v>2023</v>
      </c>
      <c r="B222" s="1375" t="s">
        <v>746</v>
      </c>
      <c r="C222" s="1375" t="s">
        <v>937</v>
      </c>
      <c r="D222" s="1375" t="s">
        <v>927</v>
      </c>
      <c r="E222" s="1375" t="s">
        <v>757</v>
      </c>
      <c r="F222" s="1470">
        <v>400</v>
      </c>
      <c r="G222" s="1470">
        <v>400</v>
      </c>
      <c r="H222" s="1470"/>
    </row>
    <row r="223" spans="1:8">
      <c r="A223" s="1375">
        <v>2023</v>
      </c>
      <c r="B223" s="1375" t="s">
        <v>746</v>
      </c>
      <c r="C223" s="1375" t="s">
        <v>933</v>
      </c>
      <c r="D223" s="1375" t="s">
        <v>927</v>
      </c>
      <c r="E223" s="1375" t="s">
        <v>78</v>
      </c>
      <c r="F223" s="1470">
        <v>50</v>
      </c>
      <c r="G223" s="1470">
        <v>0</v>
      </c>
      <c r="H223" s="1470"/>
    </row>
    <row r="224" spans="1:8">
      <c r="A224" s="1375">
        <v>2023</v>
      </c>
      <c r="B224" s="1375" t="s">
        <v>746</v>
      </c>
      <c r="C224" s="1375" t="s">
        <v>1530</v>
      </c>
      <c r="D224" s="1375" t="s">
        <v>927</v>
      </c>
      <c r="E224" s="1375" t="s">
        <v>82</v>
      </c>
      <c r="F224" s="1470">
        <v>0</v>
      </c>
      <c r="G224" s="1470">
        <v>0</v>
      </c>
      <c r="H224" s="1470"/>
    </row>
    <row r="225" spans="1:8">
      <c r="A225" s="1375">
        <v>2023</v>
      </c>
      <c r="B225" s="1375" t="s">
        <v>746</v>
      </c>
      <c r="C225" s="1375" t="s">
        <v>938</v>
      </c>
      <c r="D225" s="1375" t="s">
        <v>927</v>
      </c>
      <c r="E225" s="1375" t="s">
        <v>758</v>
      </c>
      <c r="F225" s="1470">
        <v>5</v>
      </c>
      <c r="G225" s="1470">
        <v>5</v>
      </c>
      <c r="H225" s="1470"/>
    </row>
    <row r="226" spans="1:8">
      <c r="A226" s="1375">
        <v>2023</v>
      </c>
      <c r="B226" s="1375" t="s">
        <v>746</v>
      </c>
      <c r="C226" s="1375" t="s">
        <v>942</v>
      </c>
      <c r="D226" s="1375" t="s">
        <v>927</v>
      </c>
      <c r="E226" s="1375" t="s">
        <v>756</v>
      </c>
      <c r="F226" s="1470">
        <v>15</v>
      </c>
      <c r="G226" s="1470">
        <v>0</v>
      </c>
      <c r="H226" s="1470"/>
    </row>
    <row r="227" spans="1:8">
      <c r="A227" s="1375">
        <v>2023</v>
      </c>
      <c r="B227" s="1375" t="s">
        <v>746</v>
      </c>
      <c r="C227" s="1375" t="s">
        <v>934</v>
      </c>
      <c r="D227" s="1375" t="s">
        <v>927</v>
      </c>
      <c r="E227" s="1375" t="s">
        <v>79</v>
      </c>
      <c r="F227" s="1470">
        <v>40</v>
      </c>
      <c r="G227" s="1470">
        <v>0</v>
      </c>
      <c r="H227" s="1470"/>
    </row>
    <row r="228" spans="1:8">
      <c r="A228" s="1375">
        <v>2023</v>
      </c>
      <c r="B228" s="1375" t="s">
        <v>746</v>
      </c>
      <c r="C228" s="1375" t="s">
        <v>1531</v>
      </c>
      <c r="D228" s="1375" t="s">
        <v>927</v>
      </c>
      <c r="E228" s="1375" t="s">
        <v>83</v>
      </c>
      <c r="F228" s="1470">
        <v>0</v>
      </c>
      <c r="G228" s="1470">
        <v>0</v>
      </c>
      <c r="H228" s="1470"/>
    </row>
    <row r="229" spans="1:8">
      <c r="A229" s="1375">
        <v>2023</v>
      </c>
      <c r="B229" s="1375" t="s">
        <v>746</v>
      </c>
      <c r="C229" s="1375" t="s">
        <v>939</v>
      </c>
      <c r="D229" s="1375" t="s">
        <v>927</v>
      </c>
      <c r="E229" s="1375" t="s">
        <v>759</v>
      </c>
      <c r="F229" s="1470">
        <v>10</v>
      </c>
      <c r="G229" s="1470">
        <v>10</v>
      </c>
      <c r="H229" s="1470"/>
    </row>
    <row r="230" spans="1:8">
      <c r="A230" s="1375">
        <v>2023</v>
      </c>
      <c r="B230" s="1375" t="s">
        <v>746</v>
      </c>
      <c r="C230" s="1375" t="s">
        <v>931</v>
      </c>
      <c r="D230" s="1375" t="s">
        <v>927</v>
      </c>
      <c r="E230" s="1375" t="s">
        <v>76</v>
      </c>
      <c r="F230" s="1470">
        <v>584.4</v>
      </c>
      <c r="G230" s="1470">
        <v>0</v>
      </c>
      <c r="H230" s="1470"/>
    </row>
    <row r="231" spans="1:8">
      <c r="A231" s="1375">
        <v>2023</v>
      </c>
      <c r="B231" s="1375" t="s">
        <v>746</v>
      </c>
      <c r="C231" s="1375" t="s">
        <v>935</v>
      </c>
      <c r="D231" s="1375" t="s">
        <v>927</v>
      </c>
      <c r="E231" s="1375" t="s">
        <v>80</v>
      </c>
      <c r="F231" s="1470">
        <v>379.8</v>
      </c>
      <c r="G231" s="1470">
        <v>0</v>
      </c>
      <c r="H231" s="1470"/>
    </row>
    <row r="232" spans="1:8">
      <c r="A232" s="1375">
        <v>2023</v>
      </c>
      <c r="B232" s="1375" t="s">
        <v>746</v>
      </c>
      <c r="C232" s="1375" t="s">
        <v>930</v>
      </c>
      <c r="D232" s="1375" t="s">
        <v>927</v>
      </c>
      <c r="E232" s="1375" t="s">
        <v>84</v>
      </c>
      <c r="F232" s="1470">
        <v>9</v>
      </c>
      <c r="G232" s="1470">
        <v>0</v>
      </c>
      <c r="H232" s="1470"/>
    </row>
    <row r="233" spans="1:8">
      <c r="A233" s="1375">
        <v>2023</v>
      </c>
      <c r="B233" s="1375" t="s">
        <v>746</v>
      </c>
      <c r="C233" s="1375" t="s">
        <v>940</v>
      </c>
      <c r="D233" s="1375" t="s">
        <v>927</v>
      </c>
      <c r="E233" s="1375" t="s">
        <v>760</v>
      </c>
      <c r="F233" s="1470">
        <v>100</v>
      </c>
      <c r="G233" s="1470">
        <v>100</v>
      </c>
      <c r="H233" s="1470"/>
    </row>
    <row r="234" spans="1:8">
      <c r="A234" s="1375">
        <v>2023</v>
      </c>
      <c r="B234" s="1375" t="s">
        <v>746</v>
      </c>
      <c r="C234" s="1375" t="s">
        <v>1399</v>
      </c>
      <c r="D234" s="1375" t="s">
        <v>927</v>
      </c>
      <c r="E234" s="1375" t="s">
        <v>1398</v>
      </c>
      <c r="F234" s="1470">
        <v>200</v>
      </c>
      <c r="G234" s="1470">
        <v>0</v>
      </c>
      <c r="H234" s="1470"/>
    </row>
    <row r="235" spans="1:8">
      <c r="A235" s="1375">
        <v>2023</v>
      </c>
      <c r="B235" s="1375" t="s">
        <v>746</v>
      </c>
      <c r="C235" s="1375" t="s">
        <v>1403</v>
      </c>
      <c r="D235" s="1375" t="s">
        <v>927</v>
      </c>
      <c r="E235" s="1375" t="s">
        <v>1402</v>
      </c>
      <c r="F235" s="1470">
        <v>5</v>
      </c>
      <c r="G235" s="1470">
        <v>0</v>
      </c>
      <c r="H235" s="1470"/>
    </row>
    <row r="236" spans="1:8">
      <c r="A236" s="1375">
        <v>2023</v>
      </c>
      <c r="B236" s="1375" t="s">
        <v>746</v>
      </c>
      <c r="C236" s="1375" t="s">
        <v>1405</v>
      </c>
      <c r="D236" s="1375" t="s">
        <v>927</v>
      </c>
      <c r="E236" s="1375" t="s">
        <v>1404</v>
      </c>
      <c r="F236" s="1470">
        <v>0</v>
      </c>
      <c r="G236" s="1470">
        <v>0</v>
      </c>
      <c r="H236" s="1470"/>
    </row>
    <row r="237" spans="1:8">
      <c r="A237" s="1375">
        <v>2023</v>
      </c>
      <c r="B237" s="1375" t="s">
        <v>857</v>
      </c>
      <c r="C237" s="1375" t="s">
        <v>1395</v>
      </c>
      <c r="D237" s="1375" t="s">
        <v>955</v>
      </c>
      <c r="E237" s="1375" t="s">
        <v>954</v>
      </c>
      <c r="F237" s="1470">
        <v>0</v>
      </c>
      <c r="G237" s="1470">
        <v>0</v>
      </c>
      <c r="H237" s="1470"/>
    </row>
    <row r="238" spans="1:8">
      <c r="A238" s="1375">
        <v>2023</v>
      </c>
      <c r="B238" s="1375" t="s">
        <v>857</v>
      </c>
      <c r="C238" s="1375" t="s">
        <v>1395</v>
      </c>
      <c r="D238" s="1375" t="s">
        <v>1397</v>
      </c>
      <c r="E238" s="1375" t="s">
        <v>1396</v>
      </c>
      <c r="F238" s="1470">
        <v>2288.2615937999999</v>
      </c>
      <c r="G238" s="1470">
        <v>713.62463445000003</v>
      </c>
      <c r="H238" s="1470"/>
    </row>
    <row r="239" spans="1:8">
      <c r="A239" s="1375">
        <v>2023</v>
      </c>
      <c r="B239" s="1375" t="s">
        <v>857</v>
      </c>
      <c r="C239" s="1375" t="s">
        <v>1395</v>
      </c>
      <c r="D239" s="1375" t="s">
        <v>1327</v>
      </c>
      <c r="E239" s="1375" t="s">
        <v>956</v>
      </c>
      <c r="F239" s="1470">
        <v>176.94904500000001</v>
      </c>
      <c r="G239" s="1470">
        <v>141.559236</v>
      </c>
      <c r="H239" s="1470"/>
    </row>
    <row r="240" spans="1:8">
      <c r="A240" s="1375">
        <v>2023</v>
      </c>
      <c r="B240" s="1375" t="s">
        <v>857</v>
      </c>
      <c r="C240" s="1375" t="s">
        <v>1395</v>
      </c>
      <c r="D240" s="1375" t="s">
        <v>1948</v>
      </c>
      <c r="E240" s="1375" t="s">
        <v>2354</v>
      </c>
      <c r="F240" s="1470">
        <v>2533.1914062000001</v>
      </c>
      <c r="G240" s="1470">
        <v>0</v>
      </c>
      <c r="H240" s="1470"/>
    </row>
    <row r="241" spans="1:8">
      <c r="A241" s="1375">
        <v>2023</v>
      </c>
      <c r="B241" s="1375" t="s">
        <v>138</v>
      </c>
      <c r="C241" s="1375" t="s">
        <v>476</v>
      </c>
      <c r="D241" s="1375" t="s">
        <v>1007</v>
      </c>
      <c r="E241" s="1375" t="s">
        <v>1434</v>
      </c>
      <c r="F241" s="1470">
        <v>42708.726159229998</v>
      </c>
      <c r="G241" s="1470">
        <v>0</v>
      </c>
      <c r="H241" s="1470">
        <v>0</v>
      </c>
    </row>
    <row r="242" spans="1:8">
      <c r="A242" s="1375">
        <v>2023</v>
      </c>
      <c r="B242" s="1375" t="s">
        <v>138</v>
      </c>
      <c r="C242" s="1375" t="s">
        <v>476</v>
      </c>
      <c r="D242" s="1375" t="s">
        <v>1517</v>
      </c>
      <c r="E242" s="1375" t="s">
        <v>1516</v>
      </c>
      <c r="F242" s="1470">
        <v>329767.38827284001</v>
      </c>
      <c r="G242" s="1470">
        <v>0</v>
      </c>
      <c r="H242" s="1470">
        <v>256775.4759127</v>
      </c>
    </row>
    <row r="243" spans="1:8">
      <c r="A243" s="1375">
        <v>2023</v>
      </c>
      <c r="B243" s="1375" t="s">
        <v>146</v>
      </c>
      <c r="C243" s="1375" t="s">
        <v>493</v>
      </c>
      <c r="D243" s="1375" t="s">
        <v>334</v>
      </c>
      <c r="E243" s="1375" t="s">
        <v>39</v>
      </c>
      <c r="F243" s="1470">
        <v>0.17064584999999999</v>
      </c>
      <c r="G243" s="1470">
        <v>8.5322919999999997E-2</v>
      </c>
      <c r="H243" s="1470">
        <v>0</v>
      </c>
    </row>
    <row r="244" spans="1:8">
      <c r="A244" s="1375">
        <v>2023</v>
      </c>
      <c r="B244" s="1375" t="s">
        <v>149</v>
      </c>
      <c r="C244" s="1375" t="s">
        <v>298</v>
      </c>
      <c r="D244" s="1375" t="s">
        <v>367</v>
      </c>
      <c r="E244" s="1375" t="s">
        <v>1519</v>
      </c>
      <c r="F244" s="1470">
        <v>0</v>
      </c>
      <c r="G244" s="1470"/>
      <c r="H244" s="1470"/>
    </row>
    <row r="245" spans="1:8">
      <c r="A245" s="1375">
        <v>2023</v>
      </c>
      <c r="B245" s="1375" t="s">
        <v>149</v>
      </c>
      <c r="C245" s="1375" t="s">
        <v>298</v>
      </c>
      <c r="D245" s="1375" t="s">
        <v>357</v>
      </c>
      <c r="E245" s="1375" t="s">
        <v>74</v>
      </c>
      <c r="F245" s="1470">
        <v>3311.2567794699999</v>
      </c>
      <c r="G245" s="1470"/>
      <c r="H245" s="1470"/>
    </row>
    <row r="246" spans="1:8">
      <c r="A246" s="1375">
        <v>2023</v>
      </c>
      <c r="B246" s="1375" t="s">
        <v>149</v>
      </c>
      <c r="C246" s="1375" t="s">
        <v>306</v>
      </c>
      <c r="D246" s="1375" t="s">
        <v>367</v>
      </c>
      <c r="E246" s="1375" t="s">
        <v>1520</v>
      </c>
      <c r="F246" s="1470">
        <v>0</v>
      </c>
      <c r="G246" s="1470"/>
      <c r="H246" s="1470"/>
    </row>
    <row r="247" spans="1:8">
      <c r="A247" s="1375">
        <v>2023</v>
      </c>
      <c r="B247" s="1375" t="s">
        <v>149</v>
      </c>
      <c r="C247" s="1375" t="s">
        <v>306</v>
      </c>
      <c r="D247" s="1375" t="s">
        <v>357</v>
      </c>
      <c r="E247" s="1375" t="s">
        <v>75</v>
      </c>
      <c r="F247" s="1470">
        <v>605.34295502999998</v>
      </c>
      <c r="G247" s="1470"/>
      <c r="H247" s="1470"/>
    </row>
    <row r="248" spans="1:8">
      <c r="A248" s="1375">
        <v>2023</v>
      </c>
      <c r="B248" s="1375" t="s">
        <v>149</v>
      </c>
      <c r="C248" s="1375" t="s">
        <v>312</v>
      </c>
      <c r="D248" s="1375" t="s">
        <v>1564</v>
      </c>
      <c r="E248" s="1375" t="s">
        <v>1312</v>
      </c>
      <c r="F248" s="1470">
        <v>2944.73063796</v>
      </c>
      <c r="G248" s="1470"/>
      <c r="H248" s="1470"/>
    </row>
    <row r="249" spans="1:8">
      <c r="A249" s="1375">
        <v>2023</v>
      </c>
      <c r="B249" s="1375" t="s">
        <v>149</v>
      </c>
      <c r="C249" s="1375" t="s">
        <v>312</v>
      </c>
      <c r="D249" s="1375" t="s">
        <v>944</v>
      </c>
      <c r="E249" s="1375" t="s">
        <v>1524</v>
      </c>
      <c r="F249" s="1470">
        <v>0</v>
      </c>
      <c r="G249" s="1470"/>
      <c r="H249" s="1470"/>
    </row>
    <row r="250" spans="1:8">
      <c r="A250" s="1375">
        <v>2023</v>
      </c>
      <c r="B250" s="1375" t="s">
        <v>149</v>
      </c>
      <c r="C250" s="1375" t="s">
        <v>330</v>
      </c>
      <c r="D250" s="1375" t="s">
        <v>885</v>
      </c>
      <c r="E250" s="1375" t="s">
        <v>1525</v>
      </c>
      <c r="F250" s="1470">
        <v>0</v>
      </c>
      <c r="G250" s="1470"/>
      <c r="H250" s="1470"/>
    </row>
    <row r="251" spans="1:8">
      <c r="A251" s="1375">
        <v>2023</v>
      </c>
      <c r="B251" s="1375" t="s">
        <v>143</v>
      </c>
      <c r="C251" s="1375" t="s">
        <v>323</v>
      </c>
      <c r="D251" s="1375" t="s">
        <v>157</v>
      </c>
      <c r="E251" s="1375" t="s">
        <v>30</v>
      </c>
      <c r="F251" s="1470">
        <v>603238.11437750002</v>
      </c>
      <c r="G251" s="1470">
        <v>2565</v>
      </c>
      <c r="H251" s="1470">
        <v>0</v>
      </c>
    </row>
    <row r="252" spans="1:8">
      <c r="A252" s="1375">
        <v>2023</v>
      </c>
      <c r="B252" s="1375" t="s">
        <v>143</v>
      </c>
      <c r="C252" s="1375" t="s">
        <v>321</v>
      </c>
      <c r="D252" s="1375" t="s">
        <v>157</v>
      </c>
      <c r="E252" s="1375" t="s">
        <v>31</v>
      </c>
      <c r="F252" s="1470">
        <v>35139.146484550001</v>
      </c>
      <c r="G252" s="1470">
        <v>26</v>
      </c>
      <c r="H252" s="1470">
        <v>0</v>
      </c>
    </row>
    <row r="253" spans="1:8">
      <c r="A253" s="1375">
        <v>2023</v>
      </c>
      <c r="B253" s="1375" t="s">
        <v>143</v>
      </c>
      <c r="C253" s="1375" t="s">
        <v>324</v>
      </c>
      <c r="D253" s="1375" t="s">
        <v>157</v>
      </c>
      <c r="E253" s="1375" t="s">
        <v>93</v>
      </c>
      <c r="F253" s="1470">
        <v>150011.32916795</v>
      </c>
      <c r="G253" s="1470">
        <v>2460</v>
      </c>
      <c r="H253" s="1470">
        <v>0</v>
      </c>
    </row>
    <row r="254" spans="1:8">
      <c r="A254" s="1375">
        <v>2023</v>
      </c>
      <c r="B254" s="1375" t="s">
        <v>143</v>
      </c>
      <c r="C254" s="1375" t="s">
        <v>322</v>
      </c>
      <c r="D254" s="1375" t="s">
        <v>157</v>
      </c>
      <c r="E254" s="1375" t="s">
        <v>94</v>
      </c>
      <c r="F254" s="1470">
        <v>3013.9584472800002</v>
      </c>
      <c r="G254" s="1470">
        <v>0</v>
      </c>
      <c r="H254" s="1470">
        <v>0</v>
      </c>
    </row>
    <row r="255" spans="1:8">
      <c r="A255" s="1375">
        <v>2023</v>
      </c>
      <c r="B255" s="1375" t="s">
        <v>470</v>
      </c>
      <c r="C255" s="1375" t="s">
        <v>1933</v>
      </c>
      <c r="D255" s="1375" t="s">
        <v>1954</v>
      </c>
      <c r="E255" s="1375" t="s">
        <v>2319</v>
      </c>
      <c r="F255" s="1470">
        <v>51436.486225859997</v>
      </c>
      <c r="G255" s="1470"/>
      <c r="H255" s="1470"/>
    </row>
    <row r="256" spans="1:8">
      <c r="A256" s="1375">
        <v>2023</v>
      </c>
      <c r="B256" s="1375" t="s">
        <v>141</v>
      </c>
      <c r="C256" s="1375" t="s">
        <v>1933</v>
      </c>
      <c r="D256" s="1375" t="s">
        <v>1953</v>
      </c>
      <c r="E256" s="1375" t="s">
        <v>2281</v>
      </c>
      <c r="F256" s="1470">
        <v>133967.6442297</v>
      </c>
      <c r="G256" s="1470"/>
      <c r="H256" s="1470"/>
    </row>
    <row r="257" spans="1:8">
      <c r="A257" s="1375">
        <v>2023</v>
      </c>
      <c r="B257" s="1375" t="s">
        <v>141</v>
      </c>
      <c r="C257" s="1375" t="s">
        <v>1928</v>
      </c>
      <c r="D257" s="1375" t="s">
        <v>1951</v>
      </c>
      <c r="E257" s="1375" t="s">
        <v>2278</v>
      </c>
      <c r="F257" s="1470">
        <v>20.57109801</v>
      </c>
      <c r="G257" s="1470"/>
      <c r="H257" s="1470"/>
    </row>
    <row r="258" spans="1:8">
      <c r="A258" s="1375">
        <v>2023</v>
      </c>
      <c r="B258" s="1375" t="s">
        <v>141</v>
      </c>
      <c r="C258" s="1375" t="s">
        <v>1928</v>
      </c>
      <c r="D258" s="1375" t="s">
        <v>1952</v>
      </c>
      <c r="E258" s="1375" t="s">
        <v>2279</v>
      </c>
      <c r="F258" s="1470">
        <v>887.28587054000002</v>
      </c>
      <c r="G258" s="1470"/>
      <c r="H258" s="1470"/>
    </row>
    <row r="259" spans="1:8">
      <c r="A259" s="1375">
        <v>2023</v>
      </c>
      <c r="B259" s="1375" t="s">
        <v>144</v>
      </c>
      <c r="C259" s="1375" t="s">
        <v>285</v>
      </c>
      <c r="D259" s="1375" t="s">
        <v>334</v>
      </c>
      <c r="E259" s="1375" t="s">
        <v>399</v>
      </c>
      <c r="F259" s="1470">
        <v>6.4243824199999997</v>
      </c>
      <c r="G259" s="1470">
        <v>6.4243824199999997</v>
      </c>
      <c r="H259" s="1470">
        <v>0.25697530000000002</v>
      </c>
    </row>
    <row r="260" spans="1:8">
      <c r="A260" s="1375">
        <v>2023</v>
      </c>
      <c r="B260" s="1375" t="s">
        <v>144</v>
      </c>
      <c r="C260" s="1375" t="s">
        <v>299</v>
      </c>
      <c r="D260" s="1375" t="s">
        <v>334</v>
      </c>
      <c r="E260" s="1375" t="s">
        <v>420</v>
      </c>
      <c r="F260" s="1470">
        <v>6.7593606199999998</v>
      </c>
      <c r="G260" s="1470">
        <v>6.7593606199999998</v>
      </c>
      <c r="H260" s="1470">
        <v>0.47315523999999998</v>
      </c>
    </row>
    <row r="261" spans="1:8">
      <c r="A261" s="1375">
        <v>2023</v>
      </c>
      <c r="B261" s="1375" t="s">
        <v>137</v>
      </c>
      <c r="C261" s="1375" t="s">
        <v>296</v>
      </c>
      <c r="D261" s="1375" t="s">
        <v>1362</v>
      </c>
      <c r="E261" s="1375" t="s">
        <v>21</v>
      </c>
      <c r="F261" s="1470">
        <v>4390000.3615524098</v>
      </c>
      <c r="G261" s="1470"/>
      <c r="H261" s="1470"/>
    </row>
    <row r="262" spans="1:8">
      <c r="A262" s="1375">
        <v>2023</v>
      </c>
      <c r="B262" s="1375" t="s">
        <v>137</v>
      </c>
      <c r="C262" s="1375" t="s">
        <v>296</v>
      </c>
      <c r="D262" s="1375" t="s">
        <v>1364</v>
      </c>
      <c r="E262" s="1375" t="s">
        <v>1363</v>
      </c>
      <c r="F262" s="1470">
        <v>3795521.14592552</v>
      </c>
      <c r="G262" s="1470"/>
      <c r="H262" s="1470"/>
    </row>
    <row r="263" spans="1:8">
      <c r="A263" s="1375">
        <v>2023</v>
      </c>
      <c r="B263" s="1375" t="s">
        <v>137</v>
      </c>
      <c r="C263" s="1375" t="s">
        <v>296</v>
      </c>
      <c r="D263" s="1375" t="s">
        <v>1365</v>
      </c>
      <c r="E263" s="1375" t="s">
        <v>871</v>
      </c>
      <c r="F263" s="1470">
        <v>0</v>
      </c>
      <c r="G263" s="1470"/>
      <c r="H263" s="1470"/>
    </row>
    <row r="264" spans="1:8">
      <c r="A264" s="1375">
        <v>2023</v>
      </c>
      <c r="B264" s="1375" t="s">
        <v>137</v>
      </c>
      <c r="C264" s="1375" t="s">
        <v>304</v>
      </c>
      <c r="D264" s="1375" t="s">
        <v>1368</v>
      </c>
      <c r="E264" s="1375" t="s">
        <v>22</v>
      </c>
      <c r="F264" s="1470">
        <v>1175776.2432295</v>
      </c>
      <c r="G264" s="1470"/>
      <c r="H264" s="1470"/>
    </row>
    <row r="265" spans="1:8">
      <c r="A265" s="1375">
        <v>2023</v>
      </c>
      <c r="B265" s="1375" t="s">
        <v>137</v>
      </c>
      <c r="C265" s="1375" t="s">
        <v>304</v>
      </c>
      <c r="D265" s="1375" t="s">
        <v>1370</v>
      </c>
      <c r="E265" s="1375" t="s">
        <v>1369</v>
      </c>
      <c r="F265" s="1470">
        <v>0</v>
      </c>
      <c r="G265" s="1470"/>
      <c r="H265" s="1470"/>
    </row>
    <row r="266" spans="1:8">
      <c r="A266" s="1375">
        <v>2023</v>
      </c>
      <c r="B266" s="1375" t="s">
        <v>137</v>
      </c>
      <c r="C266" s="1375" t="s">
        <v>310</v>
      </c>
      <c r="D266" s="1375" t="s">
        <v>1511</v>
      </c>
      <c r="E266" s="1375" t="s">
        <v>23</v>
      </c>
      <c r="F266" s="1470">
        <v>11620399.326607009</v>
      </c>
      <c r="G266" s="1470"/>
      <c r="H266" s="1470"/>
    </row>
    <row r="267" spans="1:8">
      <c r="A267" s="1375">
        <v>2023</v>
      </c>
      <c r="B267" s="1375" t="s">
        <v>137</v>
      </c>
      <c r="C267" s="1375" t="s">
        <v>310</v>
      </c>
      <c r="D267" s="1375" t="s">
        <v>1512</v>
      </c>
      <c r="E267" s="1375" t="s">
        <v>1374</v>
      </c>
      <c r="F267" s="1470">
        <v>6826984.60438162</v>
      </c>
      <c r="G267" s="1470"/>
      <c r="H267" s="1470"/>
    </row>
    <row r="268" spans="1:8">
      <c r="A268" s="1375">
        <v>2023</v>
      </c>
      <c r="B268" s="1375" t="s">
        <v>137</v>
      </c>
      <c r="C268" s="1375" t="s">
        <v>310</v>
      </c>
      <c r="D268" s="1375" t="s">
        <v>1513</v>
      </c>
      <c r="E268" s="1375" t="s">
        <v>1375</v>
      </c>
      <c r="F268" s="1470">
        <v>48418.330527530001</v>
      </c>
      <c r="G268" s="1470"/>
      <c r="H268" s="1470"/>
    </row>
    <row r="269" spans="1:8">
      <c r="A269" s="1375">
        <v>2023</v>
      </c>
      <c r="B269" s="1375" t="s">
        <v>137</v>
      </c>
      <c r="C269" s="1375" t="s">
        <v>328</v>
      </c>
      <c r="D269" s="1375" t="s">
        <v>882</v>
      </c>
      <c r="E269" s="1375" t="s">
        <v>24</v>
      </c>
      <c r="F269" s="1470">
        <v>23515815.486942399</v>
      </c>
      <c r="G269" s="1470"/>
      <c r="H269" s="1470"/>
    </row>
    <row r="270" spans="1:8">
      <c r="A270" s="1375">
        <v>2023</v>
      </c>
      <c r="B270" s="1375" t="s">
        <v>137</v>
      </c>
      <c r="C270" s="1375" t="s">
        <v>328</v>
      </c>
      <c r="D270" s="1375" t="s">
        <v>1378</v>
      </c>
      <c r="E270" s="1375" t="s">
        <v>1377</v>
      </c>
      <c r="F270" s="1470">
        <v>19743486.75257872</v>
      </c>
      <c r="G270" s="1470"/>
      <c r="H270" s="1470"/>
    </row>
    <row r="271" spans="1:8">
      <c r="A271" s="1375">
        <v>2023</v>
      </c>
      <c r="B271" s="1375" t="s">
        <v>137</v>
      </c>
      <c r="C271" s="1375" t="s">
        <v>328</v>
      </c>
      <c r="D271" s="1375" t="s">
        <v>1379</v>
      </c>
      <c r="E271" s="1375" t="s">
        <v>883</v>
      </c>
      <c r="F271" s="1470">
        <v>734869.23396694998</v>
      </c>
      <c r="G271" s="1470"/>
      <c r="H271" s="1470"/>
    </row>
    <row r="272" spans="1:8">
      <c r="A272" s="1375">
        <v>2023</v>
      </c>
      <c r="B272" s="1375" t="s">
        <v>137</v>
      </c>
      <c r="C272" s="1375" t="s">
        <v>328</v>
      </c>
      <c r="D272" s="1375" t="s">
        <v>1380</v>
      </c>
      <c r="E272" s="1375" t="s">
        <v>884</v>
      </c>
      <c r="F272" s="1470">
        <v>0</v>
      </c>
      <c r="G272" s="1470"/>
      <c r="H272" s="1470"/>
    </row>
    <row r="273" spans="1:8">
      <c r="A273" s="1375">
        <v>2024</v>
      </c>
      <c r="B273" s="1375" t="s">
        <v>150</v>
      </c>
      <c r="C273" s="1375" t="s">
        <v>288</v>
      </c>
      <c r="D273" s="1375" t="s">
        <v>157</v>
      </c>
      <c r="E273" s="1375" t="s">
        <v>52</v>
      </c>
      <c r="F273" s="1470">
        <v>2348.9729322899998</v>
      </c>
      <c r="G273" s="1470">
        <v>864.04785931000004</v>
      </c>
      <c r="H273" s="1470">
        <v>0</v>
      </c>
    </row>
    <row r="274" spans="1:8">
      <c r="A274" s="1375">
        <v>2024</v>
      </c>
      <c r="B274" s="1375" t="s">
        <v>150</v>
      </c>
      <c r="C274" s="1375" t="s">
        <v>289</v>
      </c>
      <c r="D274" s="1375" t="s">
        <v>157</v>
      </c>
      <c r="E274" s="1375" t="s">
        <v>53</v>
      </c>
      <c r="F274" s="1470">
        <v>2482.0049021899999</v>
      </c>
      <c r="G274" s="1470">
        <v>912.98243290000005</v>
      </c>
      <c r="H274" s="1470">
        <v>0</v>
      </c>
    </row>
    <row r="275" spans="1:8">
      <c r="A275" s="1375">
        <v>2024</v>
      </c>
      <c r="B275" s="1375" t="s">
        <v>150</v>
      </c>
      <c r="C275" s="1375" t="s">
        <v>290</v>
      </c>
      <c r="D275" s="1375" t="s">
        <v>157</v>
      </c>
      <c r="E275" s="1375" t="s">
        <v>51</v>
      </c>
      <c r="F275" s="1470">
        <v>23315.655483969997</v>
      </c>
      <c r="G275" s="1470">
        <v>6940.66321298</v>
      </c>
      <c r="H275" s="1470">
        <v>0</v>
      </c>
    </row>
    <row r="276" spans="1:8">
      <c r="A276" s="1375">
        <v>2024</v>
      </c>
      <c r="B276" s="1375" t="s">
        <v>154</v>
      </c>
      <c r="C276" s="1375" t="s">
        <v>279</v>
      </c>
      <c r="D276" s="1375" t="s">
        <v>1542</v>
      </c>
      <c r="E276" s="1375" t="s">
        <v>392</v>
      </c>
      <c r="F276" s="1470">
        <v>83190.177926980003</v>
      </c>
      <c r="G276" s="1470"/>
      <c r="H276" s="1470"/>
    </row>
    <row r="277" spans="1:8">
      <c r="A277" s="1375">
        <v>2024</v>
      </c>
      <c r="B277" s="1375" t="s">
        <v>154</v>
      </c>
      <c r="C277" s="1375" t="s">
        <v>279</v>
      </c>
      <c r="D277" s="1375" t="s">
        <v>1007</v>
      </c>
      <c r="E277" s="1375" t="s">
        <v>1749</v>
      </c>
      <c r="F277" s="1470">
        <v>145930.50644595001</v>
      </c>
      <c r="G277" s="1470"/>
      <c r="H277" s="1470"/>
    </row>
    <row r="278" spans="1:8">
      <c r="A278" s="1375">
        <v>2024</v>
      </c>
      <c r="B278" s="1375" t="s">
        <v>154</v>
      </c>
      <c r="C278" s="1375" t="s">
        <v>284</v>
      </c>
      <c r="D278" s="1375" t="s">
        <v>1007</v>
      </c>
      <c r="E278" s="1375" t="s">
        <v>1913</v>
      </c>
      <c r="F278" s="1470">
        <v>152641.67983563</v>
      </c>
      <c r="G278" s="1470">
        <v>0</v>
      </c>
      <c r="H278" s="1470"/>
    </row>
    <row r="279" spans="1:8">
      <c r="A279" s="1375">
        <v>2024</v>
      </c>
      <c r="B279" s="1375" t="s">
        <v>154</v>
      </c>
      <c r="C279" s="1375" t="s">
        <v>284</v>
      </c>
      <c r="D279" s="1375" t="s">
        <v>1392</v>
      </c>
      <c r="E279" s="1375" t="s">
        <v>268</v>
      </c>
      <c r="F279" s="1470">
        <v>73781.209777530006</v>
      </c>
      <c r="G279" s="1470">
        <v>0</v>
      </c>
      <c r="H279" s="1470"/>
    </row>
    <row r="280" spans="1:8">
      <c r="A280" s="1375">
        <v>2024</v>
      </c>
      <c r="B280" s="1375" t="s">
        <v>154</v>
      </c>
      <c r="C280" s="1375" t="s">
        <v>284</v>
      </c>
      <c r="D280" s="1375" t="s">
        <v>1393</v>
      </c>
      <c r="E280" s="1375" t="s">
        <v>270</v>
      </c>
      <c r="F280" s="1470">
        <v>0</v>
      </c>
      <c r="G280" s="1470"/>
      <c r="H280" s="1470"/>
    </row>
    <row r="281" spans="1:8">
      <c r="A281" s="1375">
        <v>2024</v>
      </c>
      <c r="B281" s="1375" t="s">
        <v>154</v>
      </c>
      <c r="C281" s="1375" t="s">
        <v>284</v>
      </c>
      <c r="D281" s="1375" t="s">
        <v>947</v>
      </c>
      <c r="E281" s="1375" t="s">
        <v>269</v>
      </c>
      <c r="F281" s="1470">
        <v>75002.695780459995</v>
      </c>
      <c r="G281" s="1470">
        <v>0</v>
      </c>
      <c r="H281" s="1470"/>
    </row>
    <row r="282" spans="1:8">
      <c r="A282" s="1375">
        <v>2024</v>
      </c>
      <c r="B282" s="1375" t="s">
        <v>154</v>
      </c>
      <c r="C282" s="1375" t="s">
        <v>156</v>
      </c>
      <c r="D282" s="1375" t="s">
        <v>1007</v>
      </c>
      <c r="E282" s="1375" t="s">
        <v>135</v>
      </c>
      <c r="F282" s="1470">
        <v>1222.09873363</v>
      </c>
      <c r="G282" s="1470">
        <v>0</v>
      </c>
      <c r="H282" s="1470"/>
    </row>
    <row r="283" spans="1:8">
      <c r="A283" s="1375">
        <v>2024</v>
      </c>
      <c r="B283" s="1375" t="s">
        <v>154</v>
      </c>
      <c r="C283" s="1375" t="s">
        <v>156</v>
      </c>
      <c r="D283" s="1375" t="s">
        <v>947</v>
      </c>
      <c r="E283" s="1375" t="s">
        <v>97</v>
      </c>
      <c r="F283" s="1470">
        <v>1596.72432551</v>
      </c>
      <c r="G283" s="1470"/>
      <c r="H283" s="1470"/>
    </row>
    <row r="284" spans="1:8">
      <c r="A284" s="1375">
        <v>2024</v>
      </c>
      <c r="B284" s="1375" t="s">
        <v>154</v>
      </c>
      <c r="C284" s="1375" t="s">
        <v>156</v>
      </c>
      <c r="D284" s="1375" t="s">
        <v>1565</v>
      </c>
      <c r="E284" s="1375" t="s">
        <v>98</v>
      </c>
      <c r="F284" s="1470">
        <v>170783.59154724001</v>
      </c>
      <c r="G284" s="1470">
        <v>0</v>
      </c>
      <c r="H284" s="1470"/>
    </row>
    <row r="285" spans="1:8">
      <c r="A285" s="1375">
        <v>2024</v>
      </c>
      <c r="B285" s="1375" t="s">
        <v>154</v>
      </c>
      <c r="C285" s="1375" t="s">
        <v>156</v>
      </c>
      <c r="D285" s="1375" t="s">
        <v>1566</v>
      </c>
      <c r="E285" s="1375" t="s">
        <v>99</v>
      </c>
      <c r="F285" s="1470">
        <v>0</v>
      </c>
      <c r="G285" s="1470">
        <v>0</v>
      </c>
      <c r="H285" s="1470"/>
    </row>
    <row r="286" spans="1:8">
      <c r="A286" s="1375">
        <v>2024</v>
      </c>
      <c r="B286" s="1375" t="s">
        <v>154</v>
      </c>
      <c r="C286" s="1375" t="s">
        <v>315</v>
      </c>
      <c r="D286" s="1375" t="s">
        <v>1007</v>
      </c>
      <c r="E286" s="1375" t="s">
        <v>2322</v>
      </c>
      <c r="F286" s="1470">
        <v>2528.5205864700001</v>
      </c>
      <c r="G286" s="1470">
        <v>0</v>
      </c>
      <c r="H286" s="1470"/>
    </row>
    <row r="287" spans="1:8">
      <c r="A287" s="1375">
        <v>2024</v>
      </c>
      <c r="B287" s="1375" t="s">
        <v>154</v>
      </c>
      <c r="C287" s="1375" t="s">
        <v>315</v>
      </c>
      <c r="D287" s="1375" t="s">
        <v>1262</v>
      </c>
      <c r="E287" s="1375" t="s">
        <v>447</v>
      </c>
      <c r="F287" s="1470">
        <v>186580.64936059</v>
      </c>
      <c r="G287" s="1470">
        <v>0</v>
      </c>
      <c r="H287" s="1470"/>
    </row>
    <row r="288" spans="1:8">
      <c r="A288" s="1375">
        <v>2024</v>
      </c>
      <c r="B288" s="1375" t="s">
        <v>154</v>
      </c>
      <c r="C288" s="1375" t="s">
        <v>315</v>
      </c>
      <c r="D288" s="1375" t="s">
        <v>163</v>
      </c>
      <c r="E288" s="1375" t="s">
        <v>448</v>
      </c>
      <c r="F288" s="1470">
        <v>27692.280052940001</v>
      </c>
      <c r="G288" s="1470">
        <v>0</v>
      </c>
      <c r="H288" s="1470"/>
    </row>
    <row r="289" spans="1:8">
      <c r="A289" s="1375">
        <v>2024</v>
      </c>
      <c r="B289" s="1375" t="s">
        <v>154</v>
      </c>
      <c r="C289" s="1375" t="s">
        <v>317</v>
      </c>
      <c r="D289" s="1375" t="s">
        <v>1007</v>
      </c>
      <c r="E289" s="1375" t="s">
        <v>2324</v>
      </c>
      <c r="F289" s="1470">
        <v>58974.326312270001</v>
      </c>
      <c r="G289" s="1470">
        <v>0</v>
      </c>
      <c r="H289" s="1470"/>
    </row>
    <row r="290" spans="1:8">
      <c r="A290" s="1375">
        <v>2024</v>
      </c>
      <c r="B290" s="1375" t="s">
        <v>154</v>
      </c>
      <c r="C290" s="1375" t="s">
        <v>317</v>
      </c>
      <c r="D290" s="1375" t="s">
        <v>1262</v>
      </c>
      <c r="E290" s="1375" t="s">
        <v>449</v>
      </c>
      <c r="F290" s="1470">
        <v>7511.4516877300002</v>
      </c>
      <c r="G290" s="1470">
        <v>0</v>
      </c>
      <c r="H290" s="1470"/>
    </row>
    <row r="291" spans="1:8">
      <c r="A291" s="1375">
        <v>2024</v>
      </c>
      <c r="B291" s="1375" t="s">
        <v>154</v>
      </c>
      <c r="C291" s="1375" t="s">
        <v>317</v>
      </c>
      <c r="D291" s="1375" t="s">
        <v>163</v>
      </c>
      <c r="E291" s="1375" t="s">
        <v>450</v>
      </c>
      <c r="F291" s="1470">
        <v>5781.3720000000003</v>
      </c>
      <c r="G291" s="1470">
        <v>0</v>
      </c>
      <c r="H291" s="1470"/>
    </row>
    <row r="292" spans="1:8">
      <c r="A292" s="1375">
        <v>2024</v>
      </c>
      <c r="B292" s="1375" t="s">
        <v>154</v>
      </c>
      <c r="C292" s="1375" t="s">
        <v>512</v>
      </c>
      <c r="D292" s="1375" t="s">
        <v>1007</v>
      </c>
      <c r="E292" s="1375" t="s">
        <v>2343</v>
      </c>
      <c r="F292" s="1470">
        <v>1536.00669986</v>
      </c>
      <c r="G292" s="1470"/>
      <c r="H292" s="1470"/>
    </row>
    <row r="293" spans="1:8">
      <c r="A293" s="1375">
        <v>2024</v>
      </c>
      <c r="B293" s="1375" t="s">
        <v>154</v>
      </c>
      <c r="C293" s="1375" t="s">
        <v>512</v>
      </c>
      <c r="D293" s="1375" t="s">
        <v>163</v>
      </c>
      <c r="E293" s="1375" t="s">
        <v>1394</v>
      </c>
      <c r="F293" s="1470">
        <v>13977.66096872</v>
      </c>
      <c r="G293" s="1470"/>
      <c r="H293" s="1470"/>
    </row>
    <row r="294" spans="1:8">
      <c r="A294" s="1375">
        <v>2024</v>
      </c>
      <c r="B294" s="1375" t="s">
        <v>154</v>
      </c>
      <c r="C294" s="1375" t="s">
        <v>512</v>
      </c>
      <c r="D294" s="1375" t="s">
        <v>948</v>
      </c>
      <c r="E294" s="1375" t="s">
        <v>120</v>
      </c>
      <c r="F294" s="1470">
        <v>15206.4663286</v>
      </c>
      <c r="G294" s="1470"/>
      <c r="H294" s="1470"/>
    </row>
    <row r="295" spans="1:8">
      <c r="A295" s="1375">
        <v>2024</v>
      </c>
      <c r="B295" s="1375" t="s">
        <v>154</v>
      </c>
      <c r="C295" s="1375" t="s">
        <v>316</v>
      </c>
      <c r="D295" s="1375" t="s">
        <v>1007</v>
      </c>
      <c r="E295" s="1375" t="s">
        <v>2347</v>
      </c>
      <c r="F295" s="1470">
        <v>66141.718758119998</v>
      </c>
      <c r="G295" s="1470">
        <v>0</v>
      </c>
      <c r="H295" s="1470"/>
    </row>
    <row r="296" spans="1:8">
      <c r="A296" s="1375">
        <v>2024</v>
      </c>
      <c r="B296" s="1375" t="s">
        <v>154</v>
      </c>
      <c r="C296" s="1375" t="s">
        <v>316</v>
      </c>
      <c r="D296" s="1375" t="s">
        <v>1262</v>
      </c>
      <c r="E296" s="1375" t="s">
        <v>95</v>
      </c>
      <c r="F296" s="1470">
        <v>4.0000000000000001E-8</v>
      </c>
      <c r="G296" s="1470">
        <v>0</v>
      </c>
      <c r="H296" s="1470"/>
    </row>
    <row r="297" spans="1:8">
      <c r="A297" s="1375">
        <v>2024</v>
      </c>
      <c r="B297" s="1375" t="s">
        <v>154</v>
      </c>
      <c r="C297" s="1375" t="s">
        <v>316</v>
      </c>
      <c r="D297" s="1375" t="s">
        <v>163</v>
      </c>
      <c r="E297" s="1375" t="s">
        <v>96</v>
      </c>
      <c r="F297" s="1470">
        <v>126570.68124186</v>
      </c>
      <c r="G297" s="1470">
        <v>0</v>
      </c>
      <c r="H297" s="1470"/>
    </row>
    <row r="298" spans="1:8">
      <c r="A298" s="1375">
        <v>2024</v>
      </c>
      <c r="B298" s="1375" t="s">
        <v>154</v>
      </c>
      <c r="C298" s="1375" t="s">
        <v>945</v>
      </c>
      <c r="D298" s="1375" t="s">
        <v>1007</v>
      </c>
      <c r="E298" s="1375" t="s">
        <v>115</v>
      </c>
      <c r="F298" s="1470">
        <v>51452.932599660002</v>
      </c>
      <c r="G298" s="1470"/>
      <c r="H298" s="1470"/>
    </row>
    <row r="299" spans="1:8">
      <c r="A299" s="1375">
        <v>2024</v>
      </c>
      <c r="B299" s="1375" t="s">
        <v>154</v>
      </c>
      <c r="C299" s="1375" t="s">
        <v>945</v>
      </c>
      <c r="D299" s="1375" t="s">
        <v>1262</v>
      </c>
      <c r="E299" s="1375" t="s">
        <v>114</v>
      </c>
      <c r="F299" s="1470">
        <v>4421.0497948100001</v>
      </c>
      <c r="G299" s="1470">
        <v>0</v>
      </c>
      <c r="H299" s="1470"/>
    </row>
    <row r="300" spans="1:8">
      <c r="A300" s="1375">
        <v>2024</v>
      </c>
      <c r="B300" s="1375" t="s">
        <v>154</v>
      </c>
      <c r="C300" s="1375" t="s">
        <v>945</v>
      </c>
      <c r="D300" s="1375" t="s">
        <v>1130</v>
      </c>
      <c r="E300" s="1375" t="s">
        <v>400</v>
      </c>
      <c r="F300" s="1470">
        <v>68.900102680000003</v>
      </c>
      <c r="G300" s="1470">
        <v>0</v>
      </c>
      <c r="H300" s="1470"/>
    </row>
    <row r="301" spans="1:8">
      <c r="A301" s="1375">
        <v>2024</v>
      </c>
      <c r="B301" s="1375" t="s">
        <v>154</v>
      </c>
      <c r="C301" s="1375" t="s">
        <v>952</v>
      </c>
      <c r="D301" s="1375" t="s">
        <v>1007</v>
      </c>
      <c r="E301" s="1375" t="s">
        <v>2346</v>
      </c>
      <c r="F301" s="1470">
        <v>19289.382205599999</v>
      </c>
      <c r="G301" s="1470"/>
      <c r="H301" s="1470"/>
    </row>
    <row r="302" spans="1:8">
      <c r="A302" s="1375">
        <v>2024</v>
      </c>
      <c r="B302" s="1375" t="s">
        <v>154</v>
      </c>
      <c r="C302" s="1375" t="s">
        <v>952</v>
      </c>
      <c r="D302" s="1375" t="s">
        <v>1262</v>
      </c>
      <c r="E302" s="1375" t="s">
        <v>116</v>
      </c>
      <c r="F302" s="1470">
        <v>11217.720742199999</v>
      </c>
      <c r="G302" s="1470">
        <v>0</v>
      </c>
      <c r="H302" s="1470"/>
    </row>
    <row r="303" spans="1:8">
      <c r="A303" s="1375">
        <v>2024</v>
      </c>
      <c r="B303" s="1375" t="s">
        <v>154</v>
      </c>
      <c r="C303" s="1375" t="s">
        <v>952</v>
      </c>
      <c r="D303" s="1375" t="s">
        <v>1130</v>
      </c>
      <c r="E303" s="1375" t="s">
        <v>1543</v>
      </c>
      <c r="F303" s="1470">
        <v>5398.2712816499998</v>
      </c>
      <c r="G303" s="1470">
        <v>0</v>
      </c>
      <c r="H303" s="1470"/>
    </row>
    <row r="304" spans="1:8">
      <c r="A304" s="1375">
        <v>2024</v>
      </c>
      <c r="B304" s="1375" t="s">
        <v>154</v>
      </c>
      <c r="C304" s="1375" t="s">
        <v>952</v>
      </c>
      <c r="D304" s="1375" t="s">
        <v>332</v>
      </c>
      <c r="E304" s="1375" t="s">
        <v>454</v>
      </c>
      <c r="F304" s="1470">
        <v>0</v>
      </c>
      <c r="G304" s="1470"/>
      <c r="H304" s="1470"/>
    </row>
    <row r="305" spans="1:8">
      <c r="A305" s="1375">
        <v>2024</v>
      </c>
      <c r="B305" s="1375" t="s">
        <v>154</v>
      </c>
      <c r="C305" s="1375" t="s">
        <v>953</v>
      </c>
      <c r="D305" s="1375" t="s">
        <v>1007</v>
      </c>
      <c r="E305" s="1375" t="s">
        <v>106</v>
      </c>
      <c r="F305" s="1470">
        <v>14183.99606218</v>
      </c>
      <c r="G305" s="1470"/>
      <c r="H305" s="1470"/>
    </row>
    <row r="306" spans="1:8">
      <c r="A306" s="1375">
        <v>2024</v>
      </c>
      <c r="B306" s="1375" t="s">
        <v>154</v>
      </c>
      <c r="C306" s="1375" t="s">
        <v>953</v>
      </c>
      <c r="D306" s="1375" t="s">
        <v>1262</v>
      </c>
      <c r="E306" s="1375" t="s">
        <v>107</v>
      </c>
      <c r="F306" s="1470">
        <v>1956.67515568</v>
      </c>
      <c r="G306" s="1470">
        <v>0</v>
      </c>
      <c r="H306" s="1470"/>
    </row>
    <row r="307" spans="1:8">
      <c r="A307" s="1375">
        <v>2024</v>
      </c>
      <c r="B307" s="1375" t="s">
        <v>154</v>
      </c>
      <c r="C307" s="1375" t="s">
        <v>953</v>
      </c>
      <c r="D307" s="1375" t="s">
        <v>1130</v>
      </c>
      <c r="E307" s="1375" t="s">
        <v>108</v>
      </c>
      <c r="F307" s="1470">
        <v>11.06283155</v>
      </c>
      <c r="G307" s="1470">
        <v>0</v>
      </c>
      <c r="H307" s="1470"/>
    </row>
    <row r="308" spans="1:8">
      <c r="A308" s="1375">
        <v>2024</v>
      </c>
      <c r="B308" s="1375" t="s">
        <v>154</v>
      </c>
      <c r="C308" s="1375" t="s">
        <v>1535</v>
      </c>
      <c r="D308" s="1375" t="s">
        <v>1007</v>
      </c>
      <c r="E308" s="1375" t="s">
        <v>2326</v>
      </c>
      <c r="F308" s="1470">
        <v>183688.47730570001</v>
      </c>
      <c r="G308" s="1470">
        <v>0</v>
      </c>
      <c r="H308" s="1470">
        <v>0</v>
      </c>
    </row>
    <row r="309" spans="1:8">
      <c r="A309" s="1375">
        <v>2024</v>
      </c>
      <c r="B309" s="1375" t="s">
        <v>154</v>
      </c>
      <c r="C309" s="1375" t="s">
        <v>1535</v>
      </c>
      <c r="D309" s="1375" t="s">
        <v>1536</v>
      </c>
      <c r="E309" s="1375" t="s">
        <v>1534</v>
      </c>
      <c r="F309" s="1470">
        <v>163509.74881724</v>
      </c>
      <c r="G309" s="1470">
        <v>23093.239510930001</v>
      </c>
      <c r="H309" s="1470">
        <v>0</v>
      </c>
    </row>
    <row r="310" spans="1:8">
      <c r="A310" s="1375">
        <v>2024</v>
      </c>
      <c r="B310" s="1375" t="s">
        <v>154</v>
      </c>
      <c r="C310" s="1375" t="s">
        <v>1535</v>
      </c>
      <c r="D310" s="1375" t="s">
        <v>1386</v>
      </c>
      <c r="E310" s="1375" t="s">
        <v>1537</v>
      </c>
      <c r="F310" s="1470">
        <v>11524.01976273</v>
      </c>
      <c r="G310" s="1470">
        <v>2881.0049406799999</v>
      </c>
      <c r="H310" s="1470">
        <v>0</v>
      </c>
    </row>
    <row r="311" spans="1:8">
      <c r="A311" s="1375">
        <v>2024</v>
      </c>
      <c r="B311" s="1375" t="s">
        <v>154</v>
      </c>
      <c r="C311" s="1375" t="s">
        <v>1535</v>
      </c>
      <c r="D311" s="1375" t="s">
        <v>1387</v>
      </c>
      <c r="E311" s="1375" t="s">
        <v>1538</v>
      </c>
      <c r="F311" s="1470">
        <v>0</v>
      </c>
      <c r="G311" s="1470">
        <v>0</v>
      </c>
      <c r="H311" s="1470">
        <v>0</v>
      </c>
    </row>
    <row r="312" spans="1:8">
      <c r="A312" s="1375">
        <v>2024</v>
      </c>
      <c r="B312" s="1375" t="s">
        <v>154</v>
      </c>
      <c r="C312" s="1375" t="s">
        <v>1535</v>
      </c>
      <c r="D312" s="1375" t="s">
        <v>1388</v>
      </c>
      <c r="E312" s="1375" t="s">
        <v>1539</v>
      </c>
      <c r="F312" s="1470">
        <v>0</v>
      </c>
      <c r="G312" s="1470">
        <v>0</v>
      </c>
      <c r="H312" s="1470">
        <v>0</v>
      </c>
    </row>
    <row r="313" spans="1:8">
      <c r="A313" s="1375">
        <v>2024</v>
      </c>
      <c r="B313" s="1375" t="s">
        <v>154</v>
      </c>
      <c r="C313" s="1375" t="s">
        <v>1535</v>
      </c>
      <c r="D313" s="1375" t="s">
        <v>1389</v>
      </c>
      <c r="E313" s="1375" t="s">
        <v>1540</v>
      </c>
      <c r="F313" s="1470">
        <v>0</v>
      </c>
      <c r="G313" s="1470">
        <v>0</v>
      </c>
      <c r="H313" s="1470">
        <v>0</v>
      </c>
    </row>
    <row r="314" spans="1:8">
      <c r="A314" s="1375">
        <v>2024</v>
      </c>
      <c r="B314" s="1375" t="s">
        <v>154</v>
      </c>
      <c r="C314" s="1375" t="s">
        <v>1535</v>
      </c>
      <c r="D314" s="1375" t="s">
        <v>1390</v>
      </c>
      <c r="E314" s="1375" t="s">
        <v>1541</v>
      </c>
      <c r="F314" s="1470">
        <v>2808.2083538000002</v>
      </c>
      <c r="G314" s="1470">
        <v>702.05208845000004</v>
      </c>
      <c r="H314" s="1470">
        <v>0</v>
      </c>
    </row>
    <row r="315" spans="1:8">
      <c r="A315" s="1375">
        <v>2024</v>
      </c>
      <c r="B315" s="1375" t="s">
        <v>154</v>
      </c>
      <c r="C315" s="1375" t="s">
        <v>3058</v>
      </c>
      <c r="D315" s="1375" t="s">
        <v>3059</v>
      </c>
      <c r="E315" s="1375" t="s">
        <v>86</v>
      </c>
      <c r="F315" s="1470">
        <v>776048.27227203001</v>
      </c>
      <c r="G315" s="1470"/>
      <c r="H315" s="1470">
        <v>472607.01527471998</v>
      </c>
    </row>
    <row r="316" spans="1:8">
      <c r="A316" s="1375">
        <v>2024</v>
      </c>
      <c r="B316" s="1375" t="s">
        <v>154</v>
      </c>
      <c r="C316" s="1375" t="s">
        <v>3071</v>
      </c>
      <c r="D316" s="1375" t="s">
        <v>3059</v>
      </c>
      <c r="E316" s="1375" t="s">
        <v>3070</v>
      </c>
      <c r="F316" s="1470">
        <v>776048.27227203001</v>
      </c>
      <c r="G316" s="1470"/>
      <c r="H316" s="1470">
        <v>472607.01527471998</v>
      </c>
    </row>
    <row r="317" spans="1:8">
      <c r="A317" s="1375">
        <v>2024</v>
      </c>
      <c r="B317" s="1375" t="s">
        <v>1758</v>
      </c>
      <c r="C317" s="1375" t="s">
        <v>1575</v>
      </c>
      <c r="D317" s="1375" t="s">
        <v>334</v>
      </c>
      <c r="E317" s="1375" t="s">
        <v>1559</v>
      </c>
      <c r="F317" s="1470">
        <v>1317.0721559000001</v>
      </c>
      <c r="G317" s="1470">
        <v>0</v>
      </c>
      <c r="H317" s="1470">
        <v>0</v>
      </c>
    </row>
    <row r="318" spans="1:8">
      <c r="A318" s="1375">
        <v>2024</v>
      </c>
      <c r="B318" s="1375" t="s">
        <v>1758</v>
      </c>
      <c r="C318" s="1375" t="s">
        <v>1570</v>
      </c>
      <c r="D318" s="1375" t="s">
        <v>157</v>
      </c>
      <c r="E318" s="1375" t="s">
        <v>1556</v>
      </c>
      <c r="F318" s="1470">
        <v>24.956250000000001</v>
      </c>
      <c r="G318" s="1470">
        <v>0</v>
      </c>
      <c r="H318" s="1470">
        <v>0</v>
      </c>
    </row>
    <row r="319" spans="1:8">
      <c r="A319" s="1375">
        <v>2024</v>
      </c>
      <c r="B319" s="1375" t="s">
        <v>1758</v>
      </c>
      <c r="C319" s="1375" t="s">
        <v>1570</v>
      </c>
      <c r="D319" s="1375" t="s">
        <v>158</v>
      </c>
      <c r="E319" s="1375" t="s">
        <v>1557</v>
      </c>
      <c r="F319" s="1470">
        <v>0</v>
      </c>
      <c r="G319" s="1470">
        <v>0</v>
      </c>
      <c r="H319" s="1470">
        <v>0</v>
      </c>
    </row>
    <row r="320" spans="1:8">
      <c r="A320" s="1375">
        <v>2024</v>
      </c>
      <c r="B320" s="1375" t="s">
        <v>1758</v>
      </c>
      <c r="C320" s="1375" t="s">
        <v>1570</v>
      </c>
      <c r="D320" s="1375" t="s">
        <v>818</v>
      </c>
      <c r="E320" s="1375" t="s">
        <v>1558</v>
      </c>
      <c r="F320" s="1470">
        <v>19.965</v>
      </c>
      <c r="G320" s="1470">
        <v>0</v>
      </c>
      <c r="H320" s="1470">
        <v>0</v>
      </c>
    </row>
    <row r="321" spans="1:8">
      <c r="A321" s="1375">
        <v>2024</v>
      </c>
      <c r="B321" s="1375" t="s">
        <v>1758</v>
      </c>
      <c r="C321" s="1375" t="s">
        <v>1568</v>
      </c>
      <c r="D321" s="1375" t="s">
        <v>157</v>
      </c>
      <c r="E321" s="1375" t="s">
        <v>1551</v>
      </c>
      <c r="F321" s="1470">
        <v>14.52</v>
      </c>
      <c r="G321" s="1470">
        <v>0</v>
      </c>
      <c r="H321" s="1470">
        <v>0</v>
      </c>
    </row>
    <row r="322" spans="1:8">
      <c r="A322" s="1375">
        <v>2024</v>
      </c>
      <c r="B322" s="1375" t="s">
        <v>1758</v>
      </c>
      <c r="C322" s="1375" t="s">
        <v>1568</v>
      </c>
      <c r="D322" s="1375" t="s">
        <v>158</v>
      </c>
      <c r="E322" s="1375" t="s">
        <v>1552</v>
      </c>
      <c r="F322" s="1470">
        <v>217.95124999999999</v>
      </c>
      <c r="G322" s="1470">
        <v>0</v>
      </c>
      <c r="H322" s="1470">
        <v>0</v>
      </c>
    </row>
    <row r="323" spans="1:8">
      <c r="A323" s="1375">
        <v>2024</v>
      </c>
      <c r="B323" s="1375" t="s">
        <v>1758</v>
      </c>
      <c r="C323" s="1375" t="s">
        <v>1743</v>
      </c>
      <c r="D323" s="1375" t="s">
        <v>157</v>
      </c>
      <c r="E323" s="1375" t="s">
        <v>1560</v>
      </c>
      <c r="F323" s="1470">
        <v>250.16718169000001</v>
      </c>
      <c r="G323" s="1470">
        <v>0</v>
      </c>
      <c r="H323" s="1470">
        <v>0</v>
      </c>
    </row>
    <row r="324" spans="1:8">
      <c r="A324" s="1375">
        <v>2024</v>
      </c>
      <c r="B324" s="1375" t="s">
        <v>1758</v>
      </c>
      <c r="C324" s="1375" t="s">
        <v>1743</v>
      </c>
      <c r="D324" s="1375" t="s">
        <v>158</v>
      </c>
      <c r="E324" s="1375" t="s">
        <v>1561</v>
      </c>
      <c r="F324" s="1470">
        <v>130.62526892</v>
      </c>
      <c r="G324" s="1470">
        <v>0</v>
      </c>
      <c r="H324" s="1470">
        <v>0</v>
      </c>
    </row>
    <row r="325" spans="1:8">
      <c r="A325" s="1375">
        <v>2024</v>
      </c>
      <c r="B325" s="1375" t="s">
        <v>1758</v>
      </c>
      <c r="C325" s="1375" t="s">
        <v>1569</v>
      </c>
      <c r="D325" s="1375" t="s">
        <v>157</v>
      </c>
      <c r="E325" s="1375" t="s">
        <v>1553</v>
      </c>
      <c r="F325" s="1470">
        <v>1142.9962499999999</v>
      </c>
      <c r="G325" s="1470">
        <v>0</v>
      </c>
      <c r="H325" s="1470">
        <v>0</v>
      </c>
    </row>
    <row r="326" spans="1:8">
      <c r="A326" s="1375">
        <v>2024</v>
      </c>
      <c r="B326" s="1375" t="s">
        <v>1758</v>
      </c>
      <c r="C326" s="1375" t="s">
        <v>1569</v>
      </c>
      <c r="D326" s="1375" t="s">
        <v>158</v>
      </c>
      <c r="E326" s="1375" t="s">
        <v>1554</v>
      </c>
      <c r="F326" s="1470">
        <v>680.47375</v>
      </c>
      <c r="G326" s="1470">
        <v>0</v>
      </c>
      <c r="H326" s="1470">
        <v>0</v>
      </c>
    </row>
    <row r="327" spans="1:8">
      <c r="A327" s="1375">
        <v>2024</v>
      </c>
      <c r="B327" s="1375" t="s">
        <v>1758</v>
      </c>
      <c r="C327" s="1375" t="s">
        <v>1569</v>
      </c>
      <c r="D327" s="1375" t="s">
        <v>818</v>
      </c>
      <c r="E327" s="1375" t="s">
        <v>1555</v>
      </c>
      <c r="F327" s="1470">
        <v>1964.8887500000001</v>
      </c>
      <c r="G327" s="1470">
        <v>0</v>
      </c>
      <c r="H327" s="1470">
        <v>0</v>
      </c>
    </row>
    <row r="328" spans="1:8">
      <c r="A328" s="1375">
        <v>2024</v>
      </c>
      <c r="B328" s="1375" t="s">
        <v>1758</v>
      </c>
      <c r="C328" s="1375" t="s">
        <v>1567</v>
      </c>
      <c r="D328" s="1375" t="s">
        <v>157</v>
      </c>
      <c r="E328" s="1375" t="s">
        <v>1549</v>
      </c>
      <c r="F328" s="1470">
        <v>856.83124999999995</v>
      </c>
      <c r="G328" s="1470">
        <v>0</v>
      </c>
      <c r="H328" s="1470">
        <v>0</v>
      </c>
    </row>
    <row r="329" spans="1:8">
      <c r="A329" s="1375">
        <v>2024</v>
      </c>
      <c r="B329" s="1375" t="s">
        <v>1758</v>
      </c>
      <c r="C329" s="1375" t="s">
        <v>1567</v>
      </c>
      <c r="D329" s="1375" t="s">
        <v>158</v>
      </c>
      <c r="E329" s="1375" t="s">
        <v>1550</v>
      </c>
      <c r="F329" s="1470">
        <v>1936.605</v>
      </c>
      <c r="G329" s="1470">
        <v>0</v>
      </c>
      <c r="H329" s="1470">
        <v>0</v>
      </c>
    </row>
    <row r="330" spans="1:8">
      <c r="A330" s="1375">
        <v>2024</v>
      </c>
      <c r="B330" s="1375" t="s">
        <v>152</v>
      </c>
      <c r="C330" s="1375" t="s">
        <v>805</v>
      </c>
      <c r="D330" s="1375" t="s">
        <v>157</v>
      </c>
      <c r="E330" s="1375" t="s">
        <v>57</v>
      </c>
      <c r="F330" s="1470">
        <v>7250</v>
      </c>
      <c r="G330" s="1470">
        <v>2568</v>
      </c>
      <c r="H330" s="1470">
        <v>7250</v>
      </c>
    </row>
    <row r="331" spans="1:8">
      <c r="A331" s="1375">
        <v>2024</v>
      </c>
      <c r="B331" s="1375" t="s">
        <v>152</v>
      </c>
      <c r="C331" s="1375" t="s">
        <v>805</v>
      </c>
      <c r="D331" s="1375" t="s">
        <v>158</v>
      </c>
      <c r="E331" s="1375" t="s">
        <v>58</v>
      </c>
      <c r="F331" s="1470">
        <v>7250</v>
      </c>
      <c r="G331" s="1470">
        <v>2749</v>
      </c>
      <c r="H331" s="1470">
        <v>253.75</v>
      </c>
    </row>
    <row r="332" spans="1:8">
      <c r="A332" s="1375">
        <v>2024</v>
      </c>
      <c r="B332" s="1375" t="s">
        <v>152</v>
      </c>
      <c r="C332" s="1375" t="s">
        <v>805</v>
      </c>
      <c r="D332" s="1375" t="s">
        <v>818</v>
      </c>
      <c r="E332" s="1375" t="s">
        <v>762</v>
      </c>
      <c r="F332" s="1470">
        <v>7250</v>
      </c>
      <c r="G332" s="1470">
        <v>2554</v>
      </c>
      <c r="H332" s="1470">
        <v>253.75</v>
      </c>
    </row>
    <row r="333" spans="1:8">
      <c r="A333" s="1375">
        <v>2024</v>
      </c>
      <c r="B333" s="1375" t="s">
        <v>152</v>
      </c>
      <c r="C333" s="1375" t="s">
        <v>805</v>
      </c>
      <c r="D333" s="1375" t="s">
        <v>819</v>
      </c>
      <c r="E333" s="1375" t="s">
        <v>763</v>
      </c>
      <c r="F333" s="1470">
        <v>7250</v>
      </c>
      <c r="G333" s="1470">
        <v>2554</v>
      </c>
      <c r="H333" s="1470">
        <v>253.75</v>
      </c>
    </row>
    <row r="334" spans="1:8">
      <c r="A334" s="1375">
        <v>2024</v>
      </c>
      <c r="B334" s="1375" t="s">
        <v>152</v>
      </c>
      <c r="C334" s="1375" t="s">
        <v>804</v>
      </c>
      <c r="D334" s="1375" t="s">
        <v>157</v>
      </c>
      <c r="E334" s="1375" t="s">
        <v>55</v>
      </c>
      <c r="F334" s="1470">
        <v>16915</v>
      </c>
      <c r="G334" s="1470">
        <v>9115</v>
      </c>
      <c r="H334" s="1470">
        <v>592.02499999999998</v>
      </c>
    </row>
    <row r="335" spans="1:8">
      <c r="A335" s="1375">
        <v>2024</v>
      </c>
      <c r="B335" s="1375" t="s">
        <v>152</v>
      </c>
      <c r="C335" s="1375" t="s">
        <v>804</v>
      </c>
      <c r="D335" s="1375" t="s">
        <v>158</v>
      </c>
      <c r="E335" s="1375" t="s">
        <v>56</v>
      </c>
      <c r="F335" s="1470">
        <v>16915</v>
      </c>
      <c r="G335" s="1470">
        <v>8811</v>
      </c>
      <c r="H335" s="1470">
        <v>592.02499999999998</v>
      </c>
    </row>
    <row r="336" spans="1:8">
      <c r="A336" s="1375">
        <v>2024</v>
      </c>
      <c r="B336" s="1375" t="s">
        <v>152</v>
      </c>
      <c r="C336" s="1375" t="s">
        <v>804</v>
      </c>
      <c r="D336" s="1375" t="s">
        <v>818</v>
      </c>
      <c r="E336" s="1375" t="s">
        <v>770</v>
      </c>
      <c r="F336" s="1470">
        <v>16915</v>
      </c>
      <c r="G336" s="1470">
        <v>8817</v>
      </c>
      <c r="H336" s="1470">
        <v>592.02499999999998</v>
      </c>
    </row>
    <row r="337" spans="1:8">
      <c r="A337" s="1375">
        <v>2024</v>
      </c>
      <c r="B337" s="1375" t="s">
        <v>152</v>
      </c>
      <c r="C337" s="1375" t="s">
        <v>804</v>
      </c>
      <c r="D337" s="1375" t="s">
        <v>819</v>
      </c>
      <c r="E337" s="1375" t="s">
        <v>771</v>
      </c>
      <c r="F337" s="1470">
        <v>16915</v>
      </c>
      <c r="G337" s="1470">
        <v>8817</v>
      </c>
      <c r="H337" s="1470">
        <v>592.02499999999998</v>
      </c>
    </row>
    <row r="338" spans="1:8">
      <c r="A338" s="1375">
        <v>2024</v>
      </c>
      <c r="B338" s="1375" t="s">
        <v>152</v>
      </c>
      <c r="C338" s="1375" t="s">
        <v>806</v>
      </c>
      <c r="D338" s="1375" t="s">
        <v>157</v>
      </c>
      <c r="E338" s="1375" t="s">
        <v>744</v>
      </c>
      <c r="F338" s="1470">
        <v>5041</v>
      </c>
      <c r="G338" s="1470">
        <v>1904</v>
      </c>
      <c r="H338" s="1470">
        <v>504.1</v>
      </c>
    </row>
    <row r="339" spans="1:8">
      <c r="A339" s="1375">
        <v>2024</v>
      </c>
      <c r="B339" s="1375" t="s">
        <v>152</v>
      </c>
      <c r="C339" s="1375" t="s">
        <v>806</v>
      </c>
      <c r="D339" s="1375" t="s">
        <v>158</v>
      </c>
      <c r="E339" s="1375" t="s">
        <v>745</v>
      </c>
      <c r="F339" s="1470">
        <v>5041</v>
      </c>
      <c r="G339" s="1470">
        <v>1889</v>
      </c>
      <c r="H339" s="1470">
        <v>504.1</v>
      </c>
    </row>
    <row r="340" spans="1:8">
      <c r="A340" s="1375">
        <v>2024</v>
      </c>
      <c r="B340" s="1375" t="s">
        <v>152</v>
      </c>
      <c r="C340" s="1375" t="s">
        <v>806</v>
      </c>
      <c r="D340" s="1375" t="s">
        <v>818</v>
      </c>
      <c r="E340" s="1375" t="s">
        <v>764</v>
      </c>
      <c r="F340" s="1470">
        <v>5041</v>
      </c>
      <c r="G340" s="1470">
        <v>1884</v>
      </c>
      <c r="H340" s="1470">
        <v>504.1</v>
      </c>
    </row>
    <row r="341" spans="1:8">
      <c r="A341" s="1375">
        <v>2024</v>
      </c>
      <c r="B341" s="1375" t="s">
        <v>152</v>
      </c>
      <c r="C341" s="1375" t="s">
        <v>806</v>
      </c>
      <c r="D341" s="1375" t="s">
        <v>819</v>
      </c>
      <c r="E341" s="1375" t="s">
        <v>765</v>
      </c>
      <c r="F341" s="1470">
        <v>5041</v>
      </c>
      <c r="G341" s="1470">
        <v>1628</v>
      </c>
      <c r="H341" s="1470">
        <v>504.1</v>
      </c>
    </row>
    <row r="342" spans="1:8">
      <c r="A342" s="1375">
        <v>2024</v>
      </c>
      <c r="B342" s="1375" t="s">
        <v>152</v>
      </c>
      <c r="C342" s="1375" t="s">
        <v>807</v>
      </c>
      <c r="D342" s="1375" t="s">
        <v>157</v>
      </c>
      <c r="E342" s="1375" t="s">
        <v>766</v>
      </c>
      <c r="F342" s="1470">
        <v>2160</v>
      </c>
      <c r="G342" s="1470">
        <v>791</v>
      </c>
      <c r="H342" s="1470">
        <v>2160</v>
      </c>
    </row>
    <row r="343" spans="1:8">
      <c r="A343" s="1375">
        <v>2024</v>
      </c>
      <c r="B343" s="1375" t="s">
        <v>152</v>
      </c>
      <c r="C343" s="1375" t="s">
        <v>807</v>
      </c>
      <c r="D343" s="1375" t="s">
        <v>158</v>
      </c>
      <c r="E343" s="1375" t="s">
        <v>767</v>
      </c>
      <c r="F343" s="1470">
        <v>2160</v>
      </c>
      <c r="G343" s="1470">
        <v>784</v>
      </c>
      <c r="H343" s="1470">
        <v>216</v>
      </c>
    </row>
    <row r="344" spans="1:8">
      <c r="A344" s="1375">
        <v>2024</v>
      </c>
      <c r="B344" s="1375" t="s">
        <v>152</v>
      </c>
      <c r="C344" s="1375" t="s">
        <v>807</v>
      </c>
      <c r="D344" s="1375" t="s">
        <v>818</v>
      </c>
      <c r="E344" s="1375" t="s">
        <v>768</v>
      </c>
      <c r="F344" s="1470">
        <v>2160</v>
      </c>
      <c r="G344" s="1470">
        <v>783</v>
      </c>
      <c r="H344" s="1470">
        <v>216</v>
      </c>
    </row>
    <row r="345" spans="1:8">
      <c r="A345" s="1375">
        <v>2024</v>
      </c>
      <c r="B345" s="1375" t="s">
        <v>152</v>
      </c>
      <c r="C345" s="1375" t="s">
        <v>807</v>
      </c>
      <c r="D345" s="1375" t="s">
        <v>819</v>
      </c>
      <c r="E345" s="1375" t="s">
        <v>769</v>
      </c>
      <c r="F345" s="1470">
        <v>2160</v>
      </c>
      <c r="G345" s="1470">
        <v>665</v>
      </c>
      <c r="H345" s="1470">
        <v>216</v>
      </c>
    </row>
    <row r="346" spans="1:8">
      <c r="A346" s="1375">
        <v>2024</v>
      </c>
      <c r="B346" s="1375" t="s">
        <v>746</v>
      </c>
      <c r="C346" s="1375" t="s">
        <v>295</v>
      </c>
      <c r="D346" s="1375" t="s">
        <v>367</v>
      </c>
      <c r="E346" s="1375" t="s">
        <v>2305</v>
      </c>
      <c r="F346" s="1470">
        <v>8991</v>
      </c>
      <c r="G346" s="1470"/>
      <c r="H346" s="1470"/>
    </row>
    <row r="347" spans="1:8">
      <c r="A347" s="1375">
        <v>2024</v>
      </c>
      <c r="B347" s="1375" t="s">
        <v>746</v>
      </c>
      <c r="C347" s="1375" t="s">
        <v>295</v>
      </c>
      <c r="D347" s="1375" t="s">
        <v>357</v>
      </c>
      <c r="E347" s="1375" t="s">
        <v>62</v>
      </c>
      <c r="F347" s="1470">
        <v>17982</v>
      </c>
      <c r="G347" s="1470"/>
      <c r="H347" s="1470"/>
    </row>
    <row r="348" spans="1:8">
      <c r="A348" s="1375">
        <v>2024</v>
      </c>
      <c r="B348" s="1375" t="s">
        <v>746</v>
      </c>
      <c r="C348" s="1375" t="s">
        <v>303</v>
      </c>
      <c r="D348" s="1375" t="s">
        <v>367</v>
      </c>
      <c r="E348" s="1375" t="s">
        <v>64</v>
      </c>
      <c r="F348" s="1470">
        <v>2063</v>
      </c>
      <c r="G348" s="1470"/>
      <c r="H348" s="1470"/>
    </row>
    <row r="349" spans="1:8">
      <c r="A349" s="1375">
        <v>2024</v>
      </c>
      <c r="B349" s="1375" t="s">
        <v>746</v>
      </c>
      <c r="C349" s="1375" t="s">
        <v>303</v>
      </c>
      <c r="D349" s="1375" t="s">
        <v>357</v>
      </c>
      <c r="E349" s="1375" t="s">
        <v>63</v>
      </c>
      <c r="F349" s="1470">
        <v>3095</v>
      </c>
      <c r="G349" s="1470"/>
      <c r="H349" s="1470"/>
    </row>
    <row r="350" spans="1:8">
      <c r="A350" s="1375">
        <v>2024</v>
      </c>
      <c r="B350" s="1375" t="s">
        <v>746</v>
      </c>
      <c r="C350" s="1375" t="s">
        <v>309</v>
      </c>
      <c r="D350" s="1375" t="s">
        <v>1564</v>
      </c>
      <c r="E350" s="1375" t="s">
        <v>65</v>
      </c>
      <c r="F350" s="1470">
        <v>11763</v>
      </c>
      <c r="G350" s="1470"/>
      <c r="H350" s="1470"/>
    </row>
    <row r="351" spans="1:8">
      <c r="A351" s="1375">
        <v>2024</v>
      </c>
      <c r="B351" s="1375" t="s">
        <v>746</v>
      </c>
      <c r="C351" s="1375" t="s">
        <v>309</v>
      </c>
      <c r="D351" s="1375" t="s">
        <v>944</v>
      </c>
      <c r="E351" s="1375" t="s">
        <v>66</v>
      </c>
      <c r="F351" s="1470">
        <v>5882</v>
      </c>
      <c r="G351" s="1470"/>
      <c r="H351" s="1470"/>
    </row>
    <row r="352" spans="1:8">
      <c r="A352" s="1375">
        <v>2024</v>
      </c>
      <c r="B352" s="1375" t="s">
        <v>746</v>
      </c>
      <c r="C352" s="1375" t="s">
        <v>327</v>
      </c>
      <c r="D352" s="1375" t="s">
        <v>885</v>
      </c>
      <c r="E352" s="1375" t="s">
        <v>458</v>
      </c>
      <c r="F352" s="1470">
        <v>28055</v>
      </c>
      <c r="G352" s="1470"/>
      <c r="H352" s="1470"/>
    </row>
    <row r="353" spans="1:8">
      <c r="A353" s="1375">
        <v>2024</v>
      </c>
      <c r="B353" s="1375" t="s">
        <v>746</v>
      </c>
      <c r="C353" s="1375" t="s">
        <v>682</v>
      </c>
      <c r="D353" s="1375" t="s">
        <v>927</v>
      </c>
      <c r="E353" s="1375" t="s">
        <v>681</v>
      </c>
      <c r="F353" s="1470">
        <v>1684.35</v>
      </c>
      <c r="G353" s="1470">
        <v>1684.35</v>
      </c>
      <c r="H353" s="1470"/>
    </row>
    <row r="354" spans="1:8">
      <c r="A354" s="1375">
        <v>2024</v>
      </c>
      <c r="B354" s="1375" t="s">
        <v>746</v>
      </c>
      <c r="C354" s="1375" t="s">
        <v>932</v>
      </c>
      <c r="D354" s="1375" t="s">
        <v>927</v>
      </c>
      <c r="E354" s="1375" t="s">
        <v>77</v>
      </c>
      <c r="F354" s="1470">
        <v>3694.6709187900001</v>
      </c>
      <c r="G354" s="1470">
        <v>0</v>
      </c>
      <c r="H354" s="1470"/>
    </row>
    <row r="355" spans="1:8">
      <c r="A355" s="1375">
        <v>2024</v>
      </c>
      <c r="B355" s="1375" t="s">
        <v>746</v>
      </c>
      <c r="C355" s="1375" t="s">
        <v>1529</v>
      </c>
      <c r="D355" s="1375" t="s">
        <v>927</v>
      </c>
      <c r="E355" s="1375" t="s">
        <v>81</v>
      </c>
      <c r="F355" s="1470">
        <v>0</v>
      </c>
      <c r="G355" s="1470">
        <v>0</v>
      </c>
      <c r="H355" s="1470"/>
    </row>
    <row r="356" spans="1:8">
      <c r="A356" s="1375">
        <v>2024</v>
      </c>
      <c r="B356" s="1375" t="s">
        <v>746</v>
      </c>
      <c r="C356" s="1375" t="s">
        <v>937</v>
      </c>
      <c r="D356" s="1375" t="s">
        <v>927</v>
      </c>
      <c r="E356" s="1375" t="s">
        <v>757</v>
      </c>
      <c r="F356" s="1470">
        <v>400</v>
      </c>
      <c r="G356" s="1470">
        <v>400</v>
      </c>
      <c r="H356" s="1470"/>
    </row>
    <row r="357" spans="1:8">
      <c r="A357" s="1375">
        <v>2024</v>
      </c>
      <c r="B357" s="1375" t="s">
        <v>746</v>
      </c>
      <c r="C357" s="1375" t="s">
        <v>933</v>
      </c>
      <c r="D357" s="1375" t="s">
        <v>927</v>
      </c>
      <c r="E357" s="1375" t="s">
        <v>78</v>
      </c>
      <c r="F357" s="1470">
        <v>50</v>
      </c>
      <c r="G357" s="1470">
        <v>0</v>
      </c>
      <c r="H357" s="1470"/>
    </row>
    <row r="358" spans="1:8">
      <c r="A358" s="1375">
        <v>2024</v>
      </c>
      <c r="B358" s="1375" t="s">
        <v>746</v>
      </c>
      <c r="C358" s="1375" t="s">
        <v>1530</v>
      </c>
      <c r="D358" s="1375" t="s">
        <v>927</v>
      </c>
      <c r="E358" s="1375" t="s">
        <v>82</v>
      </c>
      <c r="F358" s="1470">
        <v>0</v>
      </c>
      <c r="G358" s="1470">
        <v>0</v>
      </c>
      <c r="H358" s="1470"/>
    </row>
    <row r="359" spans="1:8">
      <c r="A359" s="1375">
        <v>2024</v>
      </c>
      <c r="B359" s="1375" t="s">
        <v>746</v>
      </c>
      <c r="C359" s="1375" t="s">
        <v>938</v>
      </c>
      <c r="D359" s="1375" t="s">
        <v>927</v>
      </c>
      <c r="E359" s="1375" t="s">
        <v>758</v>
      </c>
      <c r="F359" s="1470">
        <v>10</v>
      </c>
      <c r="G359" s="1470">
        <v>10</v>
      </c>
      <c r="H359" s="1470"/>
    </row>
    <row r="360" spans="1:8">
      <c r="A360" s="1375">
        <v>2024</v>
      </c>
      <c r="B360" s="1375" t="s">
        <v>746</v>
      </c>
      <c r="C360" s="1375" t="s">
        <v>942</v>
      </c>
      <c r="D360" s="1375" t="s">
        <v>927</v>
      </c>
      <c r="E360" s="1375" t="s">
        <v>756</v>
      </c>
      <c r="F360" s="1470">
        <v>8</v>
      </c>
      <c r="G360" s="1470">
        <v>0</v>
      </c>
      <c r="H360" s="1470"/>
    </row>
    <row r="361" spans="1:8">
      <c r="A361" s="1375">
        <v>2024</v>
      </c>
      <c r="B361" s="1375" t="s">
        <v>746</v>
      </c>
      <c r="C361" s="1375" t="s">
        <v>934</v>
      </c>
      <c r="D361" s="1375" t="s">
        <v>927</v>
      </c>
      <c r="E361" s="1375" t="s">
        <v>79</v>
      </c>
      <c r="F361" s="1470">
        <v>40</v>
      </c>
      <c r="G361" s="1470">
        <v>0</v>
      </c>
      <c r="H361" s="1470"/>
    </row>
    <row r="362" spans="1:8">
      <c r="A362" s="1375">
        <v>2024</v>
      </c>
      <c r="B362" s="1375" t="s">
        <v>746</v>
      </c>
      <c r="C362" s="1375" t="s">
        <v>1531</v>
      </c>
      <c r="D362" s="1375" t="s">
        <v>927</v>
      </c>
      <c r="E362" s="1375" t="s">
        <v>83</v>
      </c>
      <c r="F362" s="1470">
        <v>0</v>
      </c>
      <c r="G362" s="1470">
        <v>0</v>
      </c>
      <c r="H362" s="1470"/>
    </row>
    <row r="363" spans="1:8">
      <c r="A363" s="1375">
        <v>2024</v>
      </c>
      <c r="B363" s="1375" t="s">
        <v>746</v>
      </c>
      <c r="C363" s="1375" t="s">
        <v>939</v>
      </c>
      <c r="D363" s="1375" t="s">
        <v>927</v>
      </c>
      <c r="E363" s="1375" t="s">
        <v>759</v>
      </c>
      <c r="F363" s="1470">
        <v>10</v>
      </c>
      <c r="G363" s="1470">
        <v>10</v>
      </c>
      <c r="H363" s="1470"/>
    </row>
    <row r="364" spans="1:8">
      <c r="A364" s="1375">
        <v>2024</v>
      </c>
      <c r="B364" s="1375" t="s">
        <v>746</v>
      </c>
      <c r="C364" s="1375" t="s">
        <v>931</v>
      </c>
      <c r="D364" s="1375" t="s">
        <v>927</v>
      </c>
      <c r="E364" s="1375" t="s">
        <v>76</v>
      </c>
      <c r="F364" s="1470">
        <v>292.2</v>
      </c>
      <c r="G364" s="1470">
        <v>0</v>
      </c>
      <c r="H364" s="1470"/>
    </row>
    <row r="365" spans="1:8">
      <c r="A365" s="1375">
        <v>2024</v>
      </c>
      <c r="B365" s="1375" t="s">
        <v>746</v>
      </c>
      <c r="C365" s="1375" t="s">
        <v>935</v>
      </c>
      <c r="D365" s="1375" t="s">
        <v>927</v>
      </c>
      <c r="E365" s="1375" t="s">
        <v>80</v>
      </c>
      <c r="F365" s="1470">
        <v>265.86</v>
      </c>
      <c r="G365" s="1470">
        <v>0</v>
      </c>
      <c r="H365" s="1470"/>
    </row>
    <row r="366" spans="1:8">
      <c r="A366" s="1375">
        <v>2024</v>
      </c>
      <c r="B366" s="1375" t="s">
        <v>746</v>
      </c>
      <c r="C366" s="1375" t="s">
        <v>930</v>
      </c>
      <c r="D366" s="1375" t="s">
        <v>927</v>
      </c>
      <c r="E366" s="1375" t="s">
        <v>84</v>
      </c>
      <c r="F366" s="1470">
        <v>4.5</v>
      </c>
      <c r="G366" s="1470">
        <v>0</v>
      </c>
      <c r="H366" s="1470"/>
    </row>
    <row r="367" spans="1:8">
      <c r="A367" s="1375">
        <v>2024</v>
      </c>
      <c r="B367" s="1375" t="s">
        <v>746</v>
      </c>
      <c r="C367" s="1375" t="s">
        <v>940</v>
      </c>
      <c r="D367" s="1375" t="s">
        <v>927</v>
      </c>
      <c r="E367" s="1375" t="s">
        <v>760</v>
      </c>
      <c r="F367" s="1470">
        <v>70</v>
      </c>
      <c r="G367" s="1470">
        <v>70</v>
      </c>
      <c r="H367" s="1470"/>
    </row>
    <row r="368" spans="1:8">
      <c r="A368" s="1375">
        <v>2024</v>
      </c>
      <c r="B368" s="1375" t="s">
        <v>746</v>
      </c>
      <c r="C368" s="1375" t="s">
        <v>1399</v>
      </c>
      <c r="D368" s="1375" t="s">
        <v>927</v>
      </c>
      <c r="E368" s="1375" t="s">
        <v>1398</v>
      </c>
      <c r="F368" s="1470">
        <v>150</v>
      </c>
      <c r="G368" s="1470">
        <v>0</v>
      </c>
      <c r="H368" s="1470"/>
    </row>
    <row r="369" spans="1:8">
      <c r="A369" s="1375">
        <v>2024</v>
      </c>
      <c r="B369" s="1375" t="s">
        <v>746</v>
      </c>
      <c r="C369" s="1375" t="s">
        <v>1403</v>
      </c>
      <c r="D369" s="1375" t="s">
        <v>927</v>
      </c>
      <c r="E369" s="1375" t="s">
        <v>1402</v>
      </c>
      <c r="F369" s="1470">
        <v>5</v>
      </c>
      <c r="G369" s="1470">
        <v>0</v>
      </c>
      <c r="H369" s="1470"/>
    </row>
    <row r="370" spans="1:8">
      <c r="A370" s="1375">
        <v>2024</v>
      </c>
      <c r="B370" s="1375" t="s">
        <v>746</v>
      </c>
      <c r="C370" s="1375" t="s">
        <v>1405</v>
      </c>
      <c r="D370" s="1375" t="s">
        <v>927</v>
      </c>
      <c r="E370" s="1375" t="s">
        <v>1404</v>
      </c>
      <c r="F370" s="1470">
        <v>0</v>
      </c>
      <c r="G370" s="1470">
        <v>0</v>
      </c>
      <c r="H370" s="1470"/>
    </row>
    <row r="371" spans="1:8">
      <c r="A371" s="1375">
        <v>2024</v>
      </c>
      <c r="B371" s="1375" t="s">
        <v>857</v>
      </c>
      <c r="C371" s="1375" t="s">
        <v>1395</v>
      </c>
      <c r="D371" s="1375" t="s">
        <v>955</v>
      </c>
      <c r="E371" s="1375" t="s">
        <v>954</v>
      </c>
      <c r="F371" s="1470">
        <v>3543.7679549999998</v>
      </c>
      <c r="G371" s="1470">
        <v>0</v>
      </c>
      <c r="H371" s="1470"/>
    </row>
    <row r="372" spans="1:8">
      <c r="A372" s="1375">
        <v>2024</v>
      </c>
      <c r="B372" s="1375" t="s">
        <v>857</v>
      </c>
      <c r="C372" s="1375" t="s">
        <v>1395</v>
      </c>
      <c r="D372" s="1375" t="s">
        <v>1397</v>
      </c>
      <c r="E372" s="1375" t="s">
        <v>1396</v>
      </c>
      <c r="F372" s="1470">
        <v>3543.7679549999998</v>
      </c>
      <c r="G372" s="1470">
        <v>519.87202313</v>
      </c>
      <c r="H372" s="1470"/>
    </row>
    <row r="373" spans="1:8">
      <c r="A373" s="1375">
        <v>2024</v>
      </c>
      <c r="B373" s="1375" t="s">
        <v>857</v>
      </c>
      <c r="C373" s="1375" t="s">
        <v>1395</v>
      </c>
      <c r="D373" s="1375" t="s">
        <v>1327</v>
      </c>
      <c r="E373" s="1375" t="s">
        <v>956</v>
      </c>
      <c r="F373" s="1470">
        <v>236.42175374999999</v>
      </c>
      <c r="G373" s="1470">
        <v>165.49522762999999</v>
      </c>
      <c r="H373" s="1470"/>
    </row>
    <row r="374" spans="1:8">
      <c r="A374" s="1375">
        <v>2024</v>
      </c>
      <c r="B374" s="1375" t="s">
        <v>857</v>
      </c>
      <c r="C374" s="1375" t="s">
        <v>1395</v>
      </c>
      <c r="D374" s="1375" t="s">
        <v>1948</v>
      </c>
      <c r="E374" s="1375" t="s">
        <v>2354</v>
      </c>
      <c r="F374" s="1470">
        <v>1518.757695</v>
      </c>
      <c r="G374" s="1470">
        <v>0</v>
      </c>
      <c r="H374" s="1470"/>
    </row>
    <row r="375" spans="1:8">
      <c r="A375" s="1375">
        <v>2024</v>
      </c>
      <c r="B375" s="1375" t="s">
        <v>138</v>
      </c>
      <c r="C375" s="1375" t="s">
        <v>476</v>
      </c>
      <c r="D375" s="1375" t="s">
        <v>1007</v>
      </c>
      <c r="E375" s="1375" t="s">
        <v>1434</v>
      </c>
      <c r="F375" s="1470">
        <v>33794.699766359998</v>
      </c>
      <c r="G375" s="1470">
        <v>0</v>
      </c>
      <c r="H375" s="1470">
        <v>0</v>
      </c>
    </row>
    <row r="376" spans="1:8">
      <c r="A376" s="1375">
        <v>2024</v>
      </c>
      <c r="B376" s="1375" t="s">
        <v>138</v>
      </c>
      <c r="C376" s="1375" t="s">
        <v>476</v>
      </c>
      <c r="D376" s="1375" t="s">
        <v>1517</v>
      </c>
      <c r="E376" s="1375" t="s">
        <v>1516</v>
      </c>
      <c r="F376" s="1470">
        <v>318557.69422663999</v>
      </c>
      <c r="G376" s="1470">
        <v>0</v>
      </c>
      <c r="H376" s="1470">
        <v>242877.38327645999</v>
      </c>
    </row>
    <row r="377" spans="1:8">
      <c r="A377" s="1375">
        <v>2024</v>
      </c>
      <c r="B377" s="1375" t="s">
        <v>146</v>
      </c>
      <c r="C377" s="1375" t="s">
        <v>493</v>
      </c>
      <c r="D377" s="1375" t="s">
        <v>334</v>
      </c>
      <c r="E377" s="1375" t="s">
        <v>39</v>
      </c>
      <c r="F377" s="1470">
        <v>0.11034691000000001</v>
      </c>
      <c r="G377" s="1470">
        <v>5.5173449999999999E-2</v>
      </c>
      <c r="H377" s="1470">
        <v>0</v>
      </c>
    </row>
    <row r="378" spans="1:8">
      <c r="A378" s="1375">
        <v>2024</v>
      </c>
      <c r="B378" s="1375" t="s">
        <v>149</v>
      </c>
      <c r="C378" s="1375" t="s">
        <v>298</v>
      </c>
      <c r="D378" s="1375" t="s">
        <v>367</v>
      </c>
      <c r="E378" s="1375" t="s">
        <v>1519</v>
      </c>
      <c r="F378" s="1470">
        <v>1672.1846736299999</v>
      </c>
      <c r="G378" s="1470"/>
      <c r="H378" s="1470"/>
    </row>
    <row r="379" spans="1:8">
      <c r="A379" s="1375">
        <v>2024</v>
      </c>
      <c r="B379" s="1375" t="s">
        <v>149</v>
      </c>
      <c r="C379" s="1375" t="s">
        <v>298</v>
      </c>
      <c r="D379" s="1375" t="s">
        <v>357</v>
      </c>
      <c r="E379" s="1375" t="s">
        <v>74</v>
      </c>
      <c r="F379" s="1470">
        <v>3344.3693472599998</v>
      </c>
      <c r="G379" s="1470"/>
      <c r="H379" s="1470"/>
    </row>
    <row r="380" spans="1:8">
      <c r="A380" s="1375">
        <v>2024</v>
      </c>
      <c r="B380" s="1375" t="s">
        <v>149</v>
      </c>
      <c r="C380" s="1375" t="s">
        <v>306</v>
      </c>
      <c r="D380" s="1375" t="s">
        <v>367</v>
      </c>
      <c r="E380" s="1375" t="s">
        <v>1520</v>
      </c>
      <c r="F380" s="1470">
        <v>407.59758971999997</v>
      </c>
      <c r="G380" s="1470"/>
      <c r="H380" s="1470"/>
    </row>
    <row r="381" spans="1:8">
      <c r="A381" s="1375">
        <v>2024</v>
      </c>
      <c r="B381" s="1375" t="s">
        <v>149</v>
      </c>
      <c r="C381" s="1375" t="s">
        <v>306</v>
      </c>
      <c r="D381" s="1375" t="s">
        <v>357</v>
      </c>
      <c r="E381" s="1375" t="s">
        <v>75</v>
      </c>
      <c r="F381" s="1470">
        <v>611.39638458000002</v>
      </c>
      <c r="G381" s="1470"/>
      <c r="H381" s="1470"/>
    </row>
    <row r="382" spans="1:8">
      <c r="A382" s="1375">
        <v>2024</v>
      </c>
      <c r="B382" s="1375" t="s">
        <v>149</v>
      </c>
      <c r="C382" s="1375" t="s">
        <v>312</v>
      </c>
      <c r="D382" s="1375" t="s">
        <v>1564</v>
      </c>
      <c r="E382" s="1375" t="s">
        <v>1312</v>
      </c>
      <c r="F382" s="1470">
        <v>2974.1779443400001</v>
      </c>
      <c r="G382" s="1470"/>
      <c r="H382" s="1470"/>
    </row>
    <row r="383" spans="1:8">
      <c r="A383" s="1375">
        <v>2024</v>
      </c>
      <c r="B383" s="1375" t="s">
        <v>149</v>
      </c>
      <c r="C383" s="1375" t="s">
        <v>312</v>
      </c>
      <c r="D383" s="1375" t="s">
        <v>944</v>
      </c>
      <c r="E383" s="1375" t="s">
        <v>1524</v>
      </c>
      <c r="F383" s="1470">
        <v>1487.08897217</v>
      </c>
      <c r="G383" s="1470"/>
      <c r="H383" s="1470"/>
    </row>
    <row r="384" spans="1:8">
      <c r="A384" s="1375">
        <v>2024</v>
      </c>
      <c r="B384" s="1375" t="s">
        <v>149</v>
      </c>
      <c r="C384" s="1375" t="s">
        <v>330</v>
      </c>
      <c r="D384" s="1375" t="s">
        <v>885</v>
      </c>
      <c r="E384" s="1375" t="s">
        <v>1525</v>
      </c>
      <c r="F384" s="1470">
        <v>4789.5970612900001</v>
      </c>
      <c r="G384" s="1470"/>
      <c r="H384" s="1470"/>
    </row>
    <row r="385" spans="1:8">
      <c r="A385" s="1375">
        <v>2024</v>
      </c>
      <c r="B385" s="1375" t="s">
        <v>143</v>
      </c>
      <c r="C385" s="1375" t="s">
        <v>323</v>
      </c>
      <c r="D385" s="1375" t="s">
        <v>157</v>
      </c>
      <c r="E385" s="1375" t="s">
        <v>30</v>
      </c>
      <c r="F385" s="1470">
        <v>584188.48971293995</v>
      </c>
      <c r="G385" s="1470">
        <v>2565</v>
      </c>
      <c r="H385" s="1470">
        <v>0</v>
      </c>
    </row>
    <row r="386" spans="1:8">
      <c r="A386" s="1375">
        <v>2024</v>
      </c>
      <c r="B386" s="1375" t="s">
        <v>143</v>
      </c>
      <c r="C386" s="1375" t="s">
        <v>321</v>
      </c>
      <c r="D386" s="1375" t="s">
        <v>157</v>
      </c>
      <c r="E386" s="1375" t="s">
        <v>31</v>
      </c>
      <c r="F386" s="1470">
        <v>34029.489227149999</v>
      </c>
      <c r="G386" s="1470">
        <v>26</v>
      </c>
      <c r="H386" s="1470">
        <v>0</v>
      </c>
    </row>
    <row r="387" spans="1:8">
      <c r="A387" s="1375">
        <v>2024</v>
      </c>
      <c r="B387" s="1375" t="s">
        <v>143</v>
      </c>
      <c r="C387" s="1375" t="s">
        <v>324</v>
      </c>
      <c r="D387" s="1375" t="s">
        <v>157</v>
      </c>
      <c r="E387" s="1375" t="s">
        <v>93</v>
      </c>
      <c r="F387" s="1470">
        <v>145274.12929948</v>
      </c>
      <c r="G387" s="1470">
        <v>2460</v>
      </c>
      <c r="H387" s="1470">
        <v>0</v>
      </c>
    </row>
    <row r="388" spans="1:8">
      <c r="A388" s="1375">
        <v>2024</v>
      </c>
      <c r="B388" s="1375" t="s">
        <v>143</v>
      </c>
      <c r="C388" s="1375" t="s">
        <v>322</v>
      </c>
      <c r="D388" s="1375" t="s">
        <v>157</v>
      </c>
      <c r="E388" s="1375" t="s">
        <v>94</v>
      </c>
      <c r="F388" s="1470">
        <v>2918.7808120999998</v>
      </c>
      <c r="G388" s="1470">
        <v>0</v>
      </c>
      <c r="H388" s="1470">
        <v>0</v>
      </c>
    </row>
    <row r="389" spans="1:8">
      <c r="A389" s="1375">
        <v>2024</v>
      </c>
      <c r="B389" s="1375" t="s">
        <v>470</v>
      </c>
      <c r="C389" s="1375" t="s">
        <v>1933</v>
      </c>
      <c r="D389" s="1375" t="s">
        <v>1954</v>
      </c>
      <c r="E389" s="1375" t="s">
        <v>2319</v>
      </c>
      <c r="F389" s="1470">
        <v>52158.810765189999</v>
      </c>
      <c r="G389" s="1470"/>
      <c r="H389" s="1470"/>
    </row>
    <row r="390" spans="1:8">
      <c r="A390" s="1375">
        <v>2024</v>
      </c>
      <c r="B390" s="1375" t="s">
        <v>141</v>
      </c>
      <c r="C390" s="1375" t="s">
        <v>1933</v>
      </c>
      <c r="D390" s="1375" t="s">
        <v>1953</v>
      </c>
      <c r="E390" s="1375" t="s">
        <v>2281</v>
      </c>
      <c r="F390" s="1470">
        <v>135854.56573862999</v>
      </c>
      <c r="G390" s="1470"/>
      <c r="H390" s="1470"/>
    </row>
    <row r="391" spans="1:8">
      <c r="A391" s="1375">
        <v>2024</v>
      </c>
      <c r="B391" s="1375" t="s">
        <v>141</v>
      </c>
      <c r="C391" s="1375" t="s">
        <v>1928</v>
      </c>
      <c r="D391" s="1375" t="s">
        <v>1951</v>
      </c>
      <c r="E391" s="1375" t="s">
        <v>2278</v>
      </c>
      <c r="F391" s="1470">
        <v>20.848956699999999</v>
      </c>
      <c r="G391" s="1470"/>
      <c r="H391" s="1470"/>
    </row>
    <row r="392" spans="1:8">
      <c r="A392" s="1375">
        <v>2024</v>
      </c>
      <c r="B392" s="1375" t="s">
        <v>141</v>
      </c>
      <c r="C392" s="1375" t="s">
        <v>1928</v>
      </c>
      <c r="D392" s="1375" t="s">
        <v>1952</v>
      </c>
      <c r="E392" s="1375" t="s">
        <v>2279</v>
      </c>
      <c r="F392" s="1470">
        <v>907.45161270000006</v>
      </c>
      <c r="G392" s="1470"/>
      <c r="H392" s="1470"/>
    </row>
    <row r="393" spans="1:8">
      <c r="A393" s="1375">
        <v>2024</v>
      </c>
      <c r="B393" s="1375" t="s">
        <v>144</v>
      </c>
      <c r="C393" s="1375" t="s">
        <v>285</v>
      </c>
      <c r="D393" s="1375" t="s">
        <v>334</v>
      </c>
      <c r="E393" s="1375" t="s">
        <v>399</v>
      </c>
      <c r="F393" s="1470">
        <v>6.4243824199999997</v>
      </c>
      <c r="G393" s="1470">
        <v>6.4243824199999997</v>
      </c>
      <c r="H393" s="1470">
        <v>0.25697530000000002</v>
      </c>
    </row>
    <row r="394" spans="1:8">
      <c r="A394" s="1375">
        <v>2024</v>
      </c>
      <c r="B394" s="1375" t="s">
        <v>144</v>
      </c>
      <c r="C394" s="1375" t="s">
        <v>299</v>
      </c>
      <c r="D394" s="1375" t="s">
        <v>334</v>
      </c>
      <c r="E394" s="1375" t="s">
        <v>420</v>
      </c>
      <c r="F394" s="1470">
        <v>6.7593606199999998</v>
      </c>
      <c r="G394" s="1470">
        <v>6.7593606199999998</v>
      </c>
      <c r="H394" s="1470">
        <v>0.47315523999999998</v>
      </c>
    </row>
    <row r="395" spans="1:8">
      <c r="A395" s="1375">
        <v>2024</v>
      </c>
      <c r="B395" s="1375" t="s">
        <v>137</v>
      </c>
      <c r="C395" s="1375" t="s">
        <v>296</v>
      </c>
      <c r="D395" s="1375" t="s">
        <v>1362</v>
      </c>
      <c r="E395" s="1375" t="s">
        <v>21</v>
      </c>
      <c r="F395" s="1470">
        <v>5027181.0715006003</v>
      </c>
      <c r="G395" s="1470"/>
      <c r="H395" s="1470"/>
    </row>
    <row r="396" spans="1:8">
      <c r="A396" s="1375">
        <v>2024</v>
      </c>
      <c r="B396" s="1375" t="s">
        <v>137</v>
      </c>
      <c r="C396" s="1375" t="s">
        <v>296</v>
      </c>
      <c r="D396" s="1375" t="s">
        <v>1364</v>
      </c>
      <c r="E396" s="1375" t="s">
        <v>1363</v>
      </c>
      <c r="F396" s="1470">
        <v>5027181.0715006003</v>
      </c>
      <c r="G396" s="1470"/>
      <c r="H396" s="1470"/>
    </row>
    <row r="397" spans="1:8">
      <c r="A397" s="1375">
        <v>2024</v>
      </c>
      <c r="B397" s="1375" t="s">
        <v>137</v>
      </c>
      <c r="C397" s="1375" t="s">
        <v>296</v>
      </c>
      <c r="D397" s="1375" t="s">
        <v>1365</v>
      </c>
      <c r="E397" s="1375" t="s">
        <v>871</v>
      </c>
      <c r="F397" s="1470">
        <v>748840.51377561002</v>
      </c>
      <c r="G397" s="1470"/>
      <c r="H397" s="1470"/>
    </row>
    <row r="398" spans="1:8">
      <c r="A398" s="1375">
        <v>2024</v>
      </c>
      <c r="B398" s="1375" t="s">
        <v>137</v>
      </c>
      <c r="C398" s="1375" t="s">
        <v>304</v>
      </c>
      <c r="D398" s="1375" t="s">
        <v>1368</v>
      </c>
      <c r="E398" s="1375" t="s">
        <v>22</v>
      </c>
      <c r="F398" s="1470">
        <v>1539078.8846195701</v>
      </c>
      <c r="G398" s="1470"/>
      <c r="H398" s="1470"/>
    </row>
    <row r="399" spans="1:8">
      <c r="A399" s="1375">
        <v>2024</v>
      </c>
      <c r="B399" s="1375" t="s">
        <v>137</v>
      </c>
      <c r="C399" s="1375" t="s">
        <v>304</v>
      </c>
      <c r="D399" s="1375" t="s">
        <v>1370</v>
      </c>
      <c r="E399" s="1375" t="s">
        <v>1369</v>
      </c>
      <c r="F399" s="1470">
        <v>252394.81708784</v>
      </c>
      <c r="G399" s="1470"/>
      <c r="H399" s="1470"/>
    </row>
    <row r="400" spans="1:8">
      <c r="A400" s="1375">
        <v>2024</v>
      </c>
      <c r="B400" s="1375" t="s">
        <v>137</v>
      </c>
      <c r="C400" s="1375" t="s">
        <v>310</v>
      </c>
      <c r="D400" s="1375" t="s">
        <v>1511</v>
      </c>
      <c r="E400" s="1375" t="s">
        <v>23</v>
      </c>
      <c r="F400" s="1470">
        <v>11542340.769697441</v>
      </c>
      <c r="G400" s="1470"/>
      <c r="H400" s="1470"/>
    </row>
    <row r="401" spans="1:8">
      <c r="A401" s="1375">
        <v>2024</v>
      </c>
      <c r="B401" s="1375" t="s">
        <v>137</v>
      </c>
      <c r="C401" s="1375" t="s">
        <v>310</v>
      </c>
      <c r="D401" s="1375" t="s">
        <v>1512</v>
      </c>
      <c r="E401" s="1375" t="s">
        <v>1374</v>
      </c>
      <c r="F401" s="1470">
        <v>10784874.656686051</v>
      </c>
      <c r="G401" s="1470"/>
      <c r="H401" s="1470"/>
    </row>
    <row r="402" spans="1:8">
      <c r="A402" s="1375">
        <v>2024</v>
      </c>
      <c r="B402" s="1375" t="s">
        <v>137</v>
      </c>
      <c r="C402" s="1375" t="s">
        <v>310</v>
      </c>
      <c r="D402" s="1375" t="s">
        <v>1513</v>
      </c>
      <c r="E402" s="1375" t="s">
        <v>1375</v>
      </c>
      <c r="F402" s="1470">
        <v>2597026.6731819198</v>
      </c>
      <c r="G402" s="1470"/>
      <c r="H402" s="1470"/>
    </row>
    <row r="403" spans="1:8">
      <c r="A403" s="1375">
        <v>2024</v>
      </c>
      <c r="B403" s="1375" t="s">
        <v>137</v>
      </c>
      <c r="C403" s="1375" t="s">
        <v>328</v>
      </c>
      <c r="D403" s="1375" t="s">
        <v>882</v>
      </c>
      <c r="E403" s="1375" t="s">
        <v>24</v>
      </c>
      <c r="F403" s="1470">
        <v>23567312.670554262</v>
      </c>
      <c r="G403" s="1470"/>
      <c r="H403" s="1470"/>
    </row>
    <row r="404" spans="1:8">
      <c r="A404" s="1375">
        <v>2024</v>
      </c>
      <c r="B404" s="1375" t="s">
        <v>137</v>
      </c>
      <c r="C404" s="1375" t="s">
        <v>328</v>
      </c>
      <c r="D404" s="1375" t="s">
        <v>1378</v>
      </c>
      <c r="E404" s="1375" t="s">
        <v>1377</v>
      </c>
      <c r="F404" s="1470">
        <v>23567312.670554262</v>
      </c>
      <c r="G404" s="1470"/>
      <c r="H404" s="1470"/>
    </row>
    <row r="405" spans="1:8">
      <c r="A405" s="1375">
        <v>2024</v>
      </c>
      <c r="B405" s="1375" t="s">
        <v>137</v>
      </c>
      <c r="C405" s="1375" t="s">
        <v>328</v>
      </c>
      <c r="D405" s="1375" t="s">
        <v>1379</v>
      </c>
      <c r="E405" s="1375" t="s">
        <v>883</v>
      </c>
      <c r="F405" s="1470">
        <v>7659376.6179301403</v>
      </c>
      <c r="G405" s="1470"/>
      <c r="H405" s="1470"/>
    </row>
    <row r="406" spans="1:8">
      <c r="A406" s="1375">
        <v>2024</v>
      </c>
      <c r="B406" s="1375" t="s">
        <v>137</v>
      </c>
      <c r="C406" s="1375" t="s">
        <v>328</v>
      </c>
      <c r="D406" s="1375" t="s">
        <v>1380</v>
      </c>
      <c r="E406" s="1375" t="s">
        <v>884</v>
      </c>
      <c r="F406" s="1470">
        <v>0</v>
      </c>
      <c r="G406" s="1470"/>
      <c r="H406" s="1470"/>
    </row>
    <row r="407" spans="1:8">
      <c r="A407" s="1375">
        <v>2025</v>
      </c>
      <c r="B407" s="1375" t="s">
        <v>150</v>
      </c>
      <c r="C407" s="1375" t="s">
        <v>288</v>
      </c>
      <c r="D407" s="1375" t="s">
        <v>157</v>
      </c>
      <c r="E407" s="1375" t="s">
        <v>52</v>
      </c>
      <c r="F407" s="1470">
        <v>2281.4815930499999</v>
      </c>
      <c r="G407" s="1470">
        <v>456.29631861000001</v>
      </c>
      <c r="H407" s="1470">
        <v>0</v>
      </c>
    </row>
    <row r="408" spans="1:8">
      <c r="A408" s="1375">
        <v>2025</v>
      </c>
      <c r="B408" s="1375" t="s">
        <v>150</v>
      </c>
      <c r="C408" s="1375" t="s">
        <v>289</v>
      </c>
      <c r="D408" s="1375" t="s">
        <v>157</v>
      </c>
      <c r="E408" s="1375" t="s">
        <v>53</v>
      </c>
      <c r="F408" s="1470">
        <v>2486.0049021899999</v>
      </c>
      <c r="G408" s="1470">
        <v>621.50122554999996</v>
      </c>
      <c r="H408" s="1470">
        <v>0</v>
      </c>
    </row>
    <row r="409" spans="1:8">
      <c r="A409" s="1375">
        <v>2025</v>
      </c>
      <c r="B409" s="1375" t="s">
        <v>150</v>
      </c>
      <c r="C409" s="1375" t="s">
        <v>290</v>
      </c>
      <c r="D409" s="1375" t="s">
        <v>157</v>
      </c>
      <c r="E409" s="1375" t="s">
        <v>51</v>
      </c>
      <c r="F409" s="1470">
        <v>24752.02623639</v>
      </c>
      <c r="G409" s="1470">
        <v>0</v>
      </c>
      <c r="H409" s="1470">
        <v>0</v>
      </c>
    </row>
    <row r="410" spans="1:8">
      <c r="A410" s="1375">
        <v>2025</v>
      </c>
      <c r="B410" s="1375" t="s">
        <v>154</v>
      </c>
      <c r="C410" s="1375" t="s">
        <v>279</v>
      </c>
      <c r="D410" s="1375" t="s">
        <v>1542</v>
      </c>
      <c r="E410" s="1375" t="s">
        <v>392</v>
      </c>
      <c r="F410" s="1470">
        <v>141118.97207412001</v>
      </c>
      <c r="G410" s="1470"/>
      <c r="H410" s="1470"/>
    </row>
    <row r="411" spans="1:8">
      <c r="A411" s="1375">
        <v>2025</v>
      </c>
      <c r="B411" s="1375" t="s">
        <v>154</v>
      </c>
      <c r="C411" s="1375" t="s">
        <v>279</v>
      </c>
      <c r="D411" s="1375" t="s">
        <v>1007</v>
      </c>
      <c r="E411" s="1375" t="s">
        <v>1749</v>
      </c>
      <c r="F411" s="1470">
        <v>88001.712298810002</v>
      </c>
      <c r="G411" s="1470"/>
      <c r="H411" s="1470"/>
    </row>
    <row r="412" spans="1:8">
      <c r="A412" s="1375">
        <v>2025</v>
      </c>
      <c r="B412" s="1375" t="s">
        <v>154</v>
      </c>
      <c r="C412" s="1375" t="s">
        <v>284</v>
      </c>
      <c r="D412" s="1375" t="s">
        <v>1007</v>
      </c>
      <c r="E412" s="1375" t="s">
        <v>1913</v>
      </c>
      <c r="F412" s="1470">
        <v>122743.79021940001</v>
      </c>
      <c r="G412" s="1470">
        <v>0</v>
      </c>
      <c r="H412" s="1470"/>
    </row>
    <row r="413" spans="1:8">
      <c r="A413" s="1375">
        <v>2025</v>
      </c>
      <c r="B413" s="1375" t="s">
        <v>154</v>
      </c>
      <c r="C413" s="1375" t="s">
        <v>284</v>
      </c>
      <c r="D413" s="1375" t="s">
        <v>1392</v>
      </c>
      <c r="E413" s="1375" t="s">
        <v>268</v>
      </c>
      <c r="F413" s="1470">
        <v>80175.913867590003</v>
      </c>
      <c r="G413" s="1470">
        <v>0</v>
      </c>
      <c r="H413" s="1470"/>
    </row>
    <row r="414" spans="1:8">
      <c r="A414" s="1375">
        <v>2025</v>
      </c>
      <c r="B414" s="1375" t="s">
        <v>154</v>
      </c>
      <c r="C414" s="1375" t="s">
        <v>284</v>
      </c>
      <c r="D414" s="1375" t="s">
        <v>1393</v>
      </c>
      <c r="E414" s="1375" t="s">
        <v>270</v>
      </c>
      <c r="F414" s="1470">
        <v>0</v>
      </c>
      <c r="G414" s="1470"/>
      <c r="H414" s="1470"/>
    </row>
    <row r="415" spans="1:8">
      <c r="A415" s="1375">
        <v>2025</v>
      </c>
      <c r="B415" s="1375" t="s">
        <v>154</v>
      </c>
      <c r="C415" s="1375" t="s">
        <v>284</v>
      </c>
      <c r="D415" s="1375" t="s">
        <v>947</v>
      </c>
      <c r="E415" s="1375" t="s">
        <v>269</v>
      </c>
      <c r="F415" s="1470">
        <v>104534.39301451</v>
      </c>
      <c r="G415" s="1470">
        <v>0</v>
      </c>
      <c r="H415" s="1470"/>
    </row>
    <row r="416" spans="1:8">
      <c r="A416" s="1375">
        <v>2025</v>
      </c>
      <c r="B416" s="1375" t="s">
        <v>154</v>
      </c>
      <c r="C416" s="1375" t="s">
        <v>156</v>
      </c>
      <c r="D416" s="1375" t="s">
        <v>1007</v>
      </c>
      <c r="E416" s="1375" t="s">
        <v>135</v>
      </c>
      <c r="F416" s="1470">
        <v>425.64804673999998</v>
      </c>
      <c r="G416" s="1470">
        <v>0</v>
      </c>
      <c r="H416" s="1470"/>
    </row>
    <row r="417" spans="1:8">
      <c r="A417" s="1375">
        <v>2025</v>
      </c>
      <c r="B417" s="1375" t="s">
        <v>154</v>
      </c>
      <c r="C417" s="1375" t="s">
        <v>156</v>
      </c>
      <c r="D417" s="1375" t="s">
        <v>947</v>
      </c>
      <c r="E417" s="1375" t="s">
        <v>97</v>
      </c>
      <c r="F417" s="1470">
        <v>556.12739923000004</v>
      </c>
      <c r="G417" s="1470"/>
      <c r="H417" s="1470"/>
    </row>
    <row r="418" spans="1:8">
      <c r="A418" s="1375">
        <v>2025</v>
      </c>
      <c r="B418" s="1375" t="s">
        <v>154</v>
      </c>
      <c r="C418" s="1375" t="s">
        <v>156</v>
      </c>
      <c r="D418" s="1375" t="s">
        <v>1565</v>
      </c>
      <c r="E418" s="1375" t="s">
        <v>98</v>
      </c>
      <c r="F418" s="1470">
        <v>176092.68745254001</v>
      </c>
      <c r="G418" s="1470">
        <v>0</v>
      </c>
      <c r="H418" s="1470"/>
    </row>
    <row r="419" spans="1:8">
      <c r="A419" s="1375">
        <v>2025</v>
      </c>
      <c r="B419" s="1375" t="s">
        <v>154</v>
      </c>
      <c r="C419" s="1375" t="s">
        <v>156</v>
      </c>
      <c r="D419" s="1375" t="s">
        <v>1566</v>
      </c>
      <c r="E419" s="1375" t="s">
        <v>99</v>
      </c>
      <c r="F419" s="1470">
        <v>0</v>
      </c>
      <c r="G419" s="1470">
        <v>0</v>
      </c>
      <c r="H419" s="1470"/>
    </row>
    <row r="420" spans="1:8">
      <c r="A420" s="1375">
        <v>2025</v>
      </c>
      <c r="B420" s="1375" t="s">
        <v>154</v>
      </c>
      <c r="C420" s="1375" t="s">
        <v>315</v>
      </c>
      <c r="D420" s="1375" t="s">
        <v>1007</v>
      </c>
      <c r="E420" s="1375" t="s">
        <v>2322</v>
      </c>
      <c r="F420" s="1470">
        <v>1285.9117173300001</v>
      </c>
      <c r="G420" s="1470">
        <v>0</v>
      </c>
      <c r="H420" s="1470"/>
    </row>
    <row r="421" spans="1:8">
      <c r="A421" s="1375">
        <v>2025</v>
      </c>
      <c r="B421" s="1375" t="s">
        <v>154</v>
      </c>
      <c r="C421" s="1375" t="s">
        <v>315</v>
      </c>
      <c r="D421" s="1375" t="s">
        <v>1262</v>
      </c>
      <c r="E421" s="1375" t="s">
        <v>447</v>
      </c>
      <c r="F421" s="1470">
        <v>174008.90068016999</v>
      </c>
      <c r="G421" s="1470">
        <v>0</v>
      </c>
      <c r="H421" s="1470"/>
    </row>
    <row r="422" spans="1:8">
      <c r="A422" s="1375">
        <v>2025</v>
      </c>
      <c r="B422" s="1375" t="s">
        <v>154</v>
      </c>
      <c r="C422" s="1375" t="s">
        <v>315</v>
      </c>
      <c r="D422" s="1375" t="s">
        <v>163</v>
      </c>
      <c r="E422" s="1375" t="s">
        <v>448</v>
      </c>
      <c r="F422" s="1470">
        <v>48010.681102499999</v>
      </c>
      <c r="G422" s="1470">
        <v>0</v>
      </c>
      <c r="H422" s="1470"/>
    </row>
    <row r="423" spans="1:8">
      <c r="A423" s="1375">
        <v>2025</v>
      </c>
      <c r="B423" s="1375" t="s">
        <v>154</v>
      </c>
      <c r="C423" s="1375" t="s">
        <v>317</v>
      </c>
      <c r="D423" s="1375" t="s">
        <v>1007</v>
      </c>
      <c r="E423" s="1375" t="s">
        <v>2324</v>
      </c>
      <c r="F423" s="1470">
        <v>50859.703586980002</v>
      </c>
      <c r="G423" s="1470">
        <v>0</v>
      </c>
      <c r="H423" s="1470"/>
    </row>
    <row r="424" spans="1:8">
      <c r="A424" s="1375">
        <v>2025</v>
      </c>
      <c r="B424" s="1375" t="s">
        <v>154</v>
      </c>
      <c r="C424" s="1375" t="s">
        <v>317</v>
      </c>
      <c r="D424" s="1375" t="s">
        <v>1262</v>
      </c>
      <c r="E424" s="1375" t="s">
        <v>449</v>
      </c>
      <c r="F424" s="1470">
        <v>10553.974034749999</v>
      </c>
      <c r="G424" s="1470">
        <v>0</v>
      </c>
      <c r="H424" s="1470"/>
    </row>
    <row r="425" spans="1:8">
      <c r="A425" s="1375">
        <v>2025</v>
      </c>
      <c r="B425" s="1375" t="s">
        <v>154</v>
      </c>
      <c r="C425" s="1375" t="s">
        <v>317</v>
      </c>
      <c r="D425" s="1375" t="s">
        <v>163</v>
      </c>
      <c r="E425" s="1375" t="s">
        <v>450</v>
      </c>
      <c r="F425" s="1470">
        <v>10853.47237827</v>
      </c>
      <c r="G425" s="1470">
        <v>0</v>
      </c>
      <c r="H425" s="1470"/>
    </row>
    <row r="426" spans="1:8">
      <c r="A426" s="1375">
        <v>2025</v>
      </c>
      <c r="B426" s="1375" t="s">
        <v>154</v>
      </c>
      <c r="C426" s="1375" t="s">
        <v>512</v>
      </c>
      <c r="D426" s="1375" t="s">
        <v>1007</v>
      </c>
      <c r="E426" s="1375" t="s">
        <v>2343</v>
      </c>
      <c r="F426" s="1470">
        <v>1657.6464864699999</v>
      </c>
      <c r="G426" s="1470"/>
      <c r="H426" s="1470"/>
    </row>
    <row r="427" spans="1:8">
      <c r="A427" s="1375">
        <v>2025</v>
      </c>
      <c r="B427" s="1375" t="s">
        <v>154</v>
      </c>
      <c r="C427" s="1375" t="s">
        <v>512</v>
      </c>
      <c r="D427" s="1375" t="s">
        <v>163</v>
      </c>
      <c r="E427" s="1375" t="s">
        <v>1394</v>
      </c>
      <c r="F427" s="1470">
        <v>19676.710492300001</v>
      </c>
      <c r="G427" s="1470"/>
      <c r="H427" s="1470"/>
    </row>
    <row r="428" spans="1:8">
      <c r="A428" s="1375">
        <v>2025</v>
      </c>
      <c r="B428" s="1375" t="s">
        <v>154</v>
      </c>
      <c r="C428" s="1375" t="s">
        <v>512</v>
      </c>
      <c r="D428" s="1375" t="s">
        <v>948</v>
      </c>
      <c r="E428" s="1375" t="s">
        <v>120</v>
      </c>
      <c r="F428" s="1470">
        <v>11818.57275067</v>
      </c>
      <c r="G428" s="1470"/>
      <c r="H428" s="1470"/>
    </row>
    <row r="429" spans="1:8">
      <c r="A429" s="1375">
        <v>2025</v>
      </c>
      <c r="B429" s="1375" t="s">
        <v>154</v>
      </c>
      <c r="C429" s="1375" t="s">
        <v>316</v>
      </c>
      <c r="D429" s="1375" t="s">
        <v>1007</v>
      </c>
      <c r="E429" s="1375" t="s">
        <v>2347</v>
      </c>
      <c r="F429" s="1470">
        <v>44236.43915857</v>
      </c>
      <c r="G429" s="1470">
        <v>0</v>
      </c>
      <c r="H429" s="1470"/>
    </row>
    <row r="430" spans="1:8">
      <c r="A430" s="1375">
        <v>2025</v>
      </c>
      <c r="B430" s="1375" t="s">
        <v>154</v>
      </c>
      <c r="C430" s="1375" t="s">
        <v>316</v>
      </c>
      <c r="D430" s="1375" t="s">
        <v>1262</v>
      </c>
      <c r="E430" s="1375" t="s">
        <v>95</v>
      </c>
      <c r="F430" s="1470">
        <v>4.0000000000000001E-8</v>
      </c>
      <c r="G430" s="1470">
        <v>0</v>
      </c>
      <c r="H430" s="1470"/>
    </row>
    <row r="431" spans="1:8">
      <c r="A431" s="1375">
        <v>2025</v>
      </c>
      <c r="B431" s="1375" t="s">
        <v>154</v>
      </c>
      <c r="C431" s="1375" t="s">
        <v>316</v>
      </c>
      <c r="D431" s="1375" t="s">
        <v>163</v>
      </c>
      <c r="E431" s="1375" t="s">
        <v>96</v>
      </c>
      <c r="F431" s="1470">
        <v>154257.3328414</v>
      </c>
      <c r="G431" s="1470">
        <v>0</v>
      </c>
      <c r="H431" s="1470"/>
    </row>
    <row r="432" spans="1:8">
      <c r="A432" s="1375">
        <v>2025</v>
      </c>
      <c r="B432" s="1375" t="s">
        <v>154</v>
      </c>
      <c r="C432" s="1375" t="s">
        <v>945</v>
      </c>
      <c r="D432" s="1375" t="s">
        <v>1007</v>
      </c>
      <c r="E432" s="1375" t="s">
        <v>115</v>
      </c>
      <c r="F432" s="1470">
        <v>50233.656064410003</v>
      </c>
      <c r="G432" s="1470"/>
      <c r="H432" s="1470"/>
    </row>
    <row r="433" spans="1:8">
      <c r="A433" s="1375">
        <v>2025</v>
      </c>
      <c r="B433" s="1375" t="s">
        <v>154</v>
      </c>
      <c r="C433" s="1375" t="s">
        <v>945</v>
      </c>
      <c r="D433" s="1375" t="s">
        <v>1262</v>
      </c>
      <c r="E433" s="1375" t="s">
        <v>114</v>
      </c>
      <c r="F433" s="1470">
        <v>5599.1036528200002</v>
      </c>
      <c r="G433" s="1470">
        <v>0</v>
      </c>
      <c r="H433" s="1470"/>
    </row>
    <row r="434" spans="1:8">
      <c r="A434" s="1375">
        <v>2025</v>
      </c>
      <c r="B434" s="1375" t="s">
        <v>154</v>
      </c>
      <c r="C434" s="1375" t="s">
        <v>945</v>
      </c>
      <c r="D434" s="1375" t="s">
        <v>1130</v>
      </c>
      <c r="E434" s="1375" t="s">
        <v>400</v>
      </c>
      <c r="F434" s="1470">
        <v>110.11726195999999</v>
      </c>
      <c r="G434" s="1470">
        <v>0</v>
      </c>
      <c r="H434" s="1470"/>
    </row>
    <row r="435" spans="1:8">
      <c r="A435" s="1375">
        <v>2025</v>
      </c>
      <c r="B435" s="1375" t="s">
        <v>154</v>
      </c>
      <c r="C435" s="1375" t="s">
        <v>952</v>
      </c>
      <c r="D435" s="1375" t="s">
        <v>1007</v>
      </c>
      <c r="E435" s="1375" t="s">
        <v>2346</v>
      </c>
      <c r="F435" s="1470">
        <v>24732.144735099999</v>
      </c>
      <c r="G435" s="1470"/>
      <c r="H435" s="1470"/>
    </row>
    <row r="436" spans="1:8">
      <c r="A436" s="1375">
        <v>2025</v>
      </c>
      <c r="B436" s="1375" t="s">
        <v>154</v>
      </c>
      <c r="C436" s="1375" t="s">
        <v>952</v>
      </c>
      <c r="D436" s="1375" t="s">
        <v>1262</v>
      </c>
      <c r="E436" s="1375" t="s">
        <v>116</v>
      </c>
      <c r="F436" s="1470">
        <v>15975.13348602</v>
      </c>
      <c r="G436" s="1470">
        <v>0</v>
      </c>
      <c r="H436" s="1470"/>
    </row>
    <row r="437" spans="1:8">
      <c r="A437" s="1375">
        <v>2025</v>
      </c>
      <c r="B437" s="1375" t="s">
        <v>154</v>
      </c>
      <c r="C437" s="1375" t="s">
        <v>952</v>
      </c>
      <c r="D437" s="1375" t="s">
        <v>1130</v>
      </c>
      <c r="E437" s="1375" t="s">
        <v>1543</v>
      </c>
      <c r="F437" s="1470">
        <v>14292.72177887</v>
      </c>
      <c r="G437" s="1470">
        <v>0</v>
      </c>
      <c r="H437" s="1470"/>
    </row>
    <row r="438" spans="1:8">
      <c r="A438" s="1375">
        <v>2025</v>
      </c>
      <c r="B438" s="1375" t="s">
        <v>154</v>
      </c>
      <c r="C438" s="1375" t="s">
        <v>952</v>
      </c>
      <c r="D438" s="1375" t="s">
        <v>332</v>
      </c>
      <c r="E438" s="1375" t="s">
        <v>454</v>
      </c>
      <c r="F438" s="1470">
        <v>0</v>
      </c>
      <c r="G438" s="1470"/>
      <c r="H438" s="1470"/>
    </row>
    <row r="439" spans="1:8">
      <c r="A439" s="1375">
        <v>2025</v>
      </c>
      <c r="B439" s="1375" t="s">
        <v>154</v>
      </c>
      <c r="C439" s="1375" t="s">
        <v>953</v>
      </c>
      <c r="D439" s="1375" t="s">
        <v>1007</v>
      </c>
      <c r="E439" s="1375" t="s">
        <v>106</v>
      </c>
      <c r="F439" s="1470">
        <v>14892.883857479999</v>
      </c>
      <c r="G439" s="1470"/>
      <c r="H439" s="1470"/>
    </row>
    <row r="440" spans="1:8">
      <c r="A440" s="1375">
        <v>2025</v>
      </c>
      <c r="B440" s="1375" t="s">
        <v>154</v>
      </c>
      <c r="C440" s="1375" t="s">
        <v>953</v>
      </c>
      <c r="D440" s="1375" t="s">
        <v>1262</v>
      </c>
      <c r="E440" s="1375" t="s">
        <v>107</v>
      </c>
      <c r="F440" s="1470">
        <v>2429.2923328000002</v>
      </c>
      <c r="G440" s="1470">
        <v>0</v>
      </c>
      <c r="H440" s="1470"/>
    </row>
    <row r="441" spans="1:8">
      <c r="A441" s="1375">
        <v>2025</v>
      </c>
      <c r="B441" s="1375" t="s">
        <v>154</v>
      </c>
      <c r="C441" s="1375" t="s">
        <v>953</v>
      </c>
      <c r="D441" s="1375" t="s">
        <v>1130</v>
      </c>
      <c r="E441" s="1375" t="s">
        <v>108</v>
      </c>
      <c r="F441" s="1470">
        <v>24.677809719999999</v>
      </c>
      <c r="G441" s="1470">
        <v>0</v>
      </c>
      <c r="H441" s="1470"/>
    </row>
    <row r="442" spans="1:8">
      <c r="A442" s="1375">
        <v>2025</v>
      </c>
      <c r="B442" s="1375" t="s">
        <v>154</v>
      </c>
      <c r="C442" s="1375" t="s">
        <v>1535</v>
      </c>
      <c r="D442" s="1375" t="s">
        <v>1007</v>
      </c>
      <c r="E442" s="1375" t="s">
        <v>2326</v>
      </c>
      <c r="F442" s="1470">
        <v>184463.50586474</v>
      </c>
      <c r="G442" s="1470">
        <v>0</v>
      </c>
      <c r="H442" s="1470">
        <v>0</v>
      </c>
    </row>
    <row r="443" spans="1:8">
      <c r="A443" s="1375">
        <v>2025</v>
      </c>
      <c r="B443" s="1375" t="s">
        <v>154</v>
      </c>
      <c r="C443" s="1375" t="s">
        <v>1535</v>
      </c>
      <c r="D443" s="1375" t="s">
        <v>1536</v>
      </c>
      <c r="E443" s="1375" t="s">
        <v>1534</v>
      </c>
      <c r="F443" s="1470">
        <v>151398.28612373001</v>
      </c>
      <c r="G443" s="1470">
        <v>19817.499284639998</v>
      </c>
      <c r="H443" s="1470">
        <v>0</v>
      </c>
    </row>
    <row r="444" spans="1:8">
      <c r="A444" s="1375">
        <v>2025</v>
      </c>
      <c r="B444" s="1375" t="s">
        <v>154</v>
      </c>
      <c r="C444" s="1375" t="s">
        <v>1535</v>
      </c>
      <c r="D444" s="1375" t="s">
        <v>1386</v>
      </c>
      <c r="E444" s="1375" t="s">
        <v>1537</v>
      </c>
      <c r="F444" s="1470">
        <v>25307.131796760001</v>
      </c>
      <c r="G444" s="1470">
        <v>6326.7829491900002</v>
      </c>
      <c r="H444" s="1470">
        <v>0</v>
      </c>
    </row>
    <row r="445" spans="1:8">
      <c r="A445" s="1375">
        <v>2025</v>
      </c>
      <c r="B445" s="1375" t="s">
        <v>154</v>
      </c>
      <c r="C445" s="1375" t="s">
        <v>1535</v>
      </c>
      <c r="D445" s="1375" t="s">
        <v>1387</v>
      </c>
      <c r="E445" s="1375" t="s">
        <v>1538</v>
      </c>
      <c r="F445" s="1470">
        <v>0</v>
      </c>
      <c r="G445" s="1470">
        <v>0</v>
      </c>
      <c r="H445" s="1470">
        <v>0</v>
      </c>
    </row>
    <row r="446" spans="1:8">
      <c r="A446" s="1375">
        <v>2025</v>
      </c>
      <c r="B446" s="1375" t="s">
        <v>154</v>
      </c>
      <c r="C446" s="1375" t="s">
        <v>1535</v>
      </c>
      <c r="D446" s="1375" t="s">
        <v>1388</v>
      </c>
      <c r="E446" s="1375" t="s">
        <v>1539</v>
      </c>
      <c r="F446" s="1470">
        <v>0</v>
      </c>
      <c r="G446" s="1470">
        <v>0</v>
      </c>
      <c r="H446" s="1470">
        <v>0</v>
      </c>
    </row>
    <row r="447" spans="1:8">
      <c r="A447" s="1375">
        <v>2025</v>
      </c>
      <c r="B447" s="1375" t="s">
        <v>154</v>
      </c>
      <c r="C447" s="1375" t="s">
        <v>1535</v>
      </c>
      <c r="D447" s="1375" t="s">
        <v>1389</v>
      </c>
      <c r="E447" s="1375" t="s">
        <v>1540</v>
      </c>
      <c r="F447" s="1470">
        <v>0</v>
      </c>
      <c r="G447" s="1470">
        <v>0</v>
      </c>
      <c r="H447" s="1470">
        <v>0</v>
      </c>
    </row>
    <row r="448" spans="1:8">
      <c r="A448" s="1375">
        <v>2025</v>
      </c>
      <c r="B448" s="1375" t="s">
        <v>154</v>
      </c>
      <c r="C448" s="1375" t="s">
        <v>1535</v>
      </c>
      <c r="D448" s="1375" t="s">
        <v>1390</v>
      </c>
      <c r="E448" s="1375" t="s">
        <v>1541</v>
      </c>
      <c r="F448" s="1470">
        <v>3615.3045423899998</v>
      </c>
      <c r="G448" s="1470">
        <v>903.82613560000004</v>
      </c>
      <c r="H448" s="1470">
        <v>0</v>
      </c>
    </row>
    <row r="449" spans="1:8">
      <c r="A449" s="1375">
        <v>2025</v>
      </c>
      <c r="B449" s="1375" t="s">
        <v>154</v>
      </c>
      <c r="C449" s="1375" t="s">
        <v>3058</v>
      </c>
      <c r="D449" s="1375" t="s">
        <v>3059</v>
      </c>
      <c r="E449" s="1375" t="s">
        <v>86</v>
      </c>
      <c r="F449" s="1470">
        <v>788603.49061218998</v>
      </c>
      <c r="G449" s="1470"/>
      <c r="H449" s="1470">
        <v>471646.70398692001</v>
      </c>
    </row>
    <row r="450" spans="1:8">
      <c r="A450" s="1375">
        <v>2025</v>
      </c>
      <c r="B450" s="1375" t="s">
        <v>154</v>
      </c>
      <c r="C450" s="1375" t="s">
        <v>3071</v>
      </c>
      <c r="D450" s="1375" t="s">
        <v>3059</v>
      </c>
      <c r="E450" s="1375" t="s">
        <v>3070</v>
      </c>
      <c r="F450" s="1470">
        <v>788603.49061218998</v>
      </c>
      <c r="G450" s="1470"/>
      <c r="H450" s="1470">
        <v>471646.70398692001</v>
      </c>
    </row>
    <row r="451" spans="1:8">
      <c r="A451" s="1375">
        <v>2025</v>
      </c>
      <c r="B451" s="1375" t="s">
        <v>1758</v>
      </c>
      <c r="C451" s="1375" t="s">
        <v>1575</v>
      </c>
      <c r="D451" s="1375" t="s">
        <v>334</v>
      </c>
      <c r="E451" s="1375" t="s">
        <v>1559</v>
      </c>
      <c r="F451" s="1470">
        <v>1335.54435586</v>
      </c>
      <c r="G451" s="1470">
        <v>0</v>
      </c>
      <c r="H451" s="1470">
        <v>0</v>
      </c>
    </row>
    <row r="452" spans="1:8">
      <c r="A452" s="1375">
        <v>2025</v>
      </c>
      <c r="B452" s="1375" t="s">
        <v>1758</v>
      </c>
      <c r="C452" s="1375" t="s">
        <v>1570</v>
      </c>
      <c r="D452" s="1375" t="s">
        <v>157</v>
      </c>
      <c r="E452" s="1375" t="s">
        <v>1556</v>
      </c>
      <c r="F452" s="1470">
        <v>24.956250000000001</v>
      </c>
      <c r="G452" s="1470">
        <v>0</v>
      </c>
      <c r="H452" s="1470">
        <v>0</v>
      </c>
    </row>
    <row r="453" spans="1:8">
      <c r="A453" s="1375">
        <v>2025</v>
      </c>
      <c r="B453" s="1375" t="s">
        <v>1758</v>
      </c>
      <c r="C453" s="1375" t="s">
        <v>1570</v>
      </c>
      <c r="D453" s="1375" t="s">
        <v>158</v>
      </c>
      <c r="E453" s="1375" t="s">
        <v>1557</v>
      </c>
      <c r="F453" s="1470">
        <v>0</v>
      </c>
      <c r="G453" s="1470">
        <v>0</v>
      </c>
      <c r="H453" s="1470">
        <v>0</v>
      </c>
    </row>
    <row r="454" spans="1:8">
      <c r="A454" s="1375">
        <v>2025</v>
      </c>
      <c r="B454" s="1375" t="s">
        <v>1758</v>
      </c>
      <c r="C454" s="1375" t="s">
        <v>1570</v>
      </c>
      <c r="D454" s="1375" t="s">
        <v>818</v>
      </c>
      <c r="E454" s="1375" t="s">
        <v>1558</v>
      </c>
      <c r="F454" s="1470">
        <v>19.965</v>
      </c>
      <c r="G454" s="1470">
        <v>0</v>
      </c>
      <c r="H454" s="1470">
        <v>0</v>
      </c>
    </row>
    <row r="455" spans="1:8">
      <c r="A455" s="1375">
        <v>2025</v>
      </c>
      <c r="B455" s="1375" t="s">
        <v>1758</v>
      </c>
      <c r="C455" s="1375" t="s">
        <v>1568</v>
      </c>
      <c r="D455" s="1375" t="s">
        <v>157</v>
      </c>
      <c r="E455" s="1375" t="s">
        <v>1551</v>
      </c>
      <c r="F455" s="1470">
        <v>14.52</v>
      </c>
      <c r="G455" s="1470">
        <v>0</v>
      </c>
      <c r="H455" s="1470">
        <v>0</v>
      </c>
    </row>
    <row r="456" spans="1:8">
      <c r="A456" s="1375">
        <v>2025</v>
      </c>
      <c r="B456" s="1375" t="s">
        <v>1758</v>
      </c>
      <c r="C456" s="1375" t="s">
        <v>1568</v>
      </c>
      <c r="D456" s="1375" t="s">
        <v>158</v>
      </c>
      <c r="E456" s="1375" t="s">
        <v>1552</v>
      </c>
      <c r="F456" s="1470">
        <v>217.95124999999999</v>
      </c>
      <c r="G456" s="1470">
        <v>0</v>
      </c>
      <c r="H456" s="1470">
        <v>0</v>
      </c>
    </row>
    <row r="457" spans="1:8">
      <c r="A457" s="1375">
        <v>2025</v>
      </c>
      <c r="B457" s="1375" t="s">
        <v>1758</v>
      </c>
      <c r="C457" s="1375" t="s">
        <v>1743</v>
      </c>
      <c r="D457" s="1375" t="s">
        <v>157</v>
      </c>
      <c r="E457" s="1375" t="s">
        <v>1560</v>
      </c>
      <c r="F457" s="1470">
        <v>253.67582636</v>
      </c>
      <c r="G457" s="1470">
        <v>0</v>
      </c>
      <c r="H457" s="1470">
        <v>0</v>
      </c>
    </row>
    <row r="458" spans="1:8">
      <c r="A458" s="1375">
        <v>2025</v>
      </c>
      <c r="B458" s="1375" t="s">
        <v>1758</v>
      </c>
      <c r="C458" s="1375" t="s">
        <v>1743</v>
      </c>
      <c r="D458" s="1375" t="s">
        <v>158</v>
      </c>
      <c r="E458" s="1375" t="s">
        <v>1561</v>
      </c>
      <c r="F458" s="1470">
        <v>132.4573144</v>
      </c>
      <c r="G458" s="1470">
        <v>0</v>
      </c>
      <c r="H458" s="1470">
        <v>0</v>
      </c>
    </row>
    <row r="459" spans="1:8">
      <c r="A459" s="1375">
        <v>2025</v>
      </c>
      <c r="B459" s="1375" t="s">
        <v>1758</v>
      </c>
      <c r="C459" s="1375" t="s">
        <v>1569</v>
      </c>
      <c r="D459" s="1375" t="s">
        <v>157</v>
      </c>
      <c r="E459" s="1375" t="s">
        <v>1553</v>
      </c>
      <c r="F459" s="1470">
        <v>1142.9962499999999</v>
      </c>
      <c r="G459" s="1470">
        <v>0</v>
      </c>
      <c r="H459" s="1470">
        <v>0</v>
      </c>
    </row>
    <row r="460" spans="1:8">
      <c r="A460" s="1375">
        <v>2025</v>
      </c>
      <c r="B460" s="1375" t="s">
        <v>1758</v>
      </c>
      <c r="C460" s="1375" t="s">
        <v>1569</v>
      </c>
      <c r="D460" s="1375" t="s">
        <v>158</v>
      </c>
      <c r="E460" s="1375" t="s">
        <v>1554</v>
      </c>
      <c r="F460" s="1470">
        <v>680.47375</v>
      </c>
      <c r="G460" s="1470">
        <v>0</v>
      </c>
      <c r="H460" s="1470">
        <v>0</v>
      </c>
    </row>
    <row r="461" spans="1:8">
      <c r="A461" s="1375">
        <v>2025</v>
      </c>
      <c r="B461" s="1375" t="s">
        <v>1758</v>
      </c>
      <c r="C461" s="1375" t="s">
        <v>1569</v>
      </c>
      <c r="D461" s="1375" t="s">
        <v>818</v>
      </c>
      <c r="E461" s="1375" t="s">
        <v>1555</v>
      </c>
      <c r="F461" s="1470">
        <v>1964.8887500000001</v>
      </c>
      <c r="G461" s="1470">
        <v>0</v>
      </c>
      <c r="H461" s="1470">
        <v>0</v>
      </c>
    </row>
    <row r="462" spans="1:8">
      <c r="A462" s="1375">
        <v>2025</v>
      </c>
      <c r="B462" s="1375" t="s">
        <v>1758</v>
      </c>
      <c r="C462" s="1375" t="s">
        <v>1567</v>
      </c>
      <c r="D462" s="1375" t="s">
        <v>157</v>
      </c>
      <c r="E462" s="1375" t="s">
        <v>1549</v>
      </c>
      <c r="F462" s="1470">
        <v>856.83124999999995</v>
      </c>
      <c r="G462" s="1470">
        <v>0</v>
      </c>
      <c r="H462" s="1470">
        <v>0</v>
      </c>
    </row>
    <row r="463" spans="1:8">
      <c r="A463" s="1375">
        <v>2025</v>
      </c>
      <c r="B463" s="1375" t="s">
        <v>1758</v>
      </c>
      <c r="C463" s="1375" t="s">
        <v>1567</v>
      </c>
      <c r="D463" s="1375" t="s">
        <v>158</v>
      </c>
      <c r="E463" s="1375" t="s">
        <v>1550</v>
      </c>
      <c r="F463" s="1470">
        <v>1936.605</v>
      </c>
      <c r="G463" s="1470">
        <v>0</v>
      </c>
      <c r="H463" s="1470">
        <v>0</v>
      </c>
    </row>
    <row r="464" spans="1:8">
      <c r="A464" s="1375">
        <v>2025</v>
      </c>
      <c r="B464" s="1375" t="s">
        <v>152</v>
      </c>
      <c r="C464" s="1375" t="s">
        <v>805</v>
      </c>
      <c r="D464" s="1375" t="s">
        <v>157</v>
      </c>
      <c r="E464" s="1375" t="s">
        <v>57</v>
      </c>
      <c r="F464" s="1470">
        <v>10955.448453380001</v>
      </c>
      <c r="G464" s="1470">
        <v>5169.4945754199998</v>
      </c>
      <c r="H464" s="1470">
        <v>10955.448453380001</v>
      </c>
    </row>
    <row r="465" spans="1:8">
      <c r="A465" s="1375">
        <v>2025</v>
      </c>
      <c r="B465" s="1375" t="s">
        <v>152</v>
      </c>
      <c r="C465" s="1375" t="s">
        <v>805</v>
      </c>
      <c r="D465" s="1375" t="s">
        <v>158</v>
      </c>
      <c r="E465" s="1375" t="s">
        <v>58</v>
      </c>
      <c r="F465" s="1470">
        <v>10955.448453380001</v>
      </c>
      <c r="G465" s="1470">
        <v>4940.7199039500001</v>
      </c>
      <c r="H465" s="1470">
        <v>383.44069587000001</v>
      </c>
    </row>
    <row r="466" spans="1:8">
      <c r="A466" s="1375">
        <v>2025</v>
      </c>
      <c r="B466" s="1375" t="s">
        <v>152</v>
      </c>
      <c r="C466" s="1375" t="s">
        <v>805</v>
      </c>
      <c r="D466" s="1375" t="s">
        <v>818</v>
      </c>
      <c r="E466" s="1375" t="s">
        <v>762</v>
      </c>
      <c r="F466" s="1470">
        <v>10955.448453380001</v>
      </c>
      <c r="G466" s="1470">
        <v>4940.7199039500001</v>
      </c>
      <c r="H466" s="1470">
        <v>383.44069587000001</v>
      </c>
    </row>
    <row r="467" spans="1:8">
      <c r="A467" s="1375">
        <v>2025</v>
      </c>
      <c r="B467" s="1375" t="s">
        <v>152</v>
      </c>
      <c r="C467" s="1375" t="s">
        <v>805</v>
      </c>
      <c r="D467" s="1375" t="s">
        <v>819</v>
      </c>
      <c r="E467" s="1375" t="s">
        <v>763</v>
      </c>
      <c r="F467" s="1470">
        <v>109.55448453</v>
      </c>
      <c r="G467" s="1470">
        <v>91.295403780000001</v>
      </c>
      <c r="H467" s="1470">
        <v>3.8344069599999999</v>
      </c>
    </row>
    <row r="468" spans="1:8">
      <c r="A468" s="1375">
        <v>2025</v>
      </c>
      <c r="B468" s="1375" t="s">
        <v>152</v>
      </c>
      <c r="C468" s="1375" t="s">
        <v>804</v>
      </c>
      <c r="D468" s="1375" t="s">
        <v>157</v>
      </c>
      <c r="E468" s="1375" t="s">
        <v>55</v>
      </c>
      <c r="F468" s="1470">
        <v>29797.44829344</v>
      </c>
      <c r="G468" s="1470">
        <v>14123.57836947</v>
      </c>
      <c r="H468" s="1470">
        <v>1042.91069027</v>
      </c>
    </row>
    <row r="469" spans="1:8">
      <c r="A469" s="1375">
        <v>2025</v>
      </c>
      <c r="B469" s="1375" t="s">
        <v>152</v>
      </c>
      <c r="C469" s="1375" t="s">
        <v>804</v>
      </c>
      <c r="D469" s="1375" t="s">
        <v>158</v>
      </c>
      <c r="E469" s="1375" t="s">
        <v>56</v>
      </c>
      <c r="F469" s="1470">
        <v>29499.4738105</v>
      </c>
      <c r="G469" s="1470">
        <v>11916.606683710001</v>
      </c>
      <c r="H469" s="1470">
        <v>1032.48158337</v>
      </c>
    </row>
    <row r="470" spans="1:8">
      <c r="A470" s="1375">
        <v>2025</v>
      </c>
      <c r="B470" s="1375" t="s">
        <v>152</v>
      </c>
      <c r="C470" s="1375" t="s">
        <v>804</v>
      </c>
      <c r="D470" s="1375" t="s">
        <v>818</v>
      </c>
      <c r="E470" s="1375" t="s">
        <v>770</v>
      </c>
      <c r="F470" s="1470">
        <v>29499.4738105</v>
      </c>
      <c r="G470" s="1470">
        <v>5899.8947620999998</v>
      </c>
      <c r="H470" s="1470">
        <v>1032.48158337</v>
      </c>
    </row>
    <row r="471" spans="1:8">
      <c r="A471" s="1375">
        <v>2025</v>
      </c>
      <c r="B471" s="1375" t="s">
        <v>152</v>
      </c>
      <c r="C471" s="1375" t="s">
        <v>804</v>
      </c>
      <c r="D471" s="1375" t="s">
        <v>819</v>
      </c>
      <c r="E471" s="1375" t="s">
        <v>771</v>
      </c>
      <c r="F471" s="1470">
        <v>297.97448293000002</v>
      </c>
      <c r="G471" s="1470">
        <v>140.60378082</v>
      </c>
      <c r="H471" s="1470">
        <v>10.429106900000001</v>
      </c>
    </row>
    <row r="472" spans="1:8">
      <c r="A472" s="1375">
        <v>2025</v>
      </c>
      <c r="B472" s="1375" t="s">
        <v>152</v>
      </c>
      <c r="C472" s="1375" t="s">
        <v>806</v>
      </c>
      <c r="D472" s="1375" t="s">
        <v>157</v>
      </c>
      <c r="E472" s="1375" t="s">
        <v>744</v>
      </c>
      <c r="F472" s="1470">
        <v>5992.5725431000001</v>
      </c>
      <c r="G472" s="1470">
        <v>1904</v>
      </c>
      <c r="H472" s="1470">
        <v>599.25725431000001</v>
      </c>
    </row>
    <row r="473" spans="1:8">
      <c r="A473" s="1375">
        <v>2025</v>
      </c>
      <c r="B473" s="1375" t="s">
        <v>152</v>
      </c>
      <c r="C473" s="1375" t="s">
        <v>806</v>
      </c>
      <c r="D473" s="1375" t="s">
        <v>158</v>
      </c>
      <c r="E473" s="1375" t="s">
        <v>745</v>
      </c>
      <c r="F473" s="1470">
        <v>5932.64681767</v>
      </c>
      <c r="G473" s="1470">
        <v>1889</v>
      </c>
      <c r="H473" s="1470">
        <v>593.26468177000004</v>
      </c>
    </row>
    <row r="474" spans="1:8">
      <c r="A474" s="1375">
        <v>2025</v>
      </c>
      <c r="B474" s="1375" t="s">
        <v>152</v>
      </c>
      <c r="C474" s="1375" t="s">
        <v>806</v>
      </c>
      <c r="D474" s="1375" t="s">
        <v>818</v>
      </c>
      <c r="E474" s="1375" t="s">
        <v>764</v>
      </c>
      <c r="F474" s="1470">
        <v>5932.64681767</v>
      </c>
      <c r="G474" s="1470">
        <v>1884</v>
      </c>
      <c r="H474" s="1470">
        <v>593.26468177000004</v>
      </c>
    </row>
    <row r="475" spans="1:8">
      <c r="A475" s="1375">
        <v>2025</v>
      </c>
      <c r="B475" s="1375" t="s">
        <v>152</v>
      </c>
      <c r="C475" s="1375" t="s">
        <v>806</v>
      </c>
      <c r="D475" s="1375" t="s">
        <v>819</v>
      </c>
      <c r="E475" s="1375" t="s">
        <v>765</v>
      </c>
      <c r="F475" s="1470">
        <v>59.92572543</v>
      </c>
      <c r="G475" s="1470">
        <v>0</v>
      </c>
      <c r="H475" s="1470">
        <v>5.9925725400000003</v>
      </c>
    </row>
    <row r="476" spans="1:8">
      <c r="A476" s="1375">
        <v>2025</v>
      </c>
      <c r="B476" s="1375" t="s">
        <v>152</v>
      </c>
      <c r="C476" s="1375" t="s">
        <v>807</v>
      </c>
      <c r="D476" s="1375" t="s">
        <v>157</v>
      </c>
      <c r="E476" s="1375" t="s">
        <v>766</v>
      </c>
      <c r="F476" s="1470">
        <v>5016.3105743400001</v>
      </c>
      <c r="G476" s="1470">
        <v>791</v>
      </c>
      <c r="H476" s="1470">
        <v>5016.3105743400001</v>
      </c>
    </row>
    <row r="477" spans="1:8">
      <c r="A477" s="1375">
        <v>2025</v>
      </c>
      <c r="B477" s="1375" t="s">
        <v>152</v>
      </c>
      <c r="C477" s="1375" t="s">
        <v>807</v>
      </c>
      <c r="D477" s="1375" t="s">
        <v>158</v>
      </c>
      <c r="E477" s="1375" t="s">
        <v>767</v>
      </c>
      <c r="F477" s="1470">
        <v>5016.3105743400001</v>
      </c>
      <c r="G477" s="1470">
        <v>784</v>
      </c>
      <c r="H477" s="1470">
        <v>501.63105743</v>
      </c>
    </row>
    <row r="478" spans="1:8">
      <c r="A478" s="1375">
        <v>2025</v>
      </c>
      <c r="B478" s="1375" t="s">
        <v>152</v>
      </c>
      <c r="C478" s="1375" t="s">
        <v>807</v>
      </c>
      <c r="D478" s="1375" t="s">
        <v>818</v>
      </c>
      <c r="E478" s="1375" t="s">
        <v>768</v>
      </c>
      <c r="F478" s="1470">
        <v>5016.3105743400001</v>
      </c>
      <c r="G478" s="1470">
        <v>783</v>
      </c>
      <c r="H478" s="1470">
        <v>501.63105743</v>
      </c>
    </row>
    <row r="479" spans="1:8">
      <c r="A479" s="1375">
        <v>2025</v>
      </c>
      <c r="B479" s="1375" t="s">
        <v>152</v>
      </c>
      <c r="C479" s="1375" t="s">
        <v>807</v>
      </c>
      <c r="D479" s="1375" t="s">
        <v>819</v>
      </c>
      <c r="E479" s="1375" t="s">
        <v>769</v>
      </c>
      <c r="F479" s="1470">
        <v>50.163105739999999</v>
      </c>
      <c r="G479" s="1470">
        <v>0</v>
      </c>
      <c r="H479" s="1470">
        <v>5.0163105699999999</v>
      </c>
    </row>
    <row r="480" spans="1:8">
      <c r="A480" s="1375">
        <v>2025</v>
      </c>
      <c r="B480" s="1375" t="s">
        <v>746</v>
      </c>
      <c r="C480" s="1375" t="s">
        <v>295</v>
      </c>
      <c r="D480" s="1375" t="s">
        <v>367</v>
      </c>
      <c r="E480" s="1375" t="s">
        <v>2305</v>
      </c>
      <c r="F480" s="1470">
        <v>18145</v>
      </c>
      <c r="G480" s="1470"/>
      <c r="H480" s="1470"/>
    </row>
    <row r="481" spans="1:8">
      <c r="A481" s="1375">
        <v>2025</v>
      </c>
      <c r="B481" s="1375" t="s">
        <v>746</v>
      </c>
      <c r="C481" s="1375" t="s">
        <v>295</v>
      </c>
      <c r="D481" s="1375" t="s">
        <v>357</v>
      </c>
      <c r="E481" s="1375" t="s">
        <v>62</v>
      </c>
      <c r="F481" s="1470">
        <v>18145</v>
      </c>
      <c r="G481" s="1470"/>
      <c r="H481" s="1470"/>
    </row>
    <row r="482" spans="1:8">
      <c r="A482" s="1375">
        <v>2025</v>
      </c>
      <c r="B482" s="1375" t="s">
        <v>746</v>
      </c>
      <c r="C482" s="1375" t="s">
        <v>303</v>
      </c>
      <c r="D482" s="1375" t="s">
        <v>367</v>
      </c>
      <c r="E482" s="1375" t="s">
        <v>64</v>
      </c>
      <c r="F482" s="1470">
        <v>3071</v>
      </c>
      <c r="G482" s="1470"/>
      <c r="H482" s="1470"/>
    </row>
    <row r="483" spans="1:8">
      <c r="A483" s="1375">
        <v>2025</v>
      </c>
      <c r="B483" s="1375" t="s">
        <v>746</v>
      </c>
      <c r="C483" s="1375" t="s">
        <v>303</v>
      </c>
      <c r="D483" s="1375" t="s">
        <v>357</v>
      </c>
      <c r="E483" s="1375" t="s">
        <v>63</v>
      </c>
      <c r="F483" s="1470">
        <v>3071</v>
      </c>
      <c r="G483" s="1470"/>
      <c r="H483" s="1470"/>
    </row>
    <row r="484" spans="1:8">
      <c r="A484" s="1375">
        <v>2025</v>
      </c>
      <c r="B484" s="1375" t="s">
        <v>746</v>
      </c>
      <c r="C484" s="1375" t="s">
        <v>309</v>
      </c>
      <c r="D484" s="1375" t="s">
        <v>1564</v>
      </c>
      <c r="E484" s="1375" t="s">
        <v>65</v>
      </c>
      <c r="F484" s="1470">
        <v>12308</v>
      </c>
      <c r="G484" s="1470"/>
      <c r="H484" s="1470"/>
    </row>
    <row r="485" spans="1:8">
      <c r="A485" s="1375">
        <v>2025</v>
      </c>
      <c r="B485" s="1375" t="s">
        <v>746</v>
      </c>
      <c r="C485" s="1375" t="s">
        <v>309</v>
      </c>
      <c r="D485" s="1375" t="s">
        <v>944</v>
      </c>
      <c r="E485" s="1375" t="s">
        <v>66</v>
      </c>
      <c r="F485" s="1470">
        <v>12308</v>
      </c>
      <c r="G485" s="1470"/>
      <c r="H485" s="1470"/>
    </row>
    <row r="486" spans="1:8">
      <c r="A486" s="1375">
        <v>2025</v>
      </c>
      <c r="B486" s="1375" t="s">
        <v>746</v>
      </c>
      <c r="C486" s="1375" t="s">
        <v>327</v>
      </c>
      <c r="D486" s="1375" t="s">
        <v>885</v>
      </c>
      <c r="E486" s="1375" t="s">
        <v>458</v>
      </c>
      <c r="F486" s="1470">
        <v>29250</v>
      </c>
      <c r="G486" s="1470"/>
      <c r="H486" s="1470"/>
    </row>
    <row r="487" spans="1:8">
      <c r="A487" s="1375">
        <v>2025</v>
      </c>
      <c r="B487" s="1375" t="s">
        <v>746</v>
      </c>
      <c r="C487" s="1375" t="s">
        <v>682</v>
      </c>
      <c r="D487" s="1375" t="s">
        <v>927</v>
      </c>
      <c r="E487" s="1375" t="s">
        <v>681</v>
      </c>
      <c r="F487" s="1470">
        <v>1684.35</v>
      </c>
      <c r="G487" s="1470">
        <v>1684.35</v>
      </c>
      <c r="H487" s="1470"/>
    </row>
    <row r="488" spans="1:8">
      <c r="A488" s="1375">
        <v>2025</v>
      </c>
      <c r="B488" s="1375" t="s">
        <v>746</v>
      </c>
      <c r="C488" s="1375" t="s">
        <v>932</v>
      </c>
      <c r="D488" s="1375" t="s">
        <v>927</v>
      </c>
      <c r="E488" s="1375" t="s">
        <v>77</v>
      </c>
      <c r="F488" s="1470">
        <v>3727.9677712600001</v>
      </c>
      <c r="G488" s="1470">
        <v>0</v>
      </c>
      <c r="H488" s="1470"/>
    </row>
    <row r="489" spans="1:8">
      <c r="A489" s="1375">
        <v>2025</v>
      </c>
      <c r="B489" s="1375" t="s">
        <v>746</v>
      </c>
      <c r="C489" s="1375" t="s">
        <v>1529</v>
      </c>
      <c r="D489" s="1375" t="s">
        <v>927</v>
      </c>
      <c r="E489" s="1375" t="s">
        <v>81</v>
      </c>
      <c r="F489" s="1470">
        <v>0</v>
      </c>
      <c r="G489" s="1470">
        <v>0</v>
      </c>
      <c r="H489" s="1470"/>
    </row>
    <row r="490" spans="1:8">
      <c r="A490" s="1375">
        <v>2025</v>
      </c>
      <c r="B490" s="1375" t="s">
        <v>746</v>
      </c>
      <c r="C490" s="1375" t="s">
        <v>937</v>
      </c>
      <c r="D490" s="1375" t="s">
        <v>927</v>
      </c>
      <c r="E490" s="1375" t="s">
        <v>757</v>
      </c>
      <c r="F490" s="1470">
        <v>300</v>
      </c>
      <c r="G490" s="1470">
        <v>300</v>
      </c>
      <c r="H490" s="1470"/>
    </row>
    <row r="491" spans="1:8">
      <c r="A491" s="1375">
        <v>2025</v>
      </c>
      <c r="B491" s="1375" t="s">
        <v>746</v>
      </c>
      <c r="C491" s="1375" t="s">
        <v>933</v>
      </c>
      <c r="D491" s="1375" t="s">
        <v>927</v>
      </c>
      <c r="E491" s="1375" t="s">
        <v>78</v>
      </c>
      <c r="F491" s="1470">
        <v>25</v>
      </c>
      <c r="G491" s="1470">
        <v>0</v>
      </c>
      <c r="H491" s="1470"/>
    </row>
    <row r="492" spans="1:8">
      <c r="A492" s="1375">
        <v>2025</v>
      </c>
      <c r="B492" s="1375" t="s">
        <v>746</v>
      </c>
      <c r="C492" s="1375" t="s">
        <v>1530</v>
      </c>
      <c r="D492" s="1375" t="s">
        <v>927</v>
      </c>
      <c r="E492" s="1375" t="s">
        <v>82</v>
      </c>
      <c r="F492" s="1470">
        <v>0</v>
      </c>
      <c r="G492" s="1470">
        <v>0</v>
      </c>
      <c r="H492" s="1470"/>
    </row>
    <row r="493" spans="1:8">
      <c r="A493" s="1375">
        <v>2025</v>
      </c>
      <c r="B493" s="1375" t="s">
        <v>746</v>
      </c>
      <c r="C493" s="1375" t="s">
        <v>938</v>
      </c>
      <c r="D493" s="1375" t="s">
        <v>927</v>
      </c>
      <c r="E493" s="1375" t="s">
        <v>758</v>
      </c>
      <c r="F493" s="1470">
        <v>10</v>
      </c>
      <c r="G493" s="1470">
        <v>10</v>
      </c>
      <c r="H493" s="1470"/>
    </row>
    <row r="494" spans="1:8">
      <c r="A494" s="1375">
        <v>2025</v>
      </c>
      <c r="B494" s="1375" t="s">
        <v>746</v>
      </c>
      <c r="C494" s="1375" t="s">
        <v>942</v>
      </c>
      <c r="D494" s="1375" t="s">
        <v>927</v>
      </c>
      <c r="E494" s="1375" t="s">
        <v>756</v>
      </c>
      <c r="F494" s="1470">
        <v>8</v>
      </c>
      <c r="G494" s="1470">
        <v>2</v>
      </c>
      <c r="H494" s="1470"/>
    </row>
    <row r="495" spans="1:8">
      <c r="A495" s="1375">
        <v>2025</v>
      </c>
      <c r="B495" s="1375" t="s">
        <v>746</v>
      </c>
      <c r="C495" s="1375" t="s">
        <v>934</v>
      </c>
      <c r="D495" s="1375" t="s">
        <v>927</v>
      </c>
      <c r="E495" s="1375" t="s">
        <v>79</v>
      </c>
      <c r="F495" s="1470">
        <v>0</v>
      </c>
      <c r="G495" s="1470">
        <v>0</v>
      </c>
      <c r="H495" s="1470"/>
    </row>
    <row r="496" spans="1:8">
      <c r="A496" s="1375">
        <v>2025</v>
      </c>
      <c r="B496" s="1375" t="s">
        <v>746</v>
      </c>
      <c r="C496" s="1375" t="s">
        <v>1531</v>
      </c>
      <c r="D496" s="1375" t="s">
        <v>927</v>
      </c>
      <c r="E496" s="1375" t="s">
        <v>83</v>
      </c>
      <c r="F496" s="1470">
        <v>0</v>
      </c>
      <c r="G496" s="1470">
        <v>0</v>
      </c>
      <c r="H496" s="1470"/>
    </row>
    <row r="497" spans="1:8">
      <c r="A497" s="1375">
        <v>2025</v>
      </c>
      <c r="B497" s="1375" t="s">
        <v>746</v>
      </c>
      <c r="C497" s="1375" t="s">
        <v>939</v>
      </c>
      <c r="D497" s="1375" t="s">
        <v>927</v>
      </c>
      <c r="E497" s="1375" t="s">
        <v>759</v>
      </c>
      <c r="F497" s="1470">
        <v>10</v>
      </c>
      <c r="G497" s="1470">
        <v>0</v>
      </c>
      <c r="H497" s="1470"/>
    </row>
    <row r="498" spans="1:8">
      <c r="A498" s="1375">
        <v>2025</v>
      </c>
      <c r="B498" s="1375" t="s">
        <v>746</v>
      </c>
      <c r="C498" s="1375" t="s">
        <v>931</v>
      </c>
      <c r="D498" s="1375" t="s">
        <v>927</v>
      </c>
      <c r="E498" s="1375" t="s">
        <v>76</v>
      </c>
      <c r="F498" s="1470">
        <v>292.2</v>
      </c>
      <c r="G498" s="1470">
        <v>0</v>
      </c>
      <c r="H498" s="1470"/>
    </row>
    <row r="499" spans="1:8">
      <c r="A499" s="1375">
        <v>2025</v>
      </c>
      <c r="B499" s="1375" t="s">
        <v>746</v>
      </c>
      <c r="C499" s="1375" t="s">
        <v>935</v>
      </c>
      <c r="D499" s="1375" t="s">
        <v>927</v>
      </c>
      <c r="E499" s="1375" t="s">
        <v>80</v>
      </c>
      <c r="F499" s="1470">
        <v>265.86</v>
      </c>
      <c r="G499" s="1470">
        <v>0</v>
      </c>
      <c r="H499" s="1470"/>
    </row>
    <row r="500" spans="1:8">
      <c r="A500" s="1375">
        <v>2025</v>
      </c>
      <c r="B500" s="1375" t="s">
        <v>746</v>
      </c>
      <c r="C500" s="1375" t="s">
        <v>930</v>
      </c>
      <c r="D500" s="1375" t="s">
        <v>927</v>
      </c>
      <c r="E500" s="1375" t="s">
        <v>84</v>
      </c>
      <c r="F500" s="1470">
        <v>4.5</v>
      </c>
      <c r="G500" s="1470">
        <v>0</v>
      </c>
      <c r="H500" s="1470"/>
    </row>
    <row r="501" spans="1:8">
      <c r="A501" s="1375">
        <v>2025</v>
      </c>
      <c r="B501" s="1375" t="s">
        <v>746</v>
      </c>
      <c r="C501" s="1375" t="s">
        <v>940</v>
      </c>
      <c r="D501" s="1375" t="s">
        <v>927</v>
      </c>
      <c r="E501" s="1375" t="s">
        <v>760</v>
      </c>
      <c r="F501" s="1470">
        <v>70</v>
      </c>
      <c r="G501" s="1470">
        <v>63</v>
      </c>
      <c r="H501" s="1470"/>
    </row>
    <row r="502" spans="1:8">
      <c r="A502" s="1375">
        <v>2025</v>
      </c>
      <c r="B502" s="1375" t="s">
        <v>857</v>
      </c>
      <c r="C502" s="1375" t="s">
        <v>1395</v>
      </c>
      <c r="D502" s="1375" t="s">
        <v>955</v>
      </c>
      <c r="E502" s="1375" t="s">
        <v>954</v>
      </c>
      <c r="F502" s="1470">
        <v>5315.6519324999999</v>
      </c>
      <c r="G502" s="1470">
        <v>0</v>
      </c>
      <c r="H502" s="1470"/>
    </row>
    <row r="503" spans="1:8">
      <c r="A503" s="1375">
        <v>2025</v>
      </c>
      <c r="B503" s="1375" t="s">
        <v>857</v>
      </c>
      <c r="C503" s="1375" t="s">
        <v>1395</v>
      </c>
      <c r="D503" s="1375" t="s">
        <v>1397</v>
      </c>
      <c r="E503" s="1375" t="s">
        <v>1396</v>
      </c>
      <c r="F503" s="1470">
        <v>5315.6519324999999</v>
      </c>
      <c r="G503" s="1470">
        <v>210.97955253000001</v>
      </c>
      <c r="H503" s="1470"/>
    </row>
    <row r="504" spans="1:8">
      <c r="A504" s="1375">
        <v>2025</v>
      </c>
      <c r="B504" s="1375" t="s">
        <v>857</v>
      </c>
      <c r="C504" s="1375" t="s">
        <v>1395</v>
      </c>
      <c r="D504" s="1375" t="s">
        <v>1327</v>
      </c>
      <c r="E504" s="1375" t="s">
        <v>956</v>
      </c>
      <c r="F504" s="1470">
        <v>301.39936075999998</v>
      </c>
      <c r="G504" s="1470">
        <v>210.97955253000001</v>
      </c>
      <c r="H504" s="1470"/>
    </row>
    <row r="505" spans="1:8">
      <c r="A505" s="1375">
        <v>2025</v>
      </c>
      <c r="B505" s="1375" t="s">
        <v>857</v>
      </c>
      <c r="C505" s="1375" t="s">
        <v>1395</v>
      </c>
      <c r="D505" s="1375" t="s">
        <v>1948</v>
      </c>
      <c r="E505" s="1375" t="s">
        <v>2354</v>
      </c>
      <c r="F505" s="1470">
        <v>0</v>
      </c>
      <c r="G505" s="1470">
        <v>0</v>
      </c>
      <c r="H505" s="1470"/>
    </row>
    <row r="506" spans="1:8">
      <c r="A506" s="1375">
        <v>2025</v>
      </c>
      <c r="B506" s="1375" t="s">
        <v>138</v>
      </c>
      <c r="C506" s="1375" t="s">
        <v>476</v>
      </c>
      <c r="D506" s="1375" t="s">
        <v>1007</v>
      </c>
      <c r="E506" s="1375" t="s">
        <v>1434</v>
      </c>
      <c r="F506" s="1470">
        <v>26137.403132660002</v>
      </c>
      <c r="G506" s="1470">
        <v>0</v>
      </c>
      <c r="H506" s="1470">
        <v>0</v>
      </c>
    </row>
    <row r="507" spans="1:8">
      <c r="A507" s="1375">
        <v>2025</v>
      </c>
      <c r="B507" s="1375" t="s">
        <v>138</v>
      </c>
      <c r="C507" s="1375" t="s">
        <v>476</v>
      </c>
      <c r="D507" s="1375" t="s">
        <v>1517</v>
      </c>
      <c r="E507" s="1375" t="s">
        <v>1516</v>
      </c>
      <c r="F507" s="1470">
        <v>312598.2623997</v>
      </c>
      <c r="G507" s="1470">
        <v>0</v>
      </c>
      <c r="H507" s="1470">
        <v>233472.01285460999</v>
      </c>
    </row>
    <row r="508" spans="1:8">
      <c r="A508" s="1375">
        <v>2025</v>
      </c>
      <c r="B508" s="1375" t="s">
        <v>146</v>
      </c>
      <c r="C508" s="1375" t="s">
        <v>493</v>
      </c>
      <c r="D508" s="1375" t="s">
        <v>334</v>
      </c>
      <c r="E508" s="1375" t="s">
        <v>39</v>
      </c>
      <c r="F508" s="1470">
        <v>0.12138160000000001</v>
      </c>
      <c r="G508" s="1470">
        <v>6.0690800000000003E-2</v>
      </c>
      <c r="H508" s="1470">
        <v>0</v>
      </c>
    </row>
    <row r="509" spans="1:8">
      <c r="A509" s="1375">
        <v>2025</v>
      </c>
      <c r="B509" s="1375" t="s">
        <v>149</v>
      </c>
      <c r="C509" s="1375" t="s">
        <v>298</v>
      </c>
      <c r="D509" s="1375" t="s">
        <v>367</v>
      </c>
      <c r="E509" s="1375" t="s">
        <v>1519</v>
      </c>
      <c r="F509" s="1470">
        <v>3377.8130407399999</v>
      </c>
      <c r="G509" s="1470"/>
      <c r="H509" s="1470"/>
    </row>
    <row r="510" spans="1:8">
      <c r="A510" s="1375">
        <v>2025</v>
      </c>
      <c r="B510" s="1375" t="s">
        <v>149</v>
      </c>
      <c r="C510" s="1375" t="s">
        <v>298</v>
      </c>
      <c r="D510" s="1375" t="s">
        <v>357</v>
      </c>
      <c r="E510" s="1375" t="s">
        <v>74</v>
      </c>
      <c r="F510" s="1470">
        <v>3377.8130407399999</v>
      </c>
      <c r="G510" s="1470"/>
      <c r="H510" s="1470"/>
    </row>
    <row r="511" spans="1:8">
      <c r="A511" s="1375">
        <v>2025</v>
      </c>
      <c r="B511" s="1375" t="s">
        <v>149</v>
      </c>
      <c r="C511" s="1375" t="s">
        <v>306</v>
      </c>
      <c r="D511" s="1375" t="s">
        <v>367</v>
      </c>
      <c r="E511" s="1375" t="s">
        <v>1520</v>
      </c>
      <c r="F511" s="1470">
        <v>617.51034843000002</v>
      </c>
      <c r="G511" s="1470"/>
      <c r="H511" s="1470"/>
    </row>
    <row r="512" spans="1:8">
      <c r="A512" s="1375">
        <v>2025</v>
      </c>
      <c r="B512" s="1375" t="s">
        <v>149</v>
      </c>
      <c r="C512" s="1375" t="s">
        <v>306</v>
      </c>
      <c r="D512" s="1375" t="s">
        <v>357</v>
      </c>
      <c r="E512" s="1375" t="s">
        <v>75</v>
      </c>
      <c r="F512" s="1470">
        <v>617.51034843000002</v>
      </c>
      <c r="G512" s="1470"/>
      <c r="H512" s="1470"/>
    </row>
    <row r="513" spans="1:8">
      <c r="A513" s="1375">
        <v>2025</v>
      </c>
      <c r="B513" s="1375" t="s">
        <v>149</v>
      </c>
      <c r="C513" s="1375" t="s">
        <v>312</v>
      </c>
      <c r="D513" s="1375" t="s">
        <v>1564</v>
      </c>
      <c r="E513" s="1375" t="s">
        <v>1312</v>
      </c>
      <c r="F513" s="1470">
        <v>3003.9197237799999</v>
      </c>
      <c r="G513" s="1470"/>
      <c r="H513" s="1470"/>
    </row>
    <row r="514" spans="1:8">
      <c r="A514" s="1375">
        <v>2025</v>
      </c>
      <c r="B514" s="1375" t="s">
        <v>149</v>
      </c>
      <c r="C514" s="1375" t="s">
        <v>312</v>
      </c>
      <c r="D514" s="1375" t="s">
        <v>944</v>
      </c>
      <c r="E514" s="1375" t="s">
        <v>1524</v>
      </c>
      <c r="F514" s="1470">
        <v>3003.9197237799999</v>
      </c>
      <c r="G514" s="1470"/>
      <c r="H514" s="1470"/>
    </row>
    <row r="515" spans="1:8">
      <c r="A515" s="1375">
        <v>2025</v>
      </c>
      <c r="B515" s="1375" t="s">
        <v>149</v>
      </c>
      <c r="C515" s="1375" t="s">
        <v>330</v>
      </c>
      <c r="D515" s="1375" t="s">
        <v>885</v>
      </c>
      <c r="E515" s="1375" t="s">
        <v>1525</v>
      </c>
      <c r="F515" s="1470">
        <v>4837.4930318999996</v>
      </c>
      <c r="G515" s="1470"/>
      <c r="H515" s="1470"/>
    </row>
    <row r="516" spans="1:8">
      <c r="A516" s="1375">
        <v>2025</v>
      </c>
      <c r="B516" s="1375" t="s">
        <v>143</v>
      </c>
      <c r="C516" s="1375" t="s">
        <v>323</v>
      </c>
      <c r="D516" s="1375" t="s">
        <v>157</v>
      </c>
      <c r="E516" s="1375" t="s">
        <v>30</v>
      </c>
      <c r="F516" s="1470">
        <v>565740.43214306002</v>
      </c>
      <c r="G516" s="1470">
        <v>0</v>
      </c>
      <c r="H516" s="1470">
        <v>0</v>
      </c>
    </row>
    <row r="517" spans="1:8">
      <c r="A517" s="1375">
        <v>2025</v>
      </c>
      <c r="B517" s="1375" t="s">
        <v>143</v>
      </c>
      <c r="C517" s="1375" t="s">
        <v>321</v>
      </c>
      <c r="D517" s="1375" t="s">
        <v>157</v>
      </c>
      <c r="E517" s="1375" t="s">
        <v>31</v>
      </c>
      <c r="F517" s="1470">
        <v>32954.873777870002</v>
      </c>
      <c r="G517" s="1470">
        <v>0</v>
      </c>
      <c r="H517" s="1470">
        <v>0</v>
      </c>
    </row>
    <row r="518" spans="1:8">
      <c r="A518" s="1375">
        <v>2025</v>
      </c>
      <c r="B518" s="1375" t="s">
        <v>143</v>
      </c>
      <c r="C518" s="1375" t="s">
        <v>324</v>
      </c>
      <c r="D518" s="1375" t="s">
        <v>157</v>
      </c>
      <c r="E518" s="1375" t="s">
        <v>93</v>
      </c>
      <c r="F518" s="1470">
        <v>140686.52521634</v>
      </c>
      <c r="G518" s="1470">
        <v>0</v>
      </c>
      <c r="H518" s="1470">
        <v>0</v>
      </c>
    </row>
    <row r="519" spans="1:8">
      <c r="A519" s="1375">
        <v>2025</v>
      </c>
      <c r="B519" s="1375" t="s">
        <v>143</v>
      </c>
      <c r="C519" s="1375" t="s">
        <v>322</v>
      </c>
      <c r="D519" s="1375" t="s">
        <v>157</v>
      </c>
      <c r="E519" s="1375" t="s">
        <v>94</v>
      </c>
      <c r="F519" s="1470">
        <v>2826.60878645</v>
      </c>
      <c r="G519" s="1470">
        <v>0</v>
      </c>
      <c r="H519" s="1470">
        <v>0</v>
      </c>
    </row>
    <row r="520" spans="1:8">
      <c r="A520" s="1375">
        <v>2025</v>
      </c>
      <c r="B520" s="1375" t="s">
        <v>470</v>
      </c>
      <c r="C520" s="1375" t="s">
        <v>1933</v>
      </c>
      <c r="D520" s="1375" t="s">
        <v>1954</v>
      </c>
      <c r="E520" s="1375" t="s">
        <v>2319</v>
      </c>
      <c r="F520" s="1470">
        <v>52881.135304520001</v>
      </c>
      <c r="G520" s="1470"/>
      <c r="H520" s="1470"/>
    </row>
    <row r="521" spans="1:8">
      <c r="A521" s="1375">
        <v>2025</v>
      </c>
      <c r="B521" s="1375" t="s">
        <v>470</v>
      </c>
      <c r="C521" s="1375" t="s">
        <v>1932</v>
      </c>
      <c r="D521" s="1375" t="s">
        <v>1954</v>
      </c>
      <c r="E521" s="1375" t="s">
        <v>2318</v>
      </c>
      <c r="F521" s="1470">
        <v>40420.957438730002</v>
      </c>
      <c r="G521" s="1470"/>
      <c r="H521" s="1470"/>
    </row>
    <row r="522" spans="1:8">
      <c r="A522" s="1375">
        <v>2025</v>
      </c>
      <c r="B522" s="1375" t="s">
        <v>141</v>
      </c>
      <c r="C522" s="1375" t="s">
        <v>1933</v>
      </c>
      <c r="D522" s="1375" t="s">
        <v>1953</v>
      </c>
      <c r="E522" s="1375" t="s">
        <v>2281</v>
      </c>
      <c r="F522" s="1470">
        <v>137741.48724756</v>
      </c>
      <c r="G522" s="1470"/>
      <c r="H522" s="1470"/>
    </row>
    <row r="523" spans="1:8">
      <c r="A523" s="1375">
        <v>2025</v>
      </c>
      <c r="B523" s="1375" t="s">
        <v>141</v>
      </c>
      <c r="C523" s="1375" t="s">
        <v>1928</v>
      </c>
      <c r="D523" s="1375" t="s">
        <v>1951</v>
      </c>
      <c r="E523" s="1375" t="s">
        <v>2278</v>
      </c>
      <c r="F523" s="1470">
        <v>44.017612929999999</v>
      </c>
      <c r="G523" s="1470"/>
      <c r="H523" s="1470"/>
    </row>
    <row r="524" spans="1:8">
      <c r="A524" s="1375">
        <v>2025</v>
      </c>
      <c r="B524" s="1375" t="s">
        <v>141</v>
      </c>
      <c r="C524" s="1375" t="s">
        <v>1928</v>
      </c>
      <c r="D524" s="1375" t="s">
        <v>1952</v>
      </c>
      <c r="E524" s="1375" t="s">
        <v>2279</v>
      </c>
      <c r="F524" s="1470">
        <v>1616.53148349</v>
      </c>
      <c r="G524" s="1470"/>
      <c r="H524" s="1470"/>
    </row>
    <row r="525" spans="1:8">
      <c r="A525" s="1375">
        <v>2025</v>
      </c>
      <c r="B525" s="1375" t="s">
        <v>141</v>
      </c>
      <c r="C525" s="1375" t="s">
        <v>1932</v>
      </c>
      <c r="D525" s="1375" t="s">
        <v>1953</v>
      </c>
      <c r="E525" s="1375" t="s">
        <v>2280</v>
      </c>
      <c r="F525" s="1470">
        <v>7928.6004129800003</v>
      </c>
      <c r="G525" s="1470"/>
      <c r="H525" s="1470"/>
    </row>
    <row r="526" spans="1:8">
      <c r="A526" s="1375">
        <v>2025</v>
      </c>
      <c r="B526" s="1375" t="s">
        <v>144</v>
      </c>
      <c r="C526" s="1375" t="s">
        <v>285</v>
      </c>
      <c r="D526" s="1375" t="s">
        <v>334</v>
      </c>
      <c r="E526" s="1375" t="s">
        <v>399</v>
      </c>
      <c r="F526" s="1470">
        <v>0</v>
      </c>
      <c r="G526" s="1470">
        <v>0</v>
      </c>
      <c r="H526" s="1470">
        <v>0</v>
      </c>
    </row>
    <row r="527" spans="1:8">
      <c r="A527" s="1375">
        <v>2025</v>
      </c>
      <c r="B527" s="1375" t="s">
        <v>144</v>
      </c>
      <c r="C527" s="1375" t="s">
        <v>299</v>
      </c>
      <c r="D527" s="1375" t="s">
        <v>334</v>
      </c>
      <c r="E527" s="1375" t="s">
        <v>420</v>
      </c>
      <c r="F527" s="1470">
        <v>0</v>
      </c>
      <c r="G527" s="1470">
        <v>0</v>
      </c>
      <c r="H527" s="1470">
        <v>0</v>
      </c>
    </row>
    <row r="528" spans="1:8">
      <c r="A528" s="1375">
        <v>2025</v>
      </c>
      <c r="B528" s="1375" t="s">
        <v>137</v>
      </c>
      <c r="C528" s="1375" t="s">
        <v>296</v>
      </c>
      <c r="D528" s="1375" t="s">
        <v>1362</v>
      </c>
      <c r="E528" s="1375" t="s">
        <v>21</v>
      </c>
      <c r="F528" s="1470">
        <v>5524545.3902984802</v>
      </c>
      <c r="G528" s="1470"/>
      <c r="H528" s="1470"/>
    </row>
    <row r="529" spans="1:8">
      <c r="A529" s="1375">
        <v>2025</v>
      </c>
      <c r="B529" s="1375" t="s">
        <v>137</v>
      </c>
      <c r="C529" s="1375" t="s">
        <v>296</v>
      </c>
      <c r="D529" s="1375" t="s">
        <v>1364</v>
      </c>
      <c r="E529" s="1375" t="s">
        <v>1363</v>
      </c>
      <c r="F529" s="1470">
        <v>5524545.3902984802</v>
      </c>
      <c r="G529" s="1470"/>
      <c r="H529" s="1470"/>
    </row>
    <row r="530" spans="1:8">
      <c r="A530" s="1375">
        <v>2025</v>
      </c>
      <c r="B530" s="1375" t="s">
        <v>137</v>
      </c>
      <c r="C530" s="1375" t="s">
        <v>296</v>
      </c>
      <c r="D530" s="1375" t="s">
        <v>1365</v>
      </c>
      <c r="E530" s="1375" t="s">
        <v>871</v>
      </c>
      <c r="F530" s="1470">
        <v>2762272.6951492401</v>
      </c>
      <c r="G530" s="1470"/>
      <c r="H530" s="1470"/>
    </row>
    <row r="531" spans="1:8">
      <c r="A531" s="1375">
        <v>2025</v>
      </c>
      <c r="B531" s="1375" t="s">
        <v>137</v>
      </c>
      <c r="C531" s="1375" t="s">
        <v>304</v>
      </c>
      <c r="D531" s="1375" t="s">
        <v>1368</v>
      </c>
      <c r="E531" s="1375" t="s">
        <v>22</v>
      </c>
      <c r="F531" s="1470">
        <v>1752789.5425660801</v>
      </c>
      <c r="G531" s="1470"/>
      <c r="H531" s="1470"/>
    </row>
    <row r="532" spans="1:8">
      <c r="A532" s="1375">
        <v>2025</v>
      </c>
      <c r="B532" s="1375" t="s">
        <v>137</v>
      </c>
      <c r="C532" s="1375" t="s">
        <v>304</v>
      </c>
      <c r="D532" s="1375" t="s">
        <v>1370</v>
      </c>
      <c r="E532" s="1375" t="s">
        <v>1369</v>
      </c>
      <c r="F532" s="1470">
        <v>876394.77128304006</v>
      </c>
      <c r="G532" s="1470"/>
      <c r="H532" s="1470"/>
    </row>
    <row r="533" spans="1:8">
      <c r="A533" s="1375">
        <v>2025</v>
      </c>
      <c r="B533" s="1375" t="s">
        <v>137</v>
      </c>
      <c r="C533" s="1375" t="s">
        <v>310</v>
      </c>
      <c r="D533" s="1375" t="s">
        <v>1511</v>
      </c>
      <c r="E533" s="1375" t="s">
        <v>23</v>
      </c>
      <c r="F533" s="1470">
        <v>12053542.65454459</v>
      </c>
      <c r="G533" s="1470"/>
      <c r="H533" s="1470"/>
    </row>
    <row r="534" spans="1:8">
      <c r="A534" s="1375">
        <v>2025</v>
      </c>
      <c r="B534" s="1375" t="s">
        <v>137</v>
      </c>
      <c r="C534" s="1375" t="s">
        <v>310</v>
      </c>
      <c r="D534" s="1375" t="s">
        <v>1512</v>
      </c>
      <c r="E534" s="1375" t="s">
        <v>1374</v>
      </c>
      <c r="F534" s="1470">
        <v>12053542.65454459</v>
      </c>
      <c r="G534" s="1470"/>
      <c r="H534" s="1470"/>
    </row>
    <row r="535" spans="1:8">
      <c r="A535" s="1375">
        <v>2025</v>
      </c>
      <c r="B535" s="1375" t="s">
        <v>137</v>
      </c>
      <c r="C535" s="1375" t="s">
        <v>310</v>
      </c>
      <c r="D535" s="1375" t="s">
        <v>1513</v>
      </c>
      <c r="E535" s="1375" t="s">
        <v>1375</v>
      </c>
      <c r="F535" s="1470">
        <v>7081456.3095449498</v>
      </c>
      <c r="G535" s="1470"/>
      <c r="H535" s="1470"/>
    </row>
    <row r="536" spans="1:8">
      <c r="A536" s="1375">
        <v>2025</v>
      </c>
      <c r="B536" s="1375" t="s">
        <v>137</v>
      </c>
      <c r="C536" s="1375" t="s">
        <v>328</v>
      </c>
      <c r="D536" s="1375" t="s">
        <v>882</v>
      </c>
      <c r="E536" s="1375" t="s">
        <v>24</v>
      </c>
      <c r="F536" s="1470">
        <v>24807993.69436197</v>
      </c>
      <c r="G536" s="1470"/>
      <c r="H536" s="1470"/>
    </row>
    <row r="537" spans="1:8">
      <c r="A537" s="1375">
        <v>2025</v>
      </c>
      <c r="B537" s="1375" t="s">
        <v>137</v>
      </c>
      <c r="C537" s="1375" t="s">
        <v>328</v>
      </c>
      <c r="D537" s="1375" t="s">
        <v>1378</v>
      </c>
      <c r="E537" s="1375" t="s">
        <v>1377</v>
      </c>
      <c r="F537" s="1470">
        <v>24807993.69436197</v>
      </c>
      <c r="G537" s="1470"/>
      <c r="H537" s="1470"/>
    </row>
    <row r="538" spans="1:8">
      <c r="A538" s="1375">
        <v>2025</v>
      </c>
      <c r="B538" s="1375" t="s">
        <v>137</v>
      </c>
      <c r="C538" s="1375" t="s">
        <v>328</v>
      </c>
      <c r="D538" s="1375" t="s">
        <v>1379</v>
      </c>
      <c r="E538" s="1375" t="s">
        <v>883</v>
      </c>
      <c r="F538" s="1470">
        <v>17055495.664873861</v>
      </c>
      <c r="G538" s="1470"/>
      <c r="H538" s="1470"/>
    </row>
    <row r="539" spans="1:8">
      <c r="A539" s="1375">
        <v>2025</v>
      </c>
      <c r="B539" s="1375" t="s">
        <v>137</v>
      </c>
      <c r="C539" s="1375" t="s">
        <v>328</v>
      </c>
      <c r="D539" s="1375" t="s">
        <v>1380</v>
      </c>
      <c r="E539" s="1375" t="s">
        <v>884</v>
      </c>
      <c r="F539" s="1470">
        <v>0</v>
      </c>
      <c r="G539" s="1470"/>
      <c r="H539" s="147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DBCA-CC9E-4BE0-AACA-101C203C9825}">
  <sheetPr>
    <tabColor theme="1"/>
  </sheetPr>
  <dimension ref="A1:J1054"/>
  <sheetViews>
    <sheetView workbookViewId="0">
      <selection sqref="A1:H539"/>
    </sheetView>
  </sheetViews>
  <sheetFormatPr defaultRowHeight="15"/>
  <cols>
    <col min="1" max="1" width="100.42578125" bestFit="1" customWidth="1"/>
    <col min="2" max="2" width="20.7109375" bestFit="1" customWidth="1"/>
    <col min="3" max="3" width="7.28515625" bestFit="1" customWidth="1"/>
    <col min="4" max="4" width="15.7109375" bestFit="1" customWidth="1"/>
    <col min="5" max="8" width="8.140625" bestFit="1" customWidth="1"/>
    <col min="9" max="9" width="12" bestFit="1" customWidth="1"/>
  </cols>
  <sheetData>
    <row r="1" spans="1:10">
      <c r="A1" s="65" t="s">
        <v>1750</v>
      </c>
      <c r="B1" s="1375" t="s">
        <v>134</v>
      </c>
    </row>
    <row r="3" spans="1:10">
      <c r="A3" s="65" t="s">
        <v>3040</v>
      </c>
      <c r="D3" s="65" t="s">
        <v>3039</v>
      </c>
    </row>
    <row r="4" spans="1:10">
      <c r="A4" s="65" t="s">
        <v>7</v>
      </c>
      <c r="B4" s="65" t="s">
        <v>0</v>
      </c>
      <c r="C4" s="65" t="s">
        <v>8</v>
      </c>
      <c r="D4" s="1375" t="s">
        <v>568</v>
      </c>
      <c r="E4" s="1375" t="s">
        <v>569</v>
      </c>
      <c r="F4" s="1375" t="s">
        <v>570</v>
      </c>
      <c r="G4" s="1375" t="s">
        <v>571</v>
      </c>
      <c r="H4" s="1375" t="s">
        <v>3036</v>
      </c>
    </row>
    <row r="5" spans="1:10">
      <c r="A5" s="1375" t="s">
        <v>1898</v>
      </c>
      <c r="B5" s="1375" t="s">
        <v>1534</v>
      </c>
      <c r="C5" s="1375">
        <v>2022</v>
      </c>
      <c r="D5" s="1922">
        <v>0</v>
      </c>
      <c r="E5" s="1922">
        <v>0</v>
      </c>
      <c r="F5" s="1922">
        <v>0</v>
      </c>
      <c r="G5" s="1922">
        <v>1</v>
      </c>
      <c r="H5" s="1922">
        <v>0</v>
      </c>
      <c r="J5" s="1375" t="str">
        <f>B5&amp;C5</f>
        <v>RES_201403_P14T12022</v>
      </c>
    </row>
    <row r="6" spans="1:10">
      <c r="A6" s="1375" t="s">
        <v>1898</v>
      </c>
      <c r="B6" s="1375" t="s">
        <v>1534</v>
      </c>
      <c r="C6" s="1375">
        <v>2023</v>
      </c>
      <c r="D6" s="1922">
        <v>0</v>
      </c>
      <c r="E6" s="1922">
        <v>0</v>
      </c>
      <c r="F6" s="1922">
        <v>0</v>
      </c>
      <c r="G6" s="1922">
        <v>1</v>
      </c>
      <c r="H6" s="1922">
        <v>0</v>
      </c>
      <c r="I6" s="1375"/>
      <c r="J6" s="1375" t="str">
        <f t="shared" ref="J6:J69" si="0">B6&amp;C6</f>
        <v>RES_201403_P14T12023</v>
      </c>
    </row>
    <row r="7" spans="1:10">
      <c r="A7" s="1375" t="s">
        <v>1898</v>
      </c>
      <c r="B7" s="1375" t="s">
        <v>1534</v>
      </c>
      <c r="C7" s="1375">
        <v>2024</v>
      </c>
      <c r="D7" s="1922">
        <v>0</v>
      </c>
      <c r="E7" s="1922">
        <v>0</v>
      </c>
      <c r="F7" s="1922">
        <v>0</v>
      </c>
      <c r="G7" s="1922">
        <v>1</v>
      </c>
      <c r="H7" s="1922">
        <v>0</v>
      </c>
      <c r="I7" s="1375"/>
      <c r="J7" s="1375" t="str">
        <f t="shared" si="0"/>
        <v>RES_201403_P14T12024</v>
      </c>
    </row>
    <row r="8" spans="1:10">
      <c r="A8" s="1375" t="s">
        <v>1898</v>
      </c>
      <c r="B8" s="1375" t="s">
        <v>1534</v>
      </c>
      <c r="C8" s="1375">
        <v>2025</v>
      </c>
      <c r="D8" s="1922">
        <v>0</v>
      </c>
      <c r="E8" s="1922">
        <v>0</v>
      </c>
      <c r="F8" s="1922">
        <v>0</v>
      </c>
      <c r="G8" s="1922">
        <v>1</v>
      </c>
      <c r="H8" s="1922">
        <v>0</v>
      </c>
      <c r="I8" s="1375"/>
      <c r="J8" s="1375" t="str">
        <f t="shared" si="0"/>
        <v>RES_201403_P14T12025</v>
      </c>
    </row>
    <row r="9" spans="1:10">
      <c r="A9" s="1375" t="s">
        <v>2553</v>
      </c>
      <c r="B9" s="1375" t="s">
        <v>2326</v>
      </c>
      <c r="C9" s="1375">
        <v>2022</v>
      </c>
      <c r="D9" s="1922">
        <v>0</v>
      </c>
      <c r="E9" s="1922">
        <v>0</v>
      </c>
      <c r="F9" s="1922">
        <v>0</v>
      </c>
      <c r="G9" s="1922">
        <v>1</v>
      </c>
      <c r="H9" s="1922">
        <v>0</v>
      </c>
      <c r="I9" s="1375"/>
      <c r="J9" s="1375" t="str">
        <f t="shared" si="0"/>
        <v>RES_201403_P14T02022</v>
      </c>
    </row>
    <row r="10" spans="1:10">
      <c r="A10" s="1375" t="s">
        <v>2553</v>
      </c>
      <c r="B10" s="1375" t="s">
        <v>2326</v>
      </c>
      <c r="C10" s="1375">
        <v>2023</v>
      </c>
      <c r="D10" s="1922">
        <v>0</v>
      </c>
      <c r="E10" s="1922">
        <v>0</v>
      </c>
      <c r="F10" s="1922">
        <v>0</v>
      </c>
      <c r="G10" s="1922">
        <v>1</v>
      </c>
      <c r="H10" s="1922">
        <v>0</v>
      </c>
      <c r="I10" s="1375"/>
      <c r="J10" s="1375" t="str">
        <f t="shared" si="0"/>
        <v>RES_201403_P14T02023</v>
      </c>
    </row>
    <row r="11" spans="1:10">
      <c r="A11" s="1375" t="s">
        <v>2553</v>
      </c>
      <c r="B11" s="1375" t="s">
        <v>2326</v>
      </c>
      <c r="C11" s="1375">
        <v>2024</v>
      </c>
      <c r="D11" s="1922">
        <v>0</v>
      </c>
      <c r="E11" s="1922">
        <v>0</v>
      </c>
      <c r="F11" s="1922">
        <v>0</v>
      </c>
      <c r="G11" s="1922">
        <v>1</v>
      </c>
      <c r="H11" s="1922">
        <v>0</v>
      </c>
      <c r="I11" s="1375"/>
      <c r="J11" s="1375" t="str">
        <f t="shared" si="0"/>
        <v>RES_201403_P14T02024</v>
      </c>
    </row>
    <row r="12" spans="1:10">
      <c r="A12" s="1375" t="s">
        <v>2553</v>
      </c>
      <c r="B12" s="1375" t="s">
        <v>2326</v>
      </c>
      <c r="C12" s="1375">
        <v>2025</v>
      </c>
      <c r="D12" s="1922">
        <v>0</v>
      </c>
      <c r="E12" s="1922">
        <v>0</v>
      </c>
      <c r="F12" s="1922">
        <v>0</v>
      </c>
      <c r="G12" s="1922">
        <v>1</v>
      </c>
      <c r="H12" s="1922">
        <v>0</v>
      </c>
      <c r="I12" s="1375"/>
      <c r="J12" s="1375" t="str">
        <f t="shared" si="0"/>
        <v>RES_201403_P14T02025</v>
      </c>
    </row>
    <row r="13" spans="1:10">
      <c r="A13" s="1375" t="s">
        <v>1900</v>
      </c>
      <c r="B13" s="1375" t="s">
        <v>1537</v>
      </c>
      <c r="C13" s="1375">
        <v>2022</v>
      </c>
      <c r="D13" s="1922">
        <v>0</v>
      </c>
      <c r="E13" s="1922">
        <v>0</v>
      </c>
      <c r="F13" s="1922">
        <v>0</v>
      </c>
      <c r="G13" s="1922">
        <v>1</v>
      </c>
      <c r="H13" s="1922">
        <v>0</v>
      </c>
      <c r="I13" s="1375"/>
      <c r="J13" s="1375" t="str">
        <f t="shared" si="0"/>
        <v>RES_201403_P14T22022</v>
      </c>
    </row>
    <row r="14" spans="1:10">
      <c r="A14" s="1375" t="s">
        <v>1900</v>
      </c>
      <c r="B14" s="1375" t="s">
        <v>1537</v>
      </c>
      <c r="C14" s="1375">
        <v>2023</v>
      </c>
      <c r="D14" s="1922">
        <v>0</v>
      </c>
      <c r="E14" s="1922">
        <v>0</v>
      </c>
      <c r="F14" s="1922">
        <v>0</v>
      </c>
      <c r="G14" s="1922">
        <v>1</v>
      </c>
      <c r="H14" s="1922">
        <v>0</v>
      </c>
      <c r="I14" s="1375"/>
      <c r="J14" s="1375" t="str">
        <f t="shared" si="0"/>
        <v>RES_201403_P14T22023</v>
      </c>
    </row>
    <row r="15" spans="1:10">
      <c r="A15" s="1375" t="s">
        <v>1900</v>
      </c>
      <c r="B15" s="1375" t="s">
        <v>1537</v>
      </c>
      <c r="C15" s="1375">
        <v>2024</v>
      </c>
      <c r="D15" s="1922">
        <v>0</v>
      </c>
      <c r="E15" s="1922">
        <v>0</v>
      </c>
      <c r="F15" s="1922">
        <v>0</v>
      </c>
      <c r="G15" s="1922">
        <v>1</v>
      </c>
      <c r="H15" s="1922">
        <v>0</v>
      </c>
      <c r="I15" s="1375"/>
      <c r="J15" s="1375" t="str">
        <f t="shared" si="0"/>
        <v>RES_201403_P14T22024</v>
      </c>
    </row>
    <row r="16" spans="1:10">
      <c r="A16" s="1375" t="s">
        <v>1900</v>
      </c>
      <c r="B16" s="1375" t="s">
        <v>1537</v>
      </c>
      <c r="C16" s="1375">
        <v>2025</v>
      </c>
      <c r="D16" s="1922">
        <v>0</v>
      </c>
      <c r="E16" s="1922">
        <v>0</v>
      </c>
      <c r="F16" s="1922">
        <v>0</v>
      </c>
      <c r="G16" s="1922">
        <v>1</v>
      </c>
      <c r="H16" s="1922">
        <v>0</v>
      </c>
      <c r="I16" s="1375"/>
      <c r="J16" s="1375" t="str">
        <f t="shared" si="0"/>
        <v>RES_201403_P14T22025</v>
      </c>
    </row>
    <row r="17" spans="1:10">
      <c r="A17" s="1375" t="s">
        <v>1908</v>
      </c>
      <c r="B17" s="1375" t="s">
        <v>1541</v>
      </c>
      <c r="C17" s="1375">
        <v>2022</v>
      </c>
      <c r="D17" s="1922">
        <v>0</v>
      </c>
      <c r="E17" s="1922">
        <v>0</v>
      </c>
      <c r="F17" s="1922">
        <v>0</v>
      </c>
      <c r="G17" s="1922">
        <v>1</v>
      </c>
      <c r="H17" s="1922">
        <v>0</v>
      </c>
      <c r="I17" s="1375"/>
      <c r="J17" s="1375" t="str">
        <f t="shared" si="0"/>
        <v>RES_201403_P14T62022</v>
      </c>
    </row>
    <row r="18" spans="1:10">
      <c r="A18" s="1375" t="s">
        <v>1908</v>
      </c>
      <c r="B18" s="1375" t="s">
        <v>1541</v>
      </c>
      <c r="C18" s="1375">
        <v>2023</v>
      </c>
      <c r="D18" s="1922">
        <v>0</v>
      </c>
      <c r="E18" s="1922">
        <v>0</v>
      </c>
      <c r="F18" s="1922">
        <v>0</v>
      </c>
      <c r="G18" s="1922">
        <v>1</v>
      </c>
      <c r="H18" s="1922">
        <v>0</v>
      </c>
      <c r="I18" s="1375"/>
      <c r="J18" s="1375" t="str">
        <f t="shared" si="0"/>
        <v>RES_201403_P14T62023</v>
      </c>
    </row>
    <row r="19" spans="1:10">
      <c r="A19" s="1375" t="s">
        <v>1908</v>
      </c>
      <c r="B19" s="1375" t="s">
        <v>1541</v>
      </c>
      <c r="C19" s="1375">
        <v>2024</v>
      </c>
      <c r="D19" s="1922">
        <v>0</v>
      </c>
      <c r="E19" s="1922">
        <v>0</v>
      </c>
      <c r="F19" s="1922">
        <v>0</v>
      </c>
      <c r="G19" s="1922">
        <v>1</v>
      </c>
      <c r="H19" s="1922">
        <v>0</v>
      </c>
      <c r="I19" s="1375"/>
      <c r="J19" s="1375" t="str">
        <f t="shared" si="0"/>
        <v>RES_201403_P14T62024</v>
      </c>
    </row>
    <row r="20" spans="1:10">
      <c r="A20" s="1375" t="s">
        <v>1908</v>
      </c>
      <c r="B20" s="1375" t="s">
        <v>1541</v>
      </c>
      <c r="C20" s="1375">
        <v>2025</v>
      </c>
      <c r="D20" s="1922">
        <v>0</v>
      </c>
      <c r="E20" s="1922">
        <v>0</v>
      </c>
      <c r="F20" s="1922">
        <v>0</v>
      </c>
      <c r="G20" s="1922">
        <v>1</v>
      </c>
      <c r="H20" s="1922">
        <v>0</v>
      </c>
      <c r="I20" s="1375"/>
      <c r="J20" s="1375" t="str">
        <f t="shared" si="0"/>
        <v>RES_201403_P14T62025</v>
      </c>
    </row>
    <row r="21" spans="1:10">
      <c r="A21" s="1375" t="s">
        <v>2576</v>
      </c>
      <c r="B21" s="1375" t="s">
        <v>135</v>
      </c>
      <c r="C21" s="1375">
        <v>2022</v>
      </c>
      <c r="D21" s="1922">
        <v>0</v>
      </c>
      <c r="E21" s="1922">
        <v>0</v>
      </c>
      <c r="F21" s="1922">
        <v>0</v>
      </c>
      <c r="G21" s="1922">
        <v>1</v>
      </c>
      <c r="H21" s="1922">
        <v>0</v>
      </c>
      <c r="I21" s="1375"/>
      <c r="J21" s="1375" t="str">
        <f t="shared" si="0"/>
        <v>RES_201403_P8T02022</v>
      </c>
    </row>
    <row r="22" spans="1:10">
      <c r="A22" s="1375" t="s">
        <v>2576</v>
      </c>
      <c r="B22" s="1375" t="s">
        <v>135</v>
      </c>
      <c r="C22" s="1375">
        <v>2023</v>
      </c>
      <c r="D22" s="1922">
        <v>0</v>
      </c>
      <c r="E22" s="1922">
        <v>0</v>
      </c>
      <c r="F22" s="1922">
        <v>0</v>
      </c>
      <c r="G22" s="1922">
        <v>1</v>
      </c>
      <c r="H22" s="1922">
        <v>0</v>
      </c>
      <c r="I22" s="1375"/>
      <c r="J22" s="1375" t="str">
        <f t="shared" si="0"/>
        <v>RES_201403_P8T02023</v>
      </c>
    </row>
    <row r="23" spans="1:10">
      <c r="A23" s="1375" t="s">
        <v>2576</v>
      </c>
      <c r="B23" s="1375" t="s">
        <v>135</v>
      </c>
      <c r="C23" s="1375">
        <v>2024</v>
      </c>
      <c r="D23" s="1922">
        <v>0</v>
      </c>
      <c r="E23" s="1922">
        <v>0</v>
      </c>
      <c r="F23" s="1922">
        <v>0</v>
      </c>
      <c r="G23" s="1922">
        <v>1</v>
      </c>
      <c r="H23" s="1922">
        <v>0</v>
      </c>
      <c r="I23" s="1375"/>
      <c r="J23" s="1375" t="str">
        <f t="shared" si="0"/>
        <v>RES_201403_P8T02024</v>
      </c>
    </row>
    <row r="24" spans="1:10">
      <c r="A24" s="1375" t="s">
        <v>2576</v>
      </c>
      <c r="B24" s="1375" t="s">
        <v>135</v>
      </c>
      <c r="C24" s="1375">
        <v>2025</v>
      </c>
      <c r="D24" s="1922">
        <v>0</v>
      </c>
      <c r="E24" s="1922">
        <v>0</v>
      </c>
      <c r="F24" s="1922">
        <v>0</v>
      </c>
      <c r="G24" s="1922">
        <v>1</v>
      </c>
      <c r="H24" s="1922">
        <v>0</v>
      </c>
      <c r="I24" s="1375"/>
      <c r="J24" s="1375" t="str">
        <f t="shared" si="0"/>
        <v>RES_201403_P8T02025</v>
      </c>
    </row>
    <row r="25" spans="1:10">
      <c r="A25" s="1375" t="s">
        <v>2551</v>
      </c>
      <c r="B25" s="1375" t="s">
        <v>1913</v>
      </c>
      <c r="C25" s="1375">
        <v>2022</v>
      </c>
      <c r="D25" s="1922">
        <v>0</v>
      </c>
      <c r="E25" s="1922">
        <v>0</v>
      </c>
      <c r="F25" s="1922">
        <v>0</v>
      </c>
      <c r="G25" s="1922">
        <v>1</v>
      </c>
      <c r="H25" s="1922">
        <v>0</v>
      </c>
      <c r="I25" s="1375"/>
      <c r="J25" s="1375" t="str">
        <f t="shared" si="0"/>
        <v>RES_201403_P11T02022</v>
      </c>
    </row>
    <row r="26" spans="1:10">
      <c r="A26" s="1375" t="s">
        <v>2551</v>
      </c>
      <c r="B26" s="1375" t="s">
        <v>1913</v>
      </c>
      <c r="C26" s="1375">
        <v>2023</v>
      </c>
      <c r="D26" s="1922">
        <v>0</v>
      </c>
      <c r="E26" s="1922">
        <v>0</v>
      </c>
      <c r="F26" s="1922">
        <v>0</v>
      </c>
      <c r="G26" s="1922">
        <v>1</v>
      </c>
      <c r="H26" s="1922">
        <v>0</v>
      </c>
      <c r="I26" s="1375"/>
      <c r="J26" s="1375" t="str">
        <f t="shared" si="0"/>
        <v>RES_201403_P11T02023</v>
      </c>
    </row>
    <row r="27" spans="1:10">
      <c r="A27" s="1375" t="s">
        <v>2551</v>
      </c>
      <c r="B27" s="1375" t="s">
        <v>1913</v>
      </c>
      <c r="C27" s="1375">
        <v>2024</v>
      </c>
      <c r="D27" s="1922">
        <v>0</v>
      </c>
      <c r="E27" s="1922">
        <v>0</v>
      </c>
      <c r="F27" s="1922">
        <v>0</v>
      </c>
      <c r="G27" s="1922">
        <v>1</v>
      </c>
      <c r="H27" s="1922">
        <v>0</v>
      </c>
      <c r="I27" s="1375"/>
      <c r="J27" s="1375" t="str">
        <f t="shared" si="0"/>
        <v>RES_201403_P11T02024</v>
      </c>
    </row>
    <row r="28" spans="1:10">
      <c r="A28" s="1375" t="s">
        <v>2551</v>
      </c>
      <c r="B28" s="1375" t="s">
        <v>1913</v>
      </c>
      <c r="C28" s="1375">
        <v>2025</v>
      </c>
      <c r="D28" s="1922">
        <v>0</v>
      </c>
      <c r="E28" s="1922">
        <v>0</v>
      </c>
      <c r="F28" s="1922">
        <v>0</v>
      </c>
      <c r="G28" s="1922">
        <v>1</v>
      </c>
      <c r="H28" s="1922">
        <v>0</v>
      </c>
      <c r="I28" s="1375"/>
      <c r="J28" s="1375" t="str">
        <f t="shared" si="0"/>
        <v>RES_201403_P11T02025</v>
      </c>
    </row>
    <row r="29" spans="1:10">
      <c r="A29" s="1375" t="s">
        <v>2391</v>
      </c>
      <c r="B29" s="1375" t="s">
        <v>1516</v>
      </c>
      <c r="C29" s="1375">
        <v>2022</v>
      </c>
      <c r="D29" s="1922">
        <v>0</v>
      </c>
      <c r="E29" s="1922">
        <v>0</v>
      </c>
      <c r="F29" s="1922">
        <v>0</v>
      </c>
      <c r="G29" s="1922">
        <v>1</v>
      </c>
      <c r="H29" s="1922">
        <v>0</v>
      </c>
      <c r="I29" s="1375"/>
      <c r="J29" s="1375" t="str">
        <f t="shared" si="0"/>
        <v>COM_200701_P1T52022</v>
      </c>
    </row>
    <row r="30" spans="1:10">
      <c r="A30" s="1375" t="s">
        <v>2391</v>
      </c>
      <c r="B30" s="1375" t="s">
        <v>1516</v>
      </c>
      <c r="C30" s="1375">
        <v>2023</v>
      </c>
      <c r="D30" s="1922">
        <v>0</v>
      </c>
      <c r="E30" s="1922">
        <v>0</v>
      </c>
      <c r="F30" s="1922">
        <v>0</v>
      </c>
      <c r="G30" s="1922">
        <v>1</v>
      </c>
      <c r="H30" s="1922">
        <v>0</v>
      </c>
      <c r="I30" s="1375"/>
      <c r="J30" s="1375" t="str">
        <f t="shared" si="0"/>
        <v>COM_200701_P1T52023</v>
      </c>
    </row>
    <row r="31" spans="1:10">
      <c r="A31" s="1375" t="s">
        <v>2391</v>
      </c>
      <c r="B31" s="1375" t="s">
        <v>1516</v>
      </c>
      <c r="C31" s="1375">
        <v>2024</v>
      </c>
      <c r="D31" s="1922">
        <v>0</v>
      </c>
      <c r="E31" s="1922">
        <v>0</v>
      </c>
      <c r="F31" s="1922">
        <v>0</v>
      </c>
      <c r="G31" s="1922">
        <v>1</v>
      </c>
      <c r="H31" s="1922">
        <v>0</v>
      </c>
      <c r="I31" s="1375"/>
      <c r="J31" s="1375" t="str">
        <f t="shared" si="0"/>
        <v>COM_200701_P1T52024</v>
      </c>
    </row>
    <row r="32" spans="1:10">
      <c r="A32" s="1375" t="s">
        <v>2391</v>
      </c>
      <c r="B32" s="1375" t="s">
        <v>1516</v>
      </c>
      <c r="C32" s="1375">
        <v>2025</v>
      </c>
      <c r="D32" s="1922">
        <v>0</v>
      </c>
      <c r="E32" s="1922">
        <v>0</v>
      </c>
      <c r="F32" s="1922">
        <v>0</v>
      </c>
      <c r="G32" s="1922">
        <v>1</v>
      </c>
      <c r="H32" s="1922">
        <v>0</v>
      </c>
      <c r="I32" s="1375"/>
      <c r="J32" s="1375" t="str">
        <f t="shared" si="0"/>
        <v>COM_200701_P1T52025</v>
      </c>
    </row>
    <row r="33" spans="1:10">
      <c r="A33" s="1375" t="s">
        <v>2388</v>
      </c>
      <c r="B33" s="1375" t="s">
        <v>1434</v>
      </c>
      <c r="C33" s="1375">
        <v>2022</v>
      </c>
      <c r="D33" s="1922">
        <v>0</v>
      </c>
      <c r="E33" s="1922">
        <v>0</v>
      </c>
      <c r="F33" s="1922">
        <v>0</v>
      </c>
      <c r="G33" s="1922">
        <v>1</v>
      </c>
      <c r="H33" s="1922">
        <v>0</v>
      </c>
      <c r="I33" s="1375"/>
      <c r="J33" s="1375" t="str">
        <f t="shared" si="0"/>
        <v>COM_200701_P1T02022</v>
      </c>
    </row>
    <row r="34" spans="1:10">
      <c r="A34" s="1375" t="s">
        <v>2388</v>
      </c>
      <c r="B34" s="1375" t="s">
        <v>1434</v>
      </c>
      <c r="C34" s="1375">
        <v>2023</v>
      </c>
      <c r="D34" s="1922">
        <v>0</v>
      </c>
      <c r="E34" s="1922">
        <v>0</v>
      </c>
      <c r="F34" s="1922">
        <v>0</v>
      </c>
      <c r="G34" s="1922">
        <v>1</v>
      </c>
      <c r="H34" s="1922">
        <v>0</v>
      </c>
      <c r="I34" s="1375"/>
      <c r="J34" s="1375" t="str">
        <f t="shared" si="0"/>
        <v>COM_200701_P1T02023</v>
      </c>
    </row>
    <row r="35" spans="1:10">
      <c r="A35" s="1375" t="s">
        <v>2388</v>
      </c>
      <c r="B35" s="1375" t="s">
        <v>1434</v>
      </c>
      <c r="C35" s="1375">
        <v>2024</v>
      </c>
      <c r="D35" s="1922">
        <v>0</v>
      </c>
      <c r="E35" s="1922">
        <v>0</v>
      </c>
      <c r="F35" s="1922">
        <v>0</v>
      </c>
      <c r="G35" s="1922">
        <v>1</v>
      </c>
      <c r="H35" s="1922">
        <v>0</v>
      </c>
      <c r="I35" s="1375"/>
      <c r="J35" s="1375" t="str">
        <f t="shared" si="0"/>
        <v>COM_200701_P1T02024</v>
      </c>
    </row>
    <row r="36" spans="1:10">
      <c r="A36" s="1375" t="s">
        <v>2388</v>
      </c>
      <c r="B36" s="1375" t="s">
        <v>1434</v>
      </c>
      <c r="C36" s="1375">
        <v>2025</v>
      </c>
      <c r="D36" s="1922">
        <v>0</v>
      </c>
      <c r="E36" s="1922">
        <v>0</v>
      </c>
      <c r="F36" s="1922">
        <v>0</v>
      </c>
      <c r="G36" s="1922">
        <v>1</v>
      </c>
      <c r="H36" s="1922">
        <v>0</v>
      </c>
      <c r="I36" s="1375"/>
      <c r="J36" s="1375" t="str">
        <f t="shared" si="0"/>
        <v>COM_200701_P1T02025</v>
      </c>
    </row>
    <row r="37" spans="1:10">
      <c r="A37" s="1375" t="s">
        <v>1854</v>
      </c>
      <c r="B37" s="1375" t="s">
        <v>31</v>
      </c>
      <c r="C37" s="1375">
        <v>2022</v>
      </c>
      <c r="D37" s="1922">
        <v>0</v>
      </c>
      <c r="E37" s="1922">
        <v>0</v>
      </c>
      <c r="F37" s="1922">
        <v>1</v>
      </c>
      <c r="G37" s="1922">
        <v>0</v>
      </c>
      <c r="H37" s="1922">
        <v>0</v>
      </c>
      <c r="I37" s="1375"/>
      <c r="J37" s="1375" t="str">
        <f t="shared" si="0"/>
        <v>COM_201403_P2T12022</v>
      </c>
    </row>
    <row r="38" spans="1:10">
      <c r="A38" s="1375" t="s">
        <v>1854</v>
      </c>
      <c r="B38" s="1375" t="s">
        <v>31</v>
      </c>
      <c r="C38" s="1375">
        <v>2023</v>
      </c>
      <c r="D38" s="1922">
        <v>0</v>
      </c>
      <c r="E38" s="1922">
        <v>0</v>
      </c>
      <c r="F38" s="1922">
        <v>1</v>
      </c>
      <c r="G38" s="1922">
        <v>0</v>
      </c>
      <c r="H38" s="1922">
        <v>0</v>
      </c>
      <c r="I38" s="1375"/>
      <c r="J38" s="1375" t="str">
        <f t="shared" si="0"/>
        <v>COM_201403_P2T12023</v>
      </c>
    </row>
    <row r="39" spans="1:10">
      <c r="A39" s="1375" t="s">
        <v>1854</v>
      </c>
      <c r="B39" s="1375" t="s">
        <v>31</v>
      </c>
      <c r="C39" s="1375">
        <v>2024</v>
      </c>
      <c r="D39" s="1922">
        <v>0</v>
      </c>
      <c r="E39" s="1922">
        <v>0</v>
      </c>
      <c r="F39" s="1922">
        <v>1</v>
      </c>
      <c r="G39" s="1922">
        <v>0</v>
      </c>
      <c r="H39" s="1922">
        <v>0</v>
      </c>
      <c r="I39" s="1375"/>
      <c r="J39" s="1375" t="str">
        <f t="shared" si="0"/>
        <v>COM_201403_P2T12024</v>
      </c>
    </row>
    <row r="40" spans="1:10">
      <c r="A40" s="1375" t="s">
        <v>1854</v>
      </c>
      <c r="B40" s="1375" t="s">
        <v>31</v>
      </c>
      <c r="C40" s="1375">
        <v>2025</v>
      </c>
      <c r="D40" s="1922">
        <v>0</v>
      </c>
      <c r="E40" s="1922">
        <v>0</v>
      </c>
      <c r="F40" s="1922">
        <v>1</v>
      </c>
      <c r="G40" s="1922">
        <v>0</v>
      </c>
      <c r="H40" s="1922">
        <v>0</v>
      </c>
      <c r="I40" s="1375"/>
      <c r="J40" s="1375" t="str">
        <f t="shared" si="0"/>
        <v>COM_201403_P2T12025</v>
      </c>
    </row>
    <row r="41" spans="1:10">
      <c r="A41" s="1375" t="s">
        <v>1856</v>
      </c>
      <c r="B41" s="1375" t="s">
        <v>30</v>
      </c>
      <c r="C41" s="1375">
        <v>2022</v>
      </c>
      <c r="D41" s="1922">
        <v>0</v>
      </c>
      <c r="E41" s="1922">
        <v>0</v>
      </c>
      <c r="F41" s="1922">
        <v>1</v>
      </c>
      <c r="G41" s="1922">
        <v>0</v>
      </c>
      <c r="H41" s="1922">
        <v>0</v>
      </c>
      <c r="I41" s="1375"/>
      <c r="J41" s="1375" t="str">
        <f t="shared" si="0"/>
        <v>COM_201403_P1T12022</v>
      </c>
    </row>
    <row r="42" spans="1:10">
      <c r="A42" s="1375" t="s">
        <v>1856</v>
      </c>
      <c r="B42" s="1375" t="s">
        <v>30</v>
      </c>
      <c r="C42" s="1375">
        <v>2023</v>
      </c>
      <c r="D42" s="1922">
        <v>0</v>
      </c>
      <c r="E42" s="1922">
        <v>0</v>
      </c>
      <c r="F42" s="1922">
        <v>1</v>
      </c>
      <c r="G42" s="1922">
        <v>0</v>
      </c>
      <c r="H42" s="1922">
        <v>0</v>
      </c>
      <c r="I42" s="1375"/>
      <c r="J42" s="1375" t="str">
        <f t="shared" si="0"/>
        <v>COM_201403_P1T12023</v>
      </c>
    </row>
    <row r="43" spans="1:10">
      <c r="A43" s="1375" t="s">
        <v>1856</v>
      </c>
      <c r="B43" s="1375" t="s">
        <v>30</v>
      </c>
      <c r="C43" s="1375">
        <v>2024</v>
      </c>
      <c r="D43" s="1922">
        <v>0</v>
      </c>
      <c r="E43" s="1922">
        <v>0</v>
      </c>
      <c r="F43" s="1922">
        <v>1</v>
      </c>
      <c r="G43" s="1922">
        <v>0</v>
      </c>
      <c r="H43" s="1922">
        <v>0</v>
      </c>
      <c r="I43" s="1375"/>
      <c r="J43" s="1375" t="str">
        <f t="shared" si="0"/>
        <v>COM_201403_P1T12024</v>
      </c>
    </row>
    <row r="44" spans="1:10">
      <c r="A44" s="1375" t="s">
        <v>1856</v>
      </c>
      <c r="B44" s="1375" t="s">
        <v>30</v>
      </c>
      <c r="C44" s="1375">
        <v>2025</v>
      </c>
      <c r="D44" s="1922">
        <v>0</v>
      </c>
      <c r="E44" s="1922">
        <v>0</v>
      </c>
      <c r="F44" s="1922">
        <v>1</v>
      </c>
      <c r="G44" s="1922">
        <v>0</v>
      </c>
      <c r="H44" s="1922">
        <v>0</v>
      </c>
      <c r="I44" s="1375"/>
      <c r="J44" s="1375" t="str">
        <f t="shared" si="0"/>
        <v>COM_201403_P1T12025</v>
      </c>
    </row>
    <row r="45" spans="1:10">
      <c r="A45" s="1375" t="s">
        <v>2589</v>
      </c>
      <c r="B45" s="1375" t="s">
        <v>1559</v>
      </c>
      <c r="C45" s="1375">
        <v>2022</v>
      </c>
      <c r="D45" s="1922">
        <v>0</v>
      </c>
      <c r="E45" s="1922">
        <v>0</v>
      </c>
      <c r="F45" s="1922">
        <v>0</v>
      </c>
      <c r="G45" s="1922">
        <v>1</v>
      </c>
      <c r="H45" s="1922">
        <v>0</v>
      </c>
      <c r="I45" s="1375"/>
      <c r="J45" s="1375" t="str">
        <f t="shared" si="0"/>
        <v>XMP_202001_P5T12022</v>
      </c>
    </row>
    <row r="46" spans="1:10">
      <c r="A46" s="1375" t="s">
        <v>2589</v>
      </c>
      <c r="B46" s="1375" t="s">
        <v>1559</v>
      </c>
      <c r="C46" s="1375">
        <v>2023</v>
      </c>
      <c r="D46" s="1922">
        <v>0</v>
      </c>
      <c r="E46" s="1922">
        <v>0</v>
      </c>
      <c r="F46" s="1922">
        <v>0</v>
      </c>
      <c r="G46" s="1922">
        <v>1</v>
      </c>
      <c r="H46" s="1922">
        <v>0</v>
      </c>
      <c r="I46" s="1375"/>
      <c r="J46" s="1375" t="str">
        <f t="shared" si="0"/>
        <v>XMP_202001_P5T12023</v>
      </c>
    </row>
    <row r="47" spans="1:10">
      <c r="A47" s="1375" t="s">
        <v>2589</v>
      </c>
      <c r="B47" s="1375" t="s">
        <v>1559</v>
      </c>
      <c r="C47" s="1375">
        <v>2024</v>
      </c>
      <c r="D47" s="1922">
        <v>0</v>
      </c>
      <c r="E47" s="1922">
        <v>0</v>
      </c>
      <c r="F47" s="1922">
        <v>0</v>
      </c>
      <c r="G47" s="1922">
        <v>1</v>
      </c>
      <c r="H47" s="1922">
        <v>0</v>
      </c>
      <c r="I47" s="1375"/>
      <c r="J47" s="1375" t="str">
        <f t="shared" si="0"/>
        <v>XMP_202001_P5T12024</v>
      </c>
    </row>
    <row r="48" spans="1:10">
      <c r="A48" s="1375" t="s">
        <v>2589</v>
      </c>
      <c r="B48" s="1375" t="s">
        <v>1559</v>
      </c>
      <c r="C48" s="1375">
        <v>2025</v>
      </c>
      <c r="D48" s="1922">
        <v>0</v>
      </c>
      <c r="E48" s="1922">
        <v>0</v>
      </c>
      <c r="F48" s="1922">
        <v>0</v>
      </c>
      <c r="G48" s="1922">
        <v>1</v>
      </c>
      <c r="H48" s="1922">
        <v>0</v>
      </c>
      <c r="I48" s="1375"/>
      <c r="J48" s="1375" t="str">
        <f t="shared" si="0"/>
        <v>XMP_202001_P5T12025</v>
      </c>
    </row>
    <row r="49" spans="1:10">
      <c r="A49" s="1375" t="s">
        <v>2586</v>
      </c>
      <c r="B49" s="1375" t="s">
        <v>1556</v>
      </c>
      <c r="C49" s="1375">
        <v>2022</v>
      </c>
      <c r="D49" s="1922">
        <v>0</v>
      </c>
      <c r="E49" s="1922">
        <v>0</v>
      </c>
      <c r="F49" s="1922">
        <v>0</v>
      </c>
      <c r="G49" s="1922">
        <v>1</v>
      </c>
      <c r="H49" s="1922">
        <v>0</v>
      </c>
      <c r="I49" s="1375"/>
      <c r="J49" s="1375" t="str">
        <f t="shared" si="0"/>
        <v>XMP_202001_P4T12022</v>
      </c>
    </row>
    <row r="50" spans="1:10">
      <c r="A50" s="1375" t="s">
        <v>2586</v>
      </c>
      <c r="B50" s="1375" t="s">
        <v>1556</v>
      </c>
      <c r="C50" s="1375">
        <v>2023</v>
      </c>
      <c r="D50" s="1922">
        <v>0</v>
      </c>
      <c r="E50" s="1922">
        <v>0</v>
      </c>
      <c r="F50" s="1922">
        <v>0</v>
      </c>
      <c r="G50" s="1922">
        <v>1</v>
      </c>
      <c r="H50" s="1922">
        <v>0</v>
      </c>
      <c r="I50" s="1375"/>
      <c r="J50" s="1375" t="str">
        <f t="shared" si="0"/>
        <v>XMP_202001_P4T12023</v>
      </c>
    </row>
    <row r="51" spans="1:10">
      <c r="A51" s="1375" t="s">
        <v>2586</v>
      </c>
      <c r="B51" s="1375" t="s">
        <v>1556</v>
      </c>
      <c r="C51" s="1375">
        <v>2024</v>
      </c>
      <c r="D51" s="1922">
        <v>0</v>
      </c>
      <c r="E51" s="1922">
        <v>0</v>
      </c>
      <c r="F51" s="1922">
        <v>0</v>
      </c>
      <c r="G51" s="1922">
        <v>1</v>
      </c>
      <c r="H51" s="1922">
        <v>0</v>
      </c>
      <c r="I51" s="1375"/>
      <c r="J51" s="1375" t="str">
        <f t="shared" si="0"/>
        <v>XMP_202001_P4T12024</v>
      </c>
    </row>
    <row r="52" spans="1:10">
      <c r="A52" s="1375" t="s">
        <v>2586</v>
      </c>
      <c r="B52" s="1375" t="s">
        <v>1556</v>
      </c>
      <c r="C52" s="1375">
        <v>2025</v>
      </c>
      <c r="D52" s="1922">
        <v>0</v>
      </c>
      <c r="E52" s="1922">
        <v>0</v>
      </c>
      <c r="F52" s="1922">
        <v>0</v>
      </c>
      <c r="G52" s="1922">
        <v>1</v>
      </c>
      <c r="H52" s="1922">
        <v>0</v>
      </c>
      <c r="I52" s="1375"/>
      <c r="J52" s="1375" t="str">
        <f t="shared" si="0"/>
        <v>XMP_202001_P4T12025</v>
      </c>
    </row>
    <row r="53" spans="1:10">
      <c r="A53" s="1375" t="s">
        <v>2588</v>
      </c>
      <c r="B53" s="1375" t="s">
        <v>1558</v>
      </c>
      <c r="C53" s="1375">
        <v>2022</v>
      </c>
      <c r="D53" s="1922">
        <v>0</v>
      </c>
      <c r="E53" s="1922">
        <v>0</v>
      </c>
      <c r="F53" s="1922">
        <v>0</v>
      </c>
      <c r="G53" s="1922">
        <v>1</v>
      </c>
      <c r="H53" s="1922">
        <v>0</v>
      </c>
      <c r="I53" s="1375"/>
      <c r="J53" s="1375" t="str">
        <f t="shared" si="0"/>
        <v>XMP_202001_P4T32022</v>
      </c>
    </row>
    <row r="54" spans="1:10">
      <c r="A54" s="1375" t="s">
        <v>2588</v>
      </c>
      <c r="B54" s="1375" t="s">
        <v>1558</v>
      </c>
      <c r="C54" s="1375">
        <v>2023</v>
      </c>
      <c r="D54" s="1922">
        <v>0</v>
      </c>
      <c r="E54" s="1922">
        <v>0</v>
      </c>
      <c r="F54" s="1922">
        <v>0</v>
      </c>
      <c r="G54" s="1922">
        <v>1</v>
      </c>
      <c r="H54" s="1922">
        <v>0</v>
      </c>
      <c r="I54" s="1375"/>
      <c r="J54" s="1375" t="str">
        <f t="shared" si="0"/>
        <v>XMP_202001_P4T32023</v>
      </c>
    </row>
    <row r="55" spans="1:10">
      <c r="A55" s="1375" t="s">
        <v>2588</v>
      </c>
      <c r="B55" s="1375" t="s">
        <v>1558</v>
      </c>
      <c r="C55" s="1375">
        <v>2024</v>
      </c>
      <c r="D55" s="1922">
        <v>0</v>
      </c>
      <c r="E55" s="1922">
        <v>0</v>
      </c>
      <c r="F55" s="1922">
        <v>0</v>
      </c>
      <c r="G55" s="1922">
        <v>1</v>
      </c>
      <c r="H55" s="1922">
        <v>0</v>
      </c>
      <c r="I55" s="1375"/>
      <c r="J55" s="1375" t="str">
        <f t="shared" si="0"/>
        <v>XMP_202001_P4T32024</v>
      </c>
    </row>
    <row r="56" spans="1:10">
      <c r="A56" s="1375" t="s">
        <v>2588</v>
      </c>
      <c r="B56" s="1375" t="s">
        <v>1558</v>
      </c>
      <c r="C56" s="1375">
        <v>2025</v>
      </c>
      <c r="D56" s="1922">
        <v>0</v>
      </c>
      <c r="E56" s="1922">
        <v>0</v>
      </c>
      <c r="F56" s="1922">
        <v>0</v>
      </c>
      <c r="G56" s="1922">
        <v>1</v>
      </c>
      <c r="H56" s="1922">
        <v>0</v>
      </c>
      <c r="I56" s="1375"/>
      <c r="J56" s="1375" t="str">
        <f t="shared" si="0"/>
        <v>XMP_202001_P4T32025</v>
      </c>
    </row>
    <row r="57" spans="1:10">
      <c r="A57" s="1375" t="s">
        <v>2581</v>
      </c>
      <c r="B57" s="1375" t="s">
        <v>1551</v>
      </c>
      <c r="C57" s="1375">
        <v>2022</v>
      </c>
      <c r="D57" s="1922">
        <v>0</v>
      </c>
      <c r="E57" s="1922">
        <v>0</v>
      </c>
      <c r="F57" s="1922">
        <v>0</v>
      </c>
      <c r="G57" s="1922">
        <v>1</v>
      </c>
      <c r="H57" s="1922">
        <v>0</v>
      </c>
      <c r="I57" s="1375"/>
      <c r="J57" s="1375" t="str">
        <f t="shared" si="0"/>
        <v>XMP_202001_P2T12022</v>
      </c>
    </row>
    <row r="58" spans="1:10">
      <c r="A58" s="1375" t="s">
        <v>2581</v>
      </c>
      <c r="B58" s="1375" t="s">
        <v>1551</v>
      </c>
      <c r="C58" s="1375">
        <v>2023</v>
      </c>
      <c r="D58" s="1922">
        <v>0</v>
      </c>
      <c r="E58" s="1922">
        <v>0</v>
      </c>
      <c r="F58" s="1922">
        <v>0</v>
      </c>
      <c r="G58" s="1922">
        <v>1</v>
      </c>
      <c r="H58" s="1922">
        <v>0</v>
      </c>
      <c r="I58" s="1375"/>
      <c r="J58" s="1375" t="str">
        <f t="shared" si="0"/>
        <v>XMP_202001_P2T12023</v>
      </c>
    </row>
    <row r="59" spans="1:10">
      <c r="A59" s="1375" t="s">
        <v>2581</v>
      </c>
      <c r="B59" s="1375" t="s">
        <v>1551</v>
      </c>
      <c r="C59" s="1375">
        <v>2024</v>
      </c>
      <c r="D59" s="1922">
        <v>0</v>
      </c>
      <c r="E59" s="1922">
        <v>0</v>
      </c>
      <c r="F59" s="1922">
        <v>0</v>
      </c>
      <c r="G59" s="1922">
        <v>1</v>
      </c>
      <c r="H59" s="1922">
        <v>0</v>
      </c>
      <c r="I59" s="1375"/>
      <c r="J59" s="1375" t="str">
        <f t="shared" si="0"/>
        <v>XMP_202001_P2T12024</v>
      </c>
    </row>
    <row r="60" spans="1:10">
      <c r="A60" s="1375" t="s">
        <v>2581</v>
      </c>
      <c r="B60" s="1375" t="s">
        <v>1551</v>
      </c>
      <c r="C60" s="1375">
        <v>2025</v>
      </c>
      <c r="D60" s="1922">
        <v>0</v>
      </c>
      <c r="E60" s="1922">
        <v>0</v>
      </c>
      <c r="F60" s="1922">
        <v>0</v>
      </c>
      <c r="G60" s="1922">
        <v>1</v>
      </c>
      <c r="H60" s="1922">
        <v>0</v>
      </c>
      <c r="I60" s="1375"/>
      <c r="J60" s="1375" t="str">
        <f t="shared" si="0"/>
        <v>XMP_202001_P2T12025</v>
      </c>
    </row>
    <row r="61" spans="1:10">
      <c r="A61" s="1375" t="s">
        <v>2582</v>
      </c>
      <c r="B61" s="1375" t="s">
        <v>1552</v>
      </c>
      <c r="C61" s="1375">
        <v>2022</v>
      </c>
      <c r="D61" s="1922">
        <v>0</v>
      </c>
      <c r="E61" s="1922">
        <v>0</v>
      </c>
      <c r="F61" s="1922">
        <v>0</v>
      </c>
      <c r="G61" s="1922">
        <v>1</v>
      </c>
      <c r="H61" s="1922">
        <v>0</v>
      </c>
      <c r="I61" s="1375"/>
      <c r="J61" s="1375" t="str">
        <f t="shared" si="0"/>
        <v>XMP_202001_P2T22022</v>
      </c>
    </row>
    <row r="62" spans="1:10">
      <c r="A62" s="1375" t="s">
        <v>2582</v>
      </c>
      <c r="B62" s="1375" t="s">
        <v>1552</v>
      </c>
      <c r="C62" s="1375">
        <v>2023</v>
      </c>
      <c r="D62" s="1922">
        <v>0</v>
      </c>
      <c r="E62" s="1922">
        <v>0</v>
      </c>
      <c r="F62" s="1922">
        <v>0</v>
      </c>
      <c r="G62" s="1922">
        <v>1</v>
      </c>
      <c r="H62" s="1922">
        <v>0</v>
      </c>
      <c r="I62" s="1375"/>
      <c r="J62" s="1375" t="str">
        <f t="shared" si="0"/>
        <v>XMP_202001_P2T22023</v>
      </c>
    </row>
    <row r="63" spans="1:10">
      <c r="A63" s="1375" t="s">
        <v>2582</v>
      </c>
      <c r="B63" s="1375" t="s">
        <v>1552</v>
      </c>
      <c r="C63" s="1375">
        <v>2024</v>
      </c>
      <c r="D63" s="1922">
        <v>0</v>
      </c>
      <c r="E63" s="1922">
        <v>0</v>
      </c>
      <c r="F63" s="1922">
        <v>0</v>
      </c>
      <c r="G63" s="1922">
        <v>1</v>
      </c>
      <c r="H63" s="1922">
        <v>0</v>
      </c>
      <c r="I63" s="1375"/>
      <c r="J63" s="1375" t="str">
        <f t="shared" si="0"/>
        <v>XMP_202001_P2T22024</v>
      </c>
    </row>
    <row r="64" spans="1:10">
      <c r="A64" s="1375" t="s">
        <v>2582</v>
      </c>
      <c r="B64" s="1375" t="s">
        <v>1552</v>
      </c>
      <c r="C64" s="1375">
        <v>2025</v>
      </c>
      <c r="D64" s="1922">
        <v>0</v>
      </c>
      <c r="E64" s="1922">
        <v>0</v>
      </c>
      <c r="F64" s="1922">
        <v>0</v>
      </c>
      <c r="G64" s="1922">
        <v>1</v>
      </c>
      <c r="H64" s="1922">
        <v>0</v>
      </c>
      <c r="I64" s="1375"/>
      <c r="J64" s="1375" t="str">
        <f t="shared" si="0"/>
        <v>XMP_202001_P2T22025</v>
      </c>
    </row>
    <row r="65" spans="1:10">
      <c r="A65" s="1375" t="s">
        <v>2590</v>
      </c>
      <c r="B65" s="1375" t="s">
        <v>1560</v>
      </c>
      <c r="C65" s="1375">
        <v>2022</v>
      </c>
      <c r="D65" s="1922">
        <v>0</v>
      </c>
      <c r="E65" s="1922">
        <v>0</v>
      </c>
      <c r="F65" s="1922">
        <v>0</v>
      </c>
      <c r="G65" s="1922">
        <v>1</v>
      </c>
      <c r="H65" s="1922">
        <v>0</v>
      </c>
      <c r="I65" s="1375"/>
      <c r="J65" s="1375" t="str">
        <f t="shared" si="0"/>
        <v>XMP_202001_P6T12022</v>
      </c>
    </row>
    <row r="66" spans="1:10">
      <c r="A66" s="1375" t="s">
        <v>2590</v>
      </c>
      <c r="B66" s="1375" t="s">
        <v>1560</v>
      </c>
      <c r="C66" s="1375">
        <v>2023</v>
      </c>
      <c r="D66" s="1922">
        <v>0</v>
      </c>
      <c r="E66" s="1922">
        <v>0</v>
      </c>
      <c r="F66" s="1922">
        <v>0</v>
      </c>
      <c r="G66" s="1922">
        <v>1</v>
      </c>
      <c r="H66" s="1922">
        <v>0</v>
      </c>
      <c r="I66" s="1375"/>
      <c r="J66" s="1375" t="str">
        <f t="shared" si="0"/>
        <v>XMP_202001_P6T12023</v>
      </c>
    </row>
    <row r="67" spans="1:10">
      <c r="A67" s="1375" t="s">
        <v>2590</v>
      </c>
      <c r="B67" s="1375" t="s">
        <v>1560</v>
      </c>
      <c r="C67" s="1375">
        <v>2024</v>
      </c>
      <c r="D67" s="1922">
        <v>0</v>
      </c>
      <c r="E67" s="1922">
        <v>0</v>
      </c>
      <c r="F67" s="1922">
        <v>0</v>
      </c>
      <c r="G67" s="1922">
        <v>1</v>
      </c>
      <c r="H67" s="1922">
        <v>0</v>
      </c>
      <c r="I67" s="1375"/>
      <c r="J67" s="1375" t="str">
        <f t="shared" si="0"/>
        <v>XMP_202001_P6T12024</v>
      </c>
    </row>
    <row r="68" spans="1:10">
      <c r="A68" s="1375" t="s">
        <v>2590</v>
      </c>
      <c r="B68" s="1375" t="s">
        <v>1560</v>
      </c>
      <c r="C68" s="1375">
        <v>2025</v>
      </c>
      <c r="D68" s="1922">
        <v>0</v>
      </c>
      <c r="E68" s="1922">
        <v>0</v>
      </c>
      <c r="F68" s="1922">
        <v>0</v>
      </c>
      <c r="G68" s="1922">
        <v>1</v>
      </c>
      <c r="H68" s="1922">
        <v>0</v>
      </c>
      <c r="I68" s="1375"/>
      <c r="J68" s="1375" t="str">
        <f t="shared" si="0"/>
        <v>XMP_202001_P6T12025</v>
      </c>
    </row>
    <row r="69" spans="1:10">
      <c r="A69" s="1375" t="s">
        <v>2591</v>
      </c>
      <c r="B69" s="1375" t="s">
        <v>1561</v>
      </c>
      <c r="C69" s="1375">
        <v>2022</v>
      </c>
      <c r="D69" s="1922">
        <v>0</v>
      </c>
      <c r="E69" s="1922">
        <v>0</v>
      </c>
      <c r="F69" s="1922">
        <v>0</v>
      </c>
      <c r="G69" s="1922">
        <v>1</v>
      </c>
      <c r="H69" s="1922">
        <v>0</v>
      </c>
      <c r="I69" s="1375"/>
      <c r="J69" s="1375" t="str">
        <f t="shared" si="0"/>
        <v>XMP_202001_P6T22022</v>
      </c>
    </row>
    <row r="70" spans="1:10">
      <c r="A70" s="1375" t="s">
        <v>2591</v>
      </c>
      <c r="B70" s="1375" t="s">
        <v>1561</v>
      </c>
      <c r="C70" s="1375">
        <v>2023</v>
      </c>
      <c r="D70" s="1922">
        <v>0</v>
      </c>
      <c r="E70" s="1922">
        <v>0</v>
      </c>
      <c r="F70" s="1922">
        <v>0</v>
      </c>
      <c r="G70" s="1922">
        <v>1</v>
      </c>
      <c r="H70" s="1922">
        <v>0</v>
      </c>
      <c r="I70" s="1375"/>
      <c r="J70" s="1375" t="str">
        <f t="shared" ref="J70:J133" si="1">B70&amp;C70</f>
        <v>XMP_202001_P6T22023</v>
      </c>
    </row>
    <row r="71" spans="1:10">
      <c r="A71" s="1375" t="s">
        <v>2591</v>
      </c>
      <c r="B71" s="1375" t="s">
        <v>1561</v>
      </c>
      <c r="C71" s="1375">
        <v>2024</v>
      </c>
      <c r="D71" s="1922">
        <v>0</v>
      </c>
      <c r="E71" s="1922">
        <v>0</v>
      </c>
      <c r="F71" s="1922">
        <v>0</v>
      </c>
      <c r="G71" s="1922">
        <v>1</v>
      </c>
      <c r="H71" s="1922">
        <v>0</v>
      </c>
      <c r="I71" s="1375"/>
      <c r="J71" s="1375" t="str">
        <f t="shared" si="1"/>
        <v>XMP_202001_P6T22024</v>
      </c>
    </row>
    <row r="72" spans="1:10">
      <c r="A72" s="1375" t="s">
        <v>2591</v>
      </c>
      <c r="B72" s="1375" t="s">
        <v>1561</v>
      </c>
      <c r="C72" s="1375">
        <v>2025</v>
      </c>
      <c r="D72" s="1922">
        <v>0</v>
      </c>
      <c r="E72" s="1922">
        <v>0</v>
      </c>
      <c r="F72" s="1922">
        <v>0</v>
      </c>
      <c r="G72" s="1922">
        <v>1</v>
      </c>
      <c r="H72" s="1922">
        <v>0</v>
      </c>
      <c r="I72" s="1375"/>
      <c r="J72" s="1375" t="str">
        <f t="shared" si="1"/>
        <v>XMP_202001_P6T22025</v>
      </c>
    </row>
    <row r="73" spans="1:10">
      <c r="A73" s="1375" t="s">
        <v>1788</v>
      </c>
      <c r="B73" s="1375" t="s">
        <v>53</v>
      </c>
      <c r="C73" s="1375">
        <v>2022</v>
      </c>
      <c r="D73" s="1922">
        <v>0</v>
      </c>
      <c r="E73" s="1922">
        <v>0</v>
      </c>
      <c r="F73" s="1922">
        <v>1</v>
      </c>
      <c r="G73" s="1922">
        <v>0</v>
      </c>
      <c r="H73" s="1922">
        <v>0</v>
      </c>
      <c r="I73" s="1375"/>
      <c r="J73" s="1375" t="str">
        <f t="shared" si="1"/>
        <v>RES_200804_P3T12022</v>
      </c>
    </row>
    <row r="74" spans="1:10">
      <c r="A74" s="1375" t="s">
        <v>1788</v>
      </c>
      <c r="B74" s="1375" t="s">
        <v>53</v>
      </c>
      <c r="C74" s="1375">
        <v>2023</v>
      </c>
      <c r="D74" s="1922">
        <v>4.1937816813179986E-4</v>
      </c>
      <c r="E74" s="1922">
        <v>0</v>
      </c>
      <c r="F74" s="1922">
        <v>0.99958062183186824</v>
      </c>
      <c r="G74" s="1922">
        <v>0</v>
      </c>
      <c r="H74" s="1922">
        <v>0</v>
      </c>
      <c r="I74" s="1375"/>
      <c r="J74" s="1375" t="str">
        <f t="shared" si="1"/>
        <v>RES_200804_P3T12023</v>
      </c>
    </row>
    <row r="75" spans="1:10">
      <c r="A75" s="1375" t="s">
        <v>1788</v>
      </c>
      <c r="B75" s="1375" t="s">
        <v>53</v>
      </c>
      <c r="C75" s="1375">
        <v>2024</v>
      </c>
      <c r="D75" s="1922">
        <v>8.8638019935368684E-3</v>
      </c>
      <c r="E75" s="1922">
        <v>0</v>
      </c>
      <c r="F75" s="1922">
        <v>0.99113619800646313</v>
      </c>
      <c r="G75" s="1922">
        <v>0</v>
      </c>
      <c r="H75" s="1922">
        <v>0</v>
      </c>
      <c r="I75" s="1375"/>
      <c r="J75" s="1375" t="str">
        <f t="shared" si="1"/>
        <v>RES_200804_P3T12024</v>
      </c>
    </row>
    <row r="76" spans="1:10">
      <c r="A76" s="1375" t="s">
        <v>1788</v>
      </c>
      <c r="B76" s="1375" t="s">
        <v>53</v>
      </c>
      <c r="C76" s="1375">
        <v>2025</v>
      </c>
      <c r="D76" s="1922">
        <v>0</v>
      </c>
      <c r="E76" s="1922">
        <v>1.0458547357286296E-2</v>
      </c>
      <c r="F76" s="1922">
        <v>0.98954145264271376</v>
      </c>
      <c r="G76" s="1922">
        <v>0</v>
      </c>
      <c r="H76" s="1922">
        <v>0</v>
      </c>
      <c r="I76" s="1375"/>
      <c r="J76" s="1375" t="str">
        <f t="shared" si="1"/>
        <v>RES_200804_P3T12025</v>
      </c>
    </row>
    <row r="77" spans="1:10">
      <c r="A77" s="1375" t="s">
        <v>1786</v>
      </c>
      <c r="B77" s="1375" t="s">
        <v>52</v>
      </c>
      <c r="C77" s="1375">
        <v>2022</v>
      </c>
      <c r="D77" s="1922">
        <v>0</v>
      </c>
      <c r="E77" s="1922">
        <v>0</v>
      </c>
      <c r="F77" s="1922">
        <v>1</v>
      </c>
      <c r="G77" s="1922">
        <v>0</v>
      </c>
      <c r="H77" s="1922">
        <v>0</v>
      </c>
      <c r="I77" s="1375"/>
      <c r="J77" s="1375" t="str">
        <f t="shared" si="1"/>
        <v>RES_200804_P2T12022</v>
      </c>
    </row>
    <row r="78" spans="1:10">
      <c r="A78" s="1375" t="s">
        <v>1786</v>
      </c>
      <c r="B78" s="1375" t="s">
        <v>52</v>
      </c>
      <c r="C78" s="1375">
        <v>2023</v>
      </c>
      <c r="D78" s="1922">
        <v>7.4385652600046626E-4</v>
      </c>
      <c r="E78" s="1922">
        <v>0</v>
      </c>
      <c r="F78" s="1922">
        <v>0.99925614347399949</v>
      </c>
      <c r="G78" s="1922">
        <v>0</v>
      </c>
      <c r="H78" s="1922">
        <v>0</v>
      </c>
      <c r="I78" s="1375"/>
      <c r="J78" s="1375" t="str">
        <f t="shared" si="1"/>
        <v>RES_200804_P2T12023</v>
      </c>
    </row>
    <row r="79" spans="1:10">
      <c r="A79" s="1375" t="s">
        <v>1786</v>
      </c>
      <c r="B79" s="1375" t="s">
        <v>52</v>
      </c>
      <c r="C79" s="1375">
        <v>2024</v>
      </c>
      <c r="D79" s="1922">
        <v>6.0026234471139667E-2</v>
      </c>
      <c r="E79" s="1922">
        <v>0</v>
      </c>
      <c r="F79" s="1922">
        <v>0.93997376552886036</v>
      </c>
      <c r="G79" s="1922">
        <v>0</v>
      </c>
      <c r="H79" s="1922">
        <v>0</v>
      </c>
      <c r="I79" s="1375"/>
      <c r="J79" s="1375" t="str">
        <f t="shared" si="1"/>
        <v>RES_200804_P2T12024</v>
      </c>
    </row>
    <row r="80" spans="1:10">
      <c r="A80" s="1375" t="s">
        <v>1786</v>
      </c>
      <c r="B80" s="1375" t="s">
        <v>52</v>
      </c>
      <c r="C80" s="1375">
        <v>2025</v>
      </c>
      <c r="D80" s="1922">
        <v>0</v>
      </c>
      <c r="E80" s="1922">
        <v>4.1639608353359184E-2</v>
      </c>
      <c r="F80" s="1922">
        <v>0.95836039164664077</v>
      </c>
      <c r="G80" s="1922">
        <v>0</v>
      </c>
      <c r="H80" s="1922">
        <v>0</v>
      </c>
      <c r="I80" s="1375"/>
      <c r="J80" s="1375" t="str">
        <f t="shared" si="1"/>
        <v>RES_200804_P2T12025</v>
      </c>
    </row>
    <row r="81" spans="1:10">
      <c r="A81" s="1375" t="s">
        <v>1790</v>
      </c>
      <c r="B81" s="1375" t="s">
        <v>51</v>
      </c>
      <c r="C81" s="1375">
        <v>2022</v>
      </c>
      <c r="D81" s="1922">
        <v>0</v>
      </c>
      <c r="E81" s="1922">
        <v>0</v>
      </c>
      <c r="F81" s="1922">
        <v>1</v>
      </c>
      <c r="G81" s="1922">
        <v>0</v>
      </c>
      <c r="H81" s="1922">
        <v>0</v>
      </c>
      <c r="I81" s="1375"/>
      <c r="J81" s="1375" t="str">
        <f t="shared" si="1"/>
        <v>RES_200804_P1T12022</v>
      </c>
    </row>
    <row r="82" spans="1:10">
      <c r="A82" s="1375" t="s">
        <v>1790</v>
      </c>
      <c r="B82" s="1375" t="s">
        <v>51</v>
      </c>
      <c r="C82" s="1375">
        <v>2023</v>
      </c>
      <c r="D82" s="1922">
        <v>3.0349583722889147E-2</v>
      </c>
      <c r="E82" s="1922">
        <v>0</v>
      </c>
      <c r="F82" s="1922">
        <v>0.96965041627711079</v>
      </c>
      <c r="G82" s="1922">
        <v>0</v>
      </c>
      <c r="H82" s="1922">
        <v>0</v>
      </c>
      <c r="I82" s="1375"/>
      <c r="J82" s="1375" t="str">
        <f t="shared" si="1"/>
        <v>RES_200804_P1T12023</v>
      </c>
    </row>
    <row r="83" spans="1:10">
      <c r="A83" s="1375" t="s">
        <v>1790</v>
      </c>
      <c r="B83" s="1375" t="s">
        <v>51</v>
      </c>
      <c r="C83" s="1375">
        <v>2024</v>
      </c>
      <c r="D83" s="1922">
        <v>0.19072978681887795</v>
      </c>
      <c r="E83" s="1922">
        <v>0</v>
      </c>
      <c r="F83" s="1922">
        <v>0.80927021318112213</v>
      </c>
      <c r="G83" s="1922">
        <v>0</v>
      </c>
      <c r="H83" s="1922">
        <v>0</v>
      </c>
      <c r="I83" s="1375"/>
      <c r="J83" s="1375" t="str">
        <f t="shared" si="1"/>
        <v>RES_200804_P1T12024</v>
      </c>
    </row>
    <row r="84" spans="1:10">
      <c r="A84" s="1375" t="s">
        <v>1790</v>
      </c>
      <c r="B84" s="1375" t="s">
        <v>51</v>
      </c>
      <c r="C84" s="1375">
        <v>2025</v>
      </c>
      <c r="D84" s="1922">
        <v>0</v>
      </c>
      <c r="E84" s="1922">
        <v>0.25763547352033123</v>
      </c>
      <c r="F84" s="1922">
        <v>0.74236452647966877</v>
      </c>
      <c r="G84" s="1922">
        <v>0</v>
      </c>
      <c r="H84" s="1922">
        <v>0</v>
      </c>
      <c r="I84" s="1375"/>
      <c r="J84" s="1375" t="str">
        <f t="shared" si="1"/>
        <v>RES_200804_P1T12025</v>
      </c>
    </row>
    <row r="85" spans="1:10">
      <c r="A85" s="1375" t="s">
        <v>1887</v>
      </c>
      <c r="B85" s="1375" t="s">
        <v>114</v>
      </c>
      <c r="C85" s="1375">
        <v>2022</v>
      </c>
      <c r="D85" s="1922">
        <v>0</v>
      </c>
      <c r="E85" s="1922">
        <v>0</v>
      </c>
      <c r="F85" s="1922">
        <v>0</v>
      </c>
      <c r="G85" s="1922">
        <v>1</v>
      </c>
      <c r="H85" s="1922">
        <v>0</v>
      </c>
      <c r="I85" s="1375"/>
      <c r="J85" s="1375" t="str">
        <f t="shared" si="1"/>
        <v>RES_201403_P10T12022</v>
      </c>
    </row>
    <row r="86" spans="1:10">
      <c r="A86" s="1375" t="s">
        <v>1887</v>
      </c>
      <c r="B86" s="1375" t="s">
        <v>114</v>
      </c>
      <c r="C86" s="1375">
        <v>2023</v>
      </c>
      <c r="D86" s="1922">
        <v>0</v>
      </c>
      <c r="E86" s="1922">
        <v>0</v>
      </c>
      <c r="F86" s="1922">
        <v>0</v>
      </c>
      <c r="G86" s="1922">
        <v>1</v>
      </c>
      <c r="H86" s="1922">
        <v>0</v>
      </c>
      <c r="I86" s="1375"/>
      <c r="J86" s="1375" t="str">
        <f t="shared" si="1"/>
        <v>RES_201403_P10T12023</v>
      </c>
    </row>
    <row r="87" spans="1:10">
      <c r="A87" s="1375" t="s">
        <v>1887</v>
      </c>
      <c r="B87" s="1375" t="s">
        <v>114</v>
      </c>
      <c r="C87" s="1375">
        <v>2024</v>
      </c>
      <c r="D87" s="1922">
        <v>0</v>
      </c>
      <c r="E87" s="1922">
        <v>0</v>
      </c>
      <c r="F87" s="1922">
        <v>0</v>
      </c>
      <c r="G87" s="1922">
        <v>1</v>
      </c>
      <c r="H87" s="1922">
        <v>0</v>
      </c>
      <c r="I87" s="1375"/>
      <c r="J87" s="1375" t="str">
        <f t="shared" si="1"/>
        <v>RES_201403_P10T12024</v>
      </c>
    </row>
    <row r="88" spans="1:10">
      <c r="A88" s="1375" t="s">
        <v>1887</v>
      </c>
      <c r="B88" s="1375" t="s">
        <v>114</v>
      </c>
      <c r="C88" s="1375">
        <v>2025</v>
      </c>
      <c r="D88" s="1922">
        <v>0</v>
      </c>
      <c r="E88" s="1922">
        <v>0</v>
      </c>
      <c r="F88" s="1922">
        <v>0</v>
      </c>
      <c r="G88" s="1922">
        <v>1</v>
      </c>
      <c r="H88" s="1922">
        <v>0</v>
      </c>
      <c r="I88" s="1375"/>
      <c r="J88" s="1375" t="str">
        <f t="shared" si="1"/>
        <v>RES_201403_P10T12025</v>
      </c>
    </row>
    <row r="89" spans="1:10">
      <c r="A89" s="1375" t="s">
        <v>1888</v>
      </c>
      <c r="B89" s="1375" t="s">
        <v>400</v>
      </c>
      <c r="C89" s="1375">
        <v>2022</v>
      </c>
      <c r="D89" s="1922">
        <v>0</v>
      </c>
      <c r="E89" s="1922">
        <v>0</v>
      </c>
      <c r="F89" s="1922">
        <v>0</v>
      </c>
      <c r="G89" s="1922">
        <v>1</v>
      </c>
      <c r="H89" s="1922">
        <v>0</v>
      </c>
      <c r="I89" s="1375"/>
      <c r="J89" s="1375" t="str">
        <f t="shared" si="1"/>
        <v>RES_201403_P10T22022</v>
      </c>
    </row>
    <row r="90" spans="1:10">
      <c r="A90" s="1375" t="s">
        <v>1888</v>
      </c>
      <c r="B90" s="1375" t="s">
        <v>400</v>
      </c>
      <c r="C90" s="1375">
        <v>2023</v>
      </c>
      <c r="D90" s="1922">
        <v>0</v>
      </c>
      <c r="E90" s="1922">
        <v>0</v>
      </c>
      <c r="F90" s="1922">
        <v>0</v>
      </c>
      <c r="G90" s="1922">
        <v>1</v>
      </c>
      <c r="H90" s="1922">
        <v>0</v>
      </c>
      <c r="I90" s="1375"/>
      <c r="J90" s="1375" t="str">
        <f t="shared" si="1"/>
        <v>RES_201403_P10T22023</v>
      </c>
    </row>
    <row r="91" spans="1:10">
      <c r="A91" s="1375" t="s">
        <v>1888</v>
      </c>
      <c r="B91" s="1375" t="s">
        <v>400</v>
      </c>
      <c r="C91" s="1375">
        <v>2024</v>
      </c>
      <c r="D91" s="1922">
        <v>0</v>
      </c>
      <c r="E91" s="1922">
        <v>0</v>
      </c>
      <c r="F91" s="1922">
        <v>0</v>
      </c>
      <c r="G91" s="1922">
        <v>1</v>
      </c>
      <c r="H91" s="1922">
        <v>0</v>
      </c>
      <c r="I91" s="1375"/>
      <c r="J91" s="1375" t="str">
        <f t="shared" si="1"/>
        <v>RES_201403_P10T22024</v>
      </c>
    </row>
    <row r="92" spans="1:10">
      <c r="A92" s="1375" t="s">
        <v>1888</v>
      </c>
      <c r="B92" s="1375" t="s">
        <v>400</v>
      </c>
      <c r="C92" s="1375">
        <v>2025</v>
      </c>
      <c r="D92" s="1922">
        <v>0</v>
      </c>
      <c r="E92" s="1922">
        <v>0</v>
      </c>
      <c r="F92" s="1922">
        <v>0</v>
      </c>
      <c r="G92" s="1922">
        <v>1</v>
      </c>
      <c r="H92" s="1922">
        <v>0</v>
      </c>
      <c r="I92" s="1375"/>
      <c r="J92" s="1375" t="str">
        <f t="shared" si="1"/>
        <v>RES_201403_P10T22025</v>
      </c>
    </row>
    <row r="93" spans="1:10">
      <c r="A93" s="1375" t="s">
        <v>2220</v>
      </c>
      <c r="B93" s="1375" t="s">
        <v>115</v>
      </c>
      <c r="C93" s="1375">
        <v>2022</v>
      </c>
      <c r="D93" s="1922">
        <v>0</v>
      </c>
      <c r="E93" s="1922">
        <v>0</v>
      </c>
      <c r="F93" s="1922">
        <v>0</v>
      </c>
      <c r="G93" s="1922">
        <v>1</v>
      </c>
      <c r="H93" s="1922">
        <v>0</v>
      </c>
      <c r="I93" s="1375"/>
      <c r="J93" s="1375" t="str">
        <f t="shared" si="1"/>
        <v>RES_201403_P10T02022</v>
      </c>
    </row>
    <row r="94" spans="1:10">
      <c r="A94" s="1375" t="s">
        <v>2220</v>
      </c>
      <c r="B94" s="1375" t="s">
        <v>115</v>
      </c>
      <c r="C94" s="1375">
        <v>2023</v>
      </c>
      <c r="D94" s="1922">
        <v>0</v>
      </c>
      <c r="E94" s="1922">
        <v>0</v>
      </c>
      <c r="F94" s="1922">
        <v>0</v>
      </c>
      <c r="G94" s="1922">
        <v>1</v>
      </c>
      <c r="H94" s="1922">
        <v>0</v>
      </c>
      <c r="I94" s="1375"/>
      <c r="J94" s="1375" t="str">
        <f t="shared" si="1"/>
        <v>RES_201403_P10T02023</v>
      </c>
    </row>
    <row r="95" spans="1:10">
      <c r="A95" s="1375" t="s">
        <v>2220</v>
      </c>
      <c r="B95" s="1375" t="s">
        <v>115</v>
      </c>
      <c r="C95" s="1375">
        <v>2024</v>
      </c>
      <c r="D95" s="1922">
        <v>0</v>
      </c>
      <c r="E95" s="1922">
        <v>0</v>
      </c>
      <c r="F95" s="1922">
        <v>0</v>
      </c>
      <c r="G95" s="1922">
        <v>1</v>
      </c>
      <c r="H95" s="1922">
        <v>0</v>
      </c>
      <c r="I95" s="1375"/>
      <c r="J95" s="1375" t="str">
        <f t="shared" si="1"/>
        <v>RES_201403_P10T02024</v>
      </c>
    </row>
    <row r="96" spans="1:10">
      <c r="A96" s="1375" t="s">
        <v>2220</v>
      </c>
      <c r="B96" s="1375" t="s">
        <v>115</v>
      </c>
      <c r="C96" s="1375">
        <v>2025</v>
      </c>
      <c r="D96" s="1922">
        <v>0</v>
      </c>
      <c r="E96" s="1922">
        <v>0</v>
      </c>
      <c r="F96" s="1922">
        <v>0</v>
      </c>
      <c r="G96" s="1922">
        <v>1</v>
      </c>
      <c r="H96" s="1922">
        <v>0</v>
      </c>
      <c r="I96" s="1375"/>
      <c r="J96" s="1375" t="str">
        <f t="shared" si="1"/>
        <v>RES_201403_P10T02025</v>
      </c>
    </row>
    <row r="97" spans="1:10">
      <c r="A97" s="1375" t="s">
        <v>1891</v>
      </c>
      <c r="B97" s="1375" t="s">
        <v>107</v>
      </c>
      <c r="C97" s="1375">
        <v>2022</v>
      </c>
      <c r="D97" s="1922">
        <v>0</v>
      </c>
      <c r="E97" s="1922">
        <v>0</v>
      </c>
      <c r="F97" s="1922">
        <v>0</v>
      </c>
      <c r="G97" s="1922">
        <v>1</v>
      </c>
      <c r="H97" s="1922">
        <v>0</v>
      </c>
      <c r="I97" s="1375"/>
      <c r="J97" s="1375" t="str">
        <f t="shared" si="1"/>
        <v>RES_201403_P9T12022</v>
      </c>
    </row>
    <row r="98" spans="1:10">
      <c r="A98" s="1375" t="s">
        <v>1891</v>
      </c>
      <c r="B98" s="1375" t="s">
        <v>107</v>
      </c>
      <c r="C98" s="1375">
        <v>2023</v>
      </c>
      <c r="D98" s="1922">
        <v>0</v>
      </c>
      <c r="E98" s="1922">
        <v>0</v>
      </c>
      <c r="F98" s="1922">
        <v>0</v>
      </c>
      <c r="G98" s="1922">
        <v>1</v>
      </c>
      <c r="H98" s="1922">
        <v>0</v>
      </c>
      <c r="I98" s="1375"/>
      <c r="J98" s="1375" t="str">
        <f t="shared" si="1"/>
        <v>RES_201403_P9T12023</v>
      </c>
    </row>
    <row r="99" spans="1:10">
      <c r="A99" s="1375" t="s">
        <v>1891</v>
      </c>
      <c r="B99" s="1375" t="s">
        <v>107</v>
      </c>
      <c r="C99" s="1375">
        <v>2024</v>
      </c>
      <c r="D99" s="1922">
        <v>0</v>
      </c>
      <c r="E99" s="1922">
        <v>0</v>
      </c>
      <c r="F99" s="1922">
        <v>0</v>
      </c>
      <c r="G99" s="1922">
        <v>1</v>
      </c>
      <c r="H99" s="1922">
        <v>0</v>
      </c>
      <c r="I99" s="1375"/>
      <c r="J99" s="1375" t="str">
        <f t="shared" si="1"/>
        <v>RES_201403_P9T12024</v>
      </c>
    </row>
    <row r="100" spans="1:10">
      <c r="A100" s="1375" t="s">
        <v>1891</v>
      </c>
      <c r="B100" s="1375" t="s">
        <v>107</v>
      </c>
      <c r="C100" s="1375">
        <v>2025</v>
      </c>
      <c r="D100" s="1922">
        <v>0</v>
      </c>
      <c r="E100" s="1922">
        <v>0</v>
      </c>
      <c r="F100" s="1922">
        <v>0</v>
      </c>
      <c r="G100" s="1922">
        <v>1</v>
      </c>
      <c r="H100" s="1922">
        <v>0</v>
      </c>
      <c r="I100" s="1375"/>
      <c r="J100" s="1375" t="str">
        <f t="shared" si="1"/>
        <v>RES_201403_P9T12025</v>
      </c>
    </row>
    <row r="101" spans="1:10">
      <c r="A101" s="1375" t="s">
        <v>1892</v>
      </c>
      <c r="B101" s="1375" t="s">
        <v>108</v>
      </c>
      <c r="C101" s="1375">
        <v>2022</v>
      </c>
      <c r="D101" s="1922">
        <v>0</v>
      </c>
      <c r="E101" s="1922">
        <v>0</v>
      </c>
      <c r="F101" s="1922">
        <v>0</v>
      </c>
      <c r="G101" s="1922">
        <v>1</v>
      </c>
      <c r="H101" s="1922">
        <v>0</v>
      </c>
      <c r="I101" s="1375"/>
      <c r="J101" s="1375" t="str">
        <f t="shared" si="1"/>
        <v>RES_201403_P9T22022</v>
      </c>
    </row>
    <row r="102" spans="1:10">
      <c r="A102" s="1375" t="s">
        <v>1892</v>
      </c>
      <c r="B102" s="1375" t="s">
        <v>108</v>
      </c>
      <c r="C102" s="1375">
        <v>2023</v>
      </c>
      <c r="D102" s="1922">
        <v>0</v>
      </c>
      <c r="E102" s="1922">
        <v>0</v>
      </c>
      <c r="F102" s="1922">
        <v>0</v>
      </c>
      <c r="G102" s="1922">
        <v>1</v>
      </c>
      <c r="H102" s="1922">
        <v>0</v>
      </c>
      <c r="I102" s="1375"/>
      <c r="J102" s="1375" t="str">
        <f t="shared" si="1"/>
        <v>RES_201403_P9T22023</v>
      </c>
    </row>
    <row r="103" spans="1:10">
      <c r="A103" s="1375" t="s">
        <v>1892</v>
      </c>
      <c r="B103" s="1375" t="s">
        <v>108</v>
      </c>
      <c r="C103" s="1375">
        <v>2024</v>
      </c>
      <c r="D103" s="1922">
        <v>0</v>
      </c>
      <c r="E103" s="1922">
        <v>0</v>
      </c>
      <c r="F103" s="1922">
        <v>0</v>
      </c>
      <c r="G103" s="1922">
        <v>1</v>
      </c>
      <c r="H103" s="1922">
        <v>0</v>
      </c>
      <c r="I103" s="1375"/>
      <c r="J103" s="1375" t="str">
        <f t="shared" si="1"/>
        <v>RES_201403_P9T22024</v>
      </c>
    </row>
    <row r="104" spans="1:10">
      <c r="A104" s="1375" t="s">
        <v>1892</v>
      </c>
      <c r="B104" s="1375" t="s">
        <v>108</v>
      </c>
      <c r="C104" s="1375">
        <v>2025</v>
      </c>
      <c r="D104" s="1922">
        <v>0</v>
      </c>
      <c r="E104" s="1922">
        <v>0</v>
      </c>
      <c r="F104" s="1922">
        <v>0</v>
      </c>
      <c r="G104" s="1922">
        <v>1</v>
      </c>
      <c r="H104" s="1922">
        <v>0</v>
      </c>
      <c r="I104" s="1375"/>
      <c r="J104" s="1375" t="str">
        <f t="shared" si="1"/>
        <v>RES_201403_P9T22025</v>
      </c>
    </row>
    <row r="105" spans="1:10">
      <c r="A105" s="1375" t="s">
        <v>2219</v>
      </c>
      <c r="B105" s="1375" t="s">
        <v>106</v>
      </c>
      <c r="C105" s="1375">
        <v>2022</v>
      </c>
      <c r="D105" s="1922">
        <v>0</v>
      </c>
      <c r="E105" s="1922">
        <v>0</v>
      </c>
      <c r="F105" s="1922">
        <v>0</v>
      </c>
      <c r="G105" s="1922">
        <v>1</v>
      </c>
      <c r="H105" s="1922">
        <v>0</v>
      </c>
      <c r="I105" s="1375"/>
      <c r="J105" s="1375" t="str">
        <f t="shared" si="1"/>
        <v>RES_201403_P9T02022</v>
      </c>
    </row>
    <row r="106" spans="1:10">
      <c r="A106" s="1375" t="s">
        <v>2219</v>
      </c>
      <c r="B106" s="1375" t="s">
        <v>106</v>
      </c>
      <c r="C106" s="1375">
        <v>2023</v>
      </c>
      <c r="D106" s="1922">
        <v>0</v>
      </c>
      <c r="E106" s="1922">
        <v>0</v>
      </c>
      <c r="F106" s="1922">
        <v>0</v>
      </c>
      <c r="G106" s="1922">
        <v>1</v>
      </c>
      <c r="H106" s="1922">
        <v>0</v>
      </c>
      <c r="I106" s="1375"/>
      <c r="J106" s="1375" t="str">
        <f t="shared" si="1"/>
        <v>RES_201403_P9T02023</v>
      </c>
    </row>
    <row r="107" spans="1:10">
      <c r="A107" s="1375" t="s">
        <v>2219</v>
      </c>
      <c r="B107" s="1375" t="s">
        <v>106</v>
      </c>
      <c r="C107" s="1375">
        <v>2024</v>
      </c>
      <c r="D107" s="1922">
        <v>0</v>
      </c>
      <c r="E107" s="1922">
        <v>0</v>
      </c>
      <c r="F107" s="1922">
        <v>0</v>
      </c>
      <c r="G107" s="1922">
        <v>1</v>
      </c>
      <c r="H107" s="1922">
        <v>0</v>
      </c>
      <c r="I107" s="1375"/>
      <c r="J107" s="1375" t="str">
        <f t="shared" si="1"/>
        <v>RES_201403_P9T02024</v>
      </c>
    </row>
    <row r="108" spans="1:10">
      <c r="A108" s="1375" t="s">
        <v>2219</v>
      </c>
      <c r="B108" s="1375" t="s">
        <v>106</v>
      </c>
      <c r="C108" s="1375">
        <v>2025</v>
      </c>
      <c r="D108" s="1922">
        <v>0</v>
      </c>
      <c r="E108" s="1922">
        <v>0</v>
      </c>
      <c r="F108" s="1922">
        <v>0</v>
      </c>
      <c r="G108" s="1922">
        <v>1</v>
      </c>
      <c r="H108" s="1922">
        <v>0</v>
      </c>
      <c r="I108" s="1375"/>
      <c r="J108" s="1375" t="str">
        <f t="shared" si="1"/>
        <v>RES_201403_P9T02025</v>
      </c>
    </row>
    <row r="109" spans="1:10">
      <c r="A109" s="1375" t="s">
        <v>1889</v>
      </c>
      <c r="B109" s="1375" t="s">
        <v>116</v>
      </c>
      <c r="C109" s="1375">
        <v>2022</v>
      </c>
      <c r="D109" s="1922">
        <v>0</v>
      </c>
      <c r="E109" s="1922">
        <v>0</v>
      </c>
      <c r="F109" s="1922">
        <v>0</v>
      </c>
      <c r="G109" s="1922">
        <v>1</v>
      </c>
      <c r="H109" s="1922">
        <v>0</v>
      </c>
      <c r="I109" s="1375"/>
      <c r="J109" s="1375" t="str">
        <f t="shared" si="1"/>
        <v>RES_201403_P5T12022</v>
      </c>
    </row>
    <row r="110" spans="1:10">
      <c r="A110" s="1375" t="s">
        <v>1889</v>
      </c>
      <c r="B110" s="1375" t="s">
        <v>116</v>
      </c>
      <c r="C110" s="1375">
        <v>2023</v>
      </c>
      <c r="D110" s="1922">
        <v>0</v>
      </c>
      <c r="E110" s="1922">
        <v>0</v>
      </c>
      <c r="F110" s="1922">
        <v>0</v>
      </c>
      <c r="G110" s="1922">
        <v>1</v>
      </c>
      <c r="H110" s="1922">
        <v>0</v>
      </c>
      <c r="I110" s="1375"/>
      <c r="J110" s="1375" t="str">
        <f t="shared" si="1"/>
        <v>RES_201403_P5T12023</v>
      </c>
    </row>
    <row r="111" spans="1:10">
      <c r="A111" s="1375" t="s">
        <v>1889</v>
      </c>
      <c r="B111" s="1375" t="s">
        <v>116</v>
      </c>
      <c r="C111" s="1375">
        <v>2024</v>
      </c>
      <c r="D111" s="1922">
        <v>0</v>
      </c>
      <c r="E111" s="1922">
        <v>0</v>
      </c>
      <c r="F111" s="1922">
        <v>0</v>
      </c>
      <c r="G111" s="1922">
        <v>1</v>
      </c>
      <c r="H111" s="1922">
        <v>0</v>
      </c>
      <c r="I111" s="1375"/>
      <c r="J111" s="1375" t="str">
        <f t="shared" si="1"/>
        <v>RES_201403_P5T12024</v>
      </c>
    </row>
    <row r="112" spans="1:10">
      <c r="A112" s="1375" t="s">
        <v>1889</v>
      </c>
      <c r="B112" s="1375" t="s">
        <v>116</v>
      </c>
      <c r="C112" s="1375">
        <v>2025</v>
      </c>
      <c r="D112" s="1922">
        <v>0</v>
      </c>
      <c r="E112" s="1922">
        <v>0</v>
      </c>
      <c r="F112" s="1922">
        <v>0</v>
      </c>
      <c r="G112" s="1922">
        <v>1</v>
      </c>
      <c r="H112" s="1922">
        <v>0</v>
      </c>
      <c r="I112" s="1375"/>
      <c r="J112" s="1375" t="str">
        <f t="shared" si="1"/>
        <v>RES_201403_P5T12025</v>
      </c>
    </row>
    <row r="113" spans="1:10">
      <c r="A113" s="1375" t="s">
        <v>1890</v>
      </c>
      <c r="B113" s="1375" t="s">
        <v>1543</v>
      </c>
      <c r="C113" s="1375">
        <v>2022</v>
      </c>
      <c r="D113" s="1922">
        <v>0</v>
      </c>
      <c r="E113" s="1922">
        <v>0</v>
      </c>
      <c r="F113" s="1922">
        <v>0</v>
      </c>
      <c r="G113" s="1922">
        <v>1</v>
      </c>
      <c r="H113" s="1922">
        <v>0</v>
      </c>
      <c r="I113" s="1375"/>
      <c r="J113" s="1375" t="str">
        <f t="shared" si="1"/>
        <v>RES_201403_P5T22022</v>
      </c>
    </row>
    <row r="114" spans="1:10">
      <c r="A114" s="1375" t="s">
        <v>1890</v>
      </c>
      <c r="B114" s="1375" t="s">
        <v>1543</v>
      </c>
      <c r="C114" s="1375">
        <v>2023</v>
      </c>
      <c r="D114" s="1922">
        <v>0</v>
      </c>
      <c r="E114" s="1922">
        <v>0</v>
      </c>
      <c r="F114" s="1922">
        <v>0</v>
      </c>
      <c r="G114" s="1922">
        <v>1</v>
      </c>
      <c r="H114" s="1922">
        <v>0</v>
      </c>
      <c r="I114" s="1375"/>
      <c r="J114" s="1375" t="str">
        <f t="shared" si="1"/>
        <v>RES_201403_P5T22023</v>
      </c>
    </row>
    <row r="115" spans="1:10">
      <c r="A115" s="1375" t="s">
        <v>1890</v>
      </c>
      <c r="B115" s="1375" t="s">
        <v>1543</v>
      </c>
      <c r="C115" s="1375">
        <v>2024</v>
      </c>
      <c r="D115" s="1922">
        <v>0</v>
      </c>
      <c r="E115" s="1922">
        <v>0</v>
      </c>
      <c r="F115" s="1922">
        <v>0</v>
      </c>
      <c r="G115" s="1922">
        <v>1</v>
      </c>
      <c r="H115" s="1922">
        <v>0</v>
      </c>
      <c r="I115" s="1375"/>
      <c r="J115" s="1375" t="str">
        <f t="shared" si="1"/>
        <v>RES_201403_P5T22024</v>
      </c>
    </row>
    <row r="116" spans="1:10">
      <c r="A116" s="1375" t="s">
        <v>1890</v>
      </c>
      <c r="B116" s="1375" t="s">
        <v>1543</v>
      </c>
      <c r="C116" s="1375">
        <v>2025</v>
      </c>
      <c r="D116" s="1922">
        <v>0</v>
      </c>
      <c r="E116" s="1922">
        <v>0</v>
      </c>
      <c r="F116" s="1922">
        <v>0</v>
      </c>
      <c r="G116" s="1922">
        <v>1</v>
      </c>
      <c r="H116" s="1922">
        <v>0</v>
      </c>
      <c r="I116" s="1375"/>
      <c r="J116" s="1375" t="str">
        <f t="shared" si="1"/>
        <v>RES_201403_P5T22025</v>
      </c>
    </row>
    <row r="117" spans="1:10">
      <c r="A117" s="1375" t="s">
        <v>2573</v>
      </c>
      <c r="B117" s="1375" t="s">
        <v>2346</v>
      </c>
      <c r="C117" s="1375">
        <v>2022</v>
      </c>
      <c r="D117" s="1922">
        <v>0</v>
      </c>
      <c r="E117" s="1922">
        <v>0</v>
      </c>
      <c r="F117" s="1922">
        <v>0</v>
      </c>
      <c r="G117" s="1922">
        <v>1</v>
      </c>
      <c r="H117" s="1922">
        <v>0</v>
      </c>
      <c r="I117" s="1375"/>
      <c r="J117" s="1375" t="str">
        <f t="shared" si="1"/>
        <v>RES_201403_P5T02022</v>
      </c>
    </row>
    <row r="118" spans="1:10">
      <c r="A118" s="1375" t="s">
        <v>2573</v>
      </c>
      <c r="B118" s="1375" t="s">
        <v>2346</v>
      </c>
      <c r="C118" s="1375">
        <v>2023</v>
      </c>
      <c r="D118" s="1922">
        <v>0</v>
      </c>
      <c r="E118" s="1922">
        <v>0</v>
      </c>
      <c r="F118" s="1922">
        <v>0</v>
      </c>
      <c r="G118" s="1922">
        <v>1</v>
      </c>
      <c r="H118" s="1922">
        <v>0</v>
      </c>
      <c r="I118" s="1375"/>
      <c r="J118" s="1375" t="str">
        <f t="shared" si="1"/>
        <v>RES_201403_P5T02023</v>
      </c>
    </row>
    <row r="119" spans="1:10">
      <c r="A119" s="1375" t="s">
        <v>2573</v>
      </c>
      <c r="B119" s="1375" t="s">
        <v>2346</v>
      </c>
      <c r="C119" s="1375">
        <v>2024</v>
      </c>
      <c r="D119" s="1922">
        <v>0</v>
      </c>
      <c r="E119" s="1922">
        <v>0</v>
      </c>
      <c r="F119" s="1922">
        <v>0</v>
      </c>
      <c r="G119" s="1922">
        <v>1</v>
      </c>
      <c r="H119" s="1922">
        <v>0</v>
      </c>
      <c r="I119" s="1375"/>
      <c r="J119" s="1375" t="str">
        <f t="shared" si="1"/>
        <v>RES_201403_P5T02024</v>
      </c>
    </row>
    <row r="120" spans="1:10">
      <c r="A120" s="1375" t="s">
        <v>2573</v>
      </c>
      <c r="B120" s="1375" t="s">
        <v>2346</v>
      </c>
      <c r="C120" s="1375">
        <v>2025</v>
      </c>
      <c r="D120" s="1922">
        <v>0</v>
      </c>
      <c r="E120" s="1922">
        <v>0</v>
      </c>
      <c r="F120" s="1922">
        <v>0</v>
      </c>
      <c r="G120" s="1922">
        <v>1</v>
      </c>
      <c r="H120" s="1922">
        <v>0</v>
      </c>
      <c r="I120" s="1375"/>
      <c r="J120" s="1375" t="str">
        <f t="shared" si="1"/>
        <v>RES_201403_P5T02025</v>
      </c>
    </row>
    <row r="121" spans="1:10">
      <c r="A121" s="1375" t="s">
        <v>2477</v>
      </c>
      <c r="B121" s="1375" t="s">
        <v>57</v>
      </c>
      <c r="C121" s="1375">
        <v>2022</v>
      </c>
      <c r="D121" s="1922">
        <v>0</v>
      </c>
      <c r="E121" s="1922">
        <v>0</v>
      </c>
      <c r="F121" s="1922">
        <v>0</v>
      </c>
      <c r="G121" s="1922">
        <v>1</v>
      </c>
      <c r="H121" s="1922">
        <v>0</v>
      </c>
      <c r="I121" s="1375"/>
      <c r="J121" s="1375" t="str">
        <f t="shared" si="1"/>
        <v>RES_201202_P2T12022</v>
      </c>
    </row>
    <row r="122" spans="1:10">
      <c r="A122" s="1375" t="s">
        <v>2477</v>
      </c>
      <c r="B122" s="1375" t="s">
        <v>57</v>
      </c>
      <c r="C122" s="1375">
        <v>2023</v>
      </c>
      <c r="D122" s="1922">
        <v>0</v>
      </c>
      <c r="E122" s="1922">
        <v>0</v>
      </c>
      <c r="F122" s="1922">
        <v>0</v>
      </c>
      <c r="G122" s="1922">
        <v>1</v>
      </c>
      <c r="H122" s="1922">
        <v>0</v>
      </c>
      <c r="I122" s="1375"/>
      <c r="J122" s="1375" t="str">
        <f t="shared" si="1"/>
        <v>RES_201202_P2T12023</v>
      </c>
    </row>
    <row r="123" spans="1:10">
      <c r="A123" s="1375" t="s">
        <v>2477</v>
      </c>
      <c r="B123" s="1375" t="s">
        <v>57</v>
      </c>
      <c r="C123" s="1375">
        <v>2024</v>
      </c>
      <c r="D123" s="1922">
        <v>0</v>
      </c>
      <c r="E123" s="1922">
        <v>0</v>
      </c>
      <c r="F123" s="1922">
        <v>0</v>
      </c>
      <c r="G123" s="1922">
        <v>1</v>
      </c>
      <c r="H123" s="1922">
        <v>0</v>
      </c>
      <c r="I123" s="1375"/>
      <c r="J123" s="1375" t="str">
        <f t="shared" si="1"/>
        <v>RES_201202_P2T12024</v>
      </c>
    </row>
    <row r="124" spans="1:10">
      <c r="A124" s="1375" t="s">
        <v>2477</v>
      </c>
      <c r="B124" s="1375" t="s">
        <v>57</v>
      </c>
      <c r="C124" s="1375">
        <v>2025</v>
      </c>
      <c r="D124" s="1922">
        <v>0</v>
      </c>
      <c r="E124" s="1922">
        <v>0</v>
      </c>
      <c r="F124" s="1922">
        <v>0</v>
      </c>
      <c r="G124" s="1922">
        <v>1</v>
      </c>
      <c r="H124" s="1922">
        <v>0</v>
      </c>
      <c r="I124" s="1375"/>
      <c r="J124" s="1375" t="str">
        <f t="shared" si="1"/>
        <v>RES_201202_P2T12025</v>
      </c>
    </row>
    <row r="125" spans="1:10">
      <c r="A125" s="1375" t="s">
        <v>2478</v>
      </c>
      <c r="B125" s="1375" t="s">
        <v>58</v>
      </c>
      <c r="C125" s="1375">
        <v>2022</v>
      </c>
      <c r="D125" s="1922">
        <v>0</v>
      </c>
      <c r="E125" s="1922">
        <v>0</v>
      </c>
      <c r="F125" s="1922">
        <v>0</v>
      </c>
      <c r="G125" s="1922">
        <v>1</v>
      </c>
      <c r="H125" s="1922">
        <v>0</v>
      </c>
      <c r="I125" s="1375"/>
      <c r="J125" s="1375" t="str">
        <f t="shared" si="1"/>
        <v>RES_201202_P2T22022</v>
      </c>
    </row>
    <row r="126" spans="1:10">
      <c r="A126" s="1375" t="s">
        <v>2478</v>
      </c>
      <c r="B126" s="1375" t="s">
        <v>58</v>
      </c>
      <c r="C126" s="1375">
        <v>2023</v>
      </c>
      <c r="D126" s="1922">
        <v>0</v>
      </c>
      <c r="E126" s="1922">
        <v>0</v>
      </c>
      <c r="F126" s="1922">
        <v>0</v>
      </c>
      <c r="G126" s="1922">
        <v>1</v>
      </c>
      <c r="H126" s="1922">
        <v>0</v>
      </c>
      <c r="I126" s="1375"/>
      <c r="J126" s="1375" t="str">
        <f t="shared" si="1"/>
        <v>RES_201202_P2T22023</v>
      </c>
    </row>
    <row r="127" spans="1:10">
      <c r="A127" s="1375" t="s">
        <v>2478</v>
      </c>
      <c r="B127" s="1375" t="s">
        <v>58</v>
      </c>
      <c r="C127" s="1375">
        <v>2024</v>
      </c>
      <c r="D127" s="1922">
        <v>0</v>
      </c>
      <c r="E127" s="1922">
        <v>0</v>
      </c>
      <c r="F127" s="1922">
        <v>0</v>
      </c>
      <c r="G127" s="1922">
        <v>1</v>
      </c>
      <c r="H127" s="1922">
        <v>0</v>
      </c>
      <c r="I127" s="1375"/>
      <c r="J127" s="1375" t="str">
        <f t="shared" si="1"/>
        <v>RES_201202_P2T22024</v>
      </c>
    </row>
    <row r="128" spans="1:10">
      <c r="A128" s="1375" t="s">
        <v>2478</v>
      </c>
      <c r="B128" s="1375" t="s">
        <v>58</v>
      </c>
      <c r="C128" s="1375">
        <v>2025</v>
      </c>
      <c r="D128" s="1922">
        <v>0</v>
      </c>
      <c r="E128" s="1922">
        <v>0</v>
      </c>
      <c r="F128" s="1922">
        <v>0</v>
      </c>
      <c r="G128" s="1922">
        <v>1</v>
      </c>
      <c r="H128" s="1922">
        <v>0</v>
      </c>
      <c r="I128" s="1375"/>
      <c r="J128" s="1375" t="str">
        <f t="shared" si="1"/>
        <v>RES_201202_P2T22025</v>
      </c>
    </row>
    <row r="129" spans="1:10">
      <c r="A129" s="1375" t="s">
        <v>2479</v>
      </c>
      <c r="B129" s="1375" t="s">
        <v>762</v>
      </c>
      <c r="C129" s="1375">
        <v>2022</v>
      </c>
      <c r="D129" s="1922">
        <v>0</v>
      </c>
      <c r="E129" s="1922">
        <v>0</v>
      </c>
      <c r="F129" s="1922">
        <v>0</v>
      </c>
      <c r="G129" s="1922">
        <v>1</v>
      </c>
      <c r="H129" s="1922">
        <v>0</v>
      </c>
      <c r="I129" s="1375"/>
      <c r="J129" s="1375" t="str">
        <f t="shared" si="1"/>
        <v>RES_201202_P2T32022</v>
      </c>
    </row>
    <row r="130" spans="1:10">
      <c r="A130" s="1375" t="s">
        <v>2479</v>
      </c>
      <c r="B130" s="1375" t="s">
        <v>762</v>
      </c>
      <c r="C130" s="1375">
        <v>2023</v>
      </c>
      <c r="D130" s="1922">
        <v>0</v>
      </c>
      <c r="E130" s="1922">
        <v>0</v>
      </c>
      <c r="F130" s="1922">
        <v>0</v>
      </c>
      <c r="G130" s="1922">
        <v>1</v>
      </c>
      <c r="H130" s="1922">
        <v>0</v>
      </c>
      <c r="I130" s="1375"/>
      <c r="J130" s="1375" t="str">
        <f t="shared" si="1"/>
        <v>RES_201202_P2T32023</v>
      </c>
    </row>
    <row r="131" spans="1:10">
      <c r="A131" s="1375" t="s">
        <v>2479</v>
      </c>
      <c r="B131" s="1375" t="s">
        <v>762</v>
      </c>
      <c r="C131" s="1375">
        <v>2024</v>
      </c>
      <c r="D131" s="1922">
        <v>0</v>
      </c>
      <c r="E131" s="1922">
        <v>0</v>
      </c>
      <c r="F131" s="1922">
        <v>0</v>
      </c>
      <c r="G131" s="1922">
        <v>1</v>
      </c>
      <c r="H131" s="1922">
        <v>0</v>
      </c>
      <c r="I131" s="1375"/>
      <c r="J131" s="1375" t="str">
        <f t="shared" si="1"/>
        <v>RES_201202_P2T32024</v>
      </c>
    </row>
    <row r="132" spans="1:10">
      <c r="A132" s="1375" t="s">
        <v>2479</v>
      </c>
      <c r="B132" s="1375" t="s">
        <v>762</v>
      </c>
      <c r="C132" s="1375">
        <v>2025</v>
      </c>
      <c r="D132" s="1922">
        <v>0</v>
      </c>
      <c r="E132" s="1922">
        <v>0</v>
      </c>
      <c r="F132" s="1922">
        <v>0</v>
      </c>
      <c r="G132" s="1922">
        <v>1</v>
      </c>
      <c r="H132" s="1922">
        <v>0</v>
      </c>
      <c r="I132" s="1375"/>
      <c r="J132" s="1375" t="str">
        <f t="shared" si="1"/>
        <v>RES_201202_P2T32025</v>
      </c>
    </row>
    <row r="133" spans="1:10">
      <c r="A133" s="1375" t="s">
        <v>2480</v>
      </c>
      <c r="B133" s="1375" t="s">
        <v>763</v>
      </c>
      <c r="C133" s="1375">
        <v>2022</v>
      </c>
      <c r="D133" s="1922">
        <v>0</v>
      </c>
      <c r="E133" s="1922">
        <v>0</v>
      </c>
      <c r="F133" s="1922">
        <v>0</v>
      </c>
      <c r="G133" s="1922">
        <v>1</v>
      </c>
      <c r="H133" s="1922">
        <v>0</v>
      </c>
      <c r="I133" s="1375"/>
      <c r="J133" s="1375" t="str">
        <f t="shared" si="1"/>
        <v>RES_201202_P2T42022</v>
      </c>
    </row>
    <row r="134" spans="1:10">
      <c r="A134" s="1375" t="s">
        <v>2480</v>
      </c>
      <c r="B134" s="1375" t="s">
        <v>763</v>
      </c>
      <c r="C134" s="1375">
        <v>2023</v>
      </c>
      <c r="D134" s="1922">
        <v>0</v>
      </c>
      <c r="E134" s="1922">
        <v>0</v>
      </c>
      <c r="F134" s="1922">
        <v>0</v>
      </c>
      <c r="G134" s="1922">
        <v>1</v>
      </c>
      <c r="H134" s="1922">
        <v>0</v>
      </c>
      <c r="I134" s="1375"/>
      <c r="J134" s="1375" t="str">
        <f t="shared" ref="J134:J197" si="2">B134&amp;C134</f>
        <v>RES_201202_P2T42023</v>
      </c>
    </row>
    <row r="135" spans="1:10">
      <c r="A135" s="1375" t="s">
        <v>2480</v>
      </c>
      <c r="B135" s="1375" t="s">
        <v>763</v>
      </c>
      <c r="C135" s="1375">
        <v>2024</v>
      </c>
      <c r="D135" s="1922">
        <v>0</v>
      </c>
      <c r="E135" s="1922">
        <v>0</v>
      </c>
      <c r="F135" s="1922">
        <v>0</v>
      </c>
      <c r="G135" s="1922">
        <v>1</v>
      </c>
      <c r="H135" s="1922">
        <v>0</v>
      </c>
      <c r="I135" s="1375"/>
      <c r="J135" s="1375" t="str">
        <f t="shared" si="2"/>
        <v>RES_201202_P2T42024</v>
      </c>
    </row>
    <row r="136" spans="1:10">
      <c r="A136" s="1375" t="s">
        <v>2480</v>
      </c>
      <c r="B136" s="1375" t="s">
        <v>763</v>
      </c>
      <c r="C136" s="1375">
        <v>2025</v>
      </c>
      <c r="D136" s="1922">
        <v>0</v>
      </c>
      <c r="E136" s="1922">
        <v>0</v>
      </c>
      <c r="F136" s="1922">
        <v>0</v>
      </c>
      <c r="G136" s="1922">
        <v>1</v>
      </c>
      <c r="H136" s="1922">
        <v>0</v>
      </c>
      <c r="I136" s="1375"/>
      <c r="J136" s="1375" t="str">
        <f t="shared" si="2"/>
        <v>RES_201202_P2T42025</v>
      </c>
    </row>
    <row r="137" spans="1:10">
      <c r="A137" s="1375" t="s">
        <v>2481</v>
      </c>
      <c r="B137" s="1375" t="s">
        <v>923</v>
      </c>
      <c r="C137" s="1375">
        <v>2022</v>
      </c>
      <c r="D137" s="1922">
        <v>0</v>
      </c>
      <c r="E137" s="1922">
        <v>0</v>
      </c>
      <c r="F137" s="1922">
        <v>0</v>
      </c>
      <c r="G137" s="1922">
        <v>1</v>
      </c>
      <c r="H137" s="1922">
        <v>0</v>
      </c>
      <c r="I137" s="1375"/>
      <c r="J137" s="1375" t="str">
        <f t="shared" si="2"/>
        <v>RES_201202_P2T52022</v>
      </c>
    </row>
    <row r="138" spans="1:10">
      <c r="A138" s="1375" t="s">
        <v>2481</v>
      </c>
      <c r="B138" s="1375" t="s">
        <v>923</v>
      </c>
      <c r="C138" s="1375">
        <v>2023</v>
      </c>
      <c r="D138" s="1922">
        <v>0</v>
      </c>
      <c r="E138" s="1922">
        <v>0</v>
      </c>
      <c r="F138" s="1922">
        <v>0</v>
      </c>
      <c r="G138" s="1922">
        <v>1</v>
      </c>
      <c r="H138" s="1922">
        <v>0</v>
      </c>
      <c r="I138" s="1375"/>
      <c r="J138" s="1375" t="str">
        <f t="shared" si="2"/>
        <v>RES_201202_P2T52023</v>
      </c>
    </row>
    <row r="139" spans="1:10">
      <c r="A139" s="1375" t="s">
        <v>2481</v>
      </c>
      <c r="B139" s="1375" t="s">
        <v>923</v>
      </c>
      <c r="C139" s="1375">
        <v>2024</v>
      </c>
      <c r="D139" s="1922">
        <v>0</v>
      </c>
      <c r="E139" s="1922">
        <v>0</v>
      </c>
      <c r="F139" s="1922">
        <v>0</v>
      </c>
      <c r="G139" s="1922">
        <v>1</v>
      </c>
      <c r="H139" s="1922">
        <v>0</v>
      </c>
      <c r="I139" s="1375"/>
      <c r="J139" s="1375" t="str">
        <f t="shared" si="2"/>
        <v>RES_201202_P2T52024</v>
      </c>
    </row>
    <row r="140" spans="1:10">
      <c r="A140" s="1375" t="s">
        <v>2481</v>
      </c>
      <c r="B140" s="1375" t="s">
        <v>923</v>
      </c>
      <c r="C140" s="1375">
        <v>2025</v>
      </c>
      <c r="D140" s="1922">
        <v>0</v>
      </c>
      <c r="E140" s="1922">
        <v>0</v>
      </c>
      <c r="F140" s="1922">
        <v>0</v>
      </c>
      <c r="G140" s="1922">
        <v>1</v>
      </c>
      <c r="H140" s="1922">
        <v>0</v>
      </c>
      <c r="I140" s="1375"/>
      <c r="J140" s="1375" t="str">
        <f t="shared" si="2"/>
        <v>RES_201202_P2T52025</v>
      </c>
    </row>
    <row r="141" spans="1:10">
      <c r="A141" s="1375" t="s">
        <v>2472</v>
      </c>
      <c r="B141" s="1375" t="s">
        <v>55</v>
      </c>
      <c r="C141" s="1375">
        <v>2022</v>
      </c>
      <c r="D141" s="1922">
        <v>0</v>
      </c>
      <c r="E141" s="1922">
        <v>0</v>
      </c>
      <c r="F141" s="1922">
        <v>0</v>
      </c>
      <c r="G141" s="1922">
        <v>1</v>
      </c>
      <c r="H141" s="1922">
        <v>0</v>
      </c>
      <c r="I141" s="1375"/>
      <c r="J141" s="1375" t="str">
        <f t="shared" si="2"/>
        <v>RES_201202_P1T12022</v>
      </c>
    </row>
    <row r="142" spans="1:10">
      <c r="A142" s="1375" t="s">
        <v>2472</v>
      </c>
      <c r="B142" s="1375" t="s">
        <v>55</v>
      </c>
      <c r="C142" s="1375">
        <v>2023</v>
      </c>
      <c r="D142" s="1922">
        <v>0</v>
      </c>
      <c r="E142" s="1922">
        <v>0</v>
      </c>
      <c r="F142" s="1922">
        <v>0</v>
      </c>
      <c r="G142" s="1922">
        <v>1</v>
      </c>
      <c r="H142" s="1922">
        <v>0</v>
      </c>
      <c r="I142" s="1375"/>
      <c r="J142" s="1375" t="str">
        <f t="shared" si="2"/>
        <v>RES_201202_P1T12023</v>
      </c>
    </row>
    <row r="143" spans="1:10">
      <c r="A143" s="1375" t="s">
        <v>2472</v>
      </c>
      <c r="B143" s="1375" t="s">
        <v>55</v>
      </c>
      <c r="C143" s="1375">
        <v>2024</v>
      </c>
      <c r="D143" s="1922">
        <v>0</v>
      </c>
      <c r="E143" s="1922">
        <v>0</v>
      </c>
      <c r="F143" s="1922">
        <v>0</v>
      </c>
      <c r="G143" s="1922">
        <v>1</v>
      </c>
      <c r="H143" s="1922">
        <v>0</v>
      </c>
      <c r="I143" s="1375"/>
      <c r="J143" s="1375" t="str">
        <f t="shared" si="2"/>
        <v>RES_201202_P1T12024</v>
      </c>
    </row>
    <row r="144" spans="1:10">
      <c r="A144" s="1375" t="s">
        <v>2472</v>
      </c>
      <c r="B144" s="1375" t="s">
        <v>55</v>
      </c>
      <c r="C144" s="1375">
        <v>2025</v>
      </c>
      <c r="D144" s="1922">
        <v>0</v>
      </c>
      <c r="E144" s="1922">
        <v>0</v>
      </c>
      <c r="F144" s="1922">
        <v>0</v>
      </c>
      <c r="G144" s="1922">
        <v>1</v>
      </c>
      <c r="H144" s="1922">
        <v>0</v>
      </c>
      <c r="I144" s="1375"/>
      <c r="J144" s="1375" t="str">
        <f t="shared" si="2"/>
        <v>RES_201202_P1T12025</v>
      </c>
    </row>
    <row r="145" spans="1:10">
      <c r="A145" s="1375" t="s">
        <v>2473</v>
      </c>
      <c r="B145" s="1375" t="s">
        <v>56</v>
      </c>
      <c r="C145" s="1375">
        <v>2022</v>
      </c>
      <c r="D145" s="1922">
        <v>0</v>
      </c>
      <c r="E145" s="1922">
        <v>0</v>
      </c>
      <c r="F145" s="1922">
        <v>0</v>
      </c>
      <c r="G145" s="1922">
        <v>1</v>
      </c>
      <c r="H145" s="1922">
        <v>0</v>
      </c>
      <c r="I145" s="1375"/>
      <c r="J145" s="1375" t="str">
        <f t="shared" si="2"/>
        <v>RES_201202_P1T22022</v>
      </c>
    </row>
    <row r="146" spans="1:10">
      <c r="A146" s="1375" t="s">
        <v>2473</v>
      </c>
      <c r="B146" s="1375" t="s">
        <v>56</v>
      </c>
      <c r="C146" s="1375">
        <v>2023</v>
      </c>
      <c r="D146" s="1922">
        <v>0</v>
      </c>
      <c r="E146" s="1922">
        <v>0</v>
      </c>
      <c r="F146" s="1922">
        <v>0</v>
      </c>
      <c r="G146" s="1922">
        <v>1</v>
      </c>
      <c r="H146" s="1922">
        <v>0</v>
      </c>
      <c r="I146" s="1375"/>
      <c r="J146" s="1375" t="str">
        <f t="shared" si="2"/>
        <v>RES_201202_P1T22023</v>
      </c>
    </row>
    <row r="147" spans="1:10">
      <c r="A147" s="1375" t="s">
        <v>2473</v>
      </c>
      <c r="B147" s="1375" t="s">
        <v>56</v>
      </c>
      <c r="C147" s="1375">
        <v>2024</v>
      </c>
      <c r="D147" s="1922">
        <v>0</v>
      </c>
      <c r="E147" s="1922">
        <v>0</v>
      </c>
      <c r="F147" s="1922">
        <v>0</v>
      </c>
      <c r="G147" s="1922">
        <v>1</v>
      </c>
      <c r="H147" s="1922">
        <v>0</v>
      </c>
      <c r="I147" s="1375"/>
      <c r="J147" s="1375" t="str">
        <f t="shared" si="2"/>
        <v>RES_201202_P1T22024</v>
      </c>
    </row>
    <row r="148" spans="1:10">
      <c r="A148" s="1375" t="s">
        <v>2473</v>
      </c>
      <c r="B148" s="1375" t="s">
        <v>56</v>
      </c>
      <c r="C148" s="1375">
        <v>2025</v>
      </c>
      <c r="D148" s="1922">
        <v>0</v>
      </c>
      <c r="E148" s="1922">
        <v>0</v>
      </c>
      <c r="F148" s="1922">
        <v>0</v>
      </c>
      <c r="G148" s="1922">
        <v>1</v>
      </c>
      <c r="H148" s="1922">
        <v>0</v>
      </c>
      <c r="I148" s="1375"/>
      <c r="J148" s="1375" t="str">
        <f t="shared" si="2"/>
        <v>RES_201202_P1T22025</v>
      </c>
    </row>
    <row r="149" spans="1:10">
      <c r="A149" s="1375" t="s">
        <v>2474</v>
      </c>
      <c r="B149" s="1375" t="s">
        <v>770</v>
      </c>
      <c r="C149" s="1375">
        <v>2022</v>
      </c>
      <c r="D149" s="1922">
        <v>0</v>
      </c>
      <c r="E149" s="1922">
        <v>0</v>
      </c>
      <c r="F149" s="1922">
        <v>0</v>
      </c>
      <c r="G149" s="1922">
        <v>1</v>
      </c>
      <c r="H149" s="1922">
        <v>0</v>
      </c>
      <c r="I149" s="1375"/>
      <c r="J149" s="1375" t="str">
        <f t="shared" si="2"/>
        <v>RES_201202_P1T32022</v>
      </c>
    </row>
    <row r="150" spans="1:10">
      <c r="A150" s="1375" t="s">
        <v>2474</v>
      </c>
      <c r="B150" s="1375" t="s">
        <v>770</v>
      </c>
      <c r="C150" s="1375">
        <v>2023</v>
      </c>
      <c r="D150" s="1922">
        <v>0</v>
      </c>
      <c r="E150" s="1922">
        <v>0</v>
      </c>
      <c r="F150" s="1922">
        <v>0</v>
      </c>
      <c r="G150" s="1922">
        <v>1</v>
      </c>
      <c r="H150" s="1922">
        <v>0</v>
      </c>
      <c r="I150" s="1375"/>
      <c r="J150" s="1375" t="str">
        <f t="shared" si="2"/>
        <v>RES_201202_P1T32023</v>
      </c>
    </row>
    <row r="151" spans="1:10">
      <c r="A151" s="1375" t="s">
        <v>2474</v>
      </c>
      <c r="B151" s="1375" t="s">
        <v>770</v>
      </c>
      <c r="C151" s="1375">
        <v>2024</v>
      </c>
      <c r="D151" s="1922">
        <v>0</v>
      </c>
      <c r="E151" s="1922">
        <v>0</v>
      </c>
      <c r="F151" s="1922">
        <v>0</v>
      </c>
      <c r="G151" s="1922">
        <v>1</v>
      </c>
      <c r="H151" s="1922">
        <v>0</v>
      </c>
      <c r="I151" s="1375"/>
      <c r="J151" s="1375" t="str">
        <f t="shared" si="2"/>
        <v>RES_201202_P1T32024</v>
      </c>
    </row>
    <row r="152" spans="1:10">
      <c r="A152" s="1375" t="s">
        <v>2474</v>
      </c>
      <c r="B152" s="1375" t="s">
        <v>770</v>
      </c>
      <c r="C152" s="1375">
        <v>2025</v>
      </c>
      <c r="D152" s="1922">
        <v>0</v>
      </c>
      <c r="E152" s="1922">
        <v>0</v>
      </c>
      <c r="F152" s="1922">
        <v>0</v>
      </c>
      <c r="G152" s="1922">
        <v>1</v>
      </c>
      <c r="H152" s="1922">
        <v>0</v>
      </c>
      <c r="I152" s="1375"/>
      <c r="J152" s="1375" t="str">
        <f t="shared" si="2"/>
        <v>RES_201202_P1T32025</v>
      </c>
    </row>
    <row r="153" spans="1:10">
      <c r="A153" s="1375" t="s">
        <v>2475</v>
      </c>
      <c r="B153" s="1375" t="s">
        <v>771</v>
      </c>
      <c r="C153" s="1375">
        <v>2022</v>
      </c>
      <c r="D153" s="1922">
        <v>0</v>
      </c>
      <c r="E153" s="1922">
        <v>0</v>
      </c>
      <c r="F153" s="1922">
        <v>0</v>
      </c>
      <c r="G153" s="1922">
        <v>1</v>
      </c>
      <c r="H153" s="1922">
        <v>0</v>
      </c>
      <c r="I153" s="1375"/>
      <c r="J153" s="1375" t="str">
        <f t="shared" si="2"/>
        <v>RES_201202_P1T42022</v>
      </c>
    </row>
    <row r="154" spans="1:10">
      <c r="A154" s="1375" t="s">
        <v>2475</v>
      </c>
      <c r="B154" s="1375" t="s">
        <v>771</v>
      </c>
      <c r="C154" s="1375">
        <v>2023</v>
      </c>
      <c r="D154" s="1922">
        <v>0</v>
      </c>
      <c r="E154" s="1922">
        <v>0</v>
      </c>
      <c r="F154" s="1922">
        <v>0</v>
      </c>
      <c r="G154" s="1922">
        <v>1</v>
      </c>
      <c r="H154" s="1922">
        <v>0</v>
      </c>
      <c r="I154" s="1375"/>
      <c r="J154" s="1375" t="str">
        <f t="shared" si="2"/>
        <v>RES_201202_P1T42023</v>
      </c>
    </row>
    <row r="155" spans="1:10">
      <c r="A155" s="1375" t="s">
        <v>2475</v>
      </c>
      <c r="B155" s="1375" t="s">
        <v>771</v>
      </c>
      <c r="C155" s="1375">
        <v>2024</v>
      </c>
      <c r="D155" s="1922">
        <v>0</v>
      </c>
      <c r="E155" s="1922">
        <v>0</v>
      </c>
      <c r="F155" s="1922">
        <v>0</v>
      </c>
      <c r="G155" s="1922">
        <v>1</v>
      </c>
      <c r="H155" s="1922">
        <v>0</v>
      </c>
      <c r="I155" s="1375"/>
      <c r="J155" s="1375" t="str">
        <f t="shared" si="2"/>
        <v>RES_201202_P1T42024</v>
      </c>
    </row>
    <row r="156" spans="1:10">
      <c r="A156" s="1375" t="s">
        <v>2475</v>
      </c>
      <c r="B156" s="1375" t="s">
        <v>771</v>
      </c>
      <c r="C156" s="1375">
        <v>2025</v>
      </c>
      <c r="D156" s="1922">
        <v>0</v>
      </c>
      <c r="E156" s="1922">
        <v>0</v>
      </c>
      <c r="F156" s="1922">
        <v>0</v>
      </c>
      <c r="G156" s="1922">
        <v>1</v>
      </c>
      <c r="H156" s="1922">
        <v>0</v>
      </c>
      <c r="I156" s="1375"/>
      <c r="J156" s="1375" t="str">
        <f t="shared" si="2"/>
        <v>RES_201202_P1T42025</v>
      </c>
    </row>
    <row r="157" spans="1:10">
      <c r="A157" s="1375" t="s">
        <v>2476</v>
      </c>
      <c r="B157" s="1375" t="s">
        <v>921</v>
      </c>
      <c r="C157" s="1375">
        <v>2022</v>
      </c>
      <c r="D157" s="1922">
        <v>0</v>
      </c>
      <c r="E157" s="1922">
        <v>0</v>
      </c>
      <c r="F157" s="1922">
        <v>0</v>
      </c>
      <c r="G157" s="1922">
        <v>1</v>
      </c>
      <c r="H157" s="1922">
        <v>0</v>
      </c>
      <c r="I157" s="1375"/>
      <c r="J157" s="1375" t="str">
        <f t="shared" si="2"/>
        <v>RES_201202_P1T52022</v>
      </c>
    </row>
    <row r="158" spans="1:10">
      <c r="A158" s="1375" t="s">
        <v>2476</v>
      </c>
      <c r="B158" s="1375" t="s">
        <v>921</v>
      </c>
      <c r="C158" s="1375">
        <v>2023</v>
      </c>
      <c r="D158" s="1922">
        <v>0</v>
      </c>
      <c r="E158" s="1922">
        <v>0</v>
      </c>
      <c r="F158" s="1922">
        <v>0</v>
      </c>
      <c r="G158" s="1922">
        <v>1</v>
      </c>
      <c r="H158" s="1922">
        <v>0</v>
      </c>
      <c r="I158" s="1375"/>
      <c r="J158" s="1375" t="str">
        <f t="shared" si="2"/>
        <v>RES_201202_P1T52023</v>
      </c>
    </row>
    <row r="159" spans="1:10">
      <c r="A159" s="1375" t="s">
        <v>2476</v>
      </c>
      <c r="B159" s="1375" t="s">
        <v>921</v>
      </c>
      <c r="C159" s="1375">
        <v>2024</v>
      </c>
      <c r="D159" s="1922">
        <v>0</v>
      </c>
      <c r="E159" s="1922">
        <v>0</v>
      </c>
      <c r="F159" s="1922">
        <v>0</v>
      </c>
      <c r="G159" s="1922">
        <v>1</v>
      </c>
      <c r="H159" s="1922">
        <v>0</v>
      </c>
      <c r="I159" s="1375"/>
      <c r="J159" s="1375" t="str">
        <f t="shared" si="2"/>
        <v>RES_201202_P1T52024</v>
      </c>
    </row>
    <row r="160" spans="1:10">
      <c r="A160" s="1375" t="s">
        <v>2476</v>
      </c>
      <c r="B160" s="1375" t="s">
        <v>921</v>
      </c>
      <c r="C160" s="1375">
        <v>2025</v>
      </c>
      <c r="D160" s="1922">
        <v>0</v>
      </c>
      <c r="E160" s="1922">
        <v>0</v>
      </c>
      <c r="F160" s="1922">
        <v>0</v>
      </c>
      <c r="G160" s="1922">
        <v>1</v>
      </c>
      <c r="H160" s="1922">
        <v>0</v>
      </c>
      <c r="I160" s="1375"/>
      <c r="J160" s="1375" t="str">
        <f t="shared" si="2"/>
        <v>RES_201202_P1T52025</v>
      </c>
    </row>
    <row r="161" spans="1:10">
      <c r="A161" s="1375" t="s">
        <v>2487</v>
      </c>
      <c r="B161" s="1375" t="s">
        <v>766</v>
      </c>
      <c r="C161" s="1375">
        <v>2022</v>
      </c>
      <c r="D161" s="1922">
        <v>0</v>
      </c>
      <c r="E161" s="1922">
        <v>0</v>
      </c>
      <c r="F161" s="1922">
        <v>0</v>
      </c>
      <c r="G161" s="1922">
        <v>1</v>
      </c>
      <c r="H161" s="1922">
        <v>0</v>
      </c>
      <c r="I161" s="1375"/>
      <c r="J161" s="1375" t="str">
        <f t="shared" si="2"/>
        <v>RES_201202_P4T12022</v>
      </c>
    </row>
    <row r="162" spans="1:10">
      <c r="A162" s="1375" t="s">
        <v>2487</v>
      </c>
      <c r="B162" s="1375" t="s">
        <v>766</v>
      </c>
      <c r="C162" s="1375">
        <v>2023</v>
      </c>
      <c r="D162" s="1922">
        <v>0</v>
      </c>
      <c r="E162" s="1922">
        <v>0</v>
      </c>
      <c r="F162" s="1922">
        <v>0</v>
      </c>
      <c r="G162" s="1922">
        <v>1</v>
      </c>
      <c r="H162" s="1922">
        <v>0</v>
      </c>
      <c r="I162" s="1375"/>
      <c r="J162" s="1375" t="str">
        <f t="shared" si="2"/>
        <v>RES_201202_P4T12023</v>
      </c>
    </row>
    <row r="163" spans="1:10">
      <c r="A163" s="1375" t="s">
        <v>2487</v>
      </c>
      <c r="B163" s="1375" t="s">
        <v>766</v>
      </c>
      <c r="C163" s="1375">
        <v>2024</v>
      </c>
      <c r="D163" s="1922">
        <v>0</v>
      </c>
      <c r="E163" s="1922">
        <v>0</v>
      </c>
      <c r="F163" s="1922">
        <v>0</v>
      </c>
      <c r="G163" s="1922">
        <v>1</v>
      </c>
      <c r="H163" s="1922">
        <v>0</v>
      </c>
      <c r="I163" s="1375"/>
      <c r="J163" s="1375" t="str">
        <f t="shared" si="2"/>
        <v>RES_201202_P4T12024</v>
      </c>
    </row>
    <row r="164" spans="1:10">
      <c r="A164" s="1375" t="s">
        <v>2487</v>
      </c>
      <c r="B164" s="1375" t="s">
        <v>766</v>
      </c>
      <c r="C164" s="1375">
        <v>2025</v>
      </c>
      <c r="D164" s="1922">
        <v>0</v>
      </c>
      <c r="E164" s="1922">
        <v>0</v>
      </c>
      <c r="F164" s="1922">
        <v>0</v>
      </c>
      <c r="G164" s="1922">
        <v>1</v>
      </c>
      <c r="H164" s="1922">
        <v>0</v>
      </c>
      <c r="I164" s="1375"/>
      <c r="J164" s="1375" t="str">
        <f t="shared" si="2"/>
        <v>RES_201202_P4T12025</v>
      </c>
    </row>
    <row r="165" spans="1:10">
      <c r="A165" s="1375" t="s">
        <v>2488</v>
      </c>
      <c r="B165" s="1375" t="s">
        <v>767</v>
      </c>
      <c r="C165" s="1375">
        <v>2022</v>
      </c>
      <c r="D165" s="1922">
        <v>0</v>
      </c>
      <c r="E165" s="1922">
        <v>0</v>
      </c>
      <c r="F165" s="1922">
        <v>0</v>
      </c>
      <c r="G165" s="1922">
        <v>1</v>
      </c>
      <c r="H165" s="1922">
        <v>0</v>
      </c>
      <c r="I165" s="1375"/>
      <c r="J165" s="1375" t="str">
        <f t="shared" si="2"/>
        <v>RES_201202_P4T22022</v>
      </c>
    </row>
    <row r="166" spans="1:10">
      <c r="A166" s="1375" t="s">
        <v>2488</v>
      </c>
      <c r="B166" s="1375" t="s">
        <v>767</v>
      </c>
      <c r="C166" s="1375">
        <v>2023</v>
      </c>
      <c r="D166" s="1922">
        <v>0</v>
      </c>
      <c r="E166" s="1922">
        <v>0</v>
      </c>
      <c r="F166" s="1922">
        <v>0</v>
      </c>
      <c r="G166" s="1922">
        <v>1</v>
      </c>
      <c r="H166" s="1922">
        <v>0</v>
      </c>
      <c r="I166" s="1375"/>
      <c r="J166" s="1375" t="str">
        <f t="shared" si="2"/>
        <v>RES_201202_P4T22023</v>
      </c>
    </row>
    <row r="167" spans="1:10">
      <c r="A167" s="1375" t="s">
        <v>2488</v>
      </c>
      <c r="B167" s="1375" t="s">
        <v>767</v>
      </c>
      <c r="C167" s="1375">
        <v>2024</v>
      </c>
      <c r="D167" s="1922">
        <v>0</v>
      </c>
      <c r="E167" s="1922">
        <v>0</v>
      </c>
      <c r="F167" s="1922">
        <v>0</v>
      </c>
      <c r="G167" s="1922">
        <v>1</v>
      </c>
      <c r="H167" s="1922">
        <v>0</v>
      </c>
      <c r="I167" s="1375"/>
      <c r="J167" s="1375" t="str">
        <f t="shared" si="2"/>
        <v>RES_201202_P4T22024</v>
      </c>
    </row>
    <row r="168" spans="1:10">
      <c r="A168" s="1375" t="s">
        <v>2488</v>
      </c>
      <c r="B168" s="1375" t="s">
        <v>767</v>
      </c>
      <c r="C168" s="1375">
        <v>2025</v>
      </c>
      <c r="D168" s="1922">
        <v>0</v>
      </c>
      <c r="E168" s="1922">
        <v>0</v>
      </c>
      <c r="F168" s="1922">
        <v>0</v>
      </c>
      <c r="G168" s="1922">
        <v>1</v>
      </c>
      <c r="H168" s="1922">
        <v>0</v>
      </c>
      <c r="I168" s="1375"/>
      <c r="J168" s="1375" t="str">
        <f t="shared" si="2"/>
        <v>RES_201202_P4T22025</v>
      </c>
    </row>
    <row r="169" spans="1:10">
      <c r="A169" s="1375" t="s">
        <v>2489</v>
      </c>
      <c r="B169" s="1375" t="s">
        <v>768</v>
      </c>
      <c r="C169" s="1375">
        <v>2022</v>
      </c>
      <c r="D169" s="1922">
        <v>0</v>
      </c>
      <c r="E169" s="1922">
        <v>0</v>
      </c>
      <c r="F169" s="1922">
        <v>0</v>
      </c>
      <c r="G169" s="1922">
        <v>1</v>
      </c>
      <c r="H169" s="1922">
        <v>0</v>
      </c>
      <c r="I169" s="1375"/>
      <c r="J169" s="1375" t="str">
        <f t="shared" si="2"/>
        <v>RES_201202_P4T32022</v>
      </c>
    </row>
    <row r="170" spans="1:10">
      <c r="A170" s="1375" t="s">
        <v>2489</v>
      </c>
      <c r="B170" s="1375" t="s">
        <v>768</v>
      </c>
      <c r="C170" s="1375">
        <v>2023</v>
      </c>
      <c r="D170" s="1922">
        <v>0</v>
      </c>
      <c r="E170" s="1922">
        <v>0</v>
      </c>
      <c r="F170" s="1922">
        <v>0</v>
      </c>
      <c r="G170" s="1922">
        <v>1</v>
      </c>
      <c r="H170" s="1922">
        <v>0</v>
      </c>
      <c r="I170" s="1375"/>
      <c r="J170" s="1375" t="str">
        <f t="shared" si="2"/>
        <v>RES_201202_P4T32023</v>
      </c>
    </row>
    <row r="171" spans="1:10">
      <c r="A171" s="1375" t="s">
        <v>2489</v>
      </c>
      <c r="B171" s="1375" t="s">
        <v>768</v>
      </c>
      <c r="C171" s="1375">
        <v>2024</v>
      </c>
      <c r="D171" s="1922">
        <v>0</v>
      </c>
      <c r="E171" s="1922">
        <v>0</v>
      </c>
      <c r="F171" s="1922">
        <v>0</v>
      </c>
      <c r="G171" s="1922">
        <v>1</v>
      </c>
      <c r="H171" s="1922">
        <v>0</v>
      </c>
      <c r="I171" s="1375"/>
      <c r="J171" s="1375" t="str">
        <f t="shared" si="2"/>
        <v>RES_201202_P4T32024</v>
      </c>
    </row>
    <row r="172" spans="1:10">
      <c r="A172" s="1375" t="s">
        <v>2489</v>
      </c>
      <c r="B172" s="1375" t="s">
        <v>768</v>
      </c>
      <c r="C172" s="1375">
        <v>2025</v>
      </c>
      <c r="D172" s="1922">
        <v>0</v>
      </c>
      <c r="E172" s="1922">
        <v>0</v>
      </c>
      <c r="F172" s="1922">
        <v>0</v>
      </c>
      <c r="G172" s="1922">
        <v>1</v>
      </c>
      <c r="H172" s="1922">
        <v>0</v>
      </c>
      <c r="I172" s="1375"/>
      <c r="J172" s="1375" t="str">
        <f t="shared" si="2"/>
        <v>RES_201202_P4T32025</v>
      </c>
    </row>
    <row r="173" spans="1:10">
      <c r="A173" s="1375" t="s">
        <v>2490</v>
      </c>
      <c r="B173" s="1375" t="s">
        <v>769</v>
      </c>
      <c r="C173" s="1375">
        <v>2022</v>
      </c>
      <c r="D173" s="1922">
        <v>0</v>
      </c>
      <c r="E173" s="1922">
        <v>0</v>
      </c>
      <c r="F173" s="1922">
        <v>0</v>
      </c>
      <c r="G173" s="1922">
        <v>1</v>
      </c>
      <c r="H173" s="1922">
        <v>0</v>
      </c>
      <c r="I173" s="1375"/>
      <c r="J173" s="1375" t="str">
        <f t="shared" si="2"/>
        <v>RES_201202_P4T42022</v>
      </c>
    </row>
    <row r="174" spans="1:10">
      <c r="A174" s="1375" t="s">
        <v>2490</v>
      </c>
      <c r="B174" s="1375" t="s">
        <v>769</v>
      </c>
      <c r="C174" s="1375">
        <v>2023</v>
      </c>
      <c r="D174" s="1922">
        <v>0</v>
      </c>
      <c r="E174" s="1922">
        <v>0</v>
      </c>
      <c r="F174" s="1922">
        <v>0</v>
      </c>
      <c r="G174" s="1922">
        <v>1</v>
      </c>
      <c r="H174" s="1922">
        <v>0</v>
      </c>
      <c r="I174" s="1375"/>
      <c r="J174" s="1375" t="str">
        <f t="shared" si="2"/>
        <v>RES_201202_P4T42023</v>
      </c>
    </row>
    <row r="175" spans="1:10">
      <c r="A175" s="1375" t="s">
        <v>2490</v>
      </c>
      <c r="B175" s="1375" t="s">
        <v>769</v>
      </c>
      <c r="C175" s="1375">
        <v>2024</v>
      </c>
      <c r="D175" s="1922">
        <v>0</v>
      </c>
      <c r="E175" s="1922">
        <v>0</v>
      </c>
      <c r="F175" s="1922">
        <v>0</v>
      </c>
      <c r="G175" s="1922">
        <v>1</v>
      </c>
      <c r="H175" s="1922">
        <v>0</v>
      </c>
      <c r="I175" s="1375"/>
      <c r="J175" s="1375" t="str">
        <f t="shared" si="2"/>
        <v>RES_201202_P4T42024</v>
      </c>
    </row>
    <row r="176" spans="1:10">
      <c r="A176" s="1375" t="s">
        <v>2490</v>
      </c>
      <c r="B176" s="1375" t="s">
        <v>769</v>
      </c>
      <c r="C176" s="1375">
        <v>2025</v>
      </c>
      <c r="D176" s="1922">
        <v>0</v>
      </c>
      <c r="E176" s="1922">
        <v>0</v>
      </c>
      <c r="F176" s="1922">
        <v>0</v>
      </c>
      <c r="G176" s="1922">
        <v>1</v>
      </c>
      <c r="H176" s="1922">
        <v>0</v>
      </c>
      <c r="I176" s="1375"/>
      <c r="J176" s="1375" t="str">
        <f t="shared" si="2"/>
        <v>RES_201202_P4T42025</v>
      </c>
    </row>
    <row r="177" spans="1:10">
      <c r="A177" s="1375" t="s">
        <v>2491</v>
      </c>
      <c r="B177" s="1375" t="s">
        <v>925</v>
      </c>
      <c r="C177" s="1375">
        <v>2022</v>
      </c>
      <c r="D177" s="1922">
        <v>0</v>
      </c>
      <c r="E177" s="1922">
        <v>0</v>
      </c>
      <c r="F177" s="1922">
        <v>0</v>
      </c>
      <c r="G177" s="1922">
        <v>1</v>
      </c>
      <c r="H177" s="1922">
        <v>0</v>
      </c>
      <c r="I177" s="1375"/>
      <c r="J177" s="1375" t="str">
        <f t="shared" si="2"/>
        <v>RES_201202_P4T52022</v>
      </c>
    </row>
    <row r="178" spans="1:10">
      <c r="A178" s="1375" t="s">
        <v>2491</v>
      </c>
      <c r="B178" s="1375" t="s">
        <v>925</v>
      </c>
      <c r="C178" s="1375">
        <v>2023</v>
      </c>
      <c r="D178" s="1922">
        <v>0</v>
      </c>
      <c r="E178" s="1922">
        <v>0</v>
      </c>
      <c r="F178" s="1922">
        <v>0</v>
      </c>
      <c r="G178" s="1922">
        <v>1</v>
      </c>
      <c r="H178" s="1922">
        <v>0</v>
      </c>
      <c r="I178" s="1375"/>
      <c r="J178" s="1375" t="str">
        <f t="shared" si="2"/>
        <v>RES_201202_P4T52023</v>
      </c>
    </row>
    <row r="179" spans="1:10">
      <c r="A179" s="1375" t="s">
        <v>2491</v>
      </c>
      <c r="B179" s="1375" t="s">
        <v>925</v>
      </c>
      <c r="C179" s="1375">
        <v>2024</v>
      </c>
      <c r="D179" s="1922">
        <v>0</v>
      </c>
      <c r="E179" s="1922">
        <v>0</v>
      </c>
      <c r="F179" s="1922">
        <v>0</v>
      </c>
      <c r="G179" s="1922">
        <v>1</v>
      </c>
      <c r="H179" s="1922">
        <v>0</v>
      </c>
      <c r="I179" s="1375"/>
      <c r="J179" s="1375" t="str">
        <f t="shared" si="2"/>
        <v>RES_201202_P4T52024</v>
      </c>
    </row>
    <row r="180" spans="1:10">
      <c r="A180" s="1375" t="s">
        <v>2491</v>
      </c>
      <c r="B180" s="1375" t="s">
        <v>925</v>
      </c>
      <c r="C180" s="1375">
        <v>2025</v>
      </c>
      <c r="D180" s="1922">
        <v>0</v>
      </c>
      <c r="E180" s="1922">
        <v>0</v>
      </c>
      <c r="F180" s="1922">
        <v>0</v>
      </c>
      <c r="G180" s="1922">
        <v>1</v>
      </c>
      <c r="H180" s="1922">
        <v>0</v>
      </c>
      <c r="I180" s="1375"/>
      <c r="J180" s="1375" t="str">
        <f t="shared" si="2"/>
        <v>RES_201202_P4T52025</v>
      </c>
    </row>
    <row r="181" spans="1:10">
      <c r="A181" s="1375" t="s">
        <v>2482</v>
      </c>
      <c r="B181" s="1375" t="s">
        <v>744</v>
      </c>
      <c r="C181" s="1375">
        <v>2022</v>
      </c>
      <c r="D181" s="1922">
        <v>0</v>
      </c>
      <c r="E181" s="1922">
        <v>0</v>
      </c>
      <c r="F181" s="1922">
        <v>0</v>
      </c>
      <c r="G181" s="1922">
        <v>1</v>
      </c>
      <c r="H181" s="1922">
        <v>0</v>
      </c>
      <c r="I181" s="1375"/>
      <c r="J181" s="1375" t="str">
        <f t="shared" si="2"/>
        <v>RES_201202_P3T12022</v>
      </c>
    </row>
    <row r="182" spans="1:10">
      <c r="A182" s="1375" t="s">
        <v>2482</v>
      </c>
      <c r="B182" s="1375" t="s">
        <v>744</v>
      </c>
      <c r="C182" s="1375">
        <v>2023</v>
      </c>
      <c r="D182" s="1922">
        <v>0</v>
      </c>
      <c r="E182" s="1922">
        <v>0</v>
      </c>
      <c r="F182" s="1922">
        <v>0</v>
      </c>
      <c r="G182" s="1922">
        <v>1</v>
      </c>
      <c r="H182" s="1922">
        <v>0</v>
      </c>
      <c r="I182" s="1375"/>
      <c r="J182" s="1375" t="str">
        <f t="shared" si="2"/>
        <v>RES_201202_P3T12023</v>
      </c>
    </row>
    <row r="183" spans="1:10">
      <c r="A183" s="1375" t="s">
        <v>2482</v>
      </c>
      <c r="B183" s="1375" t="s">
        <v>744</v>
      </c>
      <c r="C183" s="1375">
        <v>2024</v>
      </c>
      <c r="D183" s="1922">
        <v>0</v>
      </c>
      <c r="E183" s="1922">
        <v>0</v>
      </c>
      <c r="F183" s="1922">
        <v>0</v>
      </c>
      <c r="G183" s="1922">
        <v>1</v>
      </c>
      <c r="H183" s="1922">
        <v>0</v>
      </c>
      <c r="I183" s="1375"/>
      <c r="J183" s="1375" t="str">
        <f t="shared" si="2"/>
        <v>RES_201202_P3T12024</v>
      </c>
    </row>
    <row r="184" spans="1:10">
      <c r="A184" s="1375" t="s">
        <v>2482</v>
      </c>
      <c r="B184" s="1375" t="s">
        <v>744</v>
      </c>
      <c r="C184" s="1375">
        <v>2025</v>
      </c>
      <c r="D184" s="1922">
        <v>0</v>
      </c>
      <c r="E184" s="1922">
        <v>0</v>
      </c>
      <c r="F184" s="1922">
        <v>0</v>
      </c>
      <c r="G184" s="1922">
        <v>1</v>
      </c>
      <c r="H184" s="1922">
        <v>0</v>
      </c>
      <c r="I184" s="1375"/>
      <c r="J184" s="1375" t="str">
        <f t="shared" si="2"/>
        <v>RES_201202_P3T12025</v>
      </c>
    </row>
    <row r="185" spans="1:10">
      <c r="A185" s="1375" t="s">
        <v>2483</v>
      </c>
      <c r="B185" s="1375" t="s">
        <v>745</v>
      </c>
      <c r="C185" s="1375">
        <v>2022</v>
      </c>
      <c r="D185" s="1922">
        <v>0</v>
      </c>
      <c r="E185" s="1922">
        <v>0</v>
      </c>
      <c r="F185" s="1922">
        <v>0</v>
      </c>
      <c r="G185" s="1922">
        <v>1</v>
      </c>
      <c r="H185" s="1922">
        <v>0</v>
      </c>
      <c r="I185" s="1375"/>
      <c r="J185" s="1375" t="str">
        <f t="shared" si="2"/>
        <v>RES_201202_P3T22022</v>
      </c>
    </row>
    <row r="186" spans="1:10">
      <c r="A186" s="1375" t="s">
        <v>2483</v>
      </c>
      <c r="B186" s="1375" t="s">
        <v>745</v>
      </c>
      <c r="C186" s="1375">
        <v>2023</v>
      </c>
      <c r="D186" s="1922">
        <v>0</v>
      </c>
      <c r="E186" s="1922">
        <v>0</v>
      </c>
      <c r="F186" s="1922">
        <v>0</v>
      </c>
      <c r="G186" s="1922">
        <v>1</v>
      </c>
      <c r="H186" s="1922">
        <v>0</v>
      </c>
      <c r="I186" s="1375"/>
      <c r="J186" s="1375" t="str">
        <f t="shared" si="2"/>
        <v>RES_201202_P3T22023</v>
      </c>
    </row>
    <row r="187" spans="1:10">
      <c r="A187" s="1375" t="s">
        <v>2483</v>
      </c>
      <c r="B187" s="1375" t="s">
        <v>745</v>
      </c>
      <c r="C187" s="1375">
        <v>2024</v>
      </c>
      <c r="D187" s="1922">
        <v>0</v>
      </c>
      <c r="E187" s="1922">
        <v>0</v>
      </c>
      <c r="F187" s="1922">
        <v>0</v>
      </c>
      <c r="G187" s="1922">
        <v>1</v>
      </c>
      <c r="H187" s="1922">
        <v>0</v>
      </c>
      <c r="I187" s="1375"/>
      <c r="J187" s="1375" t="str">
        <f t="shared" si="2"/>
        <v>RES_201202_P3T22024</v>
      </c>
    </row>
    <row r="188" spans="1:10">
      <c r="A188" s="1375" t="s">
        <v>2483</v>
      </c>
      <c r="B188" s="1375" t="s">
        <v>745</v>
      </c>
      <c r="C188" s="1375">
        <v>2025</v>
      </c>
      <c r="D188" s="1922">
        <v>0</v>
      </c>
      <c r="E188" s="1922">
        <v>0</v>
      </c>
      <c r="F188" s="1922">
        <v>0</v>
      </c>
      <c r="G188" s="1922">
        <v>1</v>
      </c>
      <c r="H188" s="1922">
        <v>0</v>
      </c>
      <c r="I188" s="1375"/>
      <c r="J188" s="1375" t="str">
        <f t="shared" si="2"/>
        <v>RES_201202_P3T22025</v>
      </c>
    </row>
    <row r="189" spans="1:10">
      <c r="A189" s="1375" t="s">
        <v>2484</v>
      </c>
      <c r="B189" s="1375" t="s">
        <v>764</v>
      </c>
      <c r="C189" s="1375">
        <v>2022</v>
      </c>
      <c r="D189" s="1922">
        <v>0</v>
      </c>
      <c r="E189" s="1922">
        <v>0</v>
      </c>
      <c r="F189" s="1922">
        <v>0</v>
      </c>
      <c r="G189" s="1922">
        <v>1</v>
      </c>
      <c r="H189" s="1922">
        <v>0</v>
      </c>
      <c r="I189" s="1375"/>
      <c r="J189" s="1375" t="str">
        <f t="shared" si="2"/>
        <v>RES_201202_P3T32022</v>
      </c>
    </row>
    <row r="190" spans="1:10">
      <c r="A190" s="1375" t="s">
        <v>2484</v>
      </c>
      <c r="B190" s="1375" t="s">
        <v>764</v>
      </c>
      <c r="C190" s="1375">
        <v>2023</v>
      </c>
      <c r="D190" s="1922">
        <v>0</v>
      </c>
      <c r="E190" s="1922">
        <v>0</v>
      </c>
      <c r="F190" s="1922">
        <v>0</v>
      </c>
      <c r="G190" s="1922">
        <v>1</v>
      </c>
      <c r="H190" s="1922">
        <v>0</v>
      </c>
      <c r="I190" s="1375"/>
      <c r="J190" s="1375" t="str">
        <f t="shared" si="2"/>
        <v>RES_201202_P3T32023</v>
      </c>
    </row>
    <row r="191" spans="1:10">
      <c r="A191" s="1375" t="s">
        <v>2484</v>
      </c>
      <c r="B191" s="1375" t="s">
        <v>764</v>
      </c>
      <c r="C191" s="1375">
        <v>2024</v>
      </c>
      <c r="D191" s="1922">
        <v>0</v>
      </c>
      <c r="E191" s="1922">
        <v>0</v>
      </c>
      <c r="F191" s="1922">
        <v>0</v>
      </c>
      <c r="G191" s="1922">
        <v>1</v>
      </c>
      <c r="H191" s="1922">
        <v>0</v>
      </c>
      <c r="I191" s="1375"/>
      <c r="J191" s="1375" t="str">
        <f t="shared" si="2"/>
        <v>RES_201202_P3T32024</v>
      </c>
    </row>
    <row r="192" spans="1:10">
      <c r="A192" s="1375" t="s">
        <v>2484</v>
      </c>
      <c r="B192" s="1375" t="s">
        <v>764</v>
      </c>
      <c r="C192" s="1375">
        <v>2025</v>
      </c>
      <c r="D192" s="1922">
        <v>0</v>
      </c>
      <c r="E192" s="1922">
        <v>0</v>
      </c>
      <c r="F192" s="1922">
        <v>0</v>
      </c>
      <c r="G192" s="1922">
        <v>1</v>
      </c>
      <c r="H192" s="1922">
        <v>0</v>
      </c>
      <c r="I192" s="1375"/>
      <c r="J192" s="1375" t="str">
        <f t="shared" si="2"/>
        <v>RES_201202_P3T32025</v>
      </c>
    </row>
    <row r="193" spans="1:10">
      <c r="A193" s="1375" t="s">
        <v>2485</v>
      </c>
      <c r="B193" s="1375" t="s">
        <v>765</v>
      </c>
      <c r="C193" s="1375">
        <v>2022</v>
      </c>
      <c r="D193" s="1922">
        <v>0</v>
      </c>
      <c r="E193" s="1922">
        <v>0</v>
      </c>
      <c r="F193" s="1922">
        <v>0</v>
      </c>
      <c r="G193" s="1922">
        <v>1</v>
      </c>
      <c r="H193" s="1922">
        <v>0</v>
      </c>
      <c r="I193" s="1375"/>
      <c r="J193" s="1375" t="str">
        <f t="shared" si="2"/>
        <v>RES_201202_P3T42022</v>
      </c>
    </row>
    <row r="194" spans="1:10">
      <c r="A194" s="1375" t="s">
        <v>2485</v>
      </c>
      <c r="B194" s="1375" t="s">
        <v>765</v>
      </c>
      <c r="C194" s="1375">
        <v>2023</v>
      </c>
      <c r="D194" s="1922">
        <v>0</v>
      </c>
      <c r="E194" s="1922">
        <v>0</v>
      </c>
      <c r="F194" s="1922">
        <v>0</v>
      </c>
      <c r="G194" s="1922">
        <v>1</v>
      </c>
      <c r="H194" s="1922">
        <v>0</v>
      </c>
      <c r="I194" s="1375"/>
      <c r="J194" s="1375" t="str">
        <f t="shared" si="2"/>
        <v>RES_201202_P3T42023</v>
      </c>
    </row>
    <row r="195" spans="1:10">
      <c r="A195" s="1375" t="s">
        <v>2485</v>
      </c>
      <c r="B195" s="1375" t="s">
        <v>765</v>
      </c>
      <c r="C195" s="1375">
        <v>2024</v>
      </c>
      <c r="D195" s="1922">
        <v>0</v>
      </c>
      <c r="E195" s="1922">
        <v>0</v>
      </c>
      <c r="F195" s="1922">
        <v>0</v>
      </c>
      <c r="G195" s="1922">
        <v>1</v>
      </c>
      <c r="H195" s="1922">
        <v>0</v>
      </c>
      <c r="I195" s="1375"/>
      <c r="J195" s="1375" t="str">
        <f t="shared" si="2"/>
        <v>RES_201202_P3T42024</v>
      </c>
    </row>
    <row r="196" spans="1:10">
      <c r="A196" s="1375" t="s">
        <v>2485</v>
      </c>
      <c r="B196" s="1375" t="s">
        <v>765</v>
      </c>
      <c r="C196" s="1375">
        <v>2025</v>
      </c>
      <c r="D196" s="1922">
        <v>0</v>
      </c>
      <c r="E196" s="1922">
        <v>0</v>
      </c>
      <c r="F196" s="1922">
        <v>0</v>
      </c>
      <c r="G196" s="1922">
        <v>1</v>
      </c>
      <c r="H196" s="1922">
        <v>0</v>
      </c>
      <c r="I196" s="1375"/>
      <c r="J196" s="1375" t="str">
        <f t="shared" si="2"/>
        <v>RES_201202_P3T42025</v>
      </c>
    </row>
    <row r="197" spans="1:10">
      <c r="A197" s="1375" t="s">
        <v>2486</v>
      </c>
      <c r="B197" s="1375" t="s">
        <v>924</v>
      </c>
      <c r="C197" s="1375">
        <v>2022</v>
      </c>
      <c r="D197" s="1922">
        <v>0</v>
      </c>
      <c r="E197" s="1922">
        <v>0</v>
      </c>
      <c r="F197" s="1922">
        <v>0</v>
      </c>
      <c r="G197" s="1922">
        <v>1</v>
      </c>
      <c r="H197" s="1922">
        <v>0</v>
      </c>
      <c r="I197" s="1375"/>
      <c r="J197" s="1375" t="str">
        <f t="shared" si="2"/>
        <v>RES_201202_P3T52022</v>
      </c>
    </row>
    <row r="198" spans="1:10">
      <c r="A198" s="1375" t="s">
        <v>2486</v>
      </c>
      <c r="B198" s="1375" t="s">
        <v>924</v>
      </c>
      <c r="C198" s="1375">
        <v>2023</v>
      </c>
      <c r="D198" s="1922">
        <v>0</v>
      </c>
      <c r="E198" s="1922">
        <v>0</v>
      </c>
      <c r="F198" s="1922">
        <v>0</v>
      </c>
      <c r="G198" s="1922">
        <v>1</v>
      </c>
      <c r="H198" s="1922">
        <v>0</v>
      </c>
      <c r="I198" s="1375"/>
      <c r="J198" s="1375" t="str">
        <f t="shared" ref="J198:J261" si="3">B198&amp;C198</f>
        <v>RES_201202_P3T52023</v>
      </c>
    </row>
    <row r="199" spans="1:10">
      <c r="A199" s="1375" t="s">
        <v>2486</v>
      </c>
      <c r="B199" s="1375" t="s">
        <v>924</v>
      </c>
      <c r="C199" s="1375">
        <v>2024</v>
      </c>
      <c r="D199" s="1922">
        <v>0</v>
      </c>
      <c r="E199" s="1922">
        <v>0</v>
      </c>
      <c r="F199" s="1922">
        <v>0</v>
      </c>
      <c r="G199" s="1922">
        <v>1</v>
      </c>
      <c r="H199" s="1922">
        <v>0</v>
      </c>
      <c r="I199" s="1375"/>
      <c r="J199" s="1375" t="str">
        <f t="shared" si="3"/>
        <v>RES_201202_P3T52024</v>
      </c>
    </row>
    <row r="200" spans="1:10">
      <c r="A200" s="1375" t="s">
        <v>2486</v>
      </c>
      <c r="B200" s="1375" t="s">
        <v>924</v>
      </c>
      <c r="C200" s="1375">
        <v>2025</v>
      </c>
      <c r="D200" s="1922">
        <v>0</v>
      </c>
      <c r="E200" s="1922">
        <v>0</v>
      </c>
      <c r="F200" s="1922">
        <v>0</v>
      </c>
      <c r="G200" s="1922">
        <v>1</v>
      </c>
      <c r="H200" s="1922">
        <v>0</v>
      </c>
      <c r="I200" s="1375"/>
      <c r="J200" s="1375" t="str">
        <f t="shared" si="3"/>
        <v>RES_201202_P3T52025</v>
      </c>
    </row>
    <row r="201" spans="1:10">
      <c r="A201" s="1375" t="s">
        <v>1834</v>
      </c>
      <c r="B201" s="1375" t="s">
        <v>74</v>
      </c>
      <c r="C201" s="1375">
        <v>2022</v>
      </c>
      <c r="D201" s="1922">
        <v>0</v>
      </c>
      <c r="E201" s="1922">
        <v>0</v>
      </c>
      <c r="F201" s="1922">
        <v>0</v>
      </c>
      <c r="G201" s="1922">
        <v>1</v>
      </c>
      <c r="H201" s="1922">
        <v>0</v>
      </c>
      <c r="I201" s="1375"/>
      <c r="J201" s="1375" t="str">
        <f t="shared" si="3"/>
        <v>RES_200601_P1T52022</v>
      </c>
    </row>
    <row r="202" spans="1:10">
      <c r="A202" s="1375" t="s">
        <v>1834</v>
      </c>
      <c r="B202" s="1375" t="s">
        <v>74</v>
      </c>
      <c r="C202" s="1375">
        <v>2023</v>
      </c>
      <c r="D202" s="1922">
        <v>0</v>
      </c>
      <c r="E202" s="1922">
        <v>0</v>
      </c>
      <c r="F202" s="1922">
        <v>0</v>
      </c>
      <c r="G202" s="1922">
        <v>1</v>
      </c>
      <c r="H202" s="1922">
        <v>0</v>
      </c>
      <c r="I202" s="1375"/>
      <c r="J202" s="1375" t="str">
        <f t="shared" si="3"/>
        <v>RES_200601_P1T52023</v>
      </c>
    </row>
    <row r="203" spans="1:10">
      <c r="A203" s="1375" t="s">
        <v>1834</v>
      </c>
      <c r="B203" s="1375" t="s">
        <v>74</v>
      </c>
      <c r="C203" s="1375">
        <v>2024</v>
      </c>
      <c r="D203" s="1922">
        <v>0</v>
      </c>
      <c r="E203" s="1922">
        <v>0</v>
      </c>
      <c r="F203" s="1922">
        <v>0</v>
      </c>
      <c r="G203" s="1922">
        <v>1</v>
      </c>
      <c r="H203" s="1922">
        <v>0</v>
      </c>
      <c r="I203" s="1375"/>
      <c r="J203" s="1375" t="str">
        <f t="shared" si="3"/>
        <v>RES_200601_P1T52024</v>
      </c>
    </row>
    <row r="204" spans="1:10">
      <c r="A204" s="1375" t="s">
        <v>1834</v>
      </c>
      <c r="B204" s="1375" t="s">
        <v>74</v>
      </c>
      <c r="C204" s="1375">
        <v>2025</v>
      </c>
      <c r="D204" s="1922">
        <v>0</v>
      </c>
      <c r="E204" s="1922">
        <v>0</v>
      </c>
      <c r="F204" s="1922">
        <v>0</v>
      </c>
      <c r="G204" s="1922">
        <v>1</v>
      </c>
      <c r="H204" s="1922">
        <v>0</v>
      </c>
      <c r="I204" s="1375"/>
      <c r="J204" s="1375" t="str">
        <f t="shared" si="3"/>
        <v>RES_200601_P1T52025</v>
      </c>
    </row>
    <row r="205" spans="1:10">
      <c r="A205" s="1375" t="s">
        <v>2444</v>
      </c>
      <c r="B205" s="1375" t="s">
        <v>1519</v>
      </c>
      <c r="C205" s="1375">
        <v>2024</v>
      </c>
      <c r="D205" s="1922">
        <v>0</v>
      </c>
      <c r="E205" s="1922">
        <v>0</v>
      </c>
      <c r="F205" s="1922">
        <v>0</v>
      </c>
      <c r="G205" s="1922">
        <v>1</v>
      </c>
      <c r="H205" s="1922">
        <v>0</v>
      </c>
      <c r="I205" s="1375"/>
      <c r="J205" s="1375" t="str">
        <f t="shared" si="3"/>
        <v>RES_200601_P1T62024</v>
      </c>
    </row>
    <row r="206" spans="1:10">
      <c r="A206" s="1375" t="s">
        <v>2444</v>
      </c>
      <c r="B206" s="1375" t="s">
        <v>1519</v>
      </c>
      <c r="C206" s="1375">
        <v>2025</v>
      </c>
      <c r="D206" s="1922">
        <v>0</v>
      </c>
      <c r="E206" s="1922">
        <v>0</v>
      </c>
      <c r="F206" s="1922">
        <v>0</v>
      </c>
      <c r="G206" s="1922">
        <v>1</v>
      </c>
      <c r="H206" s="1922">
        <v>0</v>
      </c>
      <c r="I206" s="1375"/>
      <c r="J206" s="1375" t="str">
        <f t="shared" si="3"/>
        <v>RES_200601_P1T62025</v>
      </c>
    </row>
    <row r="207" spans="1:10">
      <c r="A207" s="1375" t="s">
        <v>1808</v>
      </c>
      <c r="B207" s="1375" t="s">
        <v>62</v>
      </c>
      <c r="C207" s="1375">
        <v>2022</v>
      </c>
      <c r="D207" s="1922">
        <v>0</v>
      </c>
      <c r="E207" s="1922">
        <v>0</v>
      </c>
      <c r="F207" s="1922">
        <v>0</v>
      </c>
      <c r="G207" s="1922">
        <v>1</v>
      </c>
      <c r="H207" s="1922">
        <v>0</v>
      </c>
      <c r="I207" s="1375"/>
      <c r="J207" s="1375" t="str">
        <f t="shared" si="3"/>
        <v>RES_201301_P1T52022</v>
      </c>
    </row>
    <row r="208" spans="1:10">
      <c r="A208" s="1375" t="s">
        <v>1808</v>
      </c>
      <c r="B208" s="1375" t="s">
        <v>62</v>
      </c>
      <c r="C208" s="1375">
        <v>2023</v>
      </c>
      <c r="D208" s="1922">
        <v>0</v>
      </c>
      <c r="E208" s="1922">
        <v>0</v>
      </c>
      <c r="F208" s="1922">
        <v>0</v>
      </c>
      <c r="G208" s="1922">
        <v>1</v>
      </c>
      <c r="H208" s="1922">
        <v>0</v>
      </c>
      <c r="I208" s="1375"/>
      <c r="J208" s="1375" t="str">
        <f t="shared" si="3"/>
        <v>RES_201301_P1T52023</v>
      </c>
    </row>
    <row r="209" spans="1:10">
      <c r="A209" s="1375" t="s">
        <v>1808</v>
      </c>
      <c r="B209" s="1375" t="s">
        <v>62</v>
      </c>
      <c r="C209" s="1375">
        <v>2024</v>
      </c>
      <c r="D209" s="1922">
        <v>0</v>
      </c>
      <c r="E209" s="1922">
        <v>0</v>
      </c>
      <c r="F209" s="1922">
        <v>0</v>
      </c>
      <c r="G209" s="1922">
        <v>1</v>
      </c>
      <c r="H209" s="1922">
        <v>0</v>
      </c>
      <c r="I209" s="1375"/>
      <c r="J209" s="1375" t="str">
        <f t="shared" si="3"/>
        <v>RES_201301_P1T52024</v>
      </c>
    </row>
    <row r="210" spans="1:10">
      <c r="A210" s="1375" t="s">
        <v>1808</v>
      </c>
      <c r="B210" s="1375" t="s">
        <v>62</v>
      </c>
      <c r="C210" s="1375">
        <v>2025</v>
      </c>
      <c r="D210" s="1922">
        <v>0</v>
      </c>
      <c r="E210" s="1922">
        <v>0</v>
      </c>
      <c r="F210" s="1922">
        <v>0</v>
      </c>
      <c r="G210" s="1922">
        <v>1</v>
      </c>
      <c r="H210" s="1922">
        <v>0</v>
      </c>
      <c r="I210" s="1375"/>
      <c r="J210" s="1375" t="str">
        <f t="shared" si="3"/>
        <v>RES_201301_P1T52025</v>
      </c>
    </row>
    <row r="211" spans="1:10">
      <c r="A211" s="1375" t="s">
        <v>2512</v>
      </c>
      <c r="B211" s="1375" t="s">
        <v>2305</v>
      </c>
      <c r="C211" s="1375">
        <v>2024</v>
      </c>
      <c r="D211" s="1922">
        <v>0</v>
      </c>
      <c r="E211" s="1922">
        <v>0</v>
      </c>
      <c r="F211" s="1922">
        <v>0</v>
      </c>
      <c r="G211" s="1922">
        <v>1</v>
      </c>
      <c r="H211" s="1922">
        <v>0</v>
      </c>
      <c r="I211" s="1375"/>
      <c r="J211" s="1375" t="str">
        <f t="shared" si="3"/>
        <v>RES_201301_P1T62024</v>
      </c>
    </row>
    <row r="212" spans="1:10">
      <c r="A212" s="1375" t="s">
        <v>2512</v>
      </c>
      <c r="B212" s="1375" t="s">
        <v>2305</v>
      </c>
      <c r="C212" s="1375">
        <v>2025</v>
      </c>
      <c r="D212" s="1922">
        <v>0</v>
      </c>
      <c r="E212" s="1922">
        <v>0</v>
      </c>
      <c r="F212" s="1922">
        <v>0</v>
      </c>
      <c r="G212" s="1922">
        <v>1</v>
      </c>
      <c r="H212" s="1922">
        <v>0</v>
      </c>
      <c r="I212" s="1375"/>
      <c r="J212" s="1375" t="str">
        <f t="shared" si="3"/>
        <v>RES_201301_P1T62025</v>
      </c>
    </row>
    <row r="213" spans="1:10">
      <c r="A213" s="1375" t="s">
        <v>2504</v>
      </c>
      <c r="B213" s="1375" t="s">
        <v>1398</v>
      </c>
      <c r="C213" s="1375">
        <v>2022</v>
      </c>
      <c r="D213" s="1922">
        <v>0</v>
      </c>
      <c r="E213" s="1922">
        <v>0</v>
      </c>
      <c r="F213" s="1922">
        <v>0</v>
      </c>
      <c r="G213" s="1922">
        <v>1</v>
      </c>
      <c r="H213" s="1922">
        <v>0</v>
      </c>
      <c r="I213" s="1375"/>
      <c r="J213" s="1375" t="str">
        <f t="shared" si="3"/>
        <v>RES_201301_P16T12022</v>
      </c>
    </row>
    <row r="214" spans="1:10">
      <c r="A214" s="1375" t="s">
        <v>2504</v>
      </c>
      <c r="B214" s="1375" t="s">
        <v>1398</v>
      </c>
      <c r="C214" s="1375">
        <v>2023</v>
      </c>
      <c r="D214" s="1922">
        <v>0</v>
      </c>
      <c r="E214" s="1922">
        <v>0</v>
      </c>
      <c r="F214" s="1922">
        <v>0</v>
      </c>
      <c r="G214" s="1922">
        <v>1</v>
      </c>
      <c r="H214" s="1922">
        <v>0</v>
      </c>
      <c r="I214" s="1375"/>
      <c r="J214" s="1375" t="str">
        <f t="shared" si="3"/>
        <v>RES_201301_P16T12023</v>
      </c>
    </row>
    <row r="215" spans="1:10">
      <c r="A215" s="1375" t="s">
        <v>2504</v>
      </c>
      <c r="B215" s="1375" t="s">
        <v>1398</v>
      </c>
      <c r="C215" s="1375">
        <v>2024</v>
      </c>
      <c r="D215" s="1922">
        <v>0</v>
      </c>
      <c r="E215" s="1922">
        <v>0</v>
      </c>
      <c r="F215" s="1922">
        <v>0</v>
      </c>
      <c r="G215" s="1922">
        <v>1</v>
      </c>
      <c r="H215" s="1922">
        <v>0</v>
      </c>
      <c r="I215" s="1375"/>
      <c r="J215" s="1375" t="str">
        <f t="shared" si="3"/>
        <v>RES_201301_P16T12024</v>
      </c>
    </row>
    <row r="216" spans="1:10">
      <c r="A216" s="1375" t="s">
        <v>2500</v>
      </c>
      <c r="B216" s="1375" t="s">
        <v>77</v>
      </c>
      <c r="C216" s="1375">
        <v>2022</v>
      </c>
      <c r="D216" s="1922">
        <v>0</v>
      </c>
      <c r="E216" s="1922">
        <v>0</v>
      </c>
      <c r="F216" s="1922">
        <v>0</v>
      </c>
      <c r="G216" s="1922">
        <v>1</v>
      </c>
      <c r="H216" s="1922">
        <v>0</v>
      </c>
      <c r="I216" s="1375"/>
      <c r="J216" s="1375" t="str">
        <f t="shared" si="3"/>
        <v>RES_201301_P15T12022</v>
      </c>
    </row>
    <row r="217" spans="1:10">
      <c r="A217" s="1375" t="s">
        <v>2500</v>
      </c>
      <c r="B217" s="1375" t="s">
        <v>77</v>
      </c>
      <c r="C217" s="1375">
        <v>2023</v>
      </c>
      <c r="D217" s="1922">
        <v>0</v>
      </c>
      <c r="E217" s="1922">
        <v>0</v>
      </c>
      <c r="F217" s="1922">
        <v>0</v>
      </c>
      <c r="G217" s="1922">
        <v>1</v>
      </c>
      <c r="H217" s="1922">
        <v>0</v>
      </c>
      <c r="I217" s="1375"/>
      <c r="J217" s="1375" t="str">
        <f t="shared" si="3"/>
        <v>RES_201301_P15T12023</v>
      </c>
    </row>
    <row r="218" spans="1:10">
      <c r="A218" s="1375" t="s">
        <v>2500</v>
      </c>
      <c r="B218" s="1375" t="s">
        <v>77</v>
      </c>
      <c r="C218" s="1375">
        <v>2024</v>
      </c>
      <c r="D218" s="1922">
        <v>0</v>
      </c>
      <c r="E218" s="1922">
        <v>0</v>
      </c>
      <c r="F218" s="1922">
        <v>0</v>
      </c>
      <c r="G218" s="1922">
        <v>1</v>
      </c>
      <c r="H218" s="1922">
        <v>0</v>
      </c>
      <c r="I218" s="1375"/>
      <c r="J218" s="1375" t="str">
        <f t="shared" si="3"/>
        <v>RES_201301_P15T12024</v>
      </c>
    </row>
    <row r="219" spans="1:10">
      <c r="A219" s="1375" t="s">
        <v>2500</v>
      </c>
      <c r="B219" s="1375" t="s">
        <v>77</v>
      </c>
      <c r="C219" s="1375">
        <v>2025</v>
      </c>
      <c r="D219" s="1922">
        <v>0</v>
      </c>
      <c r="E219" s="1922">
        <v>0</v>
      </c>
      <c r="F219" s="1922">
        <v>0</v>
      </c>
      <c r="G219" s="1922">
        <v>1</v>
      </c>
      <c r="H219" s="1922">
        <v>0</v>
      </c>
      <c r="I219" s="1375"/>
      <c r="J219" s="1375" t="str">
        <f t="shared" si="3"/>
        <v>RES_201301_P15T12025</v>
      </c>
    </row>
    <row r="220" spans="1:10">
      <c r="A220" s="1375" t="s">
        <v>2495</v>
      </c>
      <c r="B220" s="1375" t="s">
        <v>81</v>
      </c>
      <c r="C220" s="1375">
        <v>2022</v>
      </c>
      <c r="D220" s="1922">
        <v>0</v>
      </c>
      <c r="E220" s="1922">
        <v>0</v>
      </c>
      <c r="F220" s="1922">
        <v>0</v>
      </c>
      <c r="G220" s="1922">
        <v>1</v>
      </c>
      <c r="H220" s="1922">
        <v>0</v>
      </c>
      <c r="I220" s="1375"/>
      <c r="J220" s="1375" t="str">
        <f t="shared" si="3"/>
        <v>RES_201301_P13T12022</v>
      </c>
    </row>
    <row r="221" spans="1:10">
      <c r="A221" s="1375" t="s">
        <v>2495</v>
      </c>
      <c r="B221" s="1375" t="s">
        <v>81</v>
      </c>
      <c r="C221" s="1375">
        <v>2023</v>
      </c>
      <c r="D221" s="1922">
        <v>0</v>
      </c>
      <c r="E221" s="1922">
        <v>0</v>
      </c>
      <c r="F221" s="1922">
        <v>0</v>
      </c>
      <c r="G221" s="1922">
        <v>1</v>
      </c>
      <c r="H221" s="1922">
        <v>0</v>
      </c>
      <c r="I221" s="1375"/>
      <c r="J221" s="1375" t="str">
        <f t="shared" si="3"/>
        <v>RES_201301_P13T12023</v>
      </c>
    </row>
    <row r="222" spans="1:10">
      <c r="A222" s="1375" t="s">
        <v>2516</v>
      </c>
      <c r="B222" s="1375" t="s">
        <v>757</v>
      </c>
      <c r="C222" s="1375">
        <v>2022</v>
      </c>
      <c r="D222" s="1922">
        <v>0</v>
      </c>
      <c r="E222" s="1922">
        <v>0</v>
      </c>
      <c r="F222" s="1922">
        <v>0</v>
      </c>
      <c r="G222" s="1922">
        <v>1</v>
      </c>
      <c r="H222" s="1922">
        <v>0</v>
      </c>
      <c r="I222" s="1375"/>
      <c r="J222" s="1375" t="str">
        <f t="shared" si="3"/>
        <v>RES_201301_P21T12022</v>
      </c>
    </row>
    <row r="223" spans="1:10">
      <c r="A223" s="1375" t="s">
        <v>2516</v>
      </c>
      <c r="B223" s="1375" t="s">
        <v>757</v>
      </c>
      <c r="C223" s="1375">
        <v>2023</v>
      </c>
      <c r="D223" s="1922">
        <v>0</v>
      </c>
      <c r="E223" s="1922">
        <v>0</v>
      </c>
      <c r="F223" s="1922">
        <v>0</v>
      </c>
      <c r="G223" s="1922">
        <v>1</v>
      </c>
      <c r="H223" s="1922">
        <v>0</v>
      </c>
      <c r="I223" s="1375"/>
      <c r="J223" s="1375" t="str">
        <f t="shared" si="3"/>
        <v>RES_201301_P21T12023</v>
      </c>
    </row>
    <row r="224" spans="1:10">
      <c r="A224" s="1375" t="s">
        <v>2516</v>
      </c>
      <c r="B224" s="1375" t="s">
        <v>757</v>
      </c>
      <c r="C224" s="1375">
        <v>2024</v>
      </c>
      <c r="D224" s="1922">
        <v>0</v>
      </c>
      <c r="E224" s="1922">
        <v>0</v>
      </c>
      <c r="F224" s="1922">
        <v>0</v>
      </c>
      <c r="G224" s="1922">
        <v>1</v>
      </c>
      <c r="H224" s="1922">
        <v>0</v>
      </c>
      <c r="I224" s="1375"/>
      <c r="J224" s="1375" t="str">
        <f t="shared" si="3"/>
        <v>RES_201301_P21T12024</v>
      </c>
    </row>
    <row r="225" spans="1:10">
      <c r="A225" s="1375" t="s">
        <v>2516</v>
      </c>
      <c r="B225" s="1375" t="s">
        <v>757</v>
      </c>
      <c r="C225" s="1375">
        <v>2025</v>
      </c>
      <c r="D225" s="1922">
        <v>0</v>
      </c>
      <c r="E225" s="1922">
        <v>0</v>
      </c>
      <c r="F225" s="1922">
        <v>0</v>
      </c>
      <c r="G225" s="1922">
        <v>1</v>
      </c>
      <c r="H225" s="1922">
        <v>0</v>
      </c>
      <c r="I225" s="1375"/>
      <c r="J225" s="1375" t="str">
        <f t="shared" si="3"/>
        <v>RES_201301_P21T12025</v>
      </c>
    </row>
    <row r="226" spans="1:10">
      <c r="A226" s="1375" t="s">
        <v>1860</v>
      </c>
      <c r="B226" s="1375" t="s">
        <v>94</v>
      </c>
      <c r="C226" s="1375">
        <v>2022</v>
      </c>
      <c r="D226" s="1922">
        <v>0</v>
      </c>
      <c r="E226" s="1922">
        <v>0</v>
      </c>
      <c r="F226" s="1922">
        <v>1</v>
      </c>
      <c r="G226" s="1922">
        <v>0</v>
      </c>
      <c r="H226" s="1922">
        <v>0</v>
      </c>
      <c r="I226" s="1375"/>
      <c r="J226" s="1375" t="str">
        <f t="shared" si="3"/>
        <v>COM_201403_P4T12022</v>
      </c>
    </row>
    <row r="227" spans="1:10">
      <c r="A227" s="1375" t="s">
        <v>1860</v>
      </c>
      <c r="B227" s="1375" t="s">
        <v>94</v>
      </c>
      <c r="C227" s="1375">
        <v>2023</v>
      </c>
      <c r="D227" s="1922">
        <v>0</v>
      </c>
      <c r="E227" s="1922">
        <v>0</v>
      </c>
      <c r="F227" s="1922">
        <v>1</v>
      </c>
      <c r="G227" s="1922">
        <v>0</v>
      </c>
      <c r="H227" s="1922">
        <v>0</v>
      </c>
      <c r="I227" s="1375"/>
      <c r="J227" s="1375" t="str">
        <f t="shared" si="3"/>
        <v>COM_201403_P4T12023</v>
      </c>
    </row>
    <row r="228" spans="1:10">
      <c r="A228" s="1375" t="s">
        <v>1860</v>
      </c>
      <c r="B228" s="1375" t="s">
        <v>94</v>
      </c>
      <c r="C228" s="1375">
        <v>2024</v>
      </c>
      <c r="D228" s="1922">
        <v>0</v>
      </c>
      <c r="E228" s="1922">
        <v>0</v>
      </c>
      <c r="F228" s="1922">
        <v>1</v>
      </c>
      <c r="G228" s="1922">
        <v>0</v>
      </c>
      <c r="H228" s="1922">
        <v>0</v>
      </c>
      <c r="I228" s="1375"/>
      <c r="J228" s="1375" t="str">
        <f t="shared" si="3"/>
        <v>COM_201403_P4T12024</v>
      </c>
    </row>
    <row r="229" spans="1:10">
      <c r="A229" s="1375" t="s">
        <v>1860</v>
      </c>
      <c r="B229" s="1375" t="s">
        <v>94</v>
      </c>
      <c r="C229" s="1375">
        <v>2025</v>
      </c>
      <c r="D229" s="1922">
        <v>0</v>
      </c>
      <c r="E229" s="1922">
        <v>0</v>
      </c>
      <c r="F229" s="1922">
        <v>1</v>
      </c>
      <c r="G229" s="1922">
        <v>0</v>
      </c>
      <c r="H229" s="1922">
        <v>0</v>
      </c>
      <c r="I229" s="1375"/>
      <c r="J229" s="1375" t="str">
        <f t="shared" si="3"/>
        <v>COM_201403_P4T12025</v>
      </c>
    </row>
    <row r="230" spans="1:10">
      <c r="A230" s="1375" t="s">
        <v>1858</v>
      </c>
      <c r="B230" s="1375" t="s">
        <v>93</v>
      </c>
      <c r="C230" s="1375">
        <v>2022</v>
      </c>
      <c r="D230" s="1922">
        <v>0</v>
      </c>
      <c r="E230" s="1922">
        <v>0</v>
      </c>
      <c r="F230" s="1922">
        <v>1</v>
      </c>
      <c r="G230" s="1922">
        <v>0</v>
      </c>
      <c r="H230" s="1922">
        <v>0</v>
      </c>
      <c r="I230" s="1375"/>
      <c r="J230" s="1375" t="str">
        <f t="shared" si="3"/>
        <v>COM_201403_P3T12022</v>
      </c>
    </row>
    <row r="231" spans="1:10">
      <c r="A231" s="1375" t="s">
        <v>1858</v>
      </c>
      <c r="B231" s="1375" t="s">
        <v>93</v>
      </c>
      <c r="C231" s="1375">
        <v>2023</v>
      </c>
      <c r="D231" s="1922">
        <v>0</v>
      </c>
      <c r="E231" s="1922">
        <v>0</v>
      </c>
      <c r="F231" s="1922">
        <v>1</v>
      </c>
      <c r="G231" s="1922">
        <v>0</v>
      </c>
      <c r="H231" s="1922">
        <v>0</v>
      </c>
      <c r="I231" s="1375"/>
      <c r="J231" s="1375" t="str">
        <f t="shared" si="3"/>
        <v>COM_201403_P3T12023</v>
      </c>
    </row>
    <row r="232" spans="1:10">
      <c r="A232" s="1375" t="s">
        <v>1858</v>
      </c>
      <c r="B232" s="1375" t="s">
        <v>93</v>
      </c>
      <c r="C232" s="1375">
        <v>2024</v>
      </c>
      <c r="D232" s="1922">
        <v>0</v>
      </c>
      <c r="E232" s="1922">
        <v>0</v>
      </c>
      <c r="F232" s="1922">
        <v>1</v>
      </c>
      <c r="G232" s="1922">
        <v>0</v>
      </c>
      <c r="H232" s="1922">
        <v>0</v>
      </c>
      <c r="I232" s="1375"/>
      <c r="J232" s="1375" t="str">
        <f t="shared" si="3"/>
        <v>COM_201403_P3T12024</v>
      </c>
    </row>
    <row r="233" spans="1:10">
      <c r="A233" s="1375" t="s">
        <v>1858</v>
      </c>
      <c r="B233" s="1375" t="s">
        <v>93</v>
      </c>
      <c r="C233" s="1375">
        <v>2025</v>
      </c>
      <c r="D233" s="1922">
        <v>0</v>
      </c>
      <c r="E233" s="1922">
        <v>0</v>
      </c>
      <c r="F233" s="1922">
        <v>1</v>
      </c>
      <c r="G233" s="1922">
        <v>0</v>
      </c>
      <c r="H233" s="1922">
        <v>0</v>
      </c>
      <c r="I233" s="1375"/>
      <c r="J233" s="1375" t="str">
        <f t="shared" si="3"/>
        <v>COM_201403_P3T12025</v>
      </c>
    </row>
    <row r="234" spans="1:10">
      <c r="A234" s="1375" t="s">
        <v>1792</v>
      </c>
      <c r="B234" s="1375" t="s">
        <v>954</v>
      </c>
      <c r="C234" s="1375">
        <v>2024</v>
      </c>
      <c r="D234" s="1922">
        <v>0</v>
      </c>
      <c r="E234" s="1922">
        <v>0</v>
      </c>
      <c r="F234" s="1922">
        <v>0</v>
      </c>
      <c r="G234" s="1922">
        <v>1</v>
      </c>
      <c r="H234" s="1922">
        <v>0</v>
      </c>
      <c r="I234" s="1375"/>
      <c r="J234" s="1375" t="str">
        <f t="shared" si="3"/>
        <v>RES_201601_P1T12024</v>
      </c>
    </row>
    <row r="235" spans="1:10">
      <c r="A235" s="1375" t="s">
        <v>1792</v>
      </c>
      <c r="B235" s="1375" t="s">
        <v>954</v>
      </c>
      <c r="C235" s="1375">
        <v>2025</v>
      </c>
      <c r="D235" s="1922">
        <v>0</v>
      </c>
      <c r="E235" s="1922">
        <v>0</v>
      </c>
      <c r="F235" s="1922">
        <v>0</v>
      </c>
      <c r="G235" s="1922">
        <v>1</v>
      </c>
      <c r="H235" s="1922">
        <v>0</v>
      </c>
      <c r="I235" s="1375"/>
      <c r="J235" s="1375" t="str">
        <f t="shared" si="3"/>
        <v>RES_201601_P1T12025</v>
      </c>
    </row>
    <row r="236" spans="1:10">
      <c r="A236" s="1375" t="s">
        <v>2578</v>
      </c>
      <c r="B236" s="1375" t="s">
        <v>2354</v>
      </c>
      <c r="C236" s="1375">
        <v>2022</v>
      </c>
      <c r="D236" s="1922">
        <v>0</v>
      </c>
      <c r="E236" s="1922">
        <v>0</v>
      </c>
      <c r="F236" s="1922">
        <v>0</v>
      </c>
      <c r="G236" s="1922">
        <v>1</v>
      </c>
      <c r="H236" s="1922">
        <v>0</v>
      </c>
      <c r="I236" s="1375"/>
      <c r="J236" s="1375" t="str">
        <f t="shared" si="3"/>
        <v>RES_201601_P1T02022</v>
      </c>
    </row>
    <row r="237" spans="1:10">
      <c r="A237" s="1375" t="s">
        <v>2578</v>
      </c>
      <c r="B237" s="1375" t="s">
        <v>2354</v>
      </c>
      <c r="C237" s="1375">
        <v>2023</v>
      </c>
      <c r="D237" s="1922">
        <v>0</v>
      </c>
      <c r="E237" s="1922">
        <v>0</v>
      </c>
      <c r="F237" s="1922">
        <v>0</v>
      </c>
      <c r="G237" s="1922">
        <v>1</v>
      </c>
      <c r="H237" s="1922">
        <v>0</v>
      </c>
      <c r="I237" s="1375"/>
      <c r="J237" s="1375" t="str">
        <f t="shared" si="3"/>
        <v>RES_201601_P1T02023</v>
      </c>
    </row>
    <row r="238" spans="1:10">
      <c r="A238" s="1375" t="s">
        <v>2578</v>
      </c>
      <c r="B238" s="1375" t="s">
        <v>2354</v>
      </c>
      <c r="C238" s="1375">
        <v>2024</v>
      </c>
      <c r="D238" s="1922">
        <v>0</v>
      </c>
      <c r="E238" s="1922">
        <v>0</v>
      </c>
      <c r="F238" s="1922">
        <v>0</v>
      </c>
      <c r="G238" s="1922">
        <v>1</v>
      </c>
      <c r="H238" s="1922">
        <v>0</v>
      </c>
      <c r="I238" s="1375"/>
      <c r="J238" s="1375" t="str">
        <f t="shared" si="3"/>
        <v>RES_201601_P1T02024</v>
      </c>
    </row>
    <row r="239" spans="1:10">
      <c r="A239" s="1375" t="s">
        <v>1794</v>
      </c>
      <c r="B239" s="1375" t="s">
        <v>1396</v>
      </c>
      <c r="C239" s="1375">
        <v>2022</v>
      </c>
      <c r="D239" s="1922">
        <v>0</v>
      </c>
      <c r="E239" s="1922">
        <v>0</v>
      </c>
      <c r="F239" s="1922">
        <v>0</v>
      </c>
      <c r="G239" s="1922">
        <v>1</v>
      </c>
      <c r="H239" s="1922">
        <v>0</v>
      </c>
      <c r="I239" s="1375"/>
      <c r="J239" s="1375" t="str">
        <f t="shared" si="3"/>
        <v>RES_201601_P1T22022</v>
      </c>
    </row>
    <row r="240" spans="1:10">
      <c r="A240" s="1375" t="s">
        <v>1794</v>
      </c>
      <c r="B240" s="1375" t="s">
        <v>1396</v>
      </c>
      <c r="C240" s="1375">
        <v>2023</v>
      </c>
      <c r="D240" s="1922">
        <v>0</v>
      </c>
      <c r="E240" s="1922">
        <v>0</v>
      </c>
      <c r="F240" s="1922">
        <v>0</v>
      </c>
      <c r="G240" s="1922">
        <v>1</v>
      </c>
      <c r="H240" s="1922">
        <v>0</v>
      </c>
      <c r="I240" s="1375"/>
      <c r="J240" s="1375" t="str">
        <f t="shared" si="3"/>
        <v>RES_201601_P1T22023</v>
      </c>
    </row>
    <row r="241" spans="1:10">
      <c r="A241" s="1375" t="s">
        <v>1794</v>
      </c>
      <c r="B241" s="1375" t="s">
        <v>1396</v>
      </c>
      <c r="C241" s="1375">
        <v>2024</v>
      </c>
      <c r="D241" s="1922">
        <v>0</v>
      </c>
      <c r="E241" s="1922">
        <v>0</v>
      </c>
      <c r="F241" s="1922">
        <v>0</v>
      </c>
      <c r="G241" s="1922">
        <v>1</v>
      </c>
      <c r="H241" s="1922">
        <v>0</v>
      </c>
      <c r="I241" s="1375"/>
      <c r="J241" s="1375" t="str">
        <f t="shared" si="3"/>
        <v>RES_201601_P1T22024</v>
      </c>
    </row>
    <row r="242" spans="1:10">
      <c r="A242" s="1375" t="s">
        <v>1794</v>
      </c>
      <c r="B242" s="1375" t="s">
        <v>1396</v>
      </c>
      <c r="C242" s="1375">
        <v>2025</v>
      </c>
      <c r="D242" s="1922">
        <v>0</v>
      </c>
      <c r="E242" s="1922">
        <v>0</v>
      </c>
      <c r="F242" s="1922">
        <v>0</v>
      </c>
      <c r="G242" s="1922">
        <v>1</v>
      </c>
      <c r="H242" s="1922">
        <v>0</v>
      </c>
      <c r="I242" s="1375"/>
      <c r="J242" s="1375" t="str">
        <f t="shared" si="3"/>
        <v>RES_201601_P1T22025</v>
      </c>
    </row>
    <row r="243" spans="1:10">
      <c r="A243" s="1375" t="s">
        <v>1796</v>
      </c>
      <c r="B243" s="1375" t="s">
        <v>956</v>
      </c>
      <c r="C243" s="1375">
        <v>2022</v>
      </c>
      <c r="D243" s="1922">
        <v>0</v>
      </c>
      <c r="E243" s="1922">
        <v>0</v>
      </c>
      <c r="F243" s="1922">
        <v>0</v>
      </c>
      <c r="G243" s="1922">
        <v>1</v>
      </c>
      <c r="H243" s="1922">
        <v>0</v>
      </c>
      <c r="I243" s="1375"/>
      <c r="J243" s="1375" t="str">
        <f t="shared" si="3"/>
        <v>RES_201601_P1T32022</v>
      </c>
    </row>
    <row r="244" spans="1:10">
      <c r="A244" s="1375" t="s">
        <v>1796</v>
      </c>
      <c r="B244" s="1375" t="s">
        <v>956</v>
      </c>
      <c r="C244" s="1375">
        <v>2023</v>
      </c>
      <c r="D244" s="1922">
        <v>0</v>
      </c>
      <c r="E244" s="1922">
        <v>0</v>
      </c>
      <c r="F244" s="1922">
        <v>0</v>
      </c>
      <c r="G244" s="1922">
        <v>1</v>
      </c>
      <c r="H244" s="1922">
        <v>0</v>
      </c>
      <c r="I244" s="1375"/>
      <c r="J244" s="1375" t="str">
        <f t="shared" si="3"/>
        <v>RES_201601_P1T32023</v>
      </c>
    </row>
    <row r="245" spans="1:10">
      <c r="A245" s="1375" t="s">
        <v>1796</v>
      </c>
      <c r="B245" s="1375" t="s">
        <v>956</v>
      </c>
      <c r="C245" s="1375">
        <v>2024</v>
      </c>
      <c r="D245" s="1922">
        <v>0</v>
      </c>
      <c r="E245" s="1922">
        <v>0</v>
      </c>
      <c r="F245" s="1922">
        <v>0</v>
      </c>
      <c r="G245" s="1922">
        <v>1</v>
      </c>
      <c r="H245" s="1922">
        <v>0</v>
      </c>
      <c r="I245" s="1375"/>
      <c r="J245" s="1375" t="str">
        <f t="shared" si="3"/>
        <v>RES_201601_P1T32024</v>
      </c>
    </row>
    <row r="246" spans="1:10">
      <c r="A246" s="1375" t="s">
        <v>1796</v>
      </c>
      <c r="B246" s="1375" t="s">
        <v>956</v>
      </c>
      <c r="C246" s="1375">
        <v>2025</v>
      </c>
      <c r="D246" s="1922">
        <v>0</v>
      </c>
      <c r="E246" s="1922">
        <v>0</v>
      </c>
      <c r="F246" s="1922">
        <v>0</v>
      </c>
      <c r="G246" s="1922">
        <v>1</v>
      </c>
      <c r="H246" s="1922">
        <v>0</v>
      </c>
      <c r="I246" s="1375"/>
      <c r="J246" s="1375" t="str">
        <f t="shared" si="3"/>
        <v>RES_201601_P1T32025</v>
      </c>
    </row>
    <row r="247" spans="1:10">
      <c r="A247" s="1375" t="s">
        <v>1838</v>
      </c>
      <c r="B247" s="1375" t="s">
        <v>75</v>
      </c>
      <c r="C247" s="1375">
        <v>2022</v>
      </c>
      <c r="D247" s="1922">
        <v>0</v>
      </c>
      <c r="E247" s="1922">
        <v>0</v>
      </c>
      <c r="F247" s="1922">
        <v>0</v>
      </c>
      <c r="G247" s="1922">
        <v>1</v>
      </c>
      <c r="H247" s="1922">
        <v>0</v>
      </c>
      <c r="I247" s="1375"/>
      <c r="J247" s="1375" t="str">
        <f t="shared" si="3"/>
        <v>RES_200601_P2T52022</v>
      </c>
    </row>
    <row r="248" spans="1:10">
      <c r="A248" s="1375" t="s">
        <v>1838</v>
      </c>
      <c r="B248" s="1375" t="s">
        <v>75</v>
      </c>
      <c r="C248" s="1375">
        <v>2023</v>
      </c>
      <c r="D248" s="1922">
        <v>0</v>
      </c>
      <c r="E248" s="1922">
        <v>0</v>
      </c>
      <c r="F248" s="1922">
        <v>0</v>
      </c>
      <c r="G248" s="1922">
        <v>1</v>
      </c>
      <c r="H248" s="1922">
        <v>0</v>
      </c>
      <c r="I248" s="1375"/>
      <c r="J248" s="1375" t="str">
        <f t="shared" si="3"/>
        <v>RES_200601_P2T52023</v>
      </c>
    </row>
    <row r="249" spans="1:10">
      <c r="A249" s="1375" t="s">
        <v>1838</v>
      </c>
      <c r="B249" s="1375" t="s">
        <v>75</v>
      </c>
      <c r="C249" s="1375">
        <v>2024</v>
      </c>
      <c r="D249" s="1922">
        <v>0</v>
      </c>
      <c r="E249" s="1922">
        <v>0</v>
      </c>
      <c r="F249" s="1922">
        <v>0</v>
      </c>
      <c r="G249" s="1922">
        <v>1</v>
      </c>
      <c r="H249" s="1922">
        <v>0</v>
      </c>
      <c r="I249" s="1375"/>
      <c r="J249" s="1375" t="str">
        <f t="shared" si="3"/>
        <v>RES_200601_P2T52024</v>
      </c>
    </row>
    <row r="250" spans="1:10">
      <c r="A250" s="1375" t="s">
        <v>1838</v>
      </c>
      <c r="B250" s="1375" t="s">
        <v>75</v>
      </c>
      <c r="C250" s="1375">
        <v>2025</v>
      </c>
      <c r="D250" s="1922">
        <v>0</v>
      </c>
      <c r="E250" s="1922">
        <v>0</v>
      </c>
      <c r="F250" s="1922">
        <v>0</v>
      </c>
      <c r="G250" s="1922">
        <v>1</v>
      </c>
      <c r="H250" s="1922">
        <v>0</v>
      </c>
      <c r="I250" s="1375"/>
      <c r="J250" s="1375" t="str">
        <f t="shared" si="3"/>
        <v>RES_200601_P2T52025</v>
      </c>
    </row>
    <row r="251" spans="1:10">
      <c r="A251" s="1375" t="s">
        <v>1806</v>
      </c>
      <c r="B251" s="1375" t="s">
        <v>63</v>
      </c>
      <c r="C251" s="1375">
        <v>2022</v>
      </c>
      <c r="D251" s="1922">
        <v>0</v>
      </c>
      <c r="E251" s="1922">
        <v>0</v>
      </c>
      <c r="F251" s="1922">
        <v>0</v>
      </c>
      <c r="G251" s="1922">
        <v>1</v>
      </c>
      <c r="H251" s="1922">
        <v>0</v>
      </c>
      <c r="I251" s="1375"/>
      <c r="J251" s="1375" t="str">
        <f t="shared" si="3"/>
        <v>RES_201301_P2T42022</v>
      </c>
    </row>
    <row r="252" spans="1:10">
      <c r="A252" s="1375" t="s">
        <v>1806</v>
      </c>
      <c r="B252" s="1375" t="s">
        <v>63</v>
      </c>
      <c r="C252" s="1375">
        <v>2023</v>
      </c>
      <c r="D252" s="1922">
        <v>0</v>
      </c>
      <c r="E252" s="1922">
        <v>0</v>
      </c>
      <c r="F252" s="1922">
        <v>0</v>
      </c>
      <c r="G252" s="1922">
        <v>1</v>
      </c>
      <c r="H252" s="1922">
        <v>0</v>
      </c>
      <c r="I252" s="1375"/>
      <c r="J252" s="1375" t="str">
        <f t="shared" si="3"/>
        <v>RES_201301_P2T42023</v>
      </c>
    </row>
    <row r="253" spans="1:10">
      <c r="A253" s="1375" t="s">
        <v>1806</v>
      </c>
      <c r="B253" s="1375" t="s">
        <v>63</v>
      </c>
      <c r="C253" s="1375">
        <v>2024</v>
      </c>
      <c r="D253" s="1922">
        <v>0</v>
      </c>
      <c r="E253" s="1922">
        <v>0</v>
      </c>
      <c r="F253" s="1922">
        <v>0</v>
      </c>
      <c r="G253" s="1922">
        <v>1</v>
      </c>
      <c r="H253" s="1922">
        <v>0</v>
      </c>
      <c r="I253" s="1375"/>
      <c r="J253" s="1375" t="str">
        <f t="shared" si="3"/>
        <v>RES_201301_P2T42024</v>
      </c>
    </row>
    <row r="254" spans="1:10">
      <c r="A254" s="1375" t="s">
        <v>1806</v>
      </c>
      <c r="B254" s="1375" t="s">
        <v>63</v>
      </c>
      <c r="C254" s="1375">
        <v>2025</v>
      </c>
      <c r="D254" s="1922">
        <v>0</v>
      </c>
      <c r="E254" s="1922">
        <v>0</v>
      </c>
      <c r="F254" s="1922">
        <v>0</v>
      </c>
      <c r="G254" s="1922">
        <v>1</v>
      </c>
      <c r="H254" s="1922">
        <v>0</v>
      </c>
      <c r="I254" s="1375"/>
      <c r="J254" s="1375" t="str">
        <f t="shared" si="3"/>
        <v>RES_201301_P2T42025</v>
      </c>
    </row>
    <row r="255" spans="1:10">
      <c r="A255" s="1375" t="s">
        <v>2526</v>
      </c>
      <c r="B255" s="1375" t="s">
        <v>64</v>
      </c>
      <c r="C255" s="1375">
        <v>2024</v>
      </c>
      <c r="D255" s="1922">
        <v>0</v>
      </c>
      <c r="E255" s="1922">
        <v>0</v>
      </c>
      <c r="F255" s="1922">
        <v>0</v>
      </c>
      <c r="G255" s="1922">
        <v>1</v>
      </c>
      <c r="H255" s="1922">
        <v>0</v>
      </c>
      <c r="I255" s="1375"/>
      <c r="J255" s="1375" t="str">
        <f t="shared" si="3"/>
        <v>RES_201301_P2T52024</v>
      </c>
    </row>
    <row r="256" spans="1:10">
      <c r="A256" s="1375" t="s">
        <v>2526</v>
      </c>
      <c r="B256" s="1375" t="s">
        <v>64</v>
      </c>
      <c r="C256" s="1375">
        <v>2025</v>
      </c>
      <c r="D256" s="1922">
        <v>0</v>
      </c>
      <c r="E256" s="1922">
        <v>0</v>
      </c>
      <c r="F256" s="1922">
        <v>0</v>
      </c>
      <c r="G256" s="1922">
        <v>1</v>
      </c>
      <c r="H256" s="1922">
        <v>0</v>
      </c>
      <c r="I256" s="1375"/>
      <c r="J256" s="1375" t="str">
        <f t="shared" si="3"/>
        <v>RES_201301_P2T52025</v>
      </c>
    </row>
    <row r="257" spans="1:10">
      <c r="A257" s="1375" t="s">
        <v>2501</v>
      </c>
      <c r="B257" s="1375" t="s">
        <v>78</v>
      </c>
      <c r="C257" s="1375">
        <v>2022</v>
      </c>
      <c r="D257" s="1922">
        <v>0</v>
      </c>
      <c r="E257" s="1922">
        <v>0</v>
      </c>
      <c r="F257" s="1922">
        <v>0</v>
      </c>
      <c r="G257" s="1922">
        <v>1</v>
      </c>
      <c r="H257" s="1922">
        <v>0</v>
      </c>
      <c r="I257" s="1375"/>
      <c r="J257" s="1375" t="str">
        <f t="shared" si="3"/>
        <v>RES_201301_P15T22022</v>
      </c>
    </row>
    <row r="258" spans="1:10">
      <c r="A258" s="1375" t="s">
        <v>2501</v>
      </c>
      <c r="B258" s="1375" t="s">
        <v>78</v>
      </c>
      <c r="C258" s="1375">
        <v>2023</v>
      </c>
      <c r="D258" s="1922">
        <v>0</v>
      </c>
      <c r="E258" s="1922">
        <v>0</v>
      </c>
      <c r="F258" s="1922">
        <v>0</v>
      </c>
      <c r="G258" s="1922">
        <v>1</v>
      </c>
      <c r="H258" s="1922">
        <v>0</v>
      </c>
      <c r="I258" s="1375"/>
      <c r="J258" s="1375" t="str">
        <f t="shared" si="3"/>
        <v>RES_201301_P15T22023</v>
      </c>
    </row>
    <row r="259" spans="1:10">
      <c r="A259" s="1375" t="s">
        <v>2501</v>
      </c>
      <c r="B259" s="1375" t="s">
        <v>78</v>
      </c>
      <c r="C259" s="1375">
        <v>2024</v>
      </c>
      <c r="D259" s="1922">
        <v>0</v>
      </c>
      <c r="E259" s="1922">
        <v>0</v>
      </c>
      <c r="F259" s="1922">
        <v>0</v>
      </c>
      <c r="G259" s="1922">
        <v>1</v>
      </c>
      <c r="H259" s="1922">
        <v>0</v>
      </c>
      <c r="I259" s="1375"/>
      <c r="J259" s="1375" t="str">
        <f t="shared" si="3"/>
        <v>RES_201301_P15T22024</v>
      </c>
    </row>
    <row r="260" spans="1:10">
      <c r="A260" s="1375" t="s">
        <v>2501</v>
      </c>
      <c r="B260" s="1375" t="s">
        <v>78</v>
      </c>
      <c r="C260" s="1375">
        <v>2025</v>
      </c>
      <c r="D260" s="1922">
        <v>0</v>
      </c>
      <c r="E260" s="1922">
        <v>0</v>
      </c>
      <c r="F260" s="1922">
        <v>0</v>
      </c>
      <c r="G260" s="1922">
        <v>1</v>
      </c>
      <c r="H260" s="1922">
        <v>0</v>
      </c>
      <c r="I260" s="1375"/>
      <c r="J260" s="1375" t="str">
        <f t="shared" si="3"/>
        <v>RES_201301_P15T22025</v>
      </c>
    </row>
    <row r="261" spans="1:10">
      <c r="A261" s="1375" t="s">
        <v>2517</v>
      </c>
      <c r="B261" s="1375" t="s">
        <v>758</v>
      </c>
      <c r="C261" s="1375">
        <v>2023</v>
      </c>
      <c r="D261" s="1922">
        <v>0</v>
      </c>
      <c r="E261" s="1922">
        <v>0</v>
      </c>
      <c r="F261" s="1922">
        <v>0</v>
      </c>
      <c r="G261" s="1922">
        <v>1</v>
      </c>
      <c r="H261" s="1922">
        <v>0</v>
      </c>
      <c r="I261" s="1375"/>
      <c r="J261" s="1375" t="str">
        <f t="shared" si="3"/>
        <v>RES_201301_P22T12023</v>
      </c>
    </row>
    <row r="262" spans="1:10">
      <c r="A262" s="1375" t="s">
        <v>2517</v>
      </c>
      <c r="B262" s="1375" t="s">
        <v>758</v>
      </c>
      <c r="C262" s="1375">
        <v>2024</v>
      </c>
      <c r="D262" s="1922">
        <v>0</v>
      </c>
      <c r="E262" s="1922">
        <v>0</v>
      </c>
      <c r="F262" s="1922">
        <v>0</v>
      </c>
      <c r="G262" s="1922">
        <v>1</v>
      </c>
      <c r="H262" s="1922">
        <v>0</v>
      </c>
      <c r="I262" s="1375"/>
      <c r="J262" s="1375" t="str">
        <f t="shared" ref="J262:J325" si="4">B262&amp;C262</f>
        <v>RES_201301_P22T12024</v>
      </c>
    </row>
    <row r="263" spans="1:10">
      <c r="A263" s="1375" t="s">
        <v>2517</v>
      </c>
      <c r="B263" s="1375" t="s">
        <v>758</v>
      </c>
      <c r="C263" s="1375">
        <v>2025</v>
      </c>
      <c r="D263" s="1922">
        <v>0</v>
      </c>
      <c r="E263" s="1922">
        <v>0</v>
      </c>
      <c r="F263" s="1922">
        <v>0</v>
      </c>
      <c r="G263" s="1922">
        <v>1</v>
      </c>
      <c r="H263" s="1922">
        <v>0</v>
      </c>
      <c r="I263" s="1375"/>
      <c r="J263" s="1375" t="str">
        <f t="shared" si="4"/>
        <v>RES_201301_P22T12025</v>
      </c>
    </row>
    <row r="264" spans="1:10">
      <c r="A264" s="1375" t="s">
        <v>2395</v>
      </c>
      <c r="B264" s="1375" t="s">
        <v>2278</v>
      </c>
      <c r="C264" s="1375">
        <v>2022</v>
      </c>
      <c r="D264" s="1922">
        <v>0</v>
      </c>
      <c r="E264" s="1922">
        <v>0</v>
      </c>
      <c r="F264" s="1922">
        <v>0</v>
      </c>
      <c r="G264" s="1922">
        <v>1</v>
      </c>
      <c r="H264" s="1922">
        <v>0</v>
      </c>
      <c r="I264" s="1375"/>
      <c r="J264" s="1375" t="str">
        <f t="shared" si="4"/>
        <v>COM_201304_P15T12022</v>
      </c>
    </row>
    <row r="265" spans="1:10">
      <c r="A265" s="1375" t="s">
        <v>2395</v>
      </c>
      <c r="B265" s="1375" t="s">
        <v>2278</v>
      </c>
      <c r="C265" s="1375">
        <v>2023</v>
      </c>
      <c r="D265" s="1922">
        <v>0</v>
      </c>
      <c r="E265" s="1922">
        <v>0</v>
      </c>
      <c r="F265" s="1922">
        <v>0</v>
      </c>
      <c r="G265" s="1922">
        <v>1</v>
      </c>
      <c r="H265" s="1922">
        <v>0</v>
      </c>
      <c r="I265" s="1375"/>
      <c r="J265" s="1375" t="str">
        <f t="shared" si="4"/>
        <v>COM_201304_P15T12023</v>
      </c>
    </row>
    <row r="266" spans="1:10">
      <c r="A266" s="1375" t="s">
        <v>2395</v>
      </c>
      <c r="B266" s="1375" t="s">
        <v>2278</v>
      </c>
      <c r="C266" s="1375">
        <v>2024</v>
      </c>
      <c r="D266" s="1922">
        <v>0</v>
      </c>
      <c r="E266" s="1922">
        <v>0</v>
      </c>
      <c r="F266" s="1922">
        <v>0</v>
      </c>
      <c r="G266" s="1922">
        <v>1</v>
      </c>
      <c r="H266" s="1922">
        <v>0</v>
      </c>
      <c r="I266" s="1375"/>
      <c r="J266" s="1375" t="str">
        <f t="shared" si="4"/>
        <v>COM_201304_P15T12024</v>
      </c>
    </row>
    <row r="267" spans="1:10">
      <c r="A267" s="1375" t="s">
        <v>2395</v>
      </c>
      <c r="B267" s="1375" t="s">
        <v>2278</v>
      </c>
      <c r="C267" s="1375">
        <v>2025</v>
      </c>
      <c r="D267" s="1922">
        <v>0</v>
      </c>
      <c r="E267" s="1922">
        <v>0</v>
      </c>
      <c r="F267" s="1922">
        <v>0</v>
      </c>
      <c r="G267" s="1922">
        <v>1</v>
      </c>
      <c r="H267" s="1922">
        <v>0</v>
      </c>
      <c r="I267" s="1375"/>
      <c r="J267" s="1375" t="str">
        <f t="shared" si="4"/>
        <v>COM_201304_P15T12025</v>
      </c>
    </row>
    <row r="268" spans="1:10">
      <c r="A268" s="1375" t="s">
        <v>2396</v>
      </c>
      <c r="B268" s="1375" t="s">
        <v>2279</v>
      </c>
      <c r="C268" s="1375">
        <v>2022</v>
      </c>
      <c r="D268" s="1922">
        <v>0</v>
      </c>
      <c r="E268" s="1922">
        <v>0</v>
      </c>
      <c r="F268" s="1922">
        <v>0</v>
      </c>
      <c r="G268" s="1922">
        <v>1</v>
      </c>
      <c r="H268" s="1922">
        <v>0</v>
      </c>
      <c r="I268" s="1375"/>
      <c r="J268" s="1375" t="str">
        <f t="shared" si="4"/>
        <v>COM_201304_P15T22022</v>
      </c>
    </row>
    <row r="269" spans="1:10">
      <c r="A269" s="1375" t="s">
        <v>2396</v>
      </c>
      <c r="B269" s="1375" t="s">
        <v>2279</v>
      </c>
      <c r="C269" s="1375">
        <v>2023</v>
      </c>
      <c r="D269" s="1922">
        <v>0</v>
      </c>
      <c r="E269" s="1922">
        <v>0</v>
      </c>
      <c r="F269" s="1922">
        <v>0</v>
      </c>
      <c r="G269" s="1922">
        <v>1</v>
      </c>
      <c r="H269" s="1922">
        <v>0</v>
      </c>
      <c r="I269" s="1375"/>
      <c r="J269" s="1375" t="str">
        <f t="shared" si="4"/>
        <v>COM_201304_P15T22023</v>
      </c>
    </row>
    <row r="270" spans="1:10">
      <c r="A270" s="1375" t="s">
        <v>2396</v>
      </c>
      <c r="B270" s="1375" t="s">
        <v>2279</v>
      </c>
      <c r="C270" s="1375">
        <v>2024</v>
      </c>
      <c r="D270" s="1922">
        <v>0</v>
      </c>
      <c r="E270" s="1922">
        <v>0</v>
      </c>
      <c r="F270" s="1922">
        <v>0</v>
      </c>
      <c r="G270" s="1922">
        <v>1</v>
      </c>
      <c r="H270" s="1922">
        <v>0</v>
      </c>
      <c r="I270" s="1375"/>
      <c r="J270" s="1375" t="str">
        <f t="shared" si="4"/>
        <v>COM_201304_P15T22024</v>
      </c>
    </row>
    <row r="271" spans="1:10">
      <c r="A271" s="1375" t="s">
        <v>2396</v>
      </c>
      <c r="B271" s="1375" t="s">
        <v>2279</v>
      </c>
      <c r="C271" s="1375">
        <v>2025</v>
      </c>
      <c r="D271" s="1922">
        <v>0</v>
      </c>
      <c r="E271" s="1922">
        <v>0</v>
      </c>
      <c r="F271" s="1922">
        <v>0</v>
      </c>
      <c r="G271" s="1922">
        <v>1</v>
      </c>
      <c r="H271" s="1922">
        <v>0</v>
      </c>
      <c r="I271" s="1375"/>
      <c r="J271" s="1375" t="str">
        <f t="shared" si="4"/>
        <v>COM_201304_P15T22025</v>
      </c>
    </row>
    <row r="272" spans="1:10">
      <c r="A272" s="1375" t="s">
        <v>1828</v>
      </c>
      <c r="B272" s="1375" t="s">
        <v>1312</v>
      </c>
      <c r="C272" s="1375">
        <v>2022</v>
      </c>
      <c r="D272" s="1922">
        <v>0</v>
      </c>
      <c r="E272" s="1922">
        <v>0</v>
      </c>
      <c r="F272" s="1922">
        <v>0</v>
      </c>
      <c r="G272" s="1922">
        <v>1</v>
      </c>
      <c r="H272" s="1922">
        <v>0</v>
      </c>
      <c r="I272" s="1375"/>
      <c r="J272" s="1375" t="str">
        <f t="shared" si="4"/>
        <v>RES_200601_P3T52022</v>
      </c>
    </row>
    <row r="273" spans="1:10">
      <c r="A273" s="1375" t="s">
        <v>1828</v>
      </c>
      <c r="B273" s="1375" t="s">
        <v>1312</v>
      </c>
      <c r="C273" s="1375">
        <v>2023</v>
      </c>
      <c r="D273" s="1922">
        <v>0</v>
      </c>
      <c r="E273" s="1922">
        <v>0</v>
      </c>
      <c r="F273" s="1922">
        <v>0</v>
      </c>
      <c r="G273" s="1922">
        <v>1</v>
      </c>
      <c r="H273" s="1922">
        <v>0</v>
      </c>
      <c r="I273" s="1375"/>
      <c r="J273" s="1375" t="str">
        <f t="shared" si="4"/>
        <v>RES_200601_P3T52023</v>
      </c>
    </row>
    <row r="274" spans="1:10">
      <c r="A274" s="1375" t="s">
        <v>1828</v>
      </c>
      <c r="B274" s="1375" t="s">
        <v>1312</v>
      </c>
      <c r="C274" s="1375">
        <v>2024</v>
      </c>
      <c r="D274" s="1922">
        <v>0</v>
      </c>
      <c r="E274" s="1922">
        <v>0</v>
      </c>
      <c r="F274" s="1922">
        <v>0</v>
      </c>
      <c r="G274" s="1922">
        <v>1</v>
      </c>
      <c r="H274" s="1922">
        <v>0</v>
      </c>
      <c r="I274" s="1375"/>
      <c r="J274" s="1375" t="str">
        <f t="shared" si="4"/>
        <v>RES_200601_P3T52024</v>
      </c>
    </row>
    <row r="275" spans="1:10">
      <c r="A275" s="1375" t="s">
        <v>1828</v>
      </c>
      <c r="B275" s="1375" t="s">
        <v>1312</v>
      </c>
      <c r="C275" s="1375">
        <v>2025</v>
      </c>
      <c r="D275" s="1922">
        <v>0</v>
      </c>
      <c r="E275" s="1922">
        <v>0</v>
      </c>
      <c r="F275" s="1922">
        <v>0</v>
      </c>
      <c r="G275" s="1922">
        <v>1</v>
      </c>
      <c r="H275" s="1922">
        <v>0</v>
      </c>
      <c r="I275" s="1375"/>
      <c r="J275" s="1375" t="str">
        <f t="shared" si="4"/>
        <v>RES_200601_P3T52025</v>
      </c>
    </row>
    <row r="276" spans="1:10">
      <c r="A276" s="1375" t="s">
        <v>1802</v>
      </c>
      <c r="B276" s="1375" t="s">
        <v>65</v>
      </c>
      <c r="C276" s="1375">
        <v>2022</v>
      </c>
      <c r="D276" s="1922">
        <v>0</v>
      </c>
      <c r="E276" s="1922">
        <v>0</v>
      </c>
      <c r="F276" s="1922">
        <v>0</v>
      </c>
      <c r="G276" s="1922">
        <v>1</v>
      </c>
      <c r="H276" s="1922">
        <v>0</v>
      </c>
      <c r="I276" s="1375"/>
      <c r="J276" s="1375" t="str">
        <f t="shared" si="4"/>
        <v>RES_201301_P3T42022</v>
      </c>
    </row>
    <row r="277" spans="1:10">
      <c r="A277" s="1375" t="s">
        <v>1802</v>
      </c>
      <c r="B277" s="1375" t="s">
        <v>65</v>
      </c>
      <c r="C277" s="1375">
        <v>2023</v>
      </c>
      <c r="D277" s="1922">
        <v>0</v>
      </c>
      <c r="E277" s="1922">
        <v>0</v>
      </c>
      <c r="F277" s="1922">
        <v>0</v>
      </c>
      <c r="G277" s="1922">
        <v>1</v>
      </c>
      <c r="H277" s="1922">
        <v>0</v>
      </c>
      <c r="I277" s="1375"/>
      <c r="J277" s="1375" t="str">
        <f t="shared" si="4"/>
        <v>RES_201301_P3T42023</v>
      </c>
    </row>
    <row r="278" spans="1:10">
      <c r="A278" s="1375" t="s">
        <v>1802</v>
      </c>
      <c r="B278" s="1375" t="s">
        <v>65</v>
      </c>
      <c r="C278" s="1375">
        <v>2024</v>
      </c>
      <c r="D278" s="1922">
        <v>0</v>
      </c>
      <c r="E278" s="1922">
        <v>0</v>
      </c>
      <c r="F278" s="1922">
        <v>0</v>
      </c>
      <c r="G278" s="1922">
        <v>1</v>
      </c>
      <c r="H278" s="1922">
        <v>0</v>
      </c>
      <c r="I278" s="1375"/>
      <c r="J278" s="1375" t="str">
        <f t="shared" si="4"/>
        <v>RES_201301_P3T42024</v>
      </c>
    </row>
    <row r="279" spans="1:10">
      <c r="A279" s="1375" t="s">
        <v>1802</v>
      </c>
      <c r="B279" s="1375" t="s">
        <v>65</v>
      </c>
      <c r="C279" s="1375">
        <v>2025</v>
      </c>
      <c r="D279" s="1922">
        <v>0</v>
      </c>
      <c r="E279" s="1922">
        <v>0</v>
      </c>
      <c r="F279" s="1922">
        <v>0</v>
      </c>
      <c r="G279" s="1922">
        <v>1</v>
      </c>
      <c r="H279" s="1922">
        <v>0</v>
      </c>
      <c r="I279" s="1375"/>
      <c r="J279" s="1375" t="str">
        <f t="shared" si="4"/>
        <v>RES_201301_P3T42025</v>
      </c>
    </row>
    <row r="280" spans="1:10">
      <c r="A280" s="1375" t="s">
        <v>2529</v>
      </c>
      <c r="B280" s="1375" t="s">
        <v>66</v>
      </c>
      <c r="C280" s="1375">
        <v>2024</v>
      </c>
      <c r="D280" s="1922">
        <v>0</v>
      </c>
      <c r="E280" s="1922">
        <v>0</v>
      </c>
      <c r="F280" s="1922">
        <v>0</v>
      </c>
      <c r="G280" s="1922">
        <v>1</v>
      </c>
      <c r="H280" s="1922">
        <v>0</v>
      </c>
      <c r="I280" s="1375"/>
      <c r="J280" s="1375" t="str">
        <f t="shared" si="4"/>
        <v>RES_201301_P3T52024</v>
      </c>
    </row>
    <row r="281" spans="1:10">
      <c r="A281" s="1375" t="s">
        <v>2529</v>
      </c>
      <c r="B281" s="1375" t="s">
        <v>66</v>
      </c>
      <c r="C281" s="1375">
        <v>2025</v>
      </c>
      <c r="D281" s="1922">
        <v>0</v>
      </c>
      <c r="E281" s="1922">
        <v>0</v>
      </c>
      <c r="F281" s="1922">
        <v>0</v>
      </c>
      <c r="G281" s="1922">
        <v>1</v>
      </c>
      <c r="H281" s="1922">
        <v>0</v>
      </c>
      <c r="I281" s="1375"/>
      <c r="J281" s="1375" t="str">
        <f t="shared" si="4"/>
        <v>RES_201301_P3T52025</v>
      </c>
    </row>
    <row r="282" spans="1:10">
      <c r="A282" s="1375" t="s">
        <v>2524</v>
      </c>
      <c r="B282" s="1375" t="s">
        <v>756</v>
      </c>
      <c r="C282" s="1375">
        <v>2022</v>
      </c>
      <c r="D282" s="1922">
        <v>0</v>
      </c>
      <c r="E282" s="1922">
        <v>0</v>
      </c>
      <c r="F282" s="1922">
        <v>0</v>
      </c>
      <c r="G282" s="1922">
        <v>1</v>
      </c>
      <c r="H282" s="1922">
        <v>0</v>
      </c>
      <c r="I282" s="1375"/>
      <c r="J282" s="1375" t="str">
        <f t="shared" si="4"/>
        <v>RES_201301_P26T52022</v>
      </c>
    </row>
    <row r="283" spans="1:10">
      <c r="A283" s="1375" t="s">
        <v>2524</v>
      </c>
      <c r="B283" s="1375" t="s">
        <v>756</v>
      </c>
      <c r="C283" s="1375">
        <v>2023</v>
      </c>
      <c r="D283" s="1922">
        <v>0</v>
      </c>
      <c r="E283" s="1922">
        <v>0</v>
      </c>
      <c r="F283" s="1922">
        <v>0</v>
      </c>
      <c r="G283" s="1922">
        <v>1</v>
      </c>
      <c r="H283" s="1922">
        <v>0</v>
      </c>
      <c r="I283" s="1375"/>
      <c r="J283" s="1375" t="str">
        <f t="shared" si="4"/>
        <v>RES_201301_P26T52023</v>
      </c>
    </row>
    <row r="284" spans="1:10">
      <c r="A284" s="1375" t="s">
        <v>2524</v>
      </c>
      <c r="B284" s="1375" t="s">
        <v>756</v>
      </c>
      <c r="C284" s="1375">
        <v>2024</v>
      </c>
      <c r="D284" s="1922">
        <v>0</v>
      </c>
      <c r="E284" s="1922">
        <v>0</v>
      </c>
      <c r="F284" s="1922">
        <v>0</v>
      </c>
      <c r="G284" s="1922">
        <v>1</v>
      </c>
      <c r="H284" s="1922">
        <v>0</v>
      </c>
      <c r="I284" s="1375"/>
      <c r="J284" s="1375" t="str">
        <f t="shared" si="4"/>
        <v>RES_201301_P26T52024</v>
      </c>
    </row>
    <row r="285" spans="1:10">
      <c r="A285" s="1375" t="s">
        <v>2524</v>
      </c>
      <c r="B285" s="1375" t="s">
        <v>756</v>
      </c>
      <c r="C285" s="1375">
        <v>2025</v>
      </c>
      <c r="D285" s="1922">
        <v>0</v>
      </c>
      <c r="E285" s="1922">
        <v>0</v>
      </c>
      <c r="F285" s="1922">
        <v>0</v>
      </c>
      <c r="G285" s="1922">
        <v>1</v>
      </c>
      <c r="H285" s="1922">
        <v>0</v>
      </c>
      <c r="I285" s="1375"/>
      <c r="J285" s="1375" t="str">
        <f t="shared" si="4"/>
        <v>RES_201301_P26T52025</v>
      </c>
    </row>
    <row r="286" spans="1:10">
      <c r="A286" s="1375" t="s">
        <v>2510</v>
      </c>
      <c r="B286" s="1375" t="s">
        <v>681</v>
      </c>
      <c r="C286" s="1375">
        <v>2022</v>
      </c>
      <c r="D286" s="1922">
        <v>0</v>
      </c>
      <c r="E286" s="1922">
        <v>0</v>
      </c>
      <c r="F286" s="1922">
        <v>0</v>
      </c>
      <c r="G286" s="1922">
        <v>1</v>
      </c>
      <c r="H286" s="1922">
        <v>0</v>
      </c>
      <c r="I286" s="1375"/>
      <c r="J286" s="1375" t="str">
        <f t="shared" si="4"/>
        <v>Res_201301_P19T12022</v>
      </c>
    </row>
    <row r="287" spans="1:10">
      <c r="A287" s="1375" t="s">
        <v>2510</v>
      </c>
      <c r="B287" s="1375" t="s">
        <v>681</v>
      </c>
      <c r="C287" s="1375">
        <v>2023</v>
      </c>
      <c r="D287" s="1922">
        <v>0</v>
      </c>
      <c r="E287" s="1922">
        <v>0</v>
      </c>
      <c r="F287" s="1922">
        <v>0</v>
      </c>
      <c r="G287" s="1922">
        <v>1</v>
      </c>
      <c r="H287" s="1922">
        <v>0</v>
      </c>
      <c r="I287" s="1375"/>
      <c r="J287" s="1375" t="str">
        <f t="shared" si="4"/>
        <v>Res_201301_P19T12023</v>
      </c>
    </row>
    <row r="288" spans="1:10">
      <c r="A288" s="1375" t="s">
        <v>2510</v>
      </c>
      <c r="B288" s="1375" t="s">
        <v>681</v>
      </c>
      <c r="C288" s="1375">
        <v>2024</v>
      </c>
      <c r="D288" s="1922">
        <v>0</v>
      </c>
      <c r="E288" s="1922">
        <v>0</v>
      </c>
      <c r="F288" s="1922">
        <v>0</v>
      </c>
      <c r="G288" s="1922">
        <v>1</v>
      </c>
      <c r="H288" s="1922">
        <v>0</v>
      </c>
      <c r="I288" s="1375"/>
      <c r="J288" s="1375" t="str">
        <f t="shared" si="4"/>
        <v>Res_201301_P19T12024</v>
      </c>
    </row>
    <row r="289" spans="1:10">
      <c r="A289" s="1375" t="s">
        <v>2510</v>
      </c>
      <c r="B289" s="1375" t="s">
        <v>681</v>
      </c>
      <c r="C289" s="1375">
        <v>2025</v>
      </c>
      <c r="D289" s="1922">
        <v>0</v>
      </c>
      <c r="E289" s="1922">
        <v>0</v>
      </c>
      <c r="F289" s="1922">
        <v>0</v>
      </c>
      <c r="G289" s="1922">
        <v>1</v>
      </c>
      <c r="H289" s="1922">
        <v>0</v>
      </c>
      <c r="I289" s="1375"/>
      <c r="J289" s="1375" t="str">
        <f t="shared" si="4"/>
        <v>Res_201301_P19T12025</v>
      </c>
    </row>
    <row r="290" spans="1:10">
      <c r="A290" s="1375" t="s">
        <v>2502</v>
      </c>
      <c r="B290" s="1375" t="s">
        <v>79</v>
      </c>
      <c r="C290" s="1375">
        <v>2022</v>
      </c>
      <c r="D290" s="1922">
        <v>0</v>
      </c>
      <c r="E290" s="1922">
        <v>0</v>
      </c>
      <c r="F290" s="1922">
        <v>0</v>
      </c>
      <c r="G290" s="1922">
        <v>1</v>
      </c>
      <c r="H290" s="1922">
        <v>0</v>
      </c>
      <c r="I290" s="1375"/>
      <c r="J290" s="1375" t="str">
        <f t="shared" si="4"/>
        <v>RES_201301_P15T32022</v>
      </c>
    </row>
    <row r="291" spans="1:10">
      <c r="A291" s="1375" t="s">
        <v>2502</v>
      </c>
      <c r="B291" s="1375" t="s">
        <v>79</v>
      </c>
      <c r="C291" s="1375">
        <v>2023</v>
      </c>
      <c r="D291" s="1922">
        <v>0</v>
      </c>
      <c r="E291" s="1922">
        <v>0</v>
      </c>
      <c r="F291" s="1922">
        <v>0</v>
      </c>
      <c r="G291" s="1922">
        <v>1</v>
      </c>
      <c r="H291" s="1922">
        <v>0</v>
      </c>
      <c r="I291" s="1375"/>
      <c r="J291" s="1375" t="str">
        <f t="shared" si="4"/>
        <v>RES_201301_P15T32023</v>
      </c>
    </row>
    <row r="292" spans="1:10">
      <c r="A292" s="1375" t="s">
        <v>2502</v>
      </c>
      <c r="B292" s="1375" t="s">
        <v>79</v>
      </c>
      <c r="C292" s="1375">
        <v>2024</v>
      </c>
      <c r="D292" s="1922">
        <v>0</v>
      </c>
      <c r="E292" s="1922">
        <v>0</v>
      </c>
      <c r="F292" s="1922">
        <v>0</v>
      </c>
      <c r="G292" s="1922">
        <v>1</v>
      </c>
      <c r="H292" s="1922">
        <v>0</v>
      </c>
      <c r="I292" s="1375"/>
      <c r="J292" s="1375" t="str">
        <f t="shared" si="4"/>
        <v>RES_201301_P15T32024</v>
      </c>
    </row>
    <row r="293" spans="1:10">
      <c r="A293" s="1375" t="s">
        <v>2506</v>
      </c>
      <c r="B293" s="1375" t="s">
        <v>1402</v>
      </c>
      <c r="C293" s="1375">
        <v>2022</v>
      </c>
      <c r="D293" s="1922">
        <v>0</v>
      </c>
      <c r="E293" s="1922">
        <v>0</v>
      </c>
      <c r="F293" s="1922">
        <v>0</v>
      </c>
      <c r="G293" s="1922">
        <v>1</v>
      </c>
      <c r="H293" s="1922">
        <v>0</v>
      </c>
      <c r="I293" s="1375"/>
      <c r="J293" s="1375" t="str">
        <f t="shared" si="4"/>
        <v>RES_201301_P16T32022</v>
      </c>
    </row>
    <row r="294" spans="1:10">
      <c r="A294" s="1375" t="s">
        <v>2506</v>
      </c>
      <c r="B294" s="1375" t="s">
        <v>1402</v>
      </c>
      <c r="C294" s="1375">
        <v>2023</v>
      </c>
      <c r="D294" s="1922">
        <v>0</v>
      </c>
      <c r="E294" s="1922">
        <v>0</v>
      </c>
      <c r="F294" s="1922">
        <v>0</v>
      </c>
      <c r="G294" s="1922">
        <v>1</v>
      </c>
      <c r="H294" s="1922">
        <v>0</v>
      </c>
      <c r="I294" s="1375"/>
      <c r="J294" s="1375" t="str">
        <f t="shared" si="4"/>
        <v>RES_201301_P16T32023</v>
      </c>
    </row>
    <row r="295" spans="1:10">
      <c r="A295" s="1375" t="s">
        <v>2506</v>
      </c>
      <c r="B295" s="1375" t="s">
        <v>1402</v>
      </c>
      <c r="C295" s="1375">
        <v>2024</v>
      </c>
      <c r="D295" s="1922">
        <v>0</v>
      </c>
      <c r="E295" s="1922">
        <v>0</v>
      </c>
      <c r="F295" s="1922">
        <v>0</v>
      </c>
      <c r="G295" s="1922">
        <v>1</v>
      </c>
      <c r="H295" s="1922">
        <v>0</v>
      </c>
      <c r="I295" s="1375"/>
      <c r="J295" s="1375" t="str">
        <f t="shared" si="4"/>
        <v>RES_201301_P16T32024</v>
      </c>
    </row>
    <row r="296" spans="1:10">
      <c r="A296" s="1375" t="s">
        <v>2518</v>
      </c>
      <c r="B296" s="1375" t="s">
        <v>759</v>
      </c>
      <c r="C296" s="1375">
        <v>2022</v>
      </c>
      <c r="D296" s="1922">
        <v>0</v>
      </c>
      <c r="E296" s="1922">
        <v>0</v>
      </c>
      <c r="F296" s="1922">
        <v>0</v>
      </c>
      <c r="G296" s="1922">
        <v>1</v>
      </c>
      <c r="H296" s="1922">
        <v>0</v>
      </c>
      <c r="I296" s="1375"/>
      <c r="J296" s="1375" t="str">
        <f t="shared" si="4"/>
        <v>RES_201301_P23T12022</v>
      </c>
    </row>
    <row r="297" spans="1:10">
      <c r="A297" s="1375" t="s">
        <v>2518</v>
      </c>
      <c r="B297" s="1375" t="s">
        <v>759</v>
      </c>
      <c r="C297" s="1375">
        <v>2023</v>
      </c>
      <c r="D297" s="1922">
        <v>0</v>
      </c>
      <c r="E297" s="1922">
        <v>0</v>
      </c>
      <c r="F297" s="1922">
        <v>0</v>
      </c>
      <c r="G297" s="1922">
        <v>1</v>
      </c>
      <c r="H297" s="1922">
        <v>0</v>
      </c>
      <c r="I297" s="1375"/>
      <c r="J297" s="1375" t="str">
        <f t="shared" si="4"/>
        <v>RES_201301_P23T12023</v>
      </c>
    </row>
    <row r="298" spans="1:10">
      <c r="A298" s="1375" t="s">
        <v>2518</v>
      </c>
      <c r="B298" s="1375" t="s">
        <v>759</v>
      </c>
      <c r="C298" s="1375">
        <v>2024</v>
      </c>
      <c r="D298" s="1922">
        <v>0</v>
      </c>
      <c r="E298" s="1922">
        <v>0</v>
      </c>
      <c r="F298" s="1922">
        <v>0</v>
      </c>
      <c r="G298" s="1922">
        <v>1</v>
      </c>
      <c r="H298" s="1922">
        <v>0</v>
      </c>
      <c r="I298" s="1375"/>
      <c r="J298" s="1375" t="str">
        <f t="shared" si="4"/>
        <v>RES_201301_P23T12024</v>
      </c>
    </row>
    <row r="299" spans="1:10">
      <c r="A299" s="1375" t="s">
        <v>2518</v>
      </c>
      <c r="B299" s="1375" t="s">
        <v>759</v>
      </c>
      <c r="C299" s="1375">
        <v>2025</v>
      </c>
      <c r="D299" s="1922">
        <v>0</v>
      </c>
      <c r="E299" s="1922">
        <v>0</v>
      </c>
      <c r="F299" s="1922">
        <v>0</v>
      </c>
      <c r="G299" s="1922">
        <v>1</v>
      </c>
      <c r="H299" s="1922">
        <v>0</v>
      </c>
      <c r="I299" s="1375"/>
      <c r="J299" s="1375" t="str">
        <f t="shared" si="4"/>
        <v>RES_201301_P23T12025</v>
      </c>
    </row>
    <row r="300" spans="1:10">
      <c r="A300" s="1375" t="s">
        <v>1774</v>
      </c>
      <c r="B300" s="1375" t="s">
        <v>39</v>
      </c>
      <c r="C300" s="1375">
        <v>2022</v>
      </c>
      <c r="D300" s="1922">
        <v>0</v>
      </c>
      <c r="E300" s="1922">
        <v>0</v>
      </c>
      <c r="F300" s="1922">
        <v>1</v>
      </c>
      <c r="G300" s="1922">
        <v>0</v>
      </c>
      <c r="H300" s="1922">
        <v>0</v>
      </c>
      <c r="I300" s="1375"/>
      <c r="J300" s="1375" t="str">
        <f t="shared" si="4"/>
        <v>IND_201301_P1T12022</v>
      </c>
    </row>
    <row r="301" spans="1:10">
      <c r="A301" s="1375" t="s">
        <v>1774</v>
      </c>
      <c r="B301" s="1375" t="s">
        <v>39</v>
      </c>
      <c r="C301" s="1375">
        <v>2023</v>
      </c>
      <c r="D301" s="1922">
        <v>0</v>
      </c>
      <c r="E301" s="1922">
        <v>0</v>
      </c>
      <c r="F301" s="1922">
        <v>1</v>
      </c>
      <c r="G301" s="1922">
        <v>0</v>
      </c>
      <c r="H301" s="1922">
        <v>0</v>
      </c>
      <c r="I301" s="1375"/>
      <c r="J301" s="1375" t="str">
        <f t="shared" si="4"/>
        <v>IND_201301_P1T12023</v>
      </c>
    </row>
    <row r="302" spans="1:10">
      <c r="A302" s="1375" t="s">
        <v>1774</v>
      </c>
      <c r="B302" s="1375" t="s">
        <v>39</v>
      </c>
      <c r="C302" s="1375">
        <v>2024</v>
      </c>
      <c r="D302" s="1922">
        <v>0</v>
      </c>
      <c r="E302" s="1922">
        <v>0</v>
      </c>
      <c r="F302" s="1922">
        <v>1</v>
      </c>
      <c r="G302" s="1922">
        <v>0</v>
      </c>
      <c r="H302" s="1922">
        <v>0</v>
      </c>
      <c r="I302" s="1375"/>
      <c r="J302" s="1375" t="str">
        <f t="shared" si="4"/>
        <v>IND_201301_P1T12024</v>
      </c>
    </row>
    <row r="303" spans="1:10">
      <c r="A303" s="1375" t="s">
        <v>1774</v>
      </c>
      <c r="B303" s="1375" t="s">
        <v>39</v>
      </c>
      <c r="C303" s="1375">
        <v>2025</v>
      </c>
      <c r="D303" s="1922">
        <v>0</v>
      </c>
      <c r="E303" s="1922">
        <v>0</v>
      </c>
      <c r="F303" s="1922">
        <v>1</v>
      </c>
      <c r="G303" s="1922">
        <v>0</v>
      </c>
      <c r="H303" s="1922">
        <v>0</v>
      </c>
      <c r="I303" s="1375"/>
      <c r="J303" s="1375" t="str">
        <f t="shared" si="4"/>
        <v>IND_201301_P1T12025</v>
      </c>
    </row>
    <row r="304" spans="1:10">
      <c r="A304" s="1375" t="s">
        <v>1878</v>
      </c>
      <c r="B304" s="1375" t="s">
        <v>447</v>
      </c>
      <c r="C304" s="1375">
        <v>2022</v>
      </c>
      <c r="D304" s="1922">
        <v>0</v>
      </c>
      <c r="E304" s="1922">
        <v>0</v>
      </c>
      <c r="F304" s="1922">
        <v>0</v>
      </c>
      <c r="G304" s="1922">
        <v>1</v>
      </c>
      <c r="H304" s="1922">
        <v>0</v>
      </c>
      <c r="I304" s="1375"/>
      <c r="J304" s="1375" t="str">
        <f t="shared" si="4"/>
        <v>RES_201403_P12T12022</v>
      </c>
    </row>
    <row r="305" spans="1:10">
      <c r="A305" s="1375" t="s">
        <v>1878</v>
      </c>
      <c r="B305" s="1375" t="s">
        <v>447</v>
      </c>
      <c r="C305" s="1375">
        <v>2023</v>
      </c>
      <c r="D305" s="1922">
        <v>0</v>
      </c>
      <c r="E305" s="1922">
        <v>0</v>
      </c>
      <c r="F305" s="1922">
        <v>0</v>
      </c>
      <c r="G305" s="1922">
        <v>1</v>
      </c>
      <c r="H305" s="1922">
        <v>0</v>
      </c>
      <c r="I305" s="1375"/>
      <c r="J305" s="1375" t="str">
        <f t="shared" si="4"/>
        <v>RES_201403_P12T12023</v>
      </c>
    </row>
    <row r="306" spans="1:10">
      <c r="A306" s="1375" t="s">
        <v>1878</v>
      </c>
      <c r="B306" s="1375" t="s">
        <v>447</v>
      </c>
      <c r="C306" s="1375">
        <v>2024</v>
      </c>
      <c r="D306" s="1922">
        <v>0</v>
      </c>
      <c r="E306" s="1922">
        <v>0</v>
      </c>
      <c r="F306" s="1922">
        <v>0</v>
      </c>
      <c r="G306" s="1922">
        <v>1</v>
      </c>
      <c r="H306" s="1922">
        <v>0</v>
      </c>
      <c r="I306" s="1375"/>
      <c r="J306" s="1375" t="str">
        <f t="shared" si="4"/>
        <v>RES_201403_P12T12024</v>
      </c>
    </row>
    <row r="307" spans="1:10">
      <c r="A307" s="1375" t="s">
        <v>1878</v>
      </c>
      <c r="B307" s="1375" t="s">
        <v>447</v>
      </c>
      <c r="C307" s="1375">
        <v>2025</v>
      </c>
      <c r="D307" s="1922">
        <v>0</v>
      </c>
      <c r="E307" s="1922">
        <v>0</v>
      </c>
      <c r="F307" s="1922">
        <v>0</v>
      </c>
      <c r="G307" s="1922">
        <v>1</v>
      </c>
      <c r="H307" s="1922">
        <v>0</v>
      </c>
      <c r="I307" s="1375"/>
      <c r="J307" s="1375" t="str">
        <f t="shared" si="4"/>
        <v>RES_201403_P12T12025</v>
      </c>
    </row>
    <row r="308" spans="1:10">
      <c r="A308" s="1375" t="s">
        <v>2552</v>
      </c>
      <c r="B308" s="1375" t="s">
        <v>2322</v>
      </c>
      <c r="C308" s="1375">
        <v>2022</v>
      </c>
      <c r="D308" s="1922">
        <v>0</v>
      </c>
      <c r="E308" s="1922">
        <v>0</v>
      </c>
      <c r="F308" s="1922">
        <v>0</v>
      </c>
      <c r="G308" s="1922">
        <v>1</v>
      </c>
      <c r="H308" s="1922">
        <v>0</v>
      </c>
      <c r="I308" s="1375"/>
      <c r="J308" s="1375" t="str">
        <f t="shared" si="4"/>
        <v>RES_201403_P12T02022</v>
      </c>
    </row>
    <row r="309" spans="1:10">
      <c r="A309" s="1375" t="s">
        <v>2552</v>
      </c>
      <c r="B309" s="1375" t="s">
        <v>2322</v>
      </c>
      <c r="C309" s="1375">
        <v>2023</v>
      </c>
      <c r="D309" s="1922">
        <v>0</v>
      </c>
      <c r="E309" s="1922">
        <v>0</v>
      </c>
      <c r="F309" s="1922">
        <v>0</v>
      </c>
      <c r="G309" s="1922">
        <v>1</v>
      </c>
      <c r="H309" s="1922">
        <v>0</v>
      </c>
      <c r="I309" s="1375"/>
      <c r="J309" s="1375" t="str">
        <f t="shared" si="4"/>
        <v>RES_201403_P12T02023</v>
      </c>
    </row>
    <row r="310" spans="1:10">
      <c r="A310" s="1375" t="s">
        <v>2552</v>
      </c>
      <c r="B310" s="1375" t="s">
        <v>2322</v>
      </c>
      <c r="C310" s="1375">
        <v>2024</v>
      </c>
      <c r="D310" s="1922">
        <v>0</v>
      </c>
      <c r="E310" s="1922">
        <v>0</v>
      </c>
      <c r="F310" s="1922">
        <v>0</v>
      </c>
      <c r="G310" s="1922">
        <v>1</v>
      </c>
      <c r="H310" s="1922">
        <v>0</v>
      </c>
      <c r="I310" s="1375"/>
      <c r="J310" s="1375" t="str">
        <f t="shared" si="4"/>
        <v>RES_201403_P12T02024</v>
      </c>
    </row>
    <row r="311" spans="1:10">
      <c r="A311" s="1375" t="s">
        <v>2552</v>
      </c>
      <c r="B311" s="1375" t="s">
        <v>2322</v>
      </c>
      <c r="C311" s="1375">
        <v>2025</v>
      </c>
      <c r="D311" s="1922">
        <v>0</v>
      </c>
      <c r="E311" s="1922">
        <v>0</v>
      </c>
      <c r="F311" s="1922">
        <v>0</v>
      </c>
      <c r="G311" s="1922">
        <v>1</v>
      </c>
      <c r="H311" s="1922">
        <v>0</v>
      </c>
      <c r="I311" s="1375"/>
      <c r="J311" s="1375" t="str">
        <f t="shared" si="4"/>
        <v>RES_201403_P12T02025</v>
      </c>
    </row>
    <row r="312" spans="1:10">
      <c r="A312" s="1375" t="s">
        <v>1874</v>
      </c>
      <c r="B312" s="1375" t="s">
        <v>449</v>
      </c>
      <c r="C312" s="1375">
        <v>2022</v>
      </c>
      <c r="D312" s="1922">
        <v>0</v>
      </c>
      <c r="E312" s="1922">
        <v>0</v>
      </c>
      <c r="F312" s="1922">
        <v>0</v>
      </c>
      <c r="G312" s="1922">
        <v>1</v>
      </c>
      <c r="H312" s="1922">
        <v>0</v>
      </c>
      <c r="I312" s="1375"/>
      <c r="J312" s="1375" t="str">
        <f t="shared" si="4"/>
        <v>RES_201403_P13T12022</v>
      </c>
    </row>
    <row r="313" spans="1:10">
      <c r="A313" s="1375" t="s">
        <v>1874</v>
      </c>
      <c r="B313" s="1375" t="s">
        <v>449</v>
      </c>
      <c r="C313" s="1375">
        <v>2023</v>
      </c>
      <c r="D313" s="1922">
        <v>0</v>
      </c>
      <c r="E313" s="1922">
        <v>0</v>
      </c>
      <c r="F313" s="1922">
        <v>0</v>
      </c>
      <c r="G313" s="1922">
        <v>1</v>
      </c>
      <c r="H313" s="1922">
        <v>0</v>
      </c>
      <c r="I313" s="1375"/>
      <c r="J313" s="1375" t="str">
        <f t="shared" si="4"/>
        <v>RES_201403_P13T12023</v>
      </c>
    </row>
    <row r="314" spans="1:10">
      <c r="A314" s="1375" t="s">
        <v>1874</v>
      </c>
      <c r="B314" s="1375" t="s">
        <v>449</v>
      </c>
      <c r="C314" s="1375">
        <v>2024</v>
      </c>
      <c r="D314" s="1922">
        <v>0</v>
      </c>
      <c r="E314" s="1922">
        <v>0</v>
      </c>
      <c r="F314" s="1922">
        <v>0</v>
      </c>
      <c r="G314" s="1922">
        <v>1</v>
      </c>
      <c r="H314" s="1922">
        <v>0</v>
      </c>
      <c r="I314" s="1375"/>
      <c r="J314" s="1375" t="str">
        <f t="shared" si="4"/>
        <v>RES_201403_P13T12024</v>
      </c>
    </row>
    <row r="315" spans="1:10">
      <c r="A315" s="1375" t="s">
        <v>1874</v>
      </c>
      <c r="B315" s="1375" t="s">
        <v>449</v>
      </c>
      <c r="C315" s="1375">
        <v>2025</v>
      </c>
      <c r="D315" s="1922">
        <v>0</v>
      </c>
      <c r="E315" s="1922">
        <v>0</v>
      </c>
      <c r="F315" s="1922">
        <v>0</v>
      </c>
      <c r="G315" s="1922">
        <v>1</v>
      </c>
      <c r="H315" s="1922">
        <v>0</v>
      </c>
      <c r="I315" s="1375"/>
      <c r="J315" s="1375" t="str">
        <f t="shared" si="4"/>
        <v>RES_201403_P13T12025</v>
      </c>
    </row>
    <row r="316" spans="1:10">
      <c r="A316" s="1375" t="s">
        <v>1876</v>
      </c>
      <c r="B316" s="1375" t="s">
        <v>450</v>
      </c>
      <c r="C316" s="1375">
        <v>2022</v>
      </c>
      <c r="D316" s="1922">
        <v>0</v>
      </c>
      <c r="E316" s="1922">
        <v>0</v>
      </c>
      <c r="F316" s="1922">
        <v>0</v>
      </c>
      <c r="G316" s="1922">
        <v>1</v>
      </c>
      <c r="H316" s="1922">
        <v>0</v>
      </c>
      <c r="I316" s="1375"/>
      <c r="J316" s="1375" t="str">
        <f t="shared" si="4"/>
        <v>RES_201403_P13T22022</v>
      </c>
    </row>
    <row r="317" spans="1:10">
      <c r="A317" s="1375" t="s">
        <v>1876</v>
      </c>
      <c r="B317" s="1375" t="s">
        <v>450</v>
      </c>
      <c r="C317" s="1375">
        <v>2023</v>
      </c>
      <c r="D317" s="1922">
        <v>0</v>
      </c>
      <c r="E317" s="1922">
        <v>0</v>
      </c>
      <c r="F317" s="1922">
        <v>0</v>
      </c>
      <c r="G317" s="1922">
        <v>1</v>
      </c>
      <c r="H317" s="1922">
        <v>0</v>
      </c>
      <c r="I317" s="1375"/>
      <c r="J317" s="1375" t="str">
        <f t="shared" si="4"/>
        <v>RES_201403_P13T22023</v>
      </c>
    </row>
    <row r="318" spans="1:10">
      <c r="A318" s="1375" t="s">
        <v>1876</v>
      </c>
      <c r="B318" s="1375" t="s">
        <v>450</v>
      </c>
      <c r="C318" s="1375">
        <v>2024</v>
      </c>
      <c r="D318" s="1922">
        <v>0</v>
      </c>
      <c r="E318" s="1922">
        <v>0</v>
      </c>
      <c r="F318" s="1922">
        <v>0</v>
      </c>
      <c r="G318" s="1922">
        <v>1</v>
      </c>
      <c r="H318" s="1922">
        <v>0</v>
      </c>
      <c r="I318" s="1375"/>
      <c r="J318" s="1375" t="str">
        <f t="shared" si="4"/>
        <v>RES_201403_P13T22024</v>
      </c>
    </row>
    <row r="319" spans="1:10">
      <c r="A319" s="1375" t="s">
        <v>1876</v>
      </c>
      <c r="B319" s="1375" t="s">
        <v>450</v>
      </c>
      <c r="C319" s="1375">
        <v>2025</v>
      </c>
      <c r="D319" s="1922">
        <v>0</v>
      </c>
      <c r="E319" s="1922">
        <v>0</v>
      </c>
      <c r="F319" s="1922">
        <v>0</v>
      </c>
      <c r="G319" s="1922">
        <v>0</v>
      </c>
      <c r="H319" s="1922">
        <v>1</v>
      </c>
      <c r="I319" s="1375"/>
      <c r="J319" s="1375" t="str">
        <f t="shared" si="4"/>
        <v>RES_201403_P13T22025</v>
      </c>
    </row>
    <row r="320" spans="1:10">
      <c r="A320" s="1375" t="s">
        <v>2235</v>
      </c>
      <c r="B320" s="1375" t="s">
        <v>2324</v>
      </c>
      <c r="C320" s="1375">
        <v>2022</v>
      </c>
      <c r="D320" s="1922">
        <v>0</v>
      </c>
      <c r="E320" s="1922">
        <v>0</v>
      </c>
      <c r="F320" s="1922">
        <v>0</v>
      </c>
      <c r="G320" s="1922">
        <v>1</v>
      </c>
      <c r="H320" s="1922">
        <v>0</v>
      </c>
      <c r="I320" s="1375"/>
      <c r="J320" s="1375" t="str">
        <f t="shared" si="4"/>
        <v>RES_201403_P13T02022</v>
      </c>
    </row>
    <row r="321" spans="1:10">
      <c r="A321" s="1375" t="s">
        <v>2235</v>
      </c>
      <c r="B321" s="1375" t="s">
        <v>2324</v>
      </c>
      <c r="C321" s="1375">
        <v>2023</v>
      </c>
      <c r="D321" s="1922">
        <v>0</v>
      </c>
      <c r="E321" s="1922">
        <v>0</v>
      </c>
      <c r="F321" s="1922">
        <v>0</v>
      </c>
      <c r="G321" s="1922">
        <v>1</v>
      </c>
      <c r="H321" s="1922">
        <v>0</v>
      </c>
      <c r="I321" s="1375"/>
      <c r="J321" s="1375" t="str">
        <f t="shared" si="4"/>
        <v>RES_201403_P13T02023</v>
      </c>
    </row>
    <row r="322" spans="1:10">
      <c r="A322" s="1375" t="s">
        <v>2235</v>
      </c>
      <c r="B322" s="1375" t="s">
        <v>2324</v>
      </c>
      <c r="C322" s="1375">
        <v>2024</v>
      </c>
      <c r="D322" s="1922">
        <v>0</v>
      </c>
      <c r="E322" s="1922">
        <v>0</v>
      </c>
      <c r="F322" s="1922">
        <v>0</v>
      </c>
      <c r="G322" s="1922">
        <v>1</v>
      </c>
      <c r="H322" s="1922">
        <v>0</v>
      </c>
      <c r="I322" s="1375"/>
      <c r="J322" s="1375" t="str">
        <f t="shared" si="4"/>
        <v>RES_201403_P13T02024</v>
      </c>
    </row>
    <row r="323" spans="1:10">
      <c r="A323" s="1375" t="s">
        <v>2235</v>
      </c>
      <c r="B323" s="1375" t="s">
        <v>2324</v>
      </c>
      <c r="C323" s="1375">
        <v>2025</v>
      </c>
      <c r="D323" s="1922">
        <v>0</v>
      </c>
      <c r="E323" s="1922">
        <v>0</v>
      </c>
      <c r="F323" s="1922">
        <v>0</v>
      </c>
      <c r="G323" s="1922">
        <v>1</v>
      </c>
      <c r="H323" s="1922">
        <v>0</v>
      </c>
      <c r="I323" s="1375"/>
      <c r="J323" s="1375" t="str">
        <f t="shared" si="4"/>
        <v>RES_201403_P13T02025</v>
      </c>
    </row>
    <row r="324" spans="1:10">
      <c r="A324" s="1375" t="s">
        <v>1870</v>
      </c>
      <c r="B324" s="1375" t="s">
        <v>95</v>
      </c>
      <c r="C324" s="1375">
        <v>2022</v>
      </c>
      <c r="D324" s="1922">
        <v>0</v>
      </c>
      <c r="E324" s="1922">
        <v>0</v>
      </c>
      <c r="F324" s="1922">
        <v>0</v>
      </c>
      <c r="G324" s="1922">
        <v>1</v>
      </c>
      <c r="H324" s="1922">
        <v>0</v>
      </c>
      <c r="I324" s="1375"/>
      <c r="J324" s="1375" t="str">
        <f t="shared" si="4"/>
        <v>RES_201403_P6T12022</v>
      </c>
    </row>
    <row r="325" spans="1:10">
      <c r="A325" s="1375" t="s">
        <v>1870</v>
      </c>
      <c r="B325" s="1375" t="s">
        <v>95</v>
      </c>
      <c r="C325" s="1375">
        <v>2023</v>
      </c>
      <c r="D325" s="1922">
        <v>0</v>
      </c>
      <c r="E325" s="1922">
        <v>0</v>
      </c>
      <c r="F325" s="1922">
        <v>0</v>
      </c>
      <c r="G325" s="1922">
        <v>1</v>
      </c>
      <c r="H325" s="1922">
        <v>0</v>
      </c>
      <c r="I325" s="1375"/>
      <c r="J325" s="1375" t="str">
        <f t="shared" si="4"/>
        <v>RES_201403_P6T12023</v>
      </c>
    </row>
    <row r="326" spans="1:10">
      <c r="A326" s="1375" t="s">
        <v>1870</v>
      </c>
      <c r="B326" s="1375" t="s">
        <v>95</v>
      </c>
      <c r="C326" s="1375">
        <v>2024</v>
      </c>
      <c r="D326" s="1922">
        <v>0</v>
      </c>
      <c r="E326" s="1922">
        <v>0</v>
      </c>
      <c r="F326" s="1922">
        <v>0</v>
      </c>
      <c r="G326" s="1922">
        <v>1</v>
      </c>
      <c r="H326" s="1922">
        <v>0</v>
      </c>
      <c r="I326" s="1375"/>
      <c r="J326" s="1375" t="str">
        <f t="shared" ref="J326:J389" si="5">B326&amp;C326</f>
        <v>RES_201403_P6T12024</v>
      </c>
    </row>
    <row r="327" spans="1:10">
      <c r="A327" s="1375" t="s">
        <v>1870</v>
      </c>
      <c r="B327" s="1375" t="s">
        <v>95</v>
      </c>
      <c r="C327" s="1375">
        <v>2025</v>
      </c>
      <c r="D327" s="1922">
        <v>0</v>
      </c>
      <c r="E327" s="1922">
        <v>0</v>
      </c>
      <c r="F327" s="1922">
        <v>0</v>
      </c>
      <c r="G327" s="1922">
        <v>1</v>
      </c>
      <c r="H327" s="1922">
        <v>0</v>
      </c>
      <c r="I327" s="1375"/>
      <c r="J327" s="1375" t="str">
        <f t="shared" si="5"/>
        <v>RES_201403_P6T12025</v>
      </c>
    </row>
    <row r="328" spans="1:10">
      <c r="A328" s="1375" t="s">
        <v>2232</v>
      </c>
      <c r="B328" s="1375" t="s">
        <v>2347</v>
      </c>
      <c r="C328" s="1375">
        <v>2022</v>
      </c>
      <c r="D328" s="1922">
        <v>0</v>
      </c>
      <c r="E328" s="1922">
        <v>0</v>
      </c>
      <c r="F328" s="1922">
        <v>0</v>
      </c>
      <c r="G328" s="1922">
        <v>1</v>
      </c>
      <c r="H328" s="1922">
        <v>0</v>
      </c>
      <c r="I328" s="1375"/>
      <c r="J328" s="1375" t="str">
        <f t="shared" si="5"/>
        <v>RES_201403_P6T02022</v>
      </c>
    </row>
    <row r="329" spans="1:10">
      <c r="A329" s="1375" t="s">
        <v>2232</v>
      </c>
      <c r="B329" s="1375" t="s">
        <v>2347</v>
      </c>
      <c r="C329" s="1375">
        <v>2023</v>
      </c>
      <c r="D329" s="1922">
        <v>0</v>
      </c>
      <c r="E329" s="1922">
        <v>0</v>
      </c>
      <c r="F329" s="1922">
        <v>0</v>
      </c>
      <c r="G329" s="1922">
        <v>1</v>
      </c>
      <c r="H329" s="1922">
        <v>0</v>
      </c>
      <c r="I329" s="1375"/>
      <c r="J329" s="1375" t="str">
        <f t="shared" si="5"/>
        <v>RES_201403_P6T02023</v>
      </c>
    </row>
    <row r="330" spans="1:10">
      <c r="A330" s="1375" t="s">
        <v>2232</v>
      </c>
      <c r="B330" s="1375" t="s">
        <v>2347</v>
      </c>
      <c r="C330" s="1375">
        <v>2024</v>
      </c>
      <c r="D330" s="1922">
        <v>0</v>
      </c>
      <c r="E330" s="1922">
        <v>0</v>
      </c>
      <c r="F330" s="1922">
        <v>0</v>
      </c>
      <c r="G330" s="1922">
        <v>1</v>
      </c>
      <c r="H330" s="1922">
        <v>0</v>
      </c>
      <c r="I330" s="1375"/>
      <c r="J330" s="1375" t="str">
        <f t="shared" si="5"/>
        <v>RES_201403_P6T02024</v>
      </c>
    </row>
    <row r="331" spans="1:10">
      <c r="A331" s="1375" t="s">
        <v>2232</v>
      </c>
      <c r="B331" s="1375" t="s">
        <v>2347</v>
      </c>
      <c r="C331" s="1375">
        <v>2025</v>
      </c>
      <c r="D331" s="1922">
        <v>0</v>
      </c>
      <c r="E331" s="1922">
        <v>0</v>
      </c>
      <c r="F331" s="1922">
        <v>0</v>
      </c>
      <c r="G331" s="1922">
        <v>1</v>
      </c>
      <c r="H331" s="1922">
        <v>0</v>
      </c>
      <c r="I331" s="1375"/>
      <c r="J331" s="1375" t="str">
        <f t="shared" si="5"/>
        <v>RES_201403_P6T02025</v>
      </c>
    </row>
    <row r="332" spans="1:10">
      <c r="A332" s="1375" t="s">
        <v>2583</v>
      </c>
      <c r="B332" s="1375" t="s">
        <v>1553</v>
      </c>
      <c r="C332" s="1375">
        <v>2022</v>
      </c>
      <c r="D332" s="1922">
        <v>0</v>
      </c>
      <c r="E332" s="1922">
        <v>0</v>
      </c>
      <c r="F332" s="1922">
        <v>0</v>
      </c>
      <c r="G332" s="1922">
        <v>1</v>
      </c>
      <c r="H332" s="1922">
        <v>0</v>
      </c>
      <c r="I332" s="1375"/>
      <c r="J332" s="1375" t="str">
        <f t="shared" si="5"/>
        <v>XMP_202001_P3T12022</v>
      </c>
    </row>
    <row r="333" spans="1:10">
      <c r="A333" s="1375" t="s">
        <v>2583</v>
      </c>
      <c r="B333" s="1375" t="s">
        <v>1553</v>
      </c>
      <c r="C333" s="1375">
        <v>2023</v>
      </c>
      <c r="D333" s="1922">
        <v>0</v>
      </c>
      <c r="E333" s="1922">
        <v>0</v>
      </c>
      <c r="F333" s="1922">
        <v>0</v>
      </c>
      <c r="G333" s="1922">
        <v>1</v>
      </c>
      <c r="H333" s="1922">
        <v>0</v>
      </c>
      <c r="I333" s="1375"/>
      <c r="J333" s="1375" t="str">
        <f t="shared" si="5"/>
        <v>XMP_202001_P3T12023</v>
      </c>
    </row>
    <row r="334" spans="1:10">
      <c r="A334" s="1375" t="s">
        <v>2583</v>
      </c>
      <c r="B334" s="1375" t="s">
        <v>1553</v>
      </c>
      <c r="C334" s="1375">
        <v>2024</v>
      </c>
      <c r="D334" s="1922">
        <v>0</v>
      </c>
      <c r="E334" s="1922">
        <v>0</v>
      </c>
      <c r="F334" s="1922">
        <v>0</v>
      </c>
      <c r="G334" s="1922">
        <v>1</v>
      </c>
      <c r="H334" s="1922">
        <v>0</v>
      </c>
      <c r="I334" s="1375"/>
      <c r="J334" s="1375" t="str">
        <f t="shared" si="5"/>
        <v>XMP_202001_P3T12024</v>
      </c>
    </row>
    <row r="335" spans="1:10">
      <c r="A335" s="1375" t="s">
        <v>2583</v>
      </c>
      <c r="B335" s="1375" t="s">
        <v>1553</v>
      </c>
      <c r="C335" s="1375">
        <v>2025</v>
      </c>
      <c r="D335" s="1922">
        <v>0</v>
      </c>
      <c r="E335" s="1922">
        <v>0</v>
      </c>
      <c r="F335" s="1922">
        <v>0</v>
      </c>
      <c r="G335" s="1922">
        <v>1</v>
      </c>
      <c r="H335" s="1922">
        <v>0</v>
      </c>
      <c r="I335" s="1375"/>
      <c r="J335" s="1375" t="str">
        <f t="shared" si="5"/>
        <v>XMP_202001_P3T12025</v>
      </c>
    </row>
    <row r="336" spans="1:10">
      <c r="A336" s="1375" t="s">
        <v>2585</v>
      </c>
      <c r="B336" s="1375" t="s">
        <v>1555</v>
      </c>
      <c r="C336" s="1375">
        <v>2022</v>
      </c>
      <c r="D336" s="1922">
        <v>0</v>
      </c>
      <c r="E336" s="1922">
        <v>0</v>
      </c>
      <c r="F336" s="1922">
        <v>0</v>
      </c>
      <c r="G336" s="1922">
        <v>1</v>
      </c>
      <c r="H336" s="1922">
        <v>0</v>
      </c>
      <c r="I336" s="1375"/>
      <c r="J336" s="1375" t="str">
        <f t="shared" si="5"/>
        <v>XMP_202001_P3T32022</v>
      </c>
    </row>
    <row r="337" spans="1:10">
      <c r="A337" s="1375" t="s">
        <v>2585</v>
      </c>
      <c r="B337" s="1375" t="s">
        <v>1555</v>
      </c>
      <c r="C337" s="1375">
        <v>2023</v>
      </c>
      <c r="D337" s="1922">
        <v>0</v>
      </c>
      <c r="E337" s="1922">
        <v>0</v>
      </c>
      <c r="F337" s="1922">
        <v>0</v>
      </c>
      <c r="G337" s="1922">
        <v>1</v>
      </c>
      <c r="H337" s="1922">
        <v>0</v>
      </c>
      <c r="I337" s="1375"/>
      <c r="J337" s="1375" t="str">
        <f t="shared" si="5"/>
        <v>XMP_202001_P3T32023</v>
      </c>
    </row>
    <row r="338" spans="1:10">
      <c r="A338" s="1375" t="s">
        <v>2585</v>
      </c>
      <c r="B338" s="1375" t="s">
        <v>1555</v>
      </c>
      <c r="C338" s="1375">
        <v>2024</v>
      </c>
      <c r="D338" s="1922">
        <v>0</v>
      </c>
      <c r="E338" s="1922">
        <v>0</v>
      </c>
      <c r="F338" s="1922">
        <v>0</v>
      </c>
      <c r="G338" s="1922">
        <v>1</v>
      </c>
      <c r="H338" s="1922">
        <v>0</v>
      </c>
      <c r="I338" s="1375"/>
      <c r="J338" s="1375" t="str">
        <f t="shared" si="5"/>
        <v>XMP_202001_P3T32024</v>
      </c>
    </row>
    <row r="339" spans="1:10">
      <c r="A339" s="1375" t="s">
        <v>2585</v>
      </c>
      <c r="B339" s="1375" t="s">
        <v>1555</v>
      </c>
      <c r="C339" s="1375">
        <v>2025</v>
      </c>
      <c r="D339" s="1922">
        <v>0</v>
      </c>
      <c r="E339" s="1922">
        <v>0</v>
      </c>
      <c r="F339" s="1922">
        <v>0</v>
      </c>
      <c r="G339" s="1922">
        <v>1</v>
      </c>
      <c r="H339" s="1922">
        <v>0</v>
      </c>
      <c r="I339" s="1375"/>
      <c r="J339" s="1375" t="str">
        <f t="shared" si="5"/>
        <v>XMP_202001_P3T32025</v>
      </c>
    </row>
    <row r="340" spans="1:10">
      <c r="A340" s="1375" t="s">
        <v>2584</v>
      </c>
      <c r="B340" s="1375" t="s">
        <v>1554</v>
      </c>
      <c r="C340" s="1375">
        <v>2022</v>
      </c>
      <c r="D340" s="1922">
        <v>0</v>
      </c>
      <c r="E340" s="1922">
        <v>0</v>
      </c>
      <c r="F340" s="1922">
        <v>0</v>
      </c>
      <c r="G340" s="1922">
        <v>1</v>
      </c>
      <c r="H340" s="1922">
        <v>0</v>
      </c>
      <c r="I340" s="1375"/>
      <c r="J340" s="1375" t="str">
        <f t="shared" si="5"/>
        <v>XMP_202001_P3T22022</v>
      </c>
    </row>
    <row r="341" spans="1:10">
      <c r="A341" s="1375" t="s">
        <v>2584</v>
      </c>
      <c r="B341" s="1375" t="s">
        <v>1554</v>
      </c>
      <c r="C341" s="1375">
        <v>2023</v>
      </c>
      <c r="D341" s="1922">
        <v>0</v>
      </c>
      <c r="E341" s="1922">
        <v>0</v>
      </c>
      <c r="F341" s="1922">
        <v>0</v>
      </c>
      <c r="G341" s="1922">
        <v>1</v>
      </c>
      <c r="H341" s="1922">
        <v>0</v>
      </c>
      <c r="I341" s="1375"/>
      <c r="J341" s="1375" t="str">
        <f t="shared" si="5"/>
        <v>XMP_202001_P3T22023</v>
      </c>
    </row>
    <row r="342" spans="1:10">
      <c r="A342" s="1375" t="s">
        <v>2584</v>
      </c>
      <c r="B342" s="1375" t="s">
        <v>1554</v>
      </c>
      <c r="C342" s="1375">
        <v>2024</v>
      </c>
      <c r="D342" s="1922">
        <v>0</v>
      </c>
      <c r="E342" s="1922">
        <v>0</v>
      </c>
      <c r="F342" s="1922">
        <v>0</v>
      </c>
      <c r="G342" s="1922">
        <v>1</v>
      </c>
      <c r="H342" s="1922">
        <v>0</v>
      </c>
      <c r="I342" s="1375"/>
      <c r="J342" s="1375" t="str">
        <f t="shared" si="5"/>
        <v>XMP_202001_P3T22024</v>
      </c>
    </row>
    <row r="343" spans="1:10">
      <c r="A343" s="1375" t="s">
        <v>2584</v>
      </c>
      <c r="B343" s="1375" t="s">
        <v>1554</v>
      </c>
      <c r="C343" s="1375">
        <v>2025</v>
      </c>
      <c r="D343" s="1922">
        <v>0</v>
      </c>
      <c r="E343" s="1922">
        <v>0</v>
      </c>
      <c r="F343" s="1922">
        <v>0</v>
      </c>
      <c r="G343" s="1922">
        <v>1</v>
      </c>
      <c r="H343" s="1922">
        <v>0</v>
      </c>
      <c r="I343" s="1375"/>
      <c r="J343" s="1375" t="str">
        <f t="shared" si="5"/>
        <v>XMP_202001_P3T22025</v>
      </c>
    </row>
    <row r="344" spans="1:10">
      <c r="A344" s="1375" t="s">
        <v>2579</v>
      </c>
      <c r="B344" s="1375" t="s">
        <v>1549</v>
      </c>
      <c r="C344" s="1375">
        <v>2022</v>
      </c>
      <c r="D344" s="1922">
        <v>0</v>
      </c>
      <c r="E344" s="1922">
        <v>0</v>
      </c>
      <c r="F344" s="1922">
        <v>0</v>
      </c>
      <c r="G344" s="1922">
        <v>1</v>
      </c>
      <c r="H344" s="1922">
        <v>0</v>
      </c>
      <c r="I344" s="1375"/>
      <c r="J344" s="1375" t="str">
        <f t="shared" si="5"/>
        <v>XMP_202001_P1T12022</v>
      </c>
    </row>
    <row r="345" spans="1:10">
      <c r="A345" s="1375" t="s">
        <v>2579</v>
      </c>
      <c r="B345" s="1375" t="s">
        <v>1549</v>
      </c>
      <c r="C345" s="1375">
        <v>2023</v>
      </c>
      <c r="D345" s="1922">
        <v>0</v>
      </c>
      <c r="E345" s="1922">
        <v>0</v>
      </c>
      <c r="F345" s="1922">
        <v>0</v>
      </c>
      <c r="G345" s="1922">
        <v>1</v>
      </c>
      <c r="H345" s="1922">
        <v>0</v>
      </c>
      <c r="I345" s="1375"/>
      <c r="J345" s="1375" t="str">
        <f t="shared" si="5"/>
        <v>XMP_202001_P1T12023</v>
      </c>
    </row>
    <row r="346" spans="1:10">
      <c r="A346" s="1375" t="s">
        <v>2579</v>
      </c>
      <c r="B346" s="1375" t="s">
        <v>1549</v>
      </c>
      <c r="C346" s="1375">
        <v>2024</v>
      </c>
      <c r="D346" s="1922">
        <v>0</v>
      </c>
      <c r="E346" s="1922">
        <v>0</v>
      </c>
      <c r="F346" s="1922">
        <v>0</v>
      </c>
      <c r="G346" s="1922">
        <v>1</v>
      </c>
      <c r="H346" s="1922">
        <v>0</v>
      </c>
      <c r="I346" s="1375"/>
      <c r="J346" s="1375" t="str">
        <f t="shared" si="5"/>
        <v>XMP_202001_P1T12024</v>
      </c>
    </row>
    <row r="347" spans="1:10">
      <c r="A347" s="1375" t="s">
        <v>2579</v>
      </c>
      <c r="B347" s="1375" t="s">
        <v>1549</v>
      </c>
      <c r="C347" s="1375">
        <v>2025</v>
      </c>
      <c r="D347" s="1922">
        <v>0</v>
      </c>
      <c r="E347" s="1922">
        <v>0</v>
      </c>
      <c r="F347" s="1922">
        <v>0</v>
      </c>
      <c r="G347" s="1922">
        <v>1</v>
      </c>
      <c r="H347" s="1922">
        <v>0</v>
      </c>
      <c r="I347" s="1375"/>
      <c r="J347" s="1375" t="str">
        <f t="shared" si="5"/>
        <v>XMP_202001_P1T12025</v>
      </c>
    </row>
    <row r="348" spans="1:10">
      <c r="A348" s="1375" t="s">
        <v>2580</v>
      </c>
      <c r="B348" s="1375" t="s">
        <v>1550</v>
      </c>
      <c r="C348" s="1375">
        <v>2022</v>
      </c>
      <c r="D348" s="1922">
        <v>0</v>
      </c>
      <c r="E348" s="1922">
        <v>0</v>
      </c>
      <c r="F348" s="1922">
        <v>0</v>
      </c>
      <c r="G348" s="1922">
        <v>1</v>
      </c>
      <c r="H348" s="1922">
        <v>0</v>
      </c>
      <c r="I348" s="1375"/>
      <c r="J348" s="1375" t="str">
        <f t="shared" si="5"/>
        <v>XMP_202001_P1T22022</v>
      </c>
    </row>
    <row r="349" spans="1:10">
      <c r="A349" s="1375" t="s">
        <v>2580</v>
      </c>
      <c r="B349" s="1375" t="s">
        <v>1550</v>
      </c>
      <c r="C349" s="1375">
        <v>2023</v>
      </c>
      <c r="D349" s="1922">
        <v>0</v>
      </c>
      <c r="E349" s="1922">
        <v>0</v>
      </c>
      <c r="F349" s="1922">
        <v>0</v>
      </c>
      <c r="G349" s="1922">
        <v>1</v>
      </c>
      <c r="H349" s="1922">
        <v>0</v>
      </c>
      <c r="I349" s="1375"/>
      <c r="J349" s="1375" t="str">
        <f t="shared" si="5"/>
        <v>XMP_202001_P1T22023</v>
      </c>
    </row>
    <row r="350" spans="1:10">
      <c r="A350" s="1375" t="s">
        <v>2580</v>
      </c>
      <c r="B350" s="1375" t="s">
        <v>1550</v>
      </c>
      <c r="C350" s="1375">
        <v>2024</v>
      </c>
      <c r="D350" s="1922">
        <v>0</v>
      </c>
      <c r="E350" s="1922">
        <v>0</v>
      </c>
      <c r="F350" s="1922">
        <v>0</v>
      </c>
      <c r="G350" s="1922">
        <v>1</v>
      </c>
      <c r="H350" s="1922">
        <v>0</v>
      </c>
      <c r="I350" s="1375"/>
      <c r="J350" s="1375" t="str">
        <f t="shared" si="5"/>
        <v>XMP_202001_P1T22024</v>
      </c>
    </row>
    <row r="351" spans="1:10">
      <c r="A351" s="1375" t="s">
        <v>2580</v>
      </c>
      <c r="B351" s="1375" t="s">
        <v>1550</v>
      </c>
      <c r="C351" s="1375">
        <v>2025</v>
      </c>
      <c r="D351" s="1922">
        <v>0</v>
      </c>
      <c r="E351" s="1922">
        <v>0</v>
      </c>
      <c r="F351" s="1922">
        <v>0</v>
      </c>
      <c r="G351" s="1922">
        <v>1</v>
      </c>
      <c r="H351" s="1922">
        <v>0</v>
      </c>
      <c r="I351" s="1375"/>
      <c r="J351" s="1375" t="str">
        <f t="shared" si="5"/>
        <v>XMP_202001_P1T22025</v>
      </c>
    </row>
    <row r="352" spans="1:10">
      <c r="A352" s="1375" t="s">
        <v>2541</v>
      </c>
      <c r="B352" s="1375" t="s">
        <v>2318</v>
      </c>
      <c r="C352" s="1375">
        <v>2025</v>
      </c>
      <c r="D352" s="1922">
        <v>0</v>
      </c>
      <c r="E352" s="1922">
        <v>0</v>
      </c>
      <c r="F352" s="1922">
        <v>0</v>
      </c>
      <c r="G352" s="1922">
        <v>1</v>
      </c>
      <c r="H352" s="1922">
        <v>0</v>
      </c>
      <c r="I352" s="1375"/>
      <c r="J352" s="1375" t="str">
        <f t="shared" si="5"/>
        <v>RES_201402_P11T12025</v>
      </c>
    </row>
    <row r="353" spans="1:10">
      <c r="A353" s="1375" t="s">
        <v>2542</v>
      </c>
      <c r="B353" s="1375" t="s">
        <v>2319</v>
      </c>
      <c r="C353" s="1375">
        <v>2022</v>
      </c>
      <c r="D353" s="1922">
        <v>0</v>
      </c>
      <c r="E353" s="1922">
        <v>0</v>
      </c>
      <c r="F353" s="1922">
        <v>0</v>
      </c>
      <c r="G353" s="1922">
        <v>1</v>
      </c>
      <c r="H353" s="1922">
        <v>0</v>
      </c>
      <c r="I353" s="1375"/>
      <c r="J353" s="1375" t="str">
        <f t="shared" si="5"/>
        <v>RES_201402_P12T12022</v>
      </c>
    </row>
    <row r="354" spans="1:10">
      <c r="A354" s="1375" t="s">
        <v>2542</v>
      </c>
      <c r="B354" s="1375" t="s">
        <v>2319</v>
      </c>
      <c r="C354" s="1375">
        <v>2023</v>
      </c>
      <c r="D354" s="1922">
        <v>0</v>
      </c>
      <c r="E354" s="1922">
        <v>0</v>
      </c>
      <c r="F354" s="1922">
        <v>0</v>
      </c>
      <c r="G354" s="1922">
        <v>1</v>
      </c>
      <c r="H354" s="1922">
        <v>0</v>
      </c>
      <c r="I354" s="1375"/>
      <c r="J354" s="1375" t="str">
        <f t="shared" si="5"/>
        <v>RES_201402_P12T12023</v>
      </c>
    </row>
    <row r="355" spans="1:10">
      <c r="A355" s="1375" t="s">
        <v>2542</v>
      </c>
      <c r="B355" s="1375" t="s">
        <v>2319</v>
      </c>
      <c r="C355" s="1375">
        <v>2024</v>
      </c>
      <c r="D355" s="1922">
        <v>0</v>
      </c>
      <c r="E355" s="1922">
        <v>0</v>
      </c>
      <c r="F355" s="1922">
        <v>0</v>
      </c>
      <c r="G355" s="1922">
        <v>1</v>
      </c>
      <c r="H355" s="1922">
        <v>0</v>
      </c>
      <c r="I355" s="1375"/>
      <c r="J355" s="1375" t="str">
        <f t="shared" si="5"/>
        <v>RES_201402_P12T12024</v>
      </c>
    </row>
    <row r="356" spans="1:10">
      <c r="A356" s="1375" t="s">
        <v>2542</v>
      </c>
      <c r="B356" s="1375" t="s">
        <v>2319</v>
      </c>
      <c r="C356" s="1375">
        <v>2025</v>
      </c>
      <c r="D356" s="1922">
        <v>0</v>
      </c>
      <c r="E356" s="1922">
        <v>0</v>
      </c>
      <c r="F356" s="1922">
        <v>0</v>
      </c>
      <c r="G356" s="1922">
        <v>1</v>
      </c>
      <c r="H356" s="1922">
        <v>0</v>
      </c>
      <c r="I356" s="1375"/>
      <c r="J356" s="1375" t="str">
        <f t="shared" si="5"/>
        <v>RES_201402_P12T12025</v>
      </c>
    </row>
    <row r="357" spans="1:10">
      <c r="A357" s="1375" t="s">
        <v>2198</v>
      </c>
      <c r="B357" s="1375" t="s">
        <v>392</v>
      </c>
      <c r="C357" s="1375">
        <v>2022</v>
      </c>
      <c r="D357" s="1922">
        <v>0</v>
      </c>
      <c r="E357" s="1922">
        <v>0</v>
      </c>
      <c r="F357" s="1922">
        <v>0</v>
      </c>
      <c r="G357" s="1922">
        <v>1</v>
      </c>
      <c r="H357" s="1922">
        <v>0</v>
      </c>
      <c r="I357" s="1375"/>
      <c r="J357" s="1375" t="str">
        <f t="shared" si="5"/>
        <v>RES_201403_P2T22022</v>
      </c>
    </row>
    <row r="358" spans="1:10">
      <c r="A358" s="1375" t="s">
        <v>2198</v>
      </c>
      <c r="B358" s="1375" t="s">
        <v>392</v>
      </c>
      <c r="C358" s="1375">
        <v>2023</v>
      </c>
      <c r="D358" s="1922">
        <v>0</v>
      </c>
      <c r="E358" s="1922">
        <v>0</v>
      </c>
      <c r="F358" s="1922">
        <v>0</v>
      </c>
      <c r="G358" s="1922">
        <v>1</v>
      </c>
      <c r="H358" s="1922">
        <v>0</v>
      </c>
      <c r="I358" s="1375"/>
      <c r="J358" s="1375" t="str">
        <f t="shared" si="5"/>
        <v>RES_201403_P2T22023</v>
      </c>
    </row>
    <row r="359" spans="1:10">
      <c r="A359" s="1375" t="s">
        <v>2198</v>
      </c>
      <c r="B359" s="1375" t="s">
        <v>392</v>
      </c>
      <c r="C359" s="1375">
        <v>2024</v>
      </c>
      <c r="D359" s="1922">
        <v>0</v>
      </c>
      <c r="E359" s="1922">
        <v>0</v>
      </c>
      <c r="F359" s="1922">
        <v>0</v>
      </c>
      <c r="G359" s="1922">
        <v>1</v>
      </c>
      <c r="H359" s="1922">
        <v>0</v>
      </c>
      <c r="I359" s="1375"/>
      <c r="J359" s="1375" t="str">
        <f t="shared" si="5"/>
        <v>RES_201403_P2T22024</v>
      </c>
    </row>
    <row r="360" spans="1:10">
      <c r="A360" s="1375" t="s">
        <v>2198</v>
      </c>
      <c r="B360" s="1375" t="s">
        <v>392</v>
      </c>
      <c r="C360" s="1375">
        <v>2025</v>
      </c>
      <c r="D360" s="1922">
        <v>0</v>
      </c>
      <c r="E360" s="1922">
        <v>0</v>
      </c>
      <c r="F360" s="1922">
        <v>0</v>
      </c>
      <c r="G360" s="1922">
        <v>1</v>
      </c>
      <c r="H360" s="1922">
        <v>0</v>
      </c>
      <c r="I360" s="1375"/>
      <c r="J360" s="1375" t="str">
        <f t="shared" si="5"/>
        <v>RES_201403_P2T22025</v>
      </c>
    </row>
    <row r="361" spans="1:10">
      <c r="A361" s="1375" t="s">
        <v>2200</v>
      </c>
      <c r="B361" s="1375" t="s">
        <v>1749</v>
      </c>
      <c r="C361" s="1375">
        <v>2022</v>
      </c>
      <c r="D361" s="1922">
        <v>0</v>
      </c>
      <c r="E361" s="1922">
        <v>0</v>
      </c>
      <c r="F361" s="1922">
        <v>0</v>
      </c>
      <c r="G361" s="1922">
        <v>1</v>
      </c>
      <c r="H361" s="1922">
        <v>0</v>
      </c>
      <c r="I361" s="1375"/>
      <c r="J361" s="1375" t="str">
        <f t="shared" si="5"/>
        <v>RES_201403_P2T02022</v>
      </c>
    </row>
    <row r="362" spans="1:10">
      <c r="A362" s="1375" t="s">
        <v>2200</v>
      </c>
      <c r="B362" s="1375" t="s">
        <v>1749</v>
      </c>
      <c r="C362" s="1375">
        <v>2023</v>
      </c>
      <c r="D362" s="1922">
        <v>0</v>
      </c>
      <c r="E362" s="1922">
        <v>0</v>
      </c>
      <c r="F362" s="1922">
        <v>0</v>
      </c>
      <c r="G362" s="1922">
        <v>1</v>
      </c>
      <c r="H362" s="1922">
        <v>0</v>
      </c>
      <c r="I362" s="1375"/>
      <c r="J362" s="1375" t="str">
        <f t="shared" si="5"/>
        <v>RES_201403_P2T02023</v>
      </c>
    </row>
    <row r="363" spans="1:10">
      <c r="A363" s="1375" t="s">
        <v>2200</v>
      </c>
      <c r="B363" s="1375" t="s">
        <v>1749</v>
      </c>
      <c r="C363" s="1375">
        <v>2024</v>
      </c>
      <c r="D363" s="1922">
        <v>0</v>
      </c>
      <c r="E363" s="1922">
        <v>0</v>
      </c>
      <c r="F363" s="1922">
        <v>0</v>
      </c>
      <c r="G363" s="1922">
        <v>1</v>
      </c>
      <c r="H363" s="1922">
        <v>0</v>
      </c>
      <c r="I363" s="1375"/>
      <c r="J363" s="1375" t="str">
        <f t="shared" si="5"/>
        <v>RES_201403_P2T02024</v>
      </c>
    </row>
    <row r="364" spans="1:10">
      <c r="A364" s="1375" t="s">
        <v>2200</v>
      </c>
      <c r="B364" s="1375" t="s">
        <v>1749</v>
      </c>
      <c r="C364" s="1375">
        <v>2025</v>
      </c>
      <c r="D364" s="1922">
        <v>0</v>
      </c>
      <c r="E364" s="1922">
        <v>0</v>
      </c>
      <c r="F364" s="1922">
        <v>0</v>
      </c>
      <c r="G364" s="1922">
        <v>1</v>
      </c>
      <c r="H364" s="1922">
        <v>0</v>
      </c>
      <c r="I364" s="1375"/>
      <c r="J364" s="1375" t="str">
        <f t="shared" si="5"/>
        <v>RES_201403_P2T02025</v>
      </c>
    </row>
    <row r="365" spans="1:10">
      <c r="A365" s="1375" t="s">
        <v>1895</v>
      </c>
      <c r="B365" s="1375" t="s">
        <v>120</v>
      </c>
      <c r="C365" s="1375">
        <v>2022</v>
      </c>
      <c r="D365" s="1922">
        <v>0</v>
      </c>
      <c r="E365" s="1922">
        <v>0</v>
      </c>
      <c r="F365" s="1922">
        <v>0</v>
      </c>
      <c r="G365" s="1922">
        <v>1</v>
      </c>
      <c r="H365" s="1922">
        <v>0</v>
      </c>
      <c r="I365" s="1375"/>
      <c r="J365" s="1375" t="str">
        <f t="shared" si="5"/>
        <v>RES_201403_P3T12022</v>
      </c>
    </row>
    <row r="366" spans="1:10">
      <c r="A366" s="1375" t="s">
        <v>1895</v>
      </c>
      <c r="B366" s="1375" t="s">
        <v>120</v>
      </c>
      <c r="C366" s="1375">
        <v>2023</v>
      </c>
      <c r="D366" s="1922">
        <v>0</v>
      </c>
      <c r="E366" s="1922">
        <v>0</v>
      </c>
      <c r="F366" s="1922">
        <v>0</v>
      </c>
      <c r="G366" s="1922">
        <v>1</v>
      </c>
      <c r="H366" s="1922">
        <v>0</v>
      </c>
      <c r="I366" s="1375"/>
      <c r="J366" s="1375" t="str">
        <f t="shared" si="5"/>
        <v>RES_201403_P3T12023</v>
      </c>
    </row>
    <row r="367" spans="1:10">
      <c r="A367" s="1375" t="s">
        <v>1895</v>
      </c>
      <c r="B367" s="1375" t="s">
        <v>120</v>
      </c>
      <c r="C367" s="1375">
        <v>2024</v>
      </c>
      <c r="D367" s="1922">
        <v>0</v>
      </c>
      <c r="E367" s="1922">
        <v>0</v>
      </c>
      <c r="F367" s="1922">
        <v>0</v>
      </c>
      <c r="G367" s="1922">
        <v>1</v>
      </c>
      <c r="H367" s="1922">
        <v>0</v>
      </c>
      <c r="I367" s="1375"/>
      <c r="J367" s="1375" t="str">
        <f t="shared" si="5"/>
        <v>RES_201403_P3T12024</v>
      </c>
    </row>
    <row r="368" spans="1:10">
      <c r="A368" s="1375" t="s">
        <v>1895</v>
      </c>
      <c r="B368" s="1375" t="s">
        <v>120</v>
      </c>
      <c r="C368" s="1375">
        <v>2025</v>
      </c>
      <c r="D368" s="1922">
        <v>0</v>
      </c>
      <c r="E368" s="1922">
        <v>0</v>
      </c>
      <c r="F368" s="1922">
        <v>0</v>
      </c>
      <c r="G368" s="1922">
        <v>1</v>
      </c>
      <c r="H368" s="1922">
        <v>0</v>
      </c>
      <c r="I368" s="1375"/>
      <c r="J368" s="1375" t="str">
        <f t="shared" si="5"/>
        <v>RES_201403_P3T12025</v>
      </c>
    </row>
    <row r="369" spans="1:10">
      <c r="A369" s="1375" t="s">
        <v>1896</v>
      </c>
      <c r="B369" s="1375" t="s">
        <v>1394</v>
      </c>
      <c r="C369" s="1375">
        <v>2022</v>
      </c>
      <c r="D369" s="1922">
        <v>0</v>
      </c>
      <c r="E369" s="1922">
        <v>0</v>
      </c>
      <c r="F369" s="1922">
        <v>0</v>
      </c>
      <c r="G369" s="1922">
        <v>1</v>
      </c>
      <c r="H369" s="1922">
        <v>0</v>
      </c>
      <c r="I369" s="1375"/>
      <c r="J369" s="1375" t="str">
        <f t="shared" si="5"/>
        <v>RES_201403_P3T22022</v>
      </c>
    </row>
    <row r="370" spans="1:10">
      <c r="A370" s="1375" t="s">
        <v>1896</v>
      </c>
      <c r="B370" s="1375" t="s">
        <v>1394</v>
      </c>
      <c r="C370" s="1375">
        <v>2023</v>
      </c>
      <c r="D370" s="1922">
        <v>0</v>
      </c>
      <c r="E370" s="1922">
        <v>0</v>
      </c>
      <c r="F370" s="1922">
        <v>0</v>
      </c>
      <c r="G370" s="1922">
        <v>1</v>
      </c>
      <c r="H370" s="1922">
        <v>0</v>
      </c>
      <c r="I370" s="1375"/>
      <c r="J370" s="1375" t="str">
        <f t="shared" si="5"/>
        <v>RES_201403_P3T22023</v>
      </c>
    </row>
    <row r="371" spans="1:10">
      <c r="A371" s="1375" t="s">
        <v>1896</v>
      </c>
      <c r="B371" s="1375" t="s">
        <v>1394</v>
      </c>
      <c r="C371" s="1375">
        <v>2024</v>
      </c>
      <c r="D371" s="1922">
        <v>0</v>
      </c>
      <c r="E371" s="1922">
        <v>0</v>
      </c>
      <c r="F371" s="1922">
        <v>0</v>
      </c>
      <c r="G371" s="1922">
        <v>1</v>
      </c>
      <c r="H371" s="1922">
        <v>0</v>
      </c>
      <c r="I371" s="1375"/>
      <c r="J371" s="1375" t="str">
        <f t="shared" si="5"/>
        <v>RES_201403_P3T22024</v>
      </c>
    </row>
    <row r="372" spans="1:10">
      <c r="A372" s="1375" t="s">
        <v>1896</v>
      </c>
      <c r="B372" s="1375" t="s">
        <v>1394</v>
      </c>
      <c r="C372" s="1375">
        <v>2025</v>
      </c>
      <c r="D372" s="1922">
        <v>0</v>
      </c>
      <c r="E372" s="1922">
        <v>0</v>
      </c>
      <c r="F372" s="1922">
        <v>0</v>
      </c>
      <c r="G372" s="1922">
        <v>0</v>
      </c>
      <c r="H372" s="1922">
        <v>1</v>
      </c>
      <c r="I372" s="1375"/>
      <c r="J372" s="1375" t="str">
        <f t="shared" si="5"/>
        <v>RES_201403_P3T22025</v>
      </c>
    </row>
    <row r="373" spans="1:10">
      <c r="A373" s="1375" t="s">
        <v>2567</v>
      </c>
      <c r="B373" s="1375" t="s">
        <v>2343</v>
      </c>
      <c r="C373" s="1375">
        <v>2022</v>
      </c>
      <c r="D373" s="1922">
        <v>0</v>
      </c>
      <c r="E373" s="1922">
        <v>0</v>
      </c>
      <c r="F373" s="1922">
        <v>0</v>
      </c>
      <c r="G373" s="1922">
        <v>1</v>
      </c>
      <c r="H373" s="1922">
        <v>0</v>
      </c>
      <c r="I373" s="1375"/>
      <c r="J373" s="1375" t="str">
        <f t="shared" si="5"/>
        <v>RES_201403_P3T02022</v>
      </c>
    </row>
    <row r="374" spans="1:10">
      <c r="A374" s="1375" t="s">
        <v>2567</v>
      </c>
      <c r="B374" s="1375" t="s">
        <v>2343</v>
      </c>
      <c r="C374" s="1375">
        <v>2023</v>
      </c>
      <c r="D374" s="1922">
        <v>0</v>
      </c>
      <c r="E374" s="1922">
        <v>0</v>
      </c>
      <c r="F374" s="1922">
        <v>0</v>
      </c>
      <c r="G374" s="1922">
        <v>1</v>
      </c>
      <c r="H374" s="1922">
        <v>0</v>
      </c>
      <c r="I374" s="1375"/>
      <c r="J374" s="1375" t="str">
        <f t="shared" si="5"/>
        <v>RES_201403_P3T02023</v>
      </c>
    </row>
    <row r="375" spans="1:10">
      <c r="A375" s="1375" t="s">
        <v>2567</v>
      </c>
      <c r="B375" s="1375" t="s">
        <v>2343</v>
      </c>
      <c r="C375" s="1375">
        <v>2024</v>
      </c>
      <c r="D375" s="1922">
        <v>0</v>
      </c>
      <c r="E375" s="1922">
        <v>0</v>
      </c>
      <c r="F375" s="1922">
        <v>0</v>
      </c>
      <c r="G375" s="1922">
        <v>1</v>
      </c>
      <c r="H375" s="1922">
        <v>0</v>
      </c>
      <c r="I375" s="1375"/>
      <c r="J375" s="1375" t="str">
        <f t="shared" si="5"/>
        <v>RES_201403_P3T02024</v>
      </c>
    </row>
    <row r="376" spans="1:10">
      <c r="A376" s="1375" t="s">
        <v>2567</v>
      </c>
      <c r="B376" s="1375" t="s">
        <v>2343</v>
      </c>
      <c r="C376" s="1375">
        <v>2025</v>
      </c>
      <c r="D376" s="1922">
        <v>0</v>
      </c>
      <c r="E376" s="1922">
        <v>0</v>
      </c>
      <c r="F376" s="1922">
        <v>0</v>
      </c>
      <c r="G376" s="1922">
        <v>1</v>
      </c>
      <c r="H376" s="1922">
        <v>0</v>
      </c>
      <c r="I376" s="1375"/>
      <c r="J376" s="1375" t="str">
        <f t="shared" si="5"/>
        <v>RES_201403_P3T02025</v>
      </c>
    </row>
    <row r="377" spans="1:10">
      <c r="A377" s="1375" t="s">
        <v>2515</v>
      </c>
      <c r="B377" s="1375" t="s">
        <v>500</v>
      </c>
      <c r="C377" s="1375">
        <v>2022</v>
      </c>
      <c r="D377" s="1922">
        <v>0</v>
      </c>
      <c r="E377" s="1922">
        <v>0</v>
      </c>
      <c r="F377" s="1922">
        <v>0</v>
      </c>
      <c r="G377" s="1922">
        <v>1</v>
      </c>
      <c r="H377" s="1922">
        <v>0</v>
      </c>
      <c r="I377" s="1375"/>
      <c r="J377" s="1375" t="str">
        <f t="shared" si="5"/>
        <v>Res_201301_P20T32022</v>
      </c>
    </row>
    <row r="378" spans="1:10">
      <c r="A378" s="1375" t="s">
        <v>2515</v>
      </c>
      <c r="B378" s="1375" t="s">
        <v>500</v>
      </c>
      <c r="C378" s="1375">
        <v>2023</v>
      </c>
      <c r="D378" s="1922">
        <v>0</v>
      </c>
      <c r="E378" s="1922">
        <v>0</v>
      </c>
      <c r="F378" s="1922">
        <v>0</v>
      </c>
      <c r="G378" s="1922">
        <v>1</v>
      </c>
      <c r="H378" s="1922">
        <v>0</v>
      </c>
      <c r="I378" s="1375"/>
      <c r="J378" s="1375" t="str">
        <f t="shared" si="5"/>
        <v>Res_201301_P20T32023</v>
      </c>
    </row>
    <row r="379" spans="1:10">
      <c r="A379" s="1375" t="s">
        <v>2515</v>
      </c>
      <c r="B379" s="1375" t="s">
        <v>500</v>
      </c>
      <c r="C379" s="1375">
        <v>2024</v>
      </c>
      <c r="D379" s="1922">
        <v>0</v>
      </c>
      <c r="E379" s="1922">
        <v>0</v>
      </c>
      <c r="F379" s="1922">
        <v>0</v>
      </c>
      <c r="G379" s="1922">
        <v>1</v>
      </c>
      <c r="H379" s="1922">
        <v>0</v>
      </c>
      <c r="I379" s="1375"/>
      <c r="J379" s="1375" t="str">
        <f t="shared" si="5"/>
        <v>Res_201301_P20T32024</v>
      </c>
    </row>
    <row r="380" spans="1:10">
      <c r="A380" s="1375" t="s">
        <v>2515</v>
      </c>
      <c r="B380" s="1375" t="s">
        <v>500</v>
      </c>
      <c r="C380" s="1375">
        <v>2025</v>
      </c>
      <c r="D380" s="1922">
        <v>0</v>
      </c>
      <c r="E380" s="1922">
        <v>0</v>
      </c>
      <c r="F380" s="1922">
        <v>0</v>
      </c>
      <c r="G380" s="1922">
        <v>1</v>
      </c>
      <c r="H380" s="1922">
        <v>0</v>
      </c>
      <c r="I380" s="1375"/>
      <c r="J380" s="1375" t="str">
        <f t="shared" si="5"/>
        <v>Res_201301_P20T32025</v>
      </c>
    </row>
    <row r="381" spans="1:10">
      <c r="A381" s="1375" t="s">
        <v>2499</v>
      </c>
      <c r="B381" s="1375" t="s">
        <v>76</v>
      </c>
      <c r="C381" s="1375">
        <v>2022</v>
      </c>
      <c r="D381" s="1922">
        <v>0</v>
      </c>
      <c r="E381" s="1922">
        <v>0</v>
      </c>
      <c r="F381" s="1922">
        <v>0</v>
      </c>
      <c r="G381" s="1922">
        <v>1</v>
      </c>
      <c r="H381" s="1922">
        <v>0</v>
      </c>
      <c r="I381" s="1375"/>
      <c r="J381" s="1375" t="str">
        <f t="shared" si="5"/>
        <v>RES_201301_P14T12022</v>
      </c>
    </row>
    <row r="382" spans="1:10">
      <c r="A382" s="1375" t="s">
        <v>2499</v>
      </c>
      <c r="B382" s="1375" t="s">
        <v>76</v>
      </c>
      <c r="C382" s="1375">
        <v>2023</v>
      </c>
      <c r="D382" s="1922">
        <v>0</v>
      </c>
      <c r="E382" s="1922">
        <v>0</v>
      </c>
      <c r="F382" s="1922">
        <v>0</v>
      </c>
      <c r="G382" s="1922">
        <v>1</v>
      </c>
      <c r="H382" s="1922">
        <v>0</v>
      </c>
      <c r="I382" s="1375"/>
      <c r="J382" s="1375" t="str">
        <f t="shared" si="5"/>
        <v>RES_201301_P14T12023</v>
      </c>
    </row>
    <row r="383" spans="1:10">
      <c r="A383" s="1375" t="s">
        <v>2499</v>
      </c>
      <c r="B383" s="1375" t="s">
        <v>76</v>
      </c>
      <c r="C383" s="1375">
        <v>2024</v>
      </c>
      <c r="D383" s="1922">
        <v>0</v>
      </c>
      <c r="E383" s="1922">
        <v>0</v>
      </c>
      <c r="F383" s="1922">
        <v>0</v>
      </c>
      <c r="G383" s="1922">
        <v>1</v>
      </c>
      <c r="H383" s="1922">
        <v>0</v>
      </c>
      <c r="I383" s="1375"/>
      <c r="J383" s="1375" t="str">
        <f t="shared" si="5"/>
        <v>RES_201301_P14T12024</v>
      </c>
    </row>
    <row r="384" spans="1:10">
      <c r="A384" s="1375" t="s">
        <v>2499</v>
      </c>
      <c r="B384" s="1375" t="s">
        <v>76</v>
      </c>
      <c r="C384" s="1375">
        <v>2025</v>
      </c>
      <c r="D384" s="1922">
        <v>0</v>
      </c>
      <c r="E384" s="1922">
        <v>0</v>
      </c>
      <c r="F384" s="1922">
        <v>0</v>
      </c>
      <c r="G384" s="1922">
        <v>1</v>
      </c>
      <c r="H384" s="1922">
        <v>0</v>
      </c>
      <c r="I384" s="1375"/>
      <c r="J384" s="1375" t="str">
        <f t="shared" si="5"/>
        <v>RES_201301_P14T12025</v>
      </c>
    </row>
    <row r="385" spans="1:10">
      <c r="A385" s="1375" t="s">
        <v>2532</v>
      </c>
      <c r="B385" s="1375" t="s">
        <v>458</v>
      </c>
      <c r="C385" s="1375">
        <v>2024</v>
      </c>
      <c r="D385" s="1922">
        <v>0</v>
      </c>
      <c r="E385" s="1922">
        <v>0</v>
      </c>
      <c r="F385" s="1922">
        <v>0</v>
      </c>
      <c r="G385" s="1922">
        <v>1</v>
      </c>
      <c r="H385" s="1922">
        <v>0</v>
      </c>
      <c r="I385" s="1375"/>
      <c r="J385" s="1375" t="str">
        <f t="shared" si="5"/>
        <v>RES_201301_P4T62024</v>
      </c>
    </row>
    <row r="386" spans="1:10">
      <c r="A386" s="1375" t="s">
        <v>2532</v>
      </c>
      <c r="B386" s="1375" t="s">
        <v>458</v>
      </c>
      <c r="C386" s="1375">
        <v>2025</v>
      </c>
      <c r="D386" s="1922">
        <v>0</v>
      </c>
      <c r="E386" s="1922">
        <v>0</v>
      </c>
      <c r="F386" s="1922">
        <v>0</v>
      </c>
      <c r="G386" s="1922">
        <v>1</v>
      </c>
      <c r="H386" s="1922">
        <v>0</v>
      </c>
      <c r="I386" s="1375"/>
      <c r="J386" s="1375" t="str">
        <f t="shared" si="5"/>
        <v>RES_201301_P4T62025</v>
      </c>
    </row>
    <row r="387" spans="1:10">
      <c r="A387" s="1375" t="s">
        <v>2503</v>
      </c>
      <c r="B387" s="1375" t="s">
        <v>80</v>
      </c>
      <c r="C387" s="1375">
        <v>2022</v>
      </c>
      <c r="D387" s="1922">
        <v>0</v>
      </c>
      <c r="E387" s="1922">
        <v>0</v>
      </c>
      <c r="F387" s="1922">
        <v>0</v>
      </c>
      <c r="G387" s="1922">
        <v>1</v>
      </c>
      <c r="H387" s="1922">
        <v>0</v>
      </c>
      <c r="I387" s="1375"/>
      <c r="J387" s="1375" t="str">
        <f t="shared" si="5"/>
        <v>RES_201301_P15T42022</v>
      </c>
    </row>
    <row r="388" spans="1:10">
      <c r="A388" s="1375" t="s">
        <v>2503</v>
      </c>
      <c r="B388" s="1375" t="s">
        <v>80</v>
      </c>
      <c r="C388" s="1375">
        <v>2023</v>
      </c>
      <c r="D388" s="1922">
        <v>0</v>
      </c>
      <c r="E388" s="1922">
        <v>0</v>
      </c>
      <c r="F388" s="1922">
        <v>0</v>
      </c>
      <c r="G388" s="1922">
        <v>1</v>
      </c>
      <c r="H388" s="1922">
        <v>0</v>
      </c>
      <c r="I388" s="1375"/>
      <c r="J388" s="1375" t="str">
        <f t="shared" si="5"/>
        <v>RES_201301_P15T42023</v>
      </c>
    </row>
    <row r="389" spans="1:10">
      <c r="A389" s="1375" t="s">
        <v>2503</v>
      </c>
      <c r="B389" s="1375" t="s">
        <v>80</v>
      </c>
      <c r="C389" s="1375">
        <v>2024</v>
      </c>
      <c r="D389" s="1922">
        <v>0</v>
      </c>
      <c r="E389" s="1922">
        <v>0</v>
      </c>
      <c r="F389" s="1922">
        <v>0</v>
      </c>
      <c r="G389" s="1922">
        <v>1</v>
      </c>
      <c r="H389" s="1922">
        <v>0</v>
      </c>
      <c r="I389" s="1375"/>
      <c r="J389" s="1375" t="str">
        <f t="shared" si="5"/>
        <v>RES_201301_P15T42024</v>
      </c>
    </row>
    <row r="390" spans="1:10">
      <c r="A390" s="1375" t="s">
        <v>2503</v>
      </c>
      <c r="B390" s="1375" t="s">
        <v>80</v>
      </c>
      <c r="C390" s="1375">
        <v>2025</v>
      </c>
      <c r="D390" s="1922">
        <v>0</v>
      </c>
      <c r="E390" s="1922">
        <v>0</v>
      </c>
      <c r="F390" s="1922">
        <v>0</v>
      </c>
      <c r="G390" s="1922">
        <v>1</v>
      </c>
      <c r="H390" s="1922">
        <v>0</v>
      </c>
      <c r="I390" s="1375"/>
      <c r="J390" s="1375" t="str">
        <f t="shared" ref="J390:J453" si="6">B390&amp;C390</f>
        <v>RES_201301_P15T42025</v>
      </c>
    </row>
    <row r="391" spans="1:10">
      <c r="A391" s="1375" t="s">
        <v>2498</v>
      </c>
      <c r="B391" s="1375" t="s">
        <v>84</v>
      </c>
      <c r="C391" s="1375">
        <v>2022</v>
      </c>
      <c r="D391" s="1922">
        <v>0</v>
      </c>
      <c r="E391" s="1922">
        <v>0</v>
      </c>
      <c r="F391" s="1922">
        <v>0</v>
      </c>
      <c r="G391" s="1922">
        <v>1</v>
      </c>
      <c r="H391" s="1922">
        <v>0</v>
      </c>
      <c r="I391" s="1375"/>
      <c r="J391" s="1375" t="str">
        <f t="shared" si="6"/>
        <v>RES_201301_P13T42022</v>
      </c>
    </row>
    <row r="392" spans="1:10">
      <c r="A392" s="1375" t="s">
        <v>2498</v>
      </c>
      <c r="B392" s="1375" t="s">
        <v>84</v>
      </c>
      <c r="C392" s="1375">
        <v>2023</v>
      </c>
      <c r="D392" s="1922">
        <v>0</v>
      </c>
      <c r="E392" s="1922">
        <v>0</v>
      </c>
      <c r="F392" s="1922">
        <v>0</v>
      </c>
      <c r="G392" s="1922">
        <v>1</v>
      </c>
      <c r="H392" s="1922">
        <v>0</v>
      </c>
      <c r="I392" s="1375"/>
      <c r="J392" s="1375" t="str">
        <f t="shared" si="6"/>
        <v>RES_201301_P13T42023</v>
      </c>
    </row>
    <row r="393" spans="1:10">
      <c r="A393" s="1375" t="s">
        <v>2498</v>
      </c>
      <c r="B393" s="1375" t="s">
        <v>84</v>
      </c>
      <c r="C393" s="1375">
        <v>2024</v>
      </c>
      <c r="D393" s="1922">
        <v>0</v>
      </c>
      <c r="E393" s="1922">
        <v>0</v>
      </c>
      <c r="F393" s="1922">
        <v>0</v>
      </c>
      <c r="G393" s="1922">
        <v>1</v>
      </c>
      <c r="H393" s="1922">
        <v>0</v>
      </c>
      <c r="I393" s="1375"/>
      <c r="J393" s="1375" t="str">
        <f t="shared" si="6"/>
        <v>RES_201301_P13T42024</v>
      </c>
    </row>
    <row r="394" spans="1:10">
      <c r="A394" s="1375" t="s">
        <v>2498</v>
      </c>
      <c r="B394" s="1375" t="s">
        <v>84</v>
      </c>
      <c r="C394" s="1375">
        <v>2025</v>
      </c>
      <c r="D394" s="1922">
        <v>0</v>
      </c>
      <c r="E394" s="1922">
        <v>0</v>
      </c>
      <c r="F394" s="1922">
        <v>0</v>
      </c>
      <c r="G394" s="1922">
        <v>1</v>
      </c>
      <c r="H394" s="1922">
        <v>0</v>
      </c>
      <c r="I394" s="1375"/>
      <c r="J394" s="1375" t="str">
        <f t="shared" si="6"/>
        <v>RES_201301_P13T42025</v>
      </c>
    </row>
    <row r="395" spans="1:10">
      <c r="A395" s="1375" t="s">
        <v>2519</v>
      </c>
      <c r="B395" s="1375" t="s">
        <v>760</v>
      </c>
      <c r="C395" s="1375">
        <v>2022</v>
      </c>
      <c r="D395" s="1922">
        <v>0</v>
      </c>
      <c r="E395" s="1922">
        <v>0</v>
      </c>
      <c r="F395" s="1922">
        <v>0</v>
      </c>
      <c r="G395" s="1922">
        <v>1</v>
      </c>
      <c r="H395" s="1922">
        <v>0</v>
      </c>
      <c r="I395" s="1375"/>
      <c r="J395" s="1375" t="str">
        <f t="shared" si="6"/>
        <v>RES_201301_P24T12022</v>
      </c>
    </row>
    <row r="396" spans="1:10">
      <c r="A396" s="1375" t="s">
        <v>2519</v>
      </c>
      <c r="B396" s="1375" t="s">
        <v>760</v>
      </c>
      <c r="C396" s="1375">
        <v>2023</v>
      </c>
      <c r="D396" s="1922">
        <v>0</v>
      </c>
      <c r="E396" s="1922">
        <v>0</v>
      </c>
      <c r="F396" s="1922">
        <v>0</v>
      </c>
      <c r="G396" s="1922">
        <v>1</v>
      </c>
      <c r="H396" s="1922">
        <v>0</v>
      </c>
      <c r="I396" s="1375"/>
      <c r="J396" s="1375" t="str">
        <f t="shared" si="6"/>
        <v>RES_201301_P24T12023</v>
      </c>
    </row>
    <row r="397" spans="1:10">
      <c r="A397" s="1375" t="s">
        <v>2519</v>
      </c>
      <c r="B397" s="1375" t="s">
        <v>760</v>
      </c>
      <c r="C397" s="1375">
        <v>2024</v>
      </c>
      <c r="D397" s="1922">
        <v>0</v>
      </c>
      <c r="E397" s="1922">
        <v>0</v>
      </c>
      <c r="F397" s="1922">
        <v>0</v>
      </c>
      <c r="G397" s="1922">
        <v>1</v>
      </c>
      <c r="H397" s="1922">
        <v>0</v>
      </c>
      <c r="I397" s="1375"/>
      <c r="J397" s="1375" t="str">
        <f t="shared" si="6"/>
        <v>RES_201301_P24T12024</v>
      </c>
    </row>
    <row r="398" spans="1:10">
      <c r="A398" s="1375" t="s">
        <v>2519</v>
      </c>
      <c r="B398" s="1375" t="s">
        <v>760</v>
      </c>
      <c r="C398" s="1375">
        <v>2025</v>
      </c>
      <c r="D398" s="1922">
        <v>0</v>
      </c>
      <c r="E398" s="1922">
        <v>0</v>
      </c>
      <c r="F398" s="1922">
        <v>0</v>
      </c>
      <c r="G398" s="1922">
        <v>1</v>
      </c>
      <c r="H398" s="1922">
        <v>0</v>
      </c>
      <c r="I398" s="1375"/>
      <c r="J398" s="1375" t="str">
        <f t="shared" si="6"/>
        <v>RES_201301_P24T12025</v>
      </c>
    </row>
    <row r="399" spans="1:10">
      <c r="A399" s="1375" t="s">
        <v>2410</v>
      </c>
      <c r="B399" s="1375" t="s">
        <v>420</v>
      </c>
      <c r="C399" s="1375">
        <v>2022</v>
      </c>
      <c r="D399" s="1922">
        <v>0</v>
      </c>
      <c r="E399" s="1922">
        <v>1</v>
      </c>
      <c r="F399" s="1922">
        <v>0</v>
      </c>
      <c r="G399" s="1922">
        <v>0</v>
      </c>
      <c r="H399" s="1922">
        <v>0</v>
      </c>
      <c r="I399" s="1375"/>
      <c r="J399" s="1375" t="str">
        <f t="shared" si="6"/>
        <v>COM_201405_P1T12022</v>
      </c>
    </row>
    <row r="400" spans="1:10">
      <c r="A400" s="1375" t="s">
        <v>2410</v>
      </c>
      <c r="B400" s="1375" t="s">
        <v>420</v>
      </c>
      <c r="C400" s="1375">
        <v>2023</v>
      </c>
      <c r="D400" s="1922">
        <v>0</v>
      </c>
      <c r="E400" s="1922">
        <v>1</v>
      </c>
      <c r="F400" s="1922">
        <v>0</v>
      </c>
      <c r="G400" s="1922">
        <v>0</v>
      </c>
      <c r="H400" s="1922">
        <v>0</v>
      </c>
      <c r="I400" s="1375"/>
      <c r="J400" s="1375" t="str">
        <f t="shared" si="6"/>
        <v>COM_201405_P1T12023</v>
      </c>
    </row>
    <row r="401" spans="1:10">
      <c r="A401" s="1375" t="s">
        <v>2410</v>
      </c>
      <c r="B401" s="1375" t="s">
        <v>420</v>
      </c>
      <c r="C401" s="1375">
        <v>2024</v>
      </c>
      <c r="D401" s="1922">
        <v>0</v>
      </c>
      <c r="E401" s="1922">
        <v>1</v>
      </c>
      <c r="F401" s="1922">
        <v>0</v>
      </c>
      <c r="G401" s="1922">
        <v>0</v>
      </c>
      <c r="H401" s="1922">
        <v>0</v>
      </c>
      <c r="I401" s="1375"/>
      <c r="J401" s="1375" t="str">
        <f t="shared" si="6"/>
        <v>COM_201405_P1T12024</v>
      </c>
    </row>
    <row r="402" spans="1:10">
      <c r="A402" s="1375" t="s">
        <v>2411</v>
      </c>
      <c r="B402" s="1375" t="s">
        <v>399</v>
      </c>
      <c r="C402" s="1375">
        <v>2022</v>
      </c>
      <c r="D402" s="1922">
        <v>0</v>
      </c>
      <c r="E402" s="1922">
        <v>1</v>
      </c>
      <c r="F402" s="1922">
        <v>0</v>
      </c>
      <c r="G402" s="1922">
        <v>0</v>
      </c>
      <c r="H402" s="1922">
        <v>0</v>
      </c>
      <c r="I402" s="1375"/>
      <c r="J402" s="1375" t="str">
        <f t="shared" si="6"/>
        <v>COM_201405_P2T12022</v>
      </c>
    </row>
    <row r="403" spans="1:10">
      <c r="A403" s="1375" t="s">
        <v>2411</v>
      </c>
      <c r="B403" s="1375" t="s">
        <v>399</v>
      </c>
      <c r="C403" s="1375">
        <v>2023</v>
      </c>
      <c r="D403" s="1922">
        <v>0</v>
      </c>
      <c r="E403" s="1922">
        <v>1</v>
      </c>
      <c r="F403" s="1922">
        <v>0</v>
      </c>
      <c r="G403" s="1922">
        <v>0</v>
      </c>
      <c r="H403" s="1922">
        <v>0</v>
      </c>
      <c r="I403" s="1375"/>
      <c r="J403" s="1375" t="str">
        <f t="shared" si="6"/>
        <v>COM_201405_P2T12023</v>
      </c>
    </row>
    <row r="404" spans="1:10">
      <c r="A404" s="1375" t="s">
        <v>2411</v>
      </c>
      <c r="B404" s="1375" t="s">
        <v>399</v>
      </c>
      <c r="C404" s="1375">
        <v>2024</v>
      </c>
      <c r="D404" s="1922">
        <v>0</v>
      </c>
      <c r="E404" s="1922">
        <v>1</v>
      </c>
      <c r="F404" s="1922">
        <v>0</v>
      </c>
      <c r="G404" s="1922">
        <v>0</v>
      </c>
      <c r="H404" s="1922">
        <v>0</v>
      </c>
      <c r="I404" s="1375"/>
      <c r="J404" s="1375" t="str">
        <f t="shared" si="6"/>
        <v>COM_201405_P2T12024</v>
      </c>
    </row>
    <row r="405" spans="1:10">
      <c r="A405" s="1375" t="s">
        <v>3057</v>
      </c>
      <c r="B405" s="1375" t="s">
        <v>86</v>
      </c>
      <c r="C405" s="1375">
        <v>2022</v>
      </c>
      <c r="D405" s="1922">
        <v>0</v>
      </c>
      <c r="E405" s="1922">
        <v>0</v>
      </c>
      <c r="F405" s="1922">
        <v>0</v>
      </c>
      <c r="G405" s="1922">
        <v>1</v>
      </c>
      <c r="H405" s="1922">
        <v>0</v>
      </c>
      <c r="I405" s="1375"/>
      <c r="J405" s="1375" t="str">
        <f t="shared" si="6"/>
        <v>RES_201403_P7T12022</v>
      </c>
    </row>
    <row r="406" spans="1:10">
      <c r="A406" s="1375" t="s">
        <v>3057</v>
      </c>
      <c r="B406" s="1375" t="s">
        <v>86</v>
      </c>
      <c r="C406" s="1375">
        <v>2023</v>
      </c>
      <c r="D406" s="1922">
        <v>0</v>
      </c>
      <c r="E406" s="1922">
        <v>0</v>
      </c>
      <c r="F406" s="1922">
        <v>0</v>
      </c>
      <c r="G406" s="1922">
        <v>1</v>
      </c>
      <c r="H406" s="1922">
        <v>0</v>
      </c>
      <c r="I406" s="1375"/>
      <c r="J406" s="1375" t="str">
        <f t="shared" si="6"/>
        <v>RES_201403_P7T12023</v>
      </c>
    </row>
    <row r="407" spans="1:10">
      <c r="A407" s="1375" t="s">
        <v>3057</v>
      </c>
      <c r="B407" s="1375" t="s">
        <v>86</v>
      </c>
      <c r="C407" s="1375">
        <v>2024</v>
      </c>
      <c r="D407" s="1922">
        <v>0</v>
      </c>
      <c r="E407" s="1922">
        <v>0</v>
      </c>
      <c r="F407" s="1922">
        <v>0</v>
      </c>
      <c r="G407" s="1922">
        <v>1</v>
      </c>
      <c r="H407" s="1922">
        <v>0</v>
      </c>
      <c r="I407" s="1375"/>
      <c r="J407" s="1375" t="str">
        <f t="shared" si="6"/>
        <v>RES_201403_P7T12024</v>
      </c>
    </row>
    <row r="408" spans="1:10">
      <c r="A408" s="1375" t="s">
        <v>3057</v>
      </c>
      <c r="B408" s="1375" t="s">
        <v>86</v>
      </c>
      <c r="C408" s="1375">
        <v>2025</v>
      </c>
      <c r="D408" s="1922">
        <v>0</v>
      </c>
      <c r="E408" s="1922">
        <v>0</v>
      </c>
      <c r="F408" s="1922">
        <v>0</v>
      </c>
      <c r="G408" s="1922">
        <v>1</v>
      </c>
      <c r="H408" s="1922">
        <v>0</v>
      </c>
      <c r="I408" s="1375"/>
      <c r="J408" s="1375" t="str">
        <f t="shared" si="6"/>
        <v>RES_201403_P7T12025</v>
      </c>
    </row>
    <row r="409" spans="1:10">
      <c r="A409" s="1375" t="s">
        <v>1810</v>
      </c>
      <c r="B409" s="1375" t="s">
        <v>21</v>
      </c>
      <c r="C409" s="1375">
        <v>2022</v>
      </c>
      <c r="D409" s="1922">
        <v>0</v>
      </c>
      <c r="E409" s="1922">
        <v>0</v>
      </c>
      <c r="F409" s="1922">
        <v>1</v>
      </c>
      <c r="G409" s="1922">
        <v>0</v>
      </c>
      <c r="H409" s="1922">
        <v>0</v>
      </c>
      <c r="I409" s="1375"/>
      <c r="J409" s="1375" t="str">
        <f t="shared" si="6"/>
        <v>COM_200202_P1T52022</v>
      </c>
    </row>
    <row r="410" spans="1:10">
      <c r="A410" s="1375" t="s">
        <v>1810</v>
      </c>
      <c r="B410" s="1375" t="s">
        <v>21</v>
      </c>
      <c r="C410" s="1375">
        <v>2023</v>
      </c>
      <c r="D410" s="1922">
        <v>0</v>
      </c>
      <c r="E410" s="1922">
        <v>0</v>
      </c>
      <c r="F410" s="1922">
        <v>1</v>
      </c>
      <c r="G410" s="1922">
        <v>0</v>
      </c>
      <c r="H410" s="1922">
        <v>0</v>
      </c>
      <c r="I410" s="1375"/>
      <c r="J410" s="1375" t="str">
        <f t="shared" si="6"/>
        <v>COM_200202_P1T52023</v>
      </c>
    </row>
    <row r="411" spans="1:10">
      <c r="A411" s="1375" t="s">
        <v>1810</v>
      </c>
      <c r="B411" s="1375" t="s">
        <v>21</v>
      </c>
      <c r="C411" s="1375">
        <v>2024</v>
      </c>
      <c r="D411" s="1922">
        <v>0</v>
      </c>
      <c r="E411" s="1922">
        <v>0</v>
      </c>
      <c r="F411" s="1922">
        <v>1</v>
      </c>
      <c r="G411" s="1922">
        <v>0</v>
      </c>
      <c r="H411" s="1922">
        <v>0</v>
      </c>
      <c r="I411" s="1375"/>
      <c r="J411" s="1375" t="str">
        <f t="shared" si="6"/>
        <v>COM_200202_P1T52024</v>
      </c>
    </row>
    <row r="412" spans="1:10">
      <c r="A412" s="1375" t="s">
        <v>1810</v>
      </c>
      <c r="B412" s="1375" t="s">
        <v>21</v>
      </c>
      <c r="C412" s="1375">
        <v>2025</v>
      </c>
      <c r="D412" s="1922">
        <v>0</v>
      </c>
      <c r="E412" s="1922">
        <v>0</v>
      </c>
      <c r="F412" s="1922">
        <v>1</v>
      </c>
      <c r="G412" s="1922">
        <v>0</v>
      </c>
      <c r="H412" s="1922">
        <v>0</v>
      </c>
      <c r="I412" s="1375"/>
      <c r="J412" s="1375" t="str">
        <f t="shared" si="6"/>
        <v>COM_200202_P1T52025</v>
      </c>
    </row>
    <row r="413" spans="1:10">
      <c r="A413" s="1375" t="s">
        <v>1812</v>
      </c>
      <c r="B413" s="1375" t="s">
        <v>1363</v>
      </c>
      <c r="C413" s="1375">
        <v>2022</v>
      </c>
      <c r="D413" s="1922">
        <v>0</v>
      </c>
      <c r="E413" s="1922">
        <v>0</v>
      </c>
      <c r="F413" s="1922">
        <v>0</v>
      </c>
      <c r="G413" s="1922">
        <v>1</v>
      </c>
      <c r="H413" s="1922">
        <v>0</v>
      </c>
      <c r="I413" s="1375"/>
      <c r="J413" s="1375" t="str">
        <f t="shared" si="6"/>
        <v>COM_200202_P1T62022</v>
      </c>
    </row>
    <row r="414" spans="1:10">
      <c r="A414" s="1375" t="s">
        <v>1812</v>
      </c>
      <c r="B414" s="1375" t="s">
        <v>1363</v>
      </c>
      <c r="C414" s="1375">
        <v>2023</v>
      </c>
      <c r="D414" s="1922">
        <v>0</v>
      </c>
      <c r="E414" s="1922">
        <v>0</v>
      </c>
      <c r="F414" s="1922">
        <v>0</v>
      </c>
      <c r="G414" s="1922">
        <v>1</v>
      </c>
      <c r="H414" s="1922">
        <v>0</v>
      </c>
      <c r="I414" s="1375"/>
      <c r="J414" s="1375" t="str">
        <f t="shared" si="6"/>
        <v>COM_200202_P1T62023</v>
      </c>
    </row>
    <row r="415" spans="1:10">
      <c r="A415" s="1375" t="s">
        <v>1812</v>
      </c>
      <c r="B415" s="1375" t="s">
        <v>1363</v>
      </c>
      <c r="C415" s="1375">
        <v>2024</v>
      </c>
      <c r="D415" s="1922">
        <v>0</v>
      </c>
      <c r="E415" s="1922">
        <v>0</v>
      </c>
      <c r="F415" s="1922">
        <v>0</v>
      </c>
      <c r="G415" s="1922">
        <v>1</v>
      </c>
      <c r="H415" s="1922">
        <v>0</v>
      </c>
      <c r="I415" s="1375"/>
      <c r="J415" s="1375" t="str">
        <f t="shared" si="6"/>
        <v>COM_200202_P1T62024</v>
      </c>
    </row>
    <row r="416" spans="1:10">
      <c r="A416" s="1375" t="s">
        <v>1812</v>
      </c>
      <c r="B416" s="1375" t="s">
        <v>1363</v>
      </c>
      <c r="C416" s="1375">
        <v>2025</v>
      </c>
      <c r="D416" s="1922">
        <v>0</v>
      </c>
      <c r="E416" s="1922">
        <v>0</v>
      </c>
      <c r="F416" s="1922">
        <v>0</v>
      </c>
      <c r="G416" s="1922">
        <v>1</v>
      </c>
      <c r="H416" s="1922">
        <v>0</v>
      </c>
      <c r="I416" s="1375"/>
      <c r="J416" s="1375" t="str">
        <f t="shared" si="6"/>
        <v>COM_200202_P1T62025</v>
      </c>
    </row>
    <row r="417" spans="1:10">
      <c r="A417" s="1375" t="s">
        <v>1814</v>
      </c>
      <c r="B417" s="1375" t="s">
        <v>22</v>
      </c>
      <c r="C417" s="1375">
        <v>2022</v>
      </c>
      <c r="D417" s="1922">
        <v>0</v>
      </c>
      <c r="E417" s="1922">
        <v>0</v>
      </c>
      <c r="F417" s="1922">
        <v>0</v>
      </c>
      <c r="G417" s="1922">
        <v>1</v>
      </c>
      <c r="H417" s="1922">
        <v>0</v>
      </c>
      <c r="I417" s="1375"/>
      <c r="J417" s="1375" t="str">
        <f t="shared" si="6"/>
        <v>COM_200202_P2T42022</v>
      </c>
    </row>
    <row r="418" spans="1:10">
      <c r="A418" s="1375" t="s">
        <v>1814</v>
      </c>
      <c r="B418" s="1375" t="s">
        <v>22</v>
      </c>
      <c r="C418" s="1375">
        <v>2023</v>
      </c>
      <c r="D418" s="1922">
        <v>0</v>
      </c>
      <c r="E418" s="1922">
        <v>0</v>
      </c>
      <c r="F418" s="1922">
        <v>0</v>
      </c>
      <c r="G418" s="1922">
        <v>1</v>
      </c>
      <c r="H418" s="1922">
        <v>0</v>
      </c>
      <c r="I418" s="1375"/>
      <c r="J418" s="1375" t="str">
        <f t="shared" si="6"/>
        <v>COM_200202_P2T42023</v>
      </c>
    </row>
    <row r="419" spans="1:10">
      <c r="A419" s="1375" t="s">
        <v>1814</v>
      </c>
      <c r="B419" s="1375" t="s">
        <v>22</v>
      </c>
      <c r="C419" s="1375">
        <v>2024</v>
      </c>
      <c r="D419" s="1922">
        <v>0</v>
      </c>
      <c r="E419" s="1922">
        <v>0</v>
      </c>
      <c r="F419" s="1922">
        <v>0</v>
      </c>
      <c r="G419" s="1922">
        <v>1</v>
      </c>
      <c r="H419" s="1922">
        <v>0</v>
      </c>
      <c r="I419" s="1375"/>
      <c r="J419" s="1375" t="str">
        <f t="shared" si="6"/>
        <v>COM_200202_P2T42024</v>
      </c>
    </row>
    <row r="420" spans="1:10">
      <c r="A420" s="1375" t="s">
        <v>1814</v>
      </c>
      <c r="B420" s="1375" t="s">
        <v>22</v>
      </c>
      <c r="C420" s="1375">
        <v>2025</v>
      </c>
      <c r="D420" s="1922">
        <v>0</v>
      </c>
      <c r="E420" s="1922">
        <v>0</v>
      </c>
      <c r="F420" s="1922">
        <v>0</v>
      </c>
      <c r="G420" s="1922">
        <v>1</v>
      </c>
      <c r="H420" s="1922">
        <v>0</v>
      </c>
      <c r="I420" s="1375"/>
      <c r="J420" s="1375" t="str">
        <f t="shared" si="6"/>
        <v>COM_200202_P2T42025</v>
      </c>
    </row>
    <row r="421" spans="1:10">
      <c r="A421" s="1375" t="s">
        <v>1816</v>
      </c>
      <c r="B421" s="1375" t="s">
        <v>23</v>
      </c>
      <c r="C421" s="1375">
        <v>2022</v>
      </c>
      <c r="D421" s="1922">
        <v>0</v>
      </c>
      <c r="E421" s="1922">
        <v>0</v>
      </c>
      <c r="F421" s="1922">
        <v>1</v>
      </c>
      <c r="G421" s="1922">
        <v>0</v>
      </c>
      <c r="H421" s="1922">
        <v>0</v>
      </c>
      <c r="I421" s="1375"/>
      <c r="J421" s="1375" t="str">
        <f t="shared" si="6"/>
        <v>COM_200202_P3T52022</v>
      </c>
    </row>
    <row r="422" spans="1:10">
      <c r="A422" s="1375" t="s">
        <v>1816</v>
      </c>
      <c r="B422" s="1375" t="s">
        <v>23</v>
      </c>
      <c r="C422" s="1375">
        <v>2023</v>
      </c>
      <c r="D422" s="1922">
        <v>0</v>
      </c>
      <c r="E422" s="1922">
        <v>0</v>
      </c>
      <c r="F422" s="1922">
        <v>1</v>
      </c>
      <c r="G422" s="1922">
        <v>0</v>
      </c>
      <c r="H422" s="1922">
        <v>0</v>
      </c>
      <c r="I422" s="1375"/>
      <c r="J422" s="1375" t="str">
        <f t="shared" si="6"/>
        <v>COM_200202_P3T52023</v>
      </c>
    </row>
    <row r="423" spans="1:10">
      <c r="A423" s="1375" t="s">
        <v>1816</v>
      </c>
      <c r="B423" s="1375" t="s">
        <v>23</v>
      </c>
      <c r="C423" s="1375">
        <v>2024</v>
      </c>
      <c r="D423" s="1922">
        <v>0</v>
      </c>
      <c r="E423" s="1922">
        <v>0</v>
      </c>
      <c r="F423" s="1922">
        <v>1</v>
      </c>
      <c r="G423" s="1922">
        <v>0</v>
      </c>
      <c r="H423" s="1922">
        <v>0</v>
      </c>
      <c r="J423" s="1375" t="str">
        <f t="shared" si="6"/>
        <v>COM_200202_P3T52024</v>
      </c>
    </row>
    <row r="424" spans="1:10">
      <c r="A424" s="1375" t="s">
        <v>1816</v>
      </c>
      <c r="B424" s="1375" t="s">
        <v>23</v>
      </c>
      <c r="C424" s="1375">
        <v>2025</v>
      </c>
      <c r="D424" s="1922">
        <v>0</v>
      </c>
      <c r="E424" s="1922">
        <v>0</v>
      </c>
      <c r="F424" s="1922">
        <v>1</v>
      </c>
      <c r="G424" s="1922">
        <v>0</v>
      </c>
      <c r="H424" s="1922">
        <v>0</v>
      </c>
      <c r="J424" s="1375" t="str">
        <f t="shared" si="6"/>
        <v>COM_200202_P3T52025</v>
      </c>
    </row>
    <row r="425" spans="1:10">
      <c r="A425" s="1375" t="s">
        <v>1818</v>
      </c>
      <c r="B425" s="1375" t="s">
        <v>1374</v>
      </c>
      <c r="C425" s="1375">
        <v>2022</v>
      </c>
      <c r="D425" s="1922">
        <v>0</v>
      </c>
      <c r="E425" s="1922">
        <v>0</v>
      </c>
      <c r="F425" s="1922">
        <v>0</v>
      </c>
      <c r="G425" s="1922">
        <v>1</v>
      </c>
      <c r="H425" s="1922">
        <v>0</v>
      </c>
      <c r="J425" s="1375" t="str">
        <f t="shared" si="6"/>
        <v>COM_200202_P3T62022</v>
      </c>
    </row>
    <row r="426" spans="1:10">
      <c r="A426" s="1375" t="s">
        <v>1818</v>
      </c>
      <c r="B426" s="1375" t="s">
        <v>1374</v>
      </c>
      <c r="C426" s="1375">
        <v>2023</v>
      </c>
      <c r="D426" s="1922">
        <v>0</v>
      </c>
      <c r="E426" s="1922">
        <v>0</v>
      </c>
      <c r="F426" s="1922">
        <v>0</v>
      </c>
      <c r="G426" s="1922">
        <v>1</v>
      </c>
      <c r="H426" s="1922">
        <v>0</v>
      </c>
      <c r="J426" s="1375" t="str">
        <f t="shared" si="6"/>
        <v>COM_200202_P3T62023</v>
      </c>
    </row>
    <row r="427" spans="1:10">
      <c r="A427" s="1375" t="s">
        <v>1818</v>
      </c>
      <c r="B427" s="1375" t="s">
        <v>1374</v>
      </c>
      <c r="C427" s="1375">
        <v>2024</v>
      </c>
      <c r="D427" s="1922">
        <v>0</v>
      </c>
      <c r="E427" s="1922">
        <v>0</v>
      </c>
      <c r="F427" s="1922">
        <v>0</v>
      </c>
      <c r="G427" s="1922">
        <v>1</v>
      </c>
      <c r="H427" s="1922">
        <v>0</v>
      </c>
      <c r="J427" s="1375" t="str">
        <f t="shared" si="6"/>
        <v>COM_200202_P3T62024</v>
      </c>
    </row>
    <row r="428" spans="1:10">
      <c r="A428" s="1375" t="s">
        <v>1818</v>
      </c>
      <c r="B428" s="1375" t="s">
        <v>1374</v>
      </c>
      <c r="C428" s="1375">
        <v>2025</v>
      </c>
      <c r="D428" s="1922">
        <v>0</v>
      </c>
      <c r="E428" s="1922">
        <v>0</v>
      </c>
      <c r="F428" s="1922">
        <v>0</v>
      </c>
      <c r="G428" s="1922">
        <v>1</v>
      </c>
      <c r="H428" s="1922">
        <v>0</v>
      </c>
      <c r="J428" s="1375" t="str">
        <f t="shared" si="6"/>
        <v>COM_200202_P3T62025</v>
      </c>
    </row>
    <row r="429" spans="1:10">
      <c r="A429" s="1375" t="s">
        <v>1820</v>
      </c>
      <c r="B429" s="1375" t="s">
        <v>24</v>
      </c>
      <c r="C429" s="1375">
        <v>2022</v>
      </c>
      <c r="D429" s="1922">
        <v>0</v>
      </c>
      <c r="E429" s="1922">
        <v>0</v>
      </c>
      <c r="F429" s="1922">
        <v>1</v>
      </c>
      <c r="G429" s="1922">
        <v>0</v>
      </c>
      <c r="H429" s="1922">
        <v>0</v>
      </c>
      <c r="J429" s="1375" t="str">
        <f t="shared" si="6"/>
        <v>COM_200202_P4T62022</v>
      </c>
    </row>
    <row r="430" spans="1:10">
      <c r="A430" s="1375" t="s">
        <v>1820</v>
      </c>
      <c r="B430" s="1375" t="s">
        <v>24</v>
      </c>
      <c r="C430" s="1375">
        <v>2023</v>
      </c>
      <c r="D430" s="1922">
        <v>0</v>
      </c>
      <c r="E430" s="1922">
        <v>0</v>
      </c>
      <c r="F430" s="1922">
        <v>1</v>
      </c>
      <c r="G430" s="1922">
        <v>0</v>
      </c>
      <c r="H430" s="1922">
        <v>0</v>
      </c>
      <c r="J430" s="1375" t="str">
        <f t="shared" si="6"/>
        <v>COM_200202_P4T62023</v>
      </c>
    </row>
    <row r="431" spans="1:10">
      <c r="A431" s="1375" t="s">
        <v>1820</v>
      </c>
      <c r="B431" s="1375" t="s">
        <v>24</v>
      </c>
      <c r="C431" s="1375">
        <v>2024</v>
      </c>
      <c r="D431" s="1922">
        <v>0</v>
      </c>
      <c r="E431" s="1922">
        <v>0</v>
      </c>
      <c r="F431" s="1922">
        <v>1</v>
      </c>
      <c r="G431" s="1922">
        <v>0</v>
      </c>
      <c r="H431" s="1922">
        <v>0</v>
      </c>
      <c r="J431" s="1375" t="str">
        <f t="shared" si="6"/>
        <v>COM_200202_P4T62024</v>
      </c>
    </row>
    <row r="432" spans="1:10">
      <c r="A432" s="1375" t="s">
        <v>1820</v>
      </c>
      <c r="B432" s="1375" t="s">
        <v>24</v>
      </c>
      <c r="C432" s="1375">
        <v>2025</v>
      </c>
      <c r="D432" s="1922">
        <v>0</v>
      </c>
      <c r="E432" s="1922">
        <v>0</v>
      </c>
      <c r="F432" s="1922">
        <v>1</v>
      </c>
      <c r="G432" s="1922">
        <v>0</v>
      </c>
      <c r="H432" s="1922">
        <v>0</v>
      </c>
      <c r="J432" s="1375" t="str">
        <f t="shared" si="6"/>
        <v>COM_200202_P4T62025</v>
      </c>
    </row>
    <row r="433" spans="1:10">
      <c r="A433" s="1375" t="s">
        <v>1822</v>
      </c>
      <c r="B433" s="1375" t="s">
        <v>1377</v>
      </c>
      <c r="C433" s="1375">
        <v>2022</v>
      </c>
      <c r="D433" s="1922">
        <v>0</v>
      </c>
      <c r="E433" s="1922">
        <v>0</v>
      </c>
      <c r="F433" s="1922">
        <v>1</v>
      </c>
      <c r="G433" s="1922">
        <v>0</v>
      </c>
      <c r="H433" s="1922">
        <v>0</v>
      </c>
      <c r="J433" s="1375" t="str">
        <f t="shared" si="6"/>
        <v>COM_200202_P4T72022</v>
      </c>
    </row>
    <row r="434" spans="1:10">
      <c r="A434" s="1375" t="s">
        <v>1822</v>
      </c>
      <c r="B434" s="1375" t="s">
        <v>1377</v>
      </c>
      <c r="C434" s="1375">
        <v>2023</v>
      </c>
      <c r="D434" s="1922">
        <v>0</v>
      </c>
      <c r="E434" s="1922">
        <v>0</v>
      </c>
      <c r="F434" s="1922">
        <v>1</v>
      </c>
      <c r="G434" s="1922">
        <v>0</v>
      </c>
      <c r="H434" s="1922">
        <v>0</v>
      </c>
      <c r="J434" s="1375" t="str">
        <f t="shared" si="6"/>
        <v>COM_200202_P4T72023</v>
      </c>
    </row>
    <row r="435" spans="1:10">
      <c r="A435" s="1375" t="s">
        <v>1822</v>
      </c>
      <c r="B435" s="1375" t="s">
        <v>1377</v>
      </c>
      <c r="C435" s="1375">
        <v>2024</v>
      </c>
      <c r="D435" s="1922">
        <v>0</v>
      </c>
      <c r="E435" s="1922">
        <v>0</v>
      </c>
      <c r="F435" s="1922">
        <v>1</v>
      </c>
      <c r="G435" s="1922">
        <v>0</v>
      </c>
      <c r="H435" s="1922">
        <v>0</v>
      </c>
      <c r="J435" s="1375" t="str">
        <f t="shared" si="6"/>
        <v>COM_200202_P4T72024</v>
      </c>
    </row>
    <row r="436" spans="1:10">
      <c r="A436" s="1375" t="s">
        <v>1822</v>
      </c>
      <c r="B436" s="1375" t="s">
        <v>1377</v>
      </c>
      <c r="C436" s="1375">
        <v>2025</v>
      </c>
      <c r="D436" s="1922">
        <v>0</v>
      </c>
      <c r="E436" s="1922">
        <v>0</v>
      </c>
      <c r="F436" s="1922">
        <v>1</v>
      </c>
      <c r="G436" s="1922">
        <v>0</v>
      </c>
      <c r="H436" s="1922">
        <v>0</v>
      </c>
      <c r="J436" s="1375" t="str">
        <f t="shared" si="6"/>
        <v>COM_200202_P4T72025</v>
      </c>
    </row>
    <row r="437" spans="1:10">
      <c r="A437" s="1375" t="s">
        <v>2231</v>
      </c>
      <c r="B437" s="1375" t="s">
        <v>96</v>
      </c>
      <c r="C437" s="1375">
        <v>2022</v>
      </c>
      <c r="D437" s="1922">
        <v>0</v>
      </c>
      <c r="E437" s="1922">
        <v>0</v>
      </c>
      <c r="F437" s="1922">
        <v>0</v>
      </c>
      <c r="G437" s="1922">
        <v>1</v>
      </c>
      <c r="H437" s="1922">
        <v>0</v>
      </c>
      <c r="J437" s="1375" t="str">
        <f t="shared" si="6"/>
        <v>RES_201403_P6T22022</v>
      </c>
    </row>
    <row r="438" spans="1:10">
      <c r="A438" s="1375" t="s">
        <v>2231</v>
      </c>
      <c r="B438" s="1375" t="s">
        <v>96</v>
      </c>
      <c r="C438" s="1375">
        <v>2023</v>
      </c>
      <c r="D438" s="1922">
        <v>0</v>
      </c>
      <c r="E438" s="1922">
        <v>0</v>
      </c>
      <c r="F438" s="1922">
        <v>0</v>
      </c>
      <c r="G438" s="1922">
        <v>1</v>
      </c>
      <c r="H438" s="1922">
        <v>0</v>
      </c>
      <c r="J438" s="1375" t="str">
        <f t="shared" si="6"/>
        <v>RES_201403_P6T22023</v>
      </c>
    </row>
    <row r="439" spans="1:10">
      <c r="A439" s="1375" t="s">
        <v>2231</v>
      </c>
      <c r="B439" s="1375" t="s">
        <v>96</v>
      </c>
      <c r="C439" s="1375">
        <v>2024</v>
      </c>
      <c r="D439" s="1922">
        <v>0</v>
      </c>
      <c r="E439" s="1922">
        <v>0</v>
      </c>
      <c r="F439" s="1922">
        <v>0</v>
      </c>
      <c r="G439" s="1922">
        <v>1</v>
      </c>
      <c r="H439" s="1922">
        <v>0</v>
      </c>
      <c r="J439" s="1375" t="str">
        <f t="shared" si="6"/>
        <v>RES_201403_P6T22024</v>
      </c>
    </row>
    <row r="440" spans="1:10">
      <c r="A440" s="1375" t="s">
        <v>2231</v>
      </c>
      <c r="B440" s="1375" t="s">
        <v>96</v>
      </c>
      <c r="C440" s="1375">
        <v>2025</v>
      </c>
      <c r="D440" s="1922">
        <v>0</v>
      </c>
      <c r="E440" s="1922">
        <v>0</v>
      </c>
      <c r="F440" s="1922">
        <v>0</v>
      </c>
      <c r="G440" s="1922">
        <v>0</v>
      </c>
      <c r="H440" s="1922">
        <v>1</v>
      </c>
      <c r="J440" s="1375" t="str">
        <f t="shared" si="6"/>
        <v>RES_201403_P6T22025</v>
      </c>
    </row>
    <row r="441" spans="1:10">
      <c r="A441" s="1375" t="s">
        <v>2225</v>
      </c>
      <c r="B441" s="1375" t="s">
        <v>448</v>
      </c>
      <c r="C441" s="1375">
        <v>2022</v>
      </c>
      <c r="D441" s="1922">
        <v>0</v>
      </c>
      <c r="E441" s="1922">
        <v>0</v>
      </c>
      <c r="F441" s="1922">
        <v>0</v>
      </c>
      <c r="G441" s="1922">
        <v>1</v>
      </c>
      <c r="H441" s="1922">
        <v>0</v>
      </c>
      <c r="J441" s="1375" t="str">
        <f t="shared" si="6"/>
        <v>RES_201403_P12T22022</v>
      </c>
    </row>
    <row r="442" spans="1:10">
      <c r="A442" s="1375" t="s">
        <v>2225</v>
      </c>
      <c r="B442" s="1375" t="s">
        <v>448</v>
      </c>
      <c r="C442" s="1375">
        <v>2023</v>
      </c>
      <c r="D442" s="1922">
        <v>0</v>
      </c>
      <c r="E442" s="1922">
        <v>0</v>
      </c>
      <c r="F442" s="1922">
        <v>0</v>
      </c>
      <c r="G442" s="1922">
        <v>1</v>
      </c>
      <c r="H442" s="1922">
        <v>0</v>
      </c>
      <c r="J442" s="1375" t="str">
        <f t="shared" si="6"/>
        <v>RES_201403_P12T22023</v>
      </c>
    </row>
    <row r="443" spans="1:10">
      <c r="A443" s="1375" t="s">
        <v>2225</v>
      </c>
      <c r="B443" s="1375" t="s">
        <v>448</v>
      </c>
      <c r="C443" s="1375">
        <v>2024</v>
      </c>
      <c r="D443" s="1922">
        <v>0</v>
      </c>
      <c r="E443" s="1922">
        <v>0</v>
      </c>
      <c r="F443" s="1922">
        <v>0</v>
      </c>
      <c r="G443" s="1922">
        <v>1</v>
      </c>
      <c r="H443" s="1922">
        <v>0</v>
      </c>
      <c r="J443" s="1375" t="str">
        <f t="shared" si="6"/>
        <v>RES_201403_P12T22024</v>
      </c>
    </row>
    <row r="444" spans="1:10">
      <c r="A444" s="1375" t="s">
        <v>2225</v>
      </c>
      <c r="B444" s="1375" t="s">
        <v>448</v>
      </c>
      <c r="C444" s="1375">
        <v>2025</v>
      </c>
      <c r="D444" s="1922">
        <v>0</v>
      </c>
      <c r="E444" s="1922">
        <v>0</v>
      </c>
      <c r="F444" s="1922">
        <v>0</v>
      </c>
      <c r="G444" s="1922">
        <v>0</v>
      </c>
      <c r="H444" s="1922">
        <v>1</v>
      </c>
      <c r="J444" s="1375" t="str">
        <f t="shared" si="6"/>
        <v>RES_201403_P12T22025</v>
      </c>
    </row>
    <row r="445" spans="1:10">
      <c r="A445" s="1375" t="s">
        <v>3062</v>
      </c>
      <c r="B445" s="1375" t="s">
        <v>97</v>
      </c>
      <c r="C445" s="1375">
        <v>2022</v>
      </c>
      <c r="D445" s="1922">
        <v>0</v>
      </c>
      <c r="E445" s="1922">
        <v>0</v>
      </c>
      <c r="F445" s="1922">
        <v>0</v>
      </c>
      <c r="G445" s="1922">
        <v>1</v>
      </c>
      <c r="H445" s="1922">
        <v>0</v>
      </c>
      <c r="J445" s="1375" t="str">
        <f t="shared" si="6"/>
        <v>RES_201403_P8T12022</v>
      </c>
    </row>
    <row r="446" spans="1:10">
      <c r="A446" s="1375" t="s">
        <v>3062</v>
      </c>
      <c r="B446" s="1375" t="s">
        <v>97</v>
      </c>
      <c r="C446" s="1375">
        <v>2023</v>
      </c>
      <c r="D446" s="1922">
        <v>0</v>
      </c>
      <c r="E446" s="1922">
        <v>0</v>
      </c>
      <c r="F446" s="1922">
        <v>0</v>
      </c>
      <c r="G446" s="1922">
        <v>1</v>
      </c>
      <c r="H446" s="1922">
        <v>0</v>
      </c>
      <c r="J446" s="1375" t="str">
        <f t="shared" si="6"/>
        <v>RES_201403_P8T12023</v>
      </c>
    </row>
    <row r="447" spans="1:10">
      <c r="A447" s="1375" t="s">
        <v>3062</v>
      </c>
      <c r="B447" s="1375" t="s">
        <v>97</v>
      </c>
      <c r="C447" s="1375">
        <v>2024</v>
      </c>
      <c r="D447" s="1922">
        <v>0</v>
      </c>
      <c r="E447" s="1922">
        <v>0</v>
      </c>
      <c r="F447" s="1922">
        <v>0</v>
      </c>
      <c r="G447" s="1922">
        <v>1</v>
      </c>
      <c r="H447" s="1922">
        <v>0</v>
      </c>
      <c r="J447" s="1375" t="str">
        <f t="shared" si="6"/>
        <v>RES_201403_P8T12024</v>
      </c>
    </row>
    <row r="448" spans="1:10">
      <c r="A448" s="1375" t="s">
        <v>3062</v>
      </c>
      <c r="B448" s="1375" t="s">
        <v>97</v>
      </c>
      <c r="C448" s="1375">
        <v>2025</v>
      </c>
      <c r="D448" s="1922">
        <v>0</v>
      </c>
      <c r="E448" s="1922">
        <v>0</v>
      </c>
      <c r="F448" s="1922">
        <v>0</v>
      </c>
      <c r="G448" s="1922">
        <v>1</v>
      </c>
      <c r="H448" s="1922">
        <v>0</v>
      </c>
      <c r="J448" s="1375" t="str">
        <f t="shared" si="6"/>
        <v>RES_201403_P8T12025</v>
      </c>
    </row>
    <row r="449" spans="1:10">
      <c r="A449" s="1375" t="s">
        <v>3063</v>
      </c>
      <c r="B449" s="1375" t="s">
        <v>268</v>
      </c>
      <c r="C449" s="1375">
        <v>2022</v>
      </c>
      <c r="D449" s="1922">
        <v>0</v>
      </c>
      <c r="E449" s="1922">
        <v>0</v>
      </c>
      <c r="F449" s="1922">
        <v>0</v>
      </c>
      <c r="G449" s="1922">
        <v>1</v>
      </c>
      <c r="H449" s="1922">
        <v>0</v>
      </c>
      <c r="J449" s="1375" t="str">
        <f t="shared" si="6"/>
        <v>RES_201403_P11T12022</v>
      </c>
    </row>
    <row r="450" spans="1:10">
      <c r="A450" s="1375" t="s">
        <v>3063</v>
      </c>
      <c r="B450" s="1375" t="s">
        <v>268</v>
      </c>
      <c r="C450" s="1375">
        <v>2023</v>
      </c>
      <c r="D450" s="1922">
        <v>0</v>
      </c>
      <c r="E450" s="1922">
        <v>0</v>
      </c>
      <c r="F450" s="1922">
        <v>0</v>
      </c>
      <c r="G450" s="1922">
        <v>1</v>
      </c>
      <c r="H450" s="1922">
        <v>0</v>
      </c>
      <c r="J450" s="1375" t="str">
        <f t="shared" si="6"/>
        <v>RES_201403_P11T12023</v>
      </c>
    </row>
    <row r="451" spans="1:10">
      <c r="A451" s="1375" t="s">
        <v>3063</v>
      </c>
      <c r="B451" s="1375" t="s">
        <v>268</v>
      </c>
      <c r="C451" s="1375">
        <v>2024</v>
      </c>
      <c r="D451" s="1922">
        <v>0</v>
      </c>
      <c r="E451" s="1922">
        <v>0</v>
      </c>
      <c r="F451" s="1922">
        <v>0</v>
      </c>
      <c r="G451" s="1922">
        <v>1</v>
      </c>
      <c r="H451" s="1922">
        <v>0</v>
      </c>
      <c r="J451" s="1375" t="str">
        <f t="shared" si="6"/>
        <v>RES_201403_P11T12024</v>
      </c>
    </row>
    <row r="452" spans="1:10">
      <c r="A452" s="1375" t="s">
        <v>3063</v>
      </c>
      <c r="B452" s="1375" t="s">
        <v>268</v>
      </c>
      <c r="C452" s="1375">
        <v>2025</v>
      </c>
      <c r="D452" s="1922">
        <v>0</v>
      </c>
      <c r="E452" s="1922">
        <v>0</v>
      </c>
      <c r="F452" s="1922">
        <v>0</v>
      </c>
      <c r="G452" s="1922">
        <v>1</v>
      </c>
      <c r="H452" s="1922">
        <v>0</v>
      </c>
      <c r="J452" s="1375" t="str">
        <f t="shared" si="6"/>
        <v>RES_201403_P11T12025</v>
      </c>
    </row>
    <row r="453" spans="1:10">
      <c r="A453" s="1375" t="s">
        <v>3064</v>
      </c>
      <c r="B453" s="1375" t="s">
        <v>98</v>
      </c>
      <c r="C453" s="1375">
        <v>2022</v>
      </c>
      <c r="D453" s="1922">
        <v>0</v>
      </c>
      <c r="E453" s="1922">
        <v>0</v>
      </c>
      <c r="F453" s="1922">
        <v>0</v>
      </c>
      <c r="G453" s="1922">
        <v>1</v>
      </c>
      <c r="H453" s="1922">
        <v>0</v>
      </c>
      <c r="J453" s="1375" t="str">
        <f t="shared" si="6"/>
        <v>RES_201403_P8T22022</v>
      </c>
    </row>
    <row r="454" spans="1:10">
      <c r="A454" s="1375" t="s">
        <v>3064</v>
      </c>
      <c r="B454" s="1375" t="s">
        <v>98</v>
      </c>
      <c r="C454" s="1375">
        <v>2023</v>
      </c>
      <c r="D454" s="1922">
        <v>0</v>
      </c>
      <c r="E454" s="1922">
        <v>0</v>
      </c>
      <c r="F454" s="1922">
        <v>0</v>
      </c>
      <c r="G454" s="1922">
        <v>1</v>
      </c>
      <c r="H454" s="1922">
        <v>0</v>
      </c>
      <c r="J454" s="1375" t="str">
        <f t="shared" ref="J454:J517" si="7">B454&amp;C454</f>
        <v>RES_201403_P8T22023</v>
      </c>
    </row>
    <row r="455" spans="1:10">
      <c r="A455" s="1375" t="s">
        <v>3064</v>
      </c>
      <c r="B455" s="1375" t="s">
        <v>98</v>
      </c>
      <c r="C455" s="1375">
        <v>2024</v>
      </c>
      <c r="D455" s="1922">
        <v>0</v>
      </c>
      <c r="E455" s="1922">
        <v>0</v>
      </c>
      <c r="F455" s="1922">
        <v>0</v>
      </c>
      <c r="G455" s="1922">
        <v>1</v>
      </c>
      <c r="H455" s="1922">
        <v>0</v>
      </c>
      <c r="J455" s="1375" t="str">
        <f t="shared" si="7"/>
        <v>RES_201403_P8T22024</v>
      </c>
    </row>
    <row r="456" spans="1:10">
      <c r="A456" s="1375" t="s">
        <v>3064</v>
      </c>
      <c r="B456" s="1375" t="s">
        <v>98</v>
      </c>
      <c r="C456" s="1375">
        <v>2025</v>
      </c>
      <c r="D456" s="1922">
        <v>0</v>
      </c>
      <c r="E456" s="1922">
        <v>0</v>
      </c>
      <c r="F456" s="1922">
        <v>0</v>
      </c>
      <c r="G456" s="1922">
        <v>1</v>
      </c>
      <c r="H456" s="1922">
        <v>0</v>
      </c>
      <c r="J456" s="1375" t="str">
        <f t="shared" si="7"/>
        <v>RES_201403_P8T22025</v>
      </c>
    </row>
    <row r="457" spans="1:10">
      <c r="A457" s="1375" t="s">
        <v>3065</v>
      </c>
      <c r="B457" s="1375" t="s">
        <v>269</v>
      </c>
      <c r="C457" s="1375">
        <v>2022</v>
      </c>
      <c r="D457" s="1922">
        <v>0</v>
      </c>
      <c r="E457" s="1922">
        <v>0</v>
      </c>
      <c r="F457" s="1922">
        <v>0</v>
      </c>
      <c r="G457" s="1922">
        <v>1</v>
      </c>
      <c r="H457" s="1922">
        <v>0</v>
      </c>
      <c r="J457" s="1375" t="str">
        <f t="shared" si="7"/>
        <v>RES_201403_P11T22022</v>
      </c>
    </row>
    <row r="458" spans="1:10">
      <c r="A458" s="1375" t="s">
        <v>3065</v>
      </c>
      <c r="B458" s="1375" t="s">
        <v>269</v>
      </c>
      <c r="C458" s="1375">
        <v>2023</v>
      </c>
      <c r="D458" s="1922">
        <v>0</v>
      </c>
      <c r="E458" s="1922">
        <v>0</v>
      </c>
      <c r="F458" s="1922">
        <v>0</v>
      </c>
      <c r="G458" s="1922">
        <v>1</v>
      </c>
      <c r="H458" s="1922">
        <v>0</v>
      </c>
      <c r="J458" s="1375" t="str">
        <f t="shared" si="7"/>
        <v>RES_201403_P11T22023</v>
      </c>
    </row>
    <row r="459" spans="1:10">
      <c r="A459" s="1375" t="s">
        <v>3065</v>
      </c>
      <c r="B459" s="1375" t="s">
        <v>269</v>
      </c>
      <c r="C459" s="1375">
        <v>2024</v>
      </c>
      <c r="D459" s="1922">
        <v>0</v>
      </c>
      <c r="E459" s="1922">
        <v>0</v>
      </c>
      <c r="F459" s="1922">
        <v>0</v>
      </c>
      <c r="G459" s="1922">
        <v>1</v>
      </c>
      <c r="H459" s="1922">
        <v>0</v>
      </c>
      <c r="J459" s="1375" t="str">
        <f t="shared" si="7"/>
        <v>RES_201403_P11T22024</v>
      </c>
    </row>
    <row r="460" spans="1:10">
      <c r="A460" s="1375" t="s">
        <v>3065</v>
      </c>
      <c r="B460" s="1375" t="s">
        <v>269</v>
      </c>
      <c r="C460" s="1375">
        <v>2025</v>
      </c>
      <c r="D460" s="1922">
        <v>0</v>
      </c>
      <c r="E460" s="1922">
        <v>0</v>
      </c>
      <c r="F460" s="1922">
        <v>0</v>
      </c>
      <c r="G460" s="1922">
        <v>0</v>
      </c>
      <c r="H460" s="1922">
        <v>1</v>
      </c>
      <c r="J460" s="1375" t="str">
        <f t="shared" si="7"/>
        <v>RES_201403_P11T22025</v>
      </c>
    </row>
    <row r="461" spans="1:10">
      <c r="A461" s="1375" t="s">
        <v>2398</v>
      </c>
      <c r="B461" s="1375" t="s">
        <v>2281</v>
      </c>
      <c r="C461" s="1375">
        <v>2022</v>
      </c>
      <c r="D461" s="1922">
        <v>0</v>
      </c>
      <c r="E461" s="1922">
        <v>0</v>
      </c>
      <c r="F461" s="1922">
        <v>0</v>
      </c>
      <c r="G461" s="1922">
        <v>1</v>
      </c>
      <c r="H461" s="1922">
        <v>0</v>
      </c>
      <c r="J461" s="1375" t="str">
        <f t="shared" si="7"/>
        <v>COM_201304_P17T12022</v>
      </c>
    </row>
    <row r="462" spans="1:10">
      <c r="A462" s="1375" t="s">
        <v>2398</v>
      </c>
      <c r="B462" s="1375" t="s">
        <v>2281</v>
      </c>
      <c r="C462" s="1375">
        <v>2023</v>
      </c>
      <c r="D462" s="1922">
        <v>0</v>
      </c>
      <c r="E462" s="1922">
        <v>0</v>
      </c>
      <c r="F462" s="1922">
        <v>0</v>
      </c>
      <c r="G462" s="1922">
        <v>1</v>
      </c>
      <c r="H462" s="1922">
        <v>0</v>
      </c>
      <c r="J462" s="1375" t="str">
        <f t="shared" si="7"/>
        <v>COM_201304_P17T12023</v>
      </c>
    </row>
    <row r="463" spans="1:10">
      <c r="A463" s="1375" t="s">
        <v>2398</v>
      </c>
      <c r="B463" s="1375" t="s">
        <v>2281</v>
      </c>
      <c r="C463" s="1375">
        <v>2024</v>
      </c>
      <c r="D463" s="1922">
        <v>0</v>
      </c>
      <c r="E463" s="1922">
        <v>0</v>
      </c>
      <c r="F463" s="1922">
        <v>0</v>
      </c>
      <c r="G463" s="1922">
        <v>1</v>
      </c>
      <c r="H463" s="1922">
        <v>0</v>
      </c>
      <c r="J463" s="1375" t="str">
        <f t="shared" si="7"/>
        <v>COM_201304_P17T12024</v>
      </c>
    </row>
    <row r="464" spans="1:10">
      <c r="A464" s="1375" t="s">
        <v>2398</v>
      </c>
      <c r="B464" s="1375" t="s">
        <v>2281</v>
      </c>
      <c r="C464" s="1375">
        <v>2025</v>
      </c>
      <c r="D464" s="1922">
        <v>0</v>
      </c>
      <c r="E464" s="1922">
        <v>0</v>
      </c>
      <c r="F464" s="1922">
        <v>0</v>
      </c>
      <c r="G464" s="1922">
        <v>1</v>
      </c>
      <c r="H464" s="1922">
        <v>0</v>
      </c>
      <c r="J464" s="1375" t="str">
        <f t="shared" si="7"/>
        <v>COM_201304_P17T12025</v>
      </c>
    </row>
    <row r="465" spans="1:10">
      <c r="A465" s="1375" t="s">
        <v>2376</v>
      </c>
      <c r="B465" s="1375" t="s">
        <v>1375</v>
      </c>
      <c r="C465" s="1375">
        <v>2023</v>
      </c>
      <c r="D465" s="1922">
        <v>0</v>
      </c>
      <c r="E465" s="1922">
        <v>0</v>
      </c>
      <c r="F465" s="1922">
        <v>0</v>
      </c>
      <c r="G465" s="1922">
        <v>1</v>
      </c>
      <c r="H465" s="1922">
        <v>0</v>
      </c>
      <c r="J465" s="1375" t="str">
        <f t="shared" si="7"/>
        <v>COM_200202_P3T72023</v>
      </c>
    </row>
    <row r="466" spans="1:10">
      <c r="A466" s="1375" t="s">
        <v>2376</v>
      </c>
      <c r="B466" s="1375" t="s">
        <v>1375</v>
      </c>
      <c r="C466" s="1375">
        <v>2024</v>
      </c>
      <c r="D466" s="1922">
        <v>0</v>
      </c>
      <c r="E466" s="1922">
        <v>0</v>
      </c>
      <c r="F466" s="1922">
        <v>0</v>
      </c>
      <c r="G466" s="1922">
        <v>1</v>
      </c>
      <c r="H466" s="1922">
        <v>0</v>
      </c>
      <c r="J466" s="1375" t="str">
        <f t="shared" si="7"/>
        <v>COM_200202_P3T72024</v>
      </c>
    </row>
    <row r="467" spans="1:10">
      <c r="A467" s="1375" t="s">
        <v>2376</v>
      </c>
      <c r="B467" s="1375" t="s">
        <v>1375</v>
      </c>
      <c r="C467" s="1375">
        <v>2025</v>
      </c>
      <c r="D467" s="1922">
        <v>0</v>
      </c>
      <c r="E467" s="1922">
        <v>0</v>
      </c>
      <c r="F467" s="1922">
        <v>0</v>
      </c>
      <c r="G467" s="1922">
        <v>1</v>
      </c>
      <c r="H467" s="1922">
        <v>0</v>
      </c>
      <c r="J467" s="1375" t="str">
        <f t="shared" si="7"/>
        <v>COM_200202_P3T72025</v>
      </c>
    </row>
    <row r="468" spans="1:10">
      <c r="A468" s="1375" t="s">
        <v>2386</v>
      </c>
      <c r="B468" s="1375" t="s">
        <v>883</v>
      </c>
      <c r="C468" s="1375">
        <v>2023</v>
      </c>
      <c r="D468" s="1922">
        <v>0</v>
      </c>
      <c r="E468" s="1922">
        <v>0</v>
      </c>
      <c r="F468" s="1922">
        <v>0</v>
      </c>
      <c r="G468" s="1922">
        <v>1</v>
      </c>
      <c r="H468" s="1922">
        <v>0</v>
      </c>
      <c r="J468" s="1375" t="str">
        <f t="shared" si="7"/>
        <v>COM_200202_P4T82023</v>
      </c>
    </row>
    <row r="469" spans="1:10">
      <c r="A469" s="1375" t="s">
        <v>2386</v>
      </c>
      <c r="B469" s="1375" t="s">
        <v>883</v>
      </c>
      <c r="C469" s="1375">
        <v>2024</v>
      </c>
      <c r="D469" s="1922">
        <v>0</v>
      </c>
      <c r="E469" s="1922">
        <v>0</v>
      </c>
      <c r="F469" s="1922">
        <v>0</v>
      </c>
      <c r="G469" s="1922">
        <v>1</v>
      </c>
      <c r="H469" s="1922">
        <v>0</v>
      </c>
      <c r="J469" s="1375" t="str">
        <f t="shared" si="7"/>
        <v>COM_200202_P4T82024</v>
      </c>
    </row>
    <row r="470" spans="1:10">
      <c r="A470" s="1375" t="s">
        <v>2386</v>
      </c>
      <c r="B470" s="1375" t="s">
        <v>883</v>
      </c>
      <c r="C470" s="1375">
        <v>2025</v>
      </c>
      <c r="D470" s="1922">
        <v>0</v>
      </c>
      <c r="E470" s="1922">
        <v>0</v>
      </c>
      <c r="F470" s="1922">
        <v>0</v>
      </c>
      <c r="G470" s="1922">
        <v>1</v>
      </c>
      <c r="H470" s="1922">
        <v>0</v>
      </c>
      <c r="J470" s="1375" t="str">
        <f t="shared" si="7"/>
        <v>COM_200202_P4T82025</v>
      </c>
    </row>
    <row r="471" spans="1:10">
      <c r="A471" s="1375" t="s">
        <v>3066</v>
      </c>
      <c r="B471" s="1375" t="s">
        <v>1520</v>
      </c>
      <c r="C471" s="1375">
        <v>2024</v>
      </c>
      <c r="D471" s="1922">
        <v>0</v>
      </c>
      <c r="E471" s="1922">
        <v>0</v>
      </c>
      <c r="F471" s="1922">
        <v>0</v>
      </c>
      <c r="G471" s="1922">
        <v>1</v>
      </c>
      <c r="H471" s="1922">
        <v>0</v>
      </c>
      <c r="J471" s="1375" t="str">
        <f t="shared" si="7"/>
        <v>RES_200601_P2T62024</v>
      </c>
    </row>
    <row r="472" spans="1:10">
      <c r="A472" s="1375" t="s">
        <v>3066</v>
      </c>
      <c r="B472" s="1375" t="s">
        <v>1520</v>
      </c>
      <c r="C472" s="1375">
        <v>2025</v>
      </c>
      <c r="D472" s="1922">
        <v>0</v>
      </c>
      <c r="E472" s="1922">
        <v>0</v>
      </c>
      <c r="F472" s="1922">
        <v>0</v>
      </c>
      <c r="G472" s="1922">
        <v>1</v>
      </c>
      <c r="H472" s="1922">
        <v>0</v>
      </c>
      <c r="J472" s="1375" t="str">
        <f t="shared" si="7"/>
        <v>RES_200601_P2T62025</v>
      </c>
    </row>
    <row r="473" spans="1:10">
      <c r="A473" s="1375" t="s">
        <v>3067</v>
      </c>
      <c r="B473" s="1375" t="s">
        <v>1524</v>
      </c>
      <c r="C473" s="1375">
        <v>2024</v>
      </c>
      <c r="D473" s="1922">
        <v>0</v>
      </c>
      <c r="E473" s="1922">
        <v>0</v>
      </c>
      <c r="F473" s="1922">
        <v>0</v>
      </c>
      <c r="G473" s="1922">
        <v>1</v>
      </c>
      <c r="H473" s="1922">
        <v>0</v>
      </c>
      <c r="J473" s="1375" t="str">
        <f t="shared" si="7"/>
        <v>RES_200601_P3T62024</v>
      </c>
    </row>
    <row r="474" spans="1:10">
      <c r="A474" s="1375" t="s">
        <v>3067</v>
      </c>
      <c r="B474" s="1375" t="s">
        <v>1524</v>
      </c>
      <c r="C474" s="1375">
        <v>2025</v>
      </c>
      <c r="D474" s="1922">
        <v>0</v>
      </c>
      <c r="E474" s="1922">
        <v>0</v>
      </c>
      <c r="F474" s="1922">
        <v>0</v>
      </c>
      <c r="G474" s="1922">
        <v>1</v>
      </c>
      <c r="H474" s="1922">
        <v>0</v>
      </c>
      <c r="J474" s="1375" t="str">
        <f t="shared" si="7"/>
        <v>RES_200601_P3T62025</v>
      </c>
    </row>
    <row r="475" spans="1:10">
      <c r="A475" s="1375" t="s">
        <v>3068</v>
      </c>
      <c r="B475" s="1375" t="s">
        <v>1525</v>
      </c>
      <c r="C475" s="1375">
        <v>2024</v>
      </c>
      <c r="D475" s="1922">
        <v>0</v>
      </c>
      <c r="E475" s="1922">
        <v>0</v>
      </c>
      <c r="F475" s="1922">
        <v>0</v>
      </c>
      <c r="G475" s="1922">
        <v>1</v>
      </c>
      <c r="H475" s="1922">
        <v>0</v>
      </c>
      <c r="J475" s="1375" t="str">
        <f t="shared" si="7"/>
        <v>RES_200601_P4T62024</v>
      </c>
    </row>
    <row r="476" spans="1:10">
      <c r="A476" s="1375" t="s">
        <v>3068</v>
      </c>
      <c r="B476" s="1375" t="s">
        <v>1525</v>
      </c>
      <c r="C476" s="1375">
        <v>2025</v>
      </c>
      <c r="D476" s="1922">
        <v>0</v>
      </c>
      <c r="E476" s="1922">
        <v>0</v>
      </c>
      <c r="F476" s="1922">
        <v>0</v>
      </c>
      <c r="G476" s="1922">
        <v>1</v>
      </c>
      <c r="H476" s="1922">
        <v>0</v>
      </c>
      <c r="J476" s="1375" t="str">
        <f t="shared" si="7"/>
        <v>RES_200601_P4T62025</v>
      </c>
    </row>
    <row r="477" spans="1:10">
      <c r="A477" s="1375" t="s">
        <v>2362</v>
      </c>
      <c r="B477" s="1375" t="s">
        <v>871</v>
      </c>
      <c r="C477" s="1375">
        <v>2024</v>
      </c>
      <c r="D477" s="1922">
        <v>0</v>
      </c>
      <c r="E477" s="1922">
        <v>0</v>
      </c>
      <c r="F477" s="1922">
        <v>0</v>
      </c>
      <c r="G477" s="1922">
        <v>1</v>
      </c>
      <c r="H477" s="1922">
        <v>0</v>
      </c>
      <c r="J477" s="1375" t="str">
        <f t="shared" si="7"/>
        <v>COM_200202_P1T72024</v>
      </c>
    </row>
    <row r="478" spans="1:10">
      <c r="A478" s="1375" t="s">
        <v>2362</v>
      </c>
      <c r="B478" s="1375" t="s">
        <v>871</v>
      </c>
      <c r="C478" s="1375">
        <v>2025</v>
      </c>
      <c r="D478" s="1922">
        <v>0</v>
      </c>
      <c r="E478" s="1922">
        <v>0</v>
      </c>
      <c r="F478" s="1922">
        <v>0</v>
      </c>
      <c r="G478" s="1922">
        <v>1</v>
      </c>
      <c r="H478" s="1922">
        <v>0</v>
      </c>
      <c r="J478" s="1375" t="str">
        <f t="shared" si="7"/>
        <v>COM_200202_P1T72025</v>
      </c>
    </row>
    <row r="479" spans="1:10">
      <c r="A479" s="1375" t="s">
        <v>2368</v>
      </c>
      <c r="B479" s="1375" t="s">
        <v>1369</v>
      </c>
      <c r="C479" s="1375">
        <v>2024</v>
      </c>
      <c r="D479" s="1922">
        <v>0</v>
      </c>
      <c r="E479" s="1922">
        <v>0</v>
      </c>
      <c r="F479" s="1922">
        <v>0</v>
      </c>
      <c r="G479" s="1922">
        <v>1</v>
      </c>
      <c r="H479" s="1922">
        <v>0</v>
      </c>
      <c r="J479" s="1375" t="str">
        <f t="shared" si="7"/>
        <v>COM_200202_P2T52024</v>
      </c>
    </row>
    <row r="480" spans="1:10">
      <c r="A480" s="1375" t="s">
        <v>2368</v>
      </c>
      <c r="B480" s="1375" t="s">
        <v>1369</v>
      </c>
      <c r="C480" s="1375">
        <v>2025</v>
      </c>
      <c r="D480" s="1922">
        <v>0</v>
      </c>
      <c r="E480" s="1922">
        <v>0</v>
      </c>
      <c r="F480" s="1922">
        <v>0</v>
      </c>
      <c r="G480" s="1922">
        <v>1</v>
      </c>
      <c r="H480" s="1922">
        <v>0</v>
      </c>
      <c r="J480" s="1375" t="str">
        <f t="shared" si="7"/>
        <v>COM_200202_P2T52025</v>
      </c>
    </row>
    <row r="481" spans="1:10">
      <c r="A481" s="1375" t="s">
        <v>2397</v>
      </c>
      <c r="B481" s="1375" t="s">
        <v>2280</v>
      </c>
      <c r="C481" s="1375">
        <v>2025</v>
      </c>
      <c r="D481" s="1922">
        <v>0</v>
      </c>
      <c r="E481" s="1922">
        <v>0</v>
      </c>
      <c r="F481" s="1922">
        <v>0</v>
      </c>
      <c r="G481" s="1922">
        <v>1</v>
      </c>
      <c r="H481" s="1922">
        <v>0</v>
      </c>
      <c r="J481" s="1375" t="str">
        <f t="shared" si="7"/>
        <v>COM_201304_P16T12025</v>
      </c>
    </row>
    <row r="482" spans="1:10">
      <c r="A482" s="1375" t="s">
        <v>3069</v>
      </c>
      <c r="B482" s="1375" t="s">
        <v>3070</v>
      </c>
      <c r="C482" s="1375">
        <v>2022</v>
      </c>
      <c r="D482" s="1922">
        <v>0</v>
      </c>
      <c r="E482" s="1922">
        <v>0</v>
      </c>
      <c r="F482" s="1922">
        <v>0</v>
      </c>
      <c r="G482" s="1922">
        <v>1</v>
      </c>
      <c r="H482" s="1922">
        <v>0</v>
      </c>
      <c r="J482" s="1375" t="str">
        <f t="shared" si="7"/>
        <v>RES_201403_P20T12022</v>
      </c>
    </row>
    <row r="483" spans="1:10">
      <c r="A483" s="1375" t="s">
        <v>3069</v>
      </c>
      <c r="B483" s="1375" t="s">
        <v>3070</v>
      </c>
      <c r="C483" s="1375">
        <v>2023</v>
      </c>
      <c r="D483" s="1922">
        <v>0</v>
      </c>
      <c r="E483" s="1922">
        <v>0</v>
      </c>
      <c r="F483" s="1922">
        <v>0</v>
      </c>
      <c r="G483" s="1922">
        <v>1</v>
      </c>
      <c r="H483" s="1922">
        <v>0</v>
      </c>
      <c r="J483" s="1375" t="str">
        <f t="shared" si="7"/>
        <v>RES_201403_P20T12023</v>
      </c>
    </row>
    <row r="484" spans="1:10">
      <c r="A484" s="1375" t="s">
        <v>3069</v>
      </c>
      <c r="B484" s="1375" t="s">
        <v>3070</v>
      </c>
      <c r="C484" s="1375">
        <v>2024</v>
      </c>
      <c r="D484" s="1922">
        <v>0</v>
      </c>
      <c r="E484" s="1922">
        <v>0</v>
      </c>
      <c r="F484" s="1922">
        <v>0</v>
      </c>
      <c r="G484" s="1922">
        <v>1</v>
      </c>
      <c r="H484" s="1922">
        <v>0</v>
      </c>
      <c r="J484" s="1375" t="str">
        <f t="shared" si="7"/>
        <v>RES_201403_P20T12024</v>
      </c>
    </row>
    <row r="485" spans="1:10">
      <c r="A485" s="1375" t="s">
        <v>3069</v>
      </c>
      <c r="B485" s="1375" t="s">
        <v>3070</v>
      </c>
      <c r="C485" s="1375">
        <v>2025</v>
      </c>
      <c r="D485" s="1922">
        <v>0</v>
      </c>
      <c r="E485" s="1922">
        <v>0</v>
      </c>
      <c r="F485" s="1922">
        <v>0</v>
      </c>
      <c r="G485" s="1922">
        <v>1</v>
      </c>
      <c r="H485" s="1922">
        <v>0</v>
      </c>
      <c r="J485" s="1375" t="str">
        <f t="shared" si="7"/>
        <v>RES_201403_P20T12025</v>
      </c>
    </row>
    <row r="486" spans="1:10">
      <c r="J486" s="1375" t="str">
        <f t="shared" si="7"/>
        <v/>
      </c>
    </row>
    <row r="487" spans="1:10">
      <c r="J487" s="1375" t="str">
        <f t="shared" si="7"/>
        <v/>
      </c>
    </row>
    <row r="488" spans="1:10">
      <c r="J488" s="1375" t="str">
        <f t="shared" si="7"/>
        <v/>
      </c>
    </row>
    <row r="489" spans="1:10">
      <c r="J489" s="1375" t="str">
        <f t="shared" si="7"/>
        <v/>
      </c>
    </row>
    <row r="490" spans="1:10">
      <c r="J490" s="1375" t="str">
        <f t="shared" si="7"/>
        <v/>
      </c>
    </row>
    <row r="491" spans="1:10">
      <c r="J491" s="1375" t="str">
        <f t="shared" si="7"/>
        <v/>
      </c>
    </row>
    <row r="492" spans="1:10">
      <c r="J492" s="1375" t="str">
        <f t="shared" si="7"/>
        <v/>
      </c>
    </row>
    <row r="493" spans="1:10">
      <c r="J493" s="1375" t="str">
        <f t="shared" si="7"/>
        <v/>
      </c>
    </row>
    <row r="494" spans="1:10">
      <c r="J494" s="1375" t="str">
        <f t="shared" si="7"/>
        <v/>
      </c>
    </row>
    <row r="495" spans="1:10">
      <c r="J495" s="1375" t="str">
        <f t="shared" si="7"/>
        <v/>
      </c>
    </row>
    <row r="496" spans="1:10">
      <c r="J496" s="1375" t="str">
        <f t="shared" si="7"/>
        <v/>
      </c>
    </row>
    <row r="497" spans="10:10">
      <c r="J497" s="1375" t="str">
        <f t="shared" si="7"/>
        <v/>
      </c>
    </row>
    <row r="498" spans="10:10">
      <c r="J498" s="1375" t="str">
        <f t="shared" si="7"/>
        <v/>
      </c>
    </row>
    <row r="499" spans="10:10">
      <c r="J499" s="1375" t="str">
        <f t="shared" si="7"/>
        <v/>
      </c>
    </row>
    <row r="500" spans="10:10">
      <c r="J500" s="1375" t="str">
        <f t="shared" si="7"/>
        <v/>
      </c>
    </row>
    <row r="501" spans="10:10">
      <c r="J501" s="1375" t="str">
        <f t="shared" si="7"/>
        <v/>
      </c>
    </row>
    <row r="502" spans="10:10">
      <c r="J502" s="1375" t="str">
        <f t="shared" si="7"/>
        <v/>
      </c>
    </row>
    <row r="503" spans="10:10">
      <c r="J503" s="1375" t="str">
        <f t="shared" si="7"/>
        <v/>
      </c>
    </row>
    <row r="504" spans="10:10">
      <c r="J504" s="1375" t="str">
        <f t="shared" si="7"/>
        <v/>
      </c>
    </row>
    <row r="505" spans="10:10">
      <c r="J505" s="1375" t="str">
        <f t="shared" si="7"/>
        <v/>
      </c>
    </row>
    <row r="506" spans="10:10">
      <c r="J506" s="1375" t="str">
        <f t="shared" si="7"/>
        <v/>
      </c>
    </row>
    <row r="507" spans="10:10">
      <c r="J507" s="1375" t="str">
        <f t="shared" si="7"/>
        <v/>
      </c>
    </row>
    <row r="508" spans="10:10">
      <c r="J508" s="1375" t="str">
        <f t="shared" si="7"/>
        <v/>
      </c>
    </row>
    <row r="509" spans="10:10">
      <c r="J509" s="1375" t="str">
        <f t="shared" si="7"/>
        <v/>
      </c>
    </row>
    <row r="510" spans="10:10">
      <c r="J510" s="1375" t="str">
        <f t="shared" si="7"/>
        <v/>
      </c>
    </row>
    <row r="511" spans="10:10">
      <c r="J511" s="1375" t="str">
        <f t="shared" si="7"/>
        <v/>
      </c>
    </row>
    <row r="512" spans="10:10">
      <c r="J512" s="1375" t="str">
        <f t="shared" si="7"/>
        <v/>
      </c>
    </row>
    <row r="513" spans="10:10">
      <c r="J513" s="1375" t="str">
        <f t="shared" si="7"/>
        <v/>
      </c>
    </row>
    <row r="514" spans="10:10">
      <c r="J514" s="1375" t="str">
        <f t="shared" si="7"/>
        <v/>
      </c>
    </row>
    <row r="515" spans="10:10">
      <c r="J515" s="1375" t="str">
        <f t="shared" si="7"/>
        <v/>
      </c>
    </row>
    <row r="516" spans="10:10">
      <c r="J516" s="1375" t="str">
        <f t="shared" si="7"/>
        <v/>
      </c>
    </row>
    <row r="517" spans="10:10">
      <c r="J517" s="1375" t="str">
        <f t="shared" si="7"/>
        <v/>
      </c>
    </row>
    <row r="518" spans="10:10">
      <c r="J518" s="1375" t="str">
        <f t="shared" ref="J518:J581" si="8">B518&amp;C518</f>
        <v/>
      </c>
    </row>
    <row r="519" spans="10:10">
      <c r="J519" s="1375" t="str">
        <f t="shared" si="8"/>
        <v/>
      </c>
    </row>
    <row r="520" spans="10:10">
      <c r="J520" s="1375" t="str">
        <f t="shared" si="8"/>
        <v/>
      </c>
    </row>
    <row r="521" spans="10:10">
      <c r="J521" s="1375" t="str">
        <f t="shared" si="8"/>
        <v/>
      </c>
    </row>
    <row r="522" spans="10:10">
      <c r="J522" s="1375" t="str">
        <f t="shared" si="8"/>
        <v/>
      </c>
    </row>
    <row r="523" spans="10:10">
      <c r="J523" s="1375" t="str">
        <f t="shared" si="8"/>
        <v/>
      </c>
    </row>
    <row r="524" spans="10:10">
      <c r="J524" s="1375" t="str">
        <f t="shared" si="8"/>
        <v/>
      </c>
    </row>
    <row r="525" spans="10:10">
      <c r="J525" s="1375" t="str">
        <f t="shared" si="8"/>
        <v/>
      </c>
    </row>
    <row r="526" spans="10:10">
      <c r="J526" s="1375" t="str">
        <f t="shared" si="8"/>
        <v/>
      </c>
    </row>
    <row r="527" spans="10:10">
      <c r="J527" s="1375" t="str">
        <f t="shared" si="8"/>
        <v/>
      </c>
    </row>
    <row r="528" spans="10:10">
      <c r="J528" s="1375" t="str">
        <f t="shared" si="8"/>
        <v/>
      </c>
    </row>
    <row r="529" spans="10:10">
      <c r="J529" s="1375" t="str">
        <f t="shared" si="8"/>
        <v/>
      </c>
    </row>
    <row r="530" spans="10:10">
      <c r="J530" s="1375" t="str">
        <f t="shared" si="8"/>
        <v/>
      </c>
    </row>
    <row r="531" spans="10:10">
      <c r="J531" s="1375" t="str">
        <f t="shared" si="8"/>
        <v/>
      </c>
    </row>
    <row r="532" spans="10:10">
      <c r="J532" s="1375" t="str">
        <f t="shared" si="8"/>
        <v/>
      </c>
    </row>
    <row r="533" spans="10:10">
      <c r="J533" s="1375" t="str">
        <f t="shared" si="8"/>
        <v/>
      </c>
    </row>
    <row r="534" spans="10:10">
      <c r="J534" s="1375" t="str">
        <f t="shared" si="8"/>
        <v/>
      </c>
    </row>
    <row r="535" spans="10:10">
      <c r="J535" s="1375" t="str">
        <f t="shared" si="8"/>
        <v/>
      </c>
    </row>
    <row r="536" spans="10:10">
      <c r="J536" s="1375" t="str">
        <f t="shared" si="8"/>
        <v/>
      </c>
    </row>
    <row r="537" spans="10:10">
      <c r="J537" s="1375" t="str">
        <f t="shared" si="8"/>
        <v/>
      </c>
    </row>
    <row r="538" spans="10:10">
      <c r="J538" s="1375" t="str">
        <f t="shared" si="8"/>
        <v/>
      </c>
    </row>
    <row r="539" spans="10:10">
      <c r="J539" s="1375" t="str">
        <f t="shared" si="8"/>
        <v/>
      </c>
    </row>
    <row r="540" spans="10:10">
      <c r="J540" s="1375" t="str">
        <f t="shared" si="8"/>
        <v/>
      </c>
    </row>
    <row r="541" spans="10:10">
      <c r="J541" s="1375" t="str">
        <f t="shared" si="8"/>
        <v/>
      </c>
    </row>
    <row r="542" spans="10:10">
      <c r="J542" s="1375" t="str">
        <f t="shared" si="8"/>
        <v/>
      </c>
    </row>
    <row r="543" spans="10:10">
      <c r="J543" s="1375" t="str">
        <f t="shared" si="8"/>
        <v/>
      </c>
    </row>
    <row r="544" spans="10:10">
      <c r="J544" s="1375" t="str">
        <f t="shared" si="8"/>
        <v/>
      </c>
    </row>
    <row r="545" spans="10:10">
      <c r="J545" s="1375" t="str">
        <f t="shared" si="8"/>
        <v/>
      </c>
    </row>
    <row r="546" spans="10:10">
      <c r="J546" s="1375" t="str">
        <f t="shared" si="8"/>
        <v/>
      </c>
    </row>
    <row r="547" spans="10:10">
      <c r="J547" s="1375" t="str">
        <f t="shared" si="8"/>
        <v/>
      </c>
    </row>
    <row r="548" spans="10:10">
      <c r="J548" s="1375" t="str">
        <f t="shared" si="8"/>
        <v/>
      </c>
    </row>
    <row r="549" spans="10:10">
      <c r="J549" s="1375" t="str">
        <f t="shared" si="8"/>
        <v/>
      </c>
    </row>
    <row r="550" spans="10:10">
      <c r="J550" s="1375" t="str">
        <f t="shared" si="8"/>
        <v/>
      </c>
    </row>
    <row r="551" spans="10:10">
      <c r="J551" s="1375" t="str">
        <f t="shared" si="8"/>
        <v/>
      </c>
    </row>
    <row r="552" spans="10:10">
      <c r="J552" s="1375" t="str">
        <f t="shared" si="8"/>
        <v/>
      </c>
    </row>
    <row r="553" spans="10:10">
      <c r="J553" s="1375" t="str">
        <f t="shared" si="8"/>
        <v/>
      </c>
    </row>
    <row r="554" spans="10:10">
      <c r="J554" s="1375" t="str">
        <f t="shared" si="8"/>
        <v/>
      </c>
    </row>
    <row r="555" spans="10:10">
      <c r="J555" s="1375" t="str">
        <f t="shared" si="8"/>
        <v/>
      </c>
    </row>
    <row r="556" spans="10:10">
      <c r="J556" s="1375" t="str">
        <f t="shared" si="8"/>
        <v/>
      </c>
    </row>
    <row r="557" spans="10:10">
      <c r="J557" s="1375" t="str">
        <f t="shared" si="8"/>
        <v/>
      </c>
    </row>
    <row r="558" spans="10:10">
      <c r="J558" s="1375" t="str">
        <f t="shared" si="8"/>
        <v/>
      </c>
    </row>
    <row r="559" spans="10:10">
      <c r="J559" s="1375" t="str">
        <f t="shared" si="8"/>
        <v/>
      </c>
    </row>
    <row r="560" spans="10:10">
      <c r="J560" s="1375" t="str">
        <f t="shared" si="8"/>
        <v/>
      </c>
    </row>
    <row r="561" spans="10:10">
      <c r="J561" s="1375" t="str">
        <f t="shared" si="8"/>
        <v/>
      </c>
    </row>
    <row r="562" spans="10:10">
      <c r="J562" s="1375" t="str">
        <f t="shared" si="8"/>
        <v/>
      </c>
    </row>
    <row r="563" spans="10:10">
      <c r="J563" s="1375" t="str">
        <f t="shared" si="8"/>
        <v/>
      </c>
    </row>
    <row r="564" spans="10:10">
      <c r="J564" s="1375" t="str">
        <f t="shared" si="8"/>
        <v/>
      </c>
    </row>
    <row r="565" spans="10:10">
      <c r="J565" s="1375" t="str">
        <f t="shared" si="8"/>
        <v/>
      </c>
    </row>
    <row r="566" spans="10:10">
      <c r="J566" s="1375" t="str">
        <f t="shared" si="8"/>
        <v/>
      </c>
    </row>
    <row r="567" spans="10:10">
      <c r="J567" s="1375" t="str">
        <f t="shared" si="8"/>
        <v/>
      </c>
    </row>
    <row r="568" spans="10:10">
      <c r="J568" s="1375" t="str">
        <f t="shared" si="8"/>
        <v/>
      </c>
    </row>
    <row r="569" spans="10:10">
      <c r="J569" s="1375" t="str">
        <f t="shared" si="8"/>
        <v/>
      </c>
    </row>
    <row r="570" spans="10:10">
      <c r="J570" s="1375" t="str">
        <f t="shared" si="8"/>
        <v/>
      </c>
    </row>
    <row r="571" spans="10:10">
      <c r="J571" s="1375" t="str">
        <f t="shared" si="8"/>
        <v/>
      </c>
    </row>
    <row r="572" spans="10:10">
      <c r="J572" s="1375" t="str">
        <f t="shared" si="8"/>
        <v/>
      </c>
    </row>
    <row r="573" spans="10:10">
      <c r="J573" s="1375" t="str">
        <f t="shared" si="8"/>
        <v/>
      </c>
    </row>
    <row r="574" spans="10:10">
      <c r="J574" s="1375" t="str">
        <f t="shared" si="8"/>
        <v/>
      </c>
    </row>
    <row r="575" spans="10:10">
      <c r="J575" s="1375" t="str">
        <f t="shared" si="8"/>
        <v/>
      </c>
    </row>
    <row r="576" spans="10:10">
      <c r="J576" s="1375" t="str">
        <f t="shared" si="8"/>
        <v/>
      </c>
    </row>
    <row r="577" spans="10:10">
      <c r="J577" s="1375" t="str">
        <f t="shared" si="8"/>
        <v/>
      </c>
    </row>
    <row r="578" spans="10:10">
      <c r="J578" s="1375" t="str">
        <f t="shared" si="8"/>
        <v/>
      </c>
    </row>
    <row r="579" spans="10:10">
      <c r="J579" s="1375" t="str">
        <f t="shared" si="8"/>
        <v/>
      </c>
    </row>
    <row r="580" spans="10:10">
      <c r="J580" s="1375" t="str">
        <f t="shared" si="8"/>
        <v/>
      </c>
    </row>
    <row r="581" spans="10:10">
      <c r="J581" s="1375" t="str">
        <f t="shared" si="8"/>
        <v/>
      </c>
    </row>
    <row r="582" spans="10:10">
      <c r="J582" s="1375" t="str">
        <f t="shared" ref="J582:J645" si="9">B582&amp;C582</f>
        <v/>
      </c>
    </row>
    <row r="583" spans="10:10">
      <c r="J583" s="1375" t="str">
        <f t="shared" si="9"/>
        <v/>
      </c>
    </row>
    <row r="584" spans="10:10">
      <c r="J584" s="1375" t="str">
        <f t="shared" si="9"/>
        <v/>
      </c>
    </row>
    <row r="585" spans="10:10">
      <c r="J585" s="1375" t="str">
        <f t="shared" si="9"/>
        <v/>
      </c>
    </row>
    <row r="586" spans="10:10">
      <c r="J586" s="1375" t="str">
        <f t="shared" si="9"/>
        <v/>
      </c>
    </row>
    <row r="587" spans="10:10">
      <c r="J587" s="1375" t="str">
        <f t="shared" si="9"/>
        <v/>
      </c>
    </row>
    <row r="588" spans="10:10">
      <c r="J588" s="1375" t="str">
        <f t="shared" si="9"/>
        <v/>
      </c>
    </row>
    <row r="589" spans="10:10">
      <c r="J589" s="1375" t="str">
        <f t="shared" si="9"/>
        <v/>
      </c>
    </row>
    <row r="590" spans="10:10">
      <c r="J590" s="1375" t="str">
        <f t="shared" si="9"/>
        <v/>
      </c>
    </row>
    <row r="591" spans="10:10">
      <c r="J591" s="1375" t="str">
        <f t="shared" si="9"/>
        <v/>
      </c>
    </row>
    <row r="592" spans="10:10">
      <c r="J592" s="1375" t="str">
        <f t="shared" si="9"/>
        <v/>
      </c>
    </row>
    <row r="593" spans="10:10">
      <c r="J593" s="1375" t="str">
        <f t="shared" si="9"/>
        <v/>
      </c>
    </row>
    <row r="594" spans="10:10">
      <c r="J594" s="1375" t="str">
        <f t="shared" si="9"/>
        <v/>
      </c>
    </row>
    <row r="595" spans="10:10">
      <c r="J595" s="1375" t="str">
        <f t="shared" si="9"/>
        <v/>
      </c>
    </row>
    <row r="596" spans="10:10">
      <c r="J596" s="1375" t="str">
        <f t="shared" si="9"/>
        <v/>
      </c>
    </row>
    <row r="597" spans="10:10">
      <c r="J597" s="1375" t="str">
        <f t="shared" si="9"/>
        <v/>
      </c>
    </row>
    <row r="598" spans="10:10">
      <c r="J598" s="1375" t="str">
        <f t="shared" si="9"/>
        <v/>
      </c>
    </row>
    <row r="599" spans="10:10">
      <c r="J599" s="1375" t="str">
        <f t="shared" si="9"/>
        <v/>
      </c>
    </row>
    <row r="600" spans="10:10">
      <c r="J600" s="1375" t="str">
        <f t="shared" si="9"/>
        <v/>
      </c>
    </row>
    <row r="601" spans="10:10">
      <c r="J601" s="1375" t="str">
        <f t="shared" si="9"/>
        <v/>
      </c>
    </row>
    <row r="602" spans="10:10">
      <c r="J602" s="1375" t="str">
        <f t="shared" si="9"/>
        <v/>
      </c>
    </row>
    <row r="603" spans="10:10">
      <c r="J603" s="1375" t="str">
        <f t="shared" si="9"/>
        <v/>
      </c>
    </row>
    <row r="604" spans="10:10">
      <c r="J604" s="1375" t="str">
        <f t="shared" si="9"/>
        <v/>
      </c>
    </row>
    <row r="605" spans="10:10">
      <c r="J605" s="1375" t="str">
        <f t="shared" si="9"/>
        <v/>
      </c>
    </row>
    <row r="606" spans="10:10">
      <c r="J606" s="1375" t="str">
        <f t="shared" si="9"/>
        <v/>
      </c>
    </row>
    <row r="607" spans="10:10">
      <c r="J607" s="1375" t="str">
        <f t="shared" si="9"/>
        <v/>
      </c>
    </row>
    <row r="608" spans="10:10">
      <c r="J608" s="1375" t="str">
        <f t="shared" si="9"/>
        <v/>
      </c>
    </row>
    <row r="609" spans="10:10">
      <c r="J609" s="1375" t="str">
        <f t="shared" si="9"/>
        <v/>
      </c>
    </row>
    <row r="610" spans="10:10">
      <c r="J610" s="1375" t="str">
        <f t="shared" si="9"/>
        <v/>
      </c>
    </row>
    <row r="611" spans="10:10">
      <c r="J611" s="1375" t="str">
        <f t="shared" si="9"/>
        <v/>
      </c>
    </row>
    <row r="612" spans="10:10">
      <c r="J612" s="1375" t="str">
        <f t="shared" si="9"/>
        <v/>
      </c>
    </row>
    <row r="613" spans="10:10">
      <c r="J613" s="1375" t="str">
        <f t="shared" si="9"/>
        <v/>
      </c>
    </row>
    <row r="614" spans="10:10">
      <c r="J614" s="1375" t="str">
        <f t="shared" si="9"/>
        <v/>
      </c>
    </row>
    <row r="615" spans="10:10">
      <c r="J615" s="1375" t="str">
        <f t="shared" si="9"/>
        <v/>
      </c>
    </row>
    <row r="616" spans="10:10">
      <c r="J616" s="1375" t="str">
        <f t="shared" si="9"/>
        <v/>
      </c>
    </row>
    <row r="617" spans="10:10">
      <c r="J617" s="1375" t="str">
        <f t="shared" si="9"/>
        <v/>
      </c>
    </row>
    <row r="618" spans="10:10">
      <c r="J618" s="1375" t="str">
        <f t="shared" si="9"/>
        <v/>
      </c>
    </row>
    <row r="619" spans="10:10">
      <c r="J619" s="1375" t="str">
        <f t="shared" si="9"/>
        <v/>
      </c>
    </row>
    <row r="620" spans="10:10">
      <c r="J620" s="1375" t="str">
        <f t="shared" si="9"/>
        <v/>
      </c>
    </row>
    <row r="621" spans="10:10">
      <c r="J621" s="1375" t="str">
        <f t="shared" si="9"/>
        <v/>
      </c>
    </row>
    <row r="622" spans="10:10">
      <c r="J622" s="1375" t="str">
        <f t="shared" si="9"/>
        <v/>
      </c>
    </row>
    <row r="623" spans="10:10">
      <c r="J623" s="1375" t="str">
        <f t="shared" si="9"/>
        <v/>
      </c>
    </row>
    <row r="624" spans="10:10">
      <c r="J624" s="1375" t="str">
        <f t="shared" si="9"/>
        <v/>
      </c>
    </row>
    <row r="625" spans="10:10">
      <c r="J625" s="1375" t="str">
        <f t="shared" si="9"/>
        <v/>
      </c>
    </row>
    <row r="626" spans="10:10">
      <c r="J626" s="1375" t="str">
        <f t="shared" si="9"/>
        <v/>
      </c>
    </row>
    <row r="627" spans="10:10">
      <c r="J627" s="1375" t="str">
        <f t="shared" si="9"/>
        <v/>
      </c>
    </row>
    <row r="628" spans="10:10">
      <c r="J628" s="1375" t="str">
        <f t="shared" si="9"/>
        <v/>
      </c>
    </row>
    <row r="629" spans="10:10">
      <c r="J629" s="1375" t="str">
        <f t="shared" si="9"/>
        <v/>
      </c>
    </row>
    <row r="630" spans="10:10">
      <c r="J630" s="1375" t="str">
        <f t="shared" si="9"/>
        <v/>
      </c>
    </row>
    <row r="631" spans="10:10">
      <c r="J631" s="1375" t="str">
        <f t="shared" si="9"/>
        <v/>
      </c>
    </row>
    <row r="632" spans="10:10">
      <c r="J632" s="1375" t="str">
        <f t="shared" si="9"/>
        <v/>
      </c>
    </row>
    <row r="633" spans="10:10">
      <c r="J633" s="1375" t="str">
        <f t="shared" si="9"/>
        <v/>
      </c>
    </row>
    <row r="634" spans="10:10">
      <c r="J634" s="1375" t="str">
        <f t="shared" si="9"/>
        <v/>
      </c>
    </row>
    <row r="635" spans="10:10">
      <c r="J635" s="1375" t="str">
        <f t="shared" si="9"/>
        <v/>
      </c>
    </row>
    <row r="636" spans="10:10">
      <c r="J636" s="1375" t="str">
        <f t="shared" si="9"/>
        <v/>
      </c>
    </row>
    <row r="637" spans="10:10">
      <c r="J637" s="1375" t="str">
        <f t="shared" si="9"/>
        <v/>
      </c>
    </row>
    <row r="638" spans="10:10">
      <c r="J638" s="1375" t="str">
        <f t="shared" si="9"/>
        <v/>
      </c>
    </row>
    <row r="639" spans="10:10">
      <c r="J639" s="1375" t="str">
        <f t="shared" si="9"/>
        <v/>
      </c>
    </row>
    <row r="640" spans="10:10">
      <c r="J640" s="1375" t="str">
        <f t="shared" si="9"/>
        <v/>
      </c>
    </row>
    <row r="641" spans="10:10">
      <c r="J641" s="1375" t="str">
        <f t="shared" si="9"/>
        <v/>
      </c>
    </row>
    <row r="642" spans="10:10">
      <c r="J642" s="1375" t="str">
        <f t="shared" si="9"/>
        <v/>
      </c>
    </row>
    <row r="643" spans="10:10">
      <c r="J643" s="1375" t="str">
        <f t="shared" si="9"/>
        <v/>
      </c>
    </row>
    <row r="644" spans="10:10">
      <c r="J644" s="1375" t="str">
        <f t="shared" si="9"/>
        <v/>
      </c>
    </row>
    <row r="645" spans="10:10">
      <c r="J645" s="1375" t="str">
        <f t="shared" si="9"/>
        <v/>
      </c>
    </row>
    <row r="646" spans="10:10">
      <c r="J646" s="1375" t="str">
        <f t="shared" ref="J646:J709" si="10">B646&amp;C646</f>
        <v/>
      </c>
    </row>
    <row r="647" spans="10:10">
      <c r="J647" s="1375" t="str">
        <f t="shared" si="10"/>
        <v/>
      </c>
    </row>
    <row r="648" spans="10:10">
      <c r="J648" s="1375" t="str">
        <f t="shared" si="10"/>
        <v/>
      </c>
    </row>
    <row r="649" spans="10:10">
      <c r="J649" s="1375" t="str">
        <f t="shared" si="10"/>
        <v/>
      </c>
    </row>
    <row r="650" spans="10:10">
      <c r="J650" s="1375" t="str">
        <f t="shared" si="10"/>
        <v/>
      </c>
    </row>
    <row r="651" spans="10:10">
      <c r="J651" s="1375" t="str">
        <f t="shared" si="10"/>
        <v/>
      </c>
    </row>
    <row r="652" spans="10:10">
      <c r="J652" s="1375" t="str">
        <f t="shared" si="10"/>
        <v/>
      </c>
    </row>
    <row r="653" spans="10:10">
      <c r="J653" s="1375" t="str">
        <f t="shared" si="10"/>
        <v/>
      </c>
    </row>
    <row r="654" spans="10:10">
      <c r="J654" s="1375" t="str">
        <f t="shared" si="10"/>
        <v/>
      </c>
    </row>
    <row r="655" spans="10:10">
      <c r="J655" s="1375" t="str">
        <f t="shared" si="10"/>
        <v/>
      </c>
    </row>
    <row r="656" spans="10:10">
      <c r="J656" s="1375" t="str">
        <f t="shared" si="10"/>
        <v/>
      </c>
    </row>
    <row r="657" spans="10:10">
      <c r="J657" s="1375" t="str">
        <f t="shared" si="10"/>
        <v/>
      </c>
    </row>
    <row r="658" spans="10:10">
      <c r="J658" s="1375" t="str">
        <f t="shared" si="10"/>
        <v/>
      </c>
    </row>
    <row r="659" spans="10:10">
      <c r="J659" s="1375" t="str">
        <f t="shared" si="10"/>
        <v/>
      </c>
    </row>
    <row r="660" spans="10:10">
      <c r="J660" s="1375" t="str">
        <f t="shared" si="10"/>
        <v/>
      </c>
    </row>
    <row r="661" spans="10:10">
      <c r="J661" s="1375" t="str">
        <f t="shared" si="10"/>
        <v/>
      </c>
    </row>
    <row r="662" spans="10:10">
      <c r="J662" s="1375" t="str">
        <f t="shared" si="10"/>
        <v/>
      </c>
    </row>
    <row r="663" spans="10:10">
      <c r="J663" s="1375" t="str">
        <f t="shared" si="10"/>
        <v/>
      </c>
    </row>
    <row r="664" spans="10:10">
      <c r="J664" s="1375" t="str">
        <f t="shared" si="10"/>
        <v/>
      </c>
    </row>
    <row r="665" spans="10:10">
      <c r="J665" s="1375" t="str">
        <f t="shared" si="10"/>
        <v/>
      </c>
    </row>
    <row r="666" spans="10:10">
      <c r="J666" s="1375" t="str">
        <f t="shared" si="10"/>
        <v/>
      </c>
    </row>
    <row r="667" spans="10:10">
      <c r="J667" s="1375" t="str">
        <f t="shared" si="10"/>
        <v/>
      </c>
    </row>
    <row r="668" spans="10:10">
      <c r="J668" s="1375" t="str">
        <f t="shared" si="10"/>
        <v/>
      </c>
    </row>
    <row r="669" spans="10:10">
      <c r="J669" s="1375" t="str">
        <f t="shared" si="10"/>
        <v/>
      </c>
    </row>
    <row r="670" spans="10:10">
      <c r="J670" s="1375" t="str">
        <f t="shared" si="10"/>
        <v/>
      </c>
    </row>
    <row r="671" spans="10:10">
      <c r="J671" s="1375" t="str">
        <f t="shared" si="10"/>
        <v/>
      </c>
    </row>
    <row r="672" spans="10:10">
      <c r="J672" s="1375" t="str">
        <f t="shared" si="10"/>
        <v/>
      </c>
    </row>
    <row r="673" spans="10:10">
      <c r="J673" s="1375" t="str">
        <f t="shared" si="10"/>
        <v/>
      </c>
    </row>
    <row r="674" spans="10:10">
      <c r="J674" s="1375" t="str">
        <f t="shared" si="10"/>
        <v/>
      </c>
    </row>
    <row r="675" spans="10:10">
      <c r="J675" s="1375" t="str">
        <f t="shared" si="10"/>
        <v/>
      </c>
    </row>
    <row r="676" spans="10:10">
      <c r="J676" s="1375" t="str">
        <f t="shared" si="10"/>
        <v/>
      </c>
    </row>
    <row r="677" spans="10:10">
      <c r="J677" s="1375" t="str">
        <f t="shared" si="10"/>
        <v/>
      </c>
    </row>
    <row r="678" spans="10:10">
      <c r="J678" s="1375" t="str">
        <f t="shared" si="10"/>
        <v/>
      </c>
    </row>
    <row r="679" spans="10:10">
      <c r="J679" s="1375" t="str">
        <f t="shared" si="10"/>
        <v/>
      </c>
    </row>
    <row r="680" spans="10:10">
      <c r="J680" s="1375" t="str">
        <f t="shared" si="10"/>
        <v/>
      </c>
    </row>
    <row r="681" spans="10:10">
      <c r="J681" s="1375" t="str">
        <f t="shared" si="10"/>
        <v/>
      </c>
    </row>
    <row r="682" spans="10:10">
      <c r="J682" s="1375" t="str">
        <f t="shared" si="10"/>
        <v/>
      </c>
    </row>
    <row r="683" spans="10:10">
      <c r="J683" s="1375" t="str">
        <f t="shared" si="10"/>
        <v/>
      </c>
    </row>
    <row r="684" spans="10:10">
      <c r="J684" s="1375" t="str">
        <f t="shared" si="10"/>
        <v/>
      </c>
    </row>
    <row r="685" spans="10:10">
      <c r="J685" s="1375" t="str">
        <f t="shared" si="10"/>
        <v/>
      </c>
    </row>
    <row r="686" spans="10:10">
      <c r="J686" s="1375" t="str">
        <f t="shared" si="10"/>
        <v/>
      </c>
    </row>
    <row r="687" spans="10:10">
      <c r="J687" s="1375" t="str">
        <f t="shared" si="10"/>
        <v/>
      </c>
    </row>
    <row r="688" spans="10:10">
      <c r="J688" s="1375" t="str">
        <f t="shared" si="10"/>
        <v/>
      </c>
    </row>
    <row r="689" spans="10:10">
      <c r="J689" s="1375" t="str">
        <f t="shared" si="10"/>
        <v/>
      </c>
    </row>
    <row r="690" spans="10:10">
      <c r="J690" s="1375" t="str">
        <f t="shared" si="10"/>
        <v/>
      </c>
    </row>
    <row r="691" spans="10:10">
      <c r="J691" s="1375" t="str">
        <f t="shared" si="10"/>
        <v/>
      </c>
    </row>
    <row r="692" spans="10:10">
      <c r="J692" s="1375" t="str">
        <f t="shared" si="10"/>
        <v/>
      </c>
    </row>
    <row r="693" spans="10:10">
      <c r="J693" s="1375" t="str">
        <f t="shared" si="10"/>
        <v/>
      </c>
    </row>
    <row r="694" spans="10:10">
      <c r="J694" s="1375" t="str">
        <f t="shared" si="10"/>
        <v/>
      </c>
    </row>
    <row r="695" spans="10:10">
      <c r="J695" s="1375" t="str">
        <f t="shared" si="10"/>
        <v/>
      </c>
    </row>
    <row r="696" spans="10:10">
      <c r="J696" s="1375" t="str">
        <f t="shared" si="10"/>
        <v/>
      </c>
    </row>
    <row r="697" spans="10:10">
      <c r="J697" s="1375" t="str">
        <f t="shared" si="10"/>
        <v/>
      </c>
    </row>
    <row r="698" spans="10:10">
      <c r="J698" s="1375" t="str">
        <f t="shared" si="10"/>
        <v/>
      </c>
    </row>
    <row r="699" spans="10:10">
      <c r="J699" s="1375" t="str">
        <f t="shared" si="10"/>
        <v/>
      </c>
    </row>
    <row r="700" spans="10:10">
      <c r="J700" s="1375" t="str">
        <f t="shared" si="10"/>
        <v/>
      </c>
    </row>
    <row r="701" spans="10:10">
      <c r="J701" s="1375" t="str">
        <f t="shared" si="10"/>
        <v/>
      </c>
    </row>
    <row r="702" spans="10:10">
      <c r="J702" s="1375" t="str">
        <f t="shared" si="10"/>
        <v/>
      </c>
    </row>
    <row r="703" spans="10:10">
      <c r="J703" s="1375" t="str">
        <f t="shared" si="10"/>
        <v/>
      </c>
    </row>
    <row r="704" spans="10:10">
      <c r="J704" s="1375" t="str">
        <f t="shared" si="10"/>
        <v/>
      </c>
    </row>
    <row r="705" spans="10:10">
      <c r="J705" s="1375" t="str">
        <f t="shared" si="10"/>
        <v/>
      </c>
    </row>
    <row r="706" spans="10:10">
      <c r="J706" s="1375" t="str">
        <f t="shared" si="10"/>
        <v/>
      </c>
    </row>
    <row r="707" spans="10:10">
      <c r="J707" s="1375" t="str">
        <f t="shared" si="10"/>
        <v/>
      </c>
    </row>
    <row r="708" spans="10:10">
      <c r="J708" s="1375" t="str">
        <f t="shared" si="10"/>
        <v/>
      </c>
    </row>
    <row r="709" spans="10:10">
      <c r="J709" s="1375" t="str">
        <f t="shared" si="10"/>
        <v/>
      </c>
    </row>
    <row r="710" spans="10:10">
      <c r="J710" s="1375" t="str">
        <f t="shared" ref="J710:J773" si="11">B710&amp;C710</f>
        <v/>
      </c>
    </row>
    <row r="711" spans="10:10">
      <c r="J711" s="1375" t="str">
        <f t="shared" si="11"/>
        <v/>
      </c>
    </row>
    <row r="712" spans="10:10">
      <c r="J712" s="1375" t="str">
        <f t="shared" si="11"/>
        <v/>
      </c>
    </row>
    <row r="713" spans="10:10">
      <c r="J713" s="1375" t="str">
        <f t="shared" si="11"/>
        <v/>
      </c>
    </row>
    <row r="714" spans="10:10">
      <c r="J714" s="1375" t="str">
        <f t="shared" si="11"/>
        <v/>
      </c>
    </row>
    <row r="715" spans="10:10">
      <c r="J715" s="1375" t="str">
        <f t="shared" si="11"/>
        <v/>
      </c>
    </row>
    <row r="716" spans="10:10">
      <c r="J716" s="1375" t="str">
        <f t="shared" si="11"/>
        <v/>
      </c>
    </row>
    <row r="717" spans="10:10">
      <c r="J717" s="1375" t="str">
        <f t="shared" si="11"/>
        <v/>
      </c>
    </row>
    <row r="718" spans="10:10">
      <c r="J718" s="1375" t="str">
        <f t="shared" si="11"/>
        <v/>
      </c>
    </row>
    <row r="719" spans="10:10">
      <c r="J719" s="1375" t="str">
        <f t="shared" si="11"/>
        <v/>
      </c>
    </row>
    <row r="720" spans="10:10">
      <c r="J720" s="1375" t="str">
        <f t="shared" si="11"/>
        <v/>
      </c>
    </row>
    <row r="721" spans="10:10">
      <c r="J721" s="1375" t="str">
        <f t="shared" si="11"/>
        <v/>
      </c>
    </row>
    <row r="722" spans="10:10">
      <c r="J722" s="1375" t="str">
        <f t="shared" si="11"/>
        <v/>
      </c>
    </row>
    <row r="723" spans="10:10">
      <c r="J723" s="1375" t="str">
        <f t="shared" si="11"/>
        <v/>
      </c>
    </row>
    <row r="724" spans="10:10">
      <c r="J724" s="1375" t="str">
        <f t="shared" si="11"/>
        <v/>
      </c>
    </row>
    <row r="725" spans="10:10">
      <c r="J725" s="1375" t="str">
        <f t="shared" si="11"/>
        <v/>
      </c>
    </row>
    <row r="726" spans="10:10">
      <c r="J726" s="1375" t="str">
        <f t="shared" si="11"/>
        <v/>
      </c>
    </row>
    <row r="727" spans="10:10">
      <c r="J727" s="1375" t="str">
        <f t="shared" si="11"/>
        <v/>
      </c>
    </row>
    <row r="728" spans="10:10">
      <c r="J728" s="1375" t="str">
        <f t="shared" si="11"/>
        <v/>
      </c>
    </row>
    <row r="729" spans="10:10">
      <c r="J729" s="1375" t="str">
        <f t="shared" si="11"/>
        <v/>
      </c>
    </row>
    <row r="730" spans="10:10">
      <c r="J730" s="1375" t="str">
        <f t="shared" si="11"/>
        <v/>
      </c>
    </row>
    <row r="731" spans="10:10">
      <c r="J731" s="1375" t="str">
        <f t="shared" si="11"/>
        <v/>
      </c>
    </row>
    <row r="732" spans="10:10">
      <c r="J732" s="1375" t="str">
        <f t="shared" si="11"/>
        <v/>
      </c>
    </row>
    <row r="733" spans="10:10">
      <c r="J733" s="1375" t="str">
        <f t="shared" si="11"/>
        <v/>
      </c>
    </row>
    <row r="734" spans="10:10">
      <c r="J734" s="1375" t="str">
        <f t="shared" si="11"/>
        <v/>
      </c>
    </row>
    <row r="735" spans="10:10">
      <c r="J735" s="1375" t="str">
        <f t="shared" si="11"/>
        <v/>
      </c>
    </row>
    <row r="736" spans="10:10">
      <c r="J736" s="1375" t="str">
        <f t="shared" si="11"/>
        <v/>
      </c>
    </row>
    <row r="737" spans="10:10">
      <c r="J737" s="1375" t="str">
        <f t="shared" si="11"/>
        <v/>
      </c>
    </row>
    <row r="738" spans="10:10">
      <c r="J738" s="1375" t="str">
        <f t="shared" si="11"/>
        <v/>
      </c>
    </row>
    <row r="739" spans="10:10">
      <c r="J739" s="1375" t="str">
        <f t="shared" si="11"/>
        <v/>
      </c>
    </row>
    <row r="740" spans="10:10">
      <c r="J740" s="1375" t="str">
        <f t="shared" si="11"/>
        <v/>
      </c>
    </row>
    <row r="741" spans="10:10">
      <c r="J741" s="1375" t="str">
        <f t="shared" si="11"/>
        <v/>
      </c>
    </row>
    <row r="742" spans="10:10">
      <c r="J742" s="1375" t="str">
        <f t="shared" si="11"/>
        <v/>
      </c>
    </row>
    <row r="743" spans="10:10">
      <c r="J743" s="1375" t="str">
        <f t="shared" si="11"/>
        <v/>
      </c>
    </row>
    <row r="744" spans="10:10">
      <c r="J744" s="1375" t="str">
        <f t="shared" si="11"/>
        <v/>
      </c>
    </row>
    <row r="745" spans="10:10">
      <c r="J745" s="1375" t="str">
        <f t="shared" si="11"/>
        <v/>
      </c>
    </row>
    <row r="746" spans="10:10">
      <c r="J746" s="1375" t="str">
        <f t="shared" si="11"/>
        <v/>
      </c>
    </row>
    <row r="747" spans="10:10">
      <c r="J747" s="1375" t="str">
        <f t="shared" si="11"/>
        <v/>
      </c>
    </row>
    <row r="748" spans="10:10">
      <c r="J748" s="1375" t="str">
        <f t="shared" si="11"/>
        <v/>
      </c>
    </row>
    <row r="749" spans="10:10">
      <c r="J749" s="1375" t="str">
        <f t="shared" si="11"/>
        <v/>
      </c>
    </row>
    <row r="750" spans="10:10">
      <c r="J750" s="1375" t="str">
        <f t="shared" si="11"/>
        <v/>
      </c>
    </row>
    <row r="751" spans="10:10">
      <c r="J751" s="1375" t="str">
        <f t="shared" si="11"/>
        <v/>
      </c>
    </row>
    <row r="752" spans="10:10">
      <c r="J752" s="1375" t="str">
        <f t="shared" si="11"/>
        <v/>
      </c>
    </row>
    <row r="753" spans="10:10">
      <c r="J753" s="1375" t="str">
        <f t="shared" si="11"/>
        <v/>
      </c>
    </row>
    <row r="754" spans="10:10">
      <c r="J754" s="1375" t="str">
        <f t="shared" si="11"/>
        <v/>
      </c>
    </row>
    <row r="755" spans="10:10">
      <c r="J755" s="1375" t="str">
        <f t="shared" si="11"/>
        <v/>
      </c>
    </row>
    <row r="756" spans="10:10">
      <c r="J756" s="1375" t="str">
        <f t="shared" si="11"/>
        <v/>
      </c>
    </row>
    <row r="757" spans="10:10">
      <c r="J757" s="1375" t="str">
        <f t="shared" si="11"/>
        <v/>
      </c>
    </row>
    <row r="758" spans="10:10">
      <c r="J758" s="1375" t="str">
        <f t="shared" si="11"/>
        <v/>
      </c>
    </row>
    <row r="759" spans="10:10">
      <c r="J759" s="1375" t="str">
        <f t="shared" si="11"/>
        <v/>
      </c>
    </row>
    <row r="760" spans="10:10">
      <c r="J760" s="1375" t="str">
        <f t="shared" si="11"/>
        <v/>
      </c>
    </row>
    <row r="761" spans="10:10">
      <c r="J761" s="1375" t="str">
        <f t="shared" si="11"/>
        <v/>
      </c>
    </row>
    <row r="762" spans="10:10">
      <c r="J762" s="1375" t="str">
        <f t="shared" si="11"/>
        <v/>
      </c>
    </row>
    <row r="763" spans="10:10">
      <c r="J763" s="1375" t="str">
        <f t="shared" si="11"/>
        <v/>
      </c>
    </row>
    <row r="764" spans="10:10">
      <c r="J764" s="1375" t="str">
        <f t="shared" si="11"/>
        <v/>
      </c>
    </row>
    <row r="765" spans="10:10">
      <c r="J765" s="1375" t="str">
        <f t="shared" si="11"/>
        <v/>
      </c>
    </row>
    <row r="766" spans="10:10">
      <c r="J766" s="1375" t="str">
        <f t="shared" si="11"/>
        <v/>
      </c>
    </row>
    <row r="767" spans="10:10">
      <c r="J767" s="1375" t="str">
        <f t="shared" si="11"/>
        <v/>
      </c>
    </row>
    <row r="768" spans="10:10">
      <c r="J768" s="1375" t="str">
        <f t="shared" si="11"/>
        <v/>
      </c>
    </row>
    <row r="769" spans="10:10">
      <c r="J769" s="1375" t="str">
        <f t="shared" si="11"/>
        <v/>
      </c>
    </row>
    <row r="770" spans="10:10">
      <c r="J770" s="1375" t="str">
        <f t="shared" si="11"/>
        <v/>
      </c>
    </row>
    <row r="771" spans="10:10">
      <c r="J771" s="1375" t="str">
        <f t="shared" si="11"/>
        <v/>
      </c>
    </row>
    <row r="772" spans="10:10">
      <c r="J772" s="1375" t="str">
        <f t="shared" si="11"/>
        <v/>
      </c>
    </row>
    <row r="773" spans="10:10">
      <c r="J773" s="1375" t="str">
        <f t="shared" si="11"/>
        <v/>
      </c>
    </row>
    <row r="774" spans="10:10">
      <c r="J774" s="1375" t="str">
        <f t="shared" ref="J774:J837" si="12">B774&amp;C774</f>
        <v/>
      </c>
    </row>
    <row r="775" spans="10:10">
      <c r="J775" s="1375" t="str">
        <f t="shared" si="12"/>
        <v/>
      </c>
    </row>
    <row r="776" spans="10:10">
      <c r="J776" s="1375" t="str">
        <f t="shared" si="12"/>
        <v/>
      </c>
    </row>
    <row r="777" spans="10:10">
      <c r="J777" s="1375" t="str">
        <f t="shared" si="12"/>
        <v/>
      </c>
    </row>
    <row r="778" spans="10:10">
      <c r="J778" s="1375" t="str">
        <f t="shared" si="12"/>
        <v/>
      </c>
    </row>
    <row r="779" spans="10:10">
      <c r="J779" s="1375" t="str">
        <f t="shared" si="12"/>
        <v/>
      </c>
    </row>
    <row r="780" spans="10:10">
      <c r="J780" s="1375" t="str">
        <f t="shared" si="12"/>
        <v/>
      </c>
    </row>
    <row r="781" spans="10:10">
      <c r="J781" s="1375" t="str">
        <f t="shared" si="12"/>
        <v/>
      </c>
    </row>
    <row r="782" spans="10:10">
      <c r="J782" s="1375" t="str">
        <f t="shared" si="12"/>
        <v/>
      </c>
    </row>
    <row r="783" spans="10:10">
      <c r="J783" s="1375" t="str">
        <f t="shared" si="12"/>
        <v/>
      </c>
    </row>
    <row r="784" spans="10:10">
      <c r="J784" s="1375" t="str">
        <f t="shared" si="12"/>
        <v/>
      </c>
    </row>
    <row r="785" spans="10:10">
      <c r="J785" s="1375" t="str">
        <f t="shared" si="12"/>
        <v/>
      </c>
    </row>
    <row r="786" spans="10:10">
      <c r="J786" s="1375" t="str">
        <f t="shared" si="12"/>
        <v/>
      </c>
    </row>
    <row r="787" spans="10:10">
      <c r="J787" s="1375" t="str">
        <f t="shared" si="12"/>
        <v/>
      </c>
    </row>
    <row r="788" spans="10:10">
      <c r="J788" s="1375" t="str">
        <f t="shared" si="12"/>
        <v/>
      </c>
    </row>
    <row r="789" spans="10:10">
      <c r="J789" s="1375" t="str">
        <f t="shared" si="12"/>
        <v/>
      </c>
    </row>
    <row r="790" spans="10:10">
      <c r="J790" s="1375" t="str">
        <f t="shared" si="12"/>
        <v/>
      </c>
    </row>
    <row r="791" spans="10:10">
      <c r="J791" s="1375" t="str">
        <f t="shared" si="12"/>
        <v/>
      </c>
    </row>
    <row r="792" spans="10:10">
      <c r="J792" s="1375" t="str">
        <f t="shared" si="12"/>
        <v/>
      </c>
    </row>
    <row r="793" spans="10:10">
      <c r="J793" s="1375" t="str">
        <f t="shared" si="12"/>
        <v/>
      </c>
    </row>
    <row r="794" spans="10:10">
      <c r="J794" s="1375" t="str">
        <f t="shared" si="12"/>
        <v/>
      </c>
    </row>
    <row r="795" spans="10:10">
      <c r="J795" s="1375" t="str">
        <f t="shared" si="12"/>
        <v/>
      </c>
    </row>
    <row r="796" spans="10:10">
      <c r="J796" s="1375" t="str">
        <f t="shared" si="12"/>
        <v/>
      </c>
    </row>
    <row r="797" spans="10:10">
      <c r="J797" s="1375" t="str">
        <f t="shared" si="12"/>
        <v/>
      </c>
    </row>
    <row r="798" spans="10:10">
      <c r="J798" s="1375" t="str">
        <f t="shared" si="12"/>
        <v/>
      </c>
    </row>
    <row r="799" spans="10:10">
      <c r="J799" s="1375" t="str">
        <f t="shared" si="12"/>
        <v/>
      </c>
    </row>
    <row r="800" spans="10:10">
      <c r="J800" s="1375" t="str">
        <f t="shared" si="12"/>
        <v/>
      </c>
    </row>
    <row r="801" spans="10:10">
      <c r="J801" s="1375" t="str">
        <f t="shared" si="12"/>
        <v/>
      </c>
    </row>
    <row r="802" spans="10:10">
      <c r="J802" s="1375" t="str">
        <f t="shared" si="12"/>
        <v/>
      </c>
    </row>
    <row r="803" spans="10:10">
      <c r="J803" s="1375" t="str">
        <f t="shared" si="12"/>
        <v/>
      </c>
    </row>
    <row r="804" spans="10:10">
      <c r="J804" s="1375" t="str">
        <f t="shared" si="12"/>
        <v/>
      </c>
    </row>
    <row r="805" spans="10:10">
      <c r="J805" s="1375" t="str">
        <f t="shared" si="12"/>
        <v/>
      </c>
    </row>
    <row r="806" spans="10:10">
      <c r="J806" s="1375" t="str">
        <f t="shared" si="12"/>
        <v/>
      </c>
    </row>
    <row r="807" spans="10:10">
      <c r="J807" s="1375" t="str">
        <f t="shared" si="12"/>
        <v/>
      </c>
    </row>
    <row r="808" spans="10:10">
      <c r="J808" s="1375" t="str">
        <f t="shared" si="12"/>
        <v/>
      </c>
    </row>
    <row r="809" spans="10:10">
      <c r="J809" s="1375" t="str">
        <f t="shared" si="12"/>
        <v/>
      </c>
    </row>
    <row r="810" spans="10:10">
      <c r="J810" s="1375" t="str">
        <f t="shared" si="12"/>
        <v/>
      </c>
    </row>
    <row r="811" spans="10:10">
      <c r="J811" s="1375" t="str">
        <f t="shared" si="12"/>
        <v/>
      </c>
    </row>
    <row r="812" spans="10:10">
      <c r="J812" s="1375" t="str">
        <f t="shared" si="12"/>
        <v/>
      </c>
    </row>
    <row r="813" spans="10:10">
      <c r="J813" s="1375" t="str">
        <f t="shared" si="12"/>
        <v/>
      </c>
    </row>
    <row r="814" spans="10:10">
      <c r="J814" s="1375" t="str">
        <f t="shared" si="12"/>
        <v/>
      </c>
    </row>
    <row r="815" spans="10:10">
      <c r="J815" s="1375" t="str">
        <f t="shared" si="12"/>
        <v/>
      </c>
    </row>
    <row r="816" spans="10:10">
      <c r="J816" s="1375" t="str">
        <f t="shared" si="12"/>
        <v/>
      </c>
    </row>
    <row r="817" spans="10:10">
      <c r="J817" s="1375" t="str">
        <f t="shared" si="12"/>
        <v/>
      </c>
    </row>
    <row r="818" spans="10:10">
      <c r="J818" s="1375" t="str">
        <f t="shared" si="12"/>
        <v/>
      </c>
    </row>
    <row r="819" spans="10:10">
      <c r="J819" s="1375" t="str">
        <f t="shared" si="12"/>
        <v/>
      </c>
    </row>
    <row r="820" spans="10:10">
      <c r="J820" s="1375" t="str">
        <f t="shared" si="12"/>
        <v/>
      </c>
    </row>
    <row r="821" spans="10:10">
      <c r="J821" s="1375" t="str">
        <f t="shared" si="12"/>
        <v/>
      </c>
    </row>
    <row r="822" spans="10:10">
      <c r="J822" s="1375" t="str">
        <f t="shared" si="12"/>
        <v/>
      </c>
    </row>
    <row r="823" spans="10:10">
      <c r="J823" s="1375" t="str">
        <f t="shared" si="12"/>
        <v/>
      </c>
    </row>
    <row r="824" spans="10:10">
      <c r="J824" s="1375" t="str">
        <f t="shared" si="12"/>
        <v/>
      </c>
    </row>
    <row r="825" spans="10:10">
      <c r="J825" s="1375" t="str">
        <f t="shared" si="12"/>
        <v/>
      </c>
    </row>
    <row r="826" spans="10:10">
      <c r="J826" s="1375" t="str">
        <f t="shared" si="12"/>
        <v/>
      </c>
    </row>
    <row r="827" spans="10:10">
      <c r="J827" s="1375" t="str">
        <f t="shared" si="12"/>
        <v/>
      </c>
    </row>
    <row r="828" spans="10:10">
      <c r="J828" s="1375" t="str">
        <f t="shared" si="12"/>
        <v/>
      </c>
    </row>
    <row r="829" spans="10:10">
      <c r="J829" s="1375" t="str">
        <f t="shared" si="12"/>
        <v/>
      </c>
    </row>
    <row r="830" spans="10:10">
      <c r="J830" s="1375" t="str">
        <f t="shared" si="12"/>
        <v/>
      </c>
    </row>
    <row r="831" spans="10:10">
      <c r="J831" s="1375" t="str">
        <f t="shared" si="12"/>
        <v/>
      </c>
    </row>
    <row r="832" spans="10:10">
      <c r="J832" s="1375" t="str">
        <f t="shared" si="12"/>
        <v/>
      </c>
    </row>
    <row r="833" spans="10:10">
      <c r="J833" s="1375" t="str">
        <f t="shared" si="12"/>
        <v/>
      </c>
    </row>
    <row r="834" spans="10:10">
      <c r="J834" s="1375" t="str">
        <f t="shared" si="12"/>
        <v/>
      </c>
    </row>
    <row r="835" spans="10:10">
      <c r="J835" s="1375" t="str">
        <f t="shared" si="12"/>
        <v/>
      </c>
    </row>
    <row r="836" spans="10:10">
      <c r="J836" s="1375" t="str">
        <f t="shared" si="12"/>
        <v/>
      </c>
    </row>
    <row r="837" spans="10:10">
      <c r="J837" s="1375" t="str">
        <f t="shared" si="12"/>
        <v/>
      </c>
    </row>
    <row r="838" spans="10:10">
      <c r="J838" s="1375" t="str">
        <f t="shared" ref="J838:J901" si="13">B838&amp;C838</f>
        <v/>
      </c>
    </row>
    <row r="839" spans="10:10">
      <c r="J839" s="1375" t="str">
        <f t="shared" si="13"/>
        <v/>
      </c>
    </row>
    <row r="840" spans="10:10">
      <c r="J840" s="1375" t="str">
        <f t="shared" si="13"/>
        <v/>
      </c>
    </row>
    <row r="841" spans="10:10">
      <c r="J841" s="1375" t="str">
        <f t="shared" si="13"/>
        <v/>
      </c>
    </row>
    <row r="842" spans="10:10">
      <c r="J842" s="1375" t="str">
        <f t="shared" si="13"/>
        <v/>
      </c>
    </row>
    <row r="843" spans="10:10">
      <c r="J843" s="1375" t="str">
        <f t="shared" si="13"/>
        <v/>
      </c>
    </row>
    <row r="844" spans="10:10">
      <c r="J844" s="1375" t="str">
        <f t="shared" si="13"/>
        <v/>
      </c>
    </row>
    <row r="845" spans="10:10">
      <c r="J845" s="1375" t="str">
        <f t="shared" si="13"/>
        <v/>
      </c>
    </row>
    <row r="846" spans="10:10">
      <c r="J846" s="1375" t="str">
        <f t="shared" si="13"/>
        <v/>
      </c>
    </row>
    <row r="847" spans="10:10">
      <c r="J847" s="1375" t="str">
        <f t="shared" si="13"/>
        <v/>
      </c>
    </row>
    <row r="848" spans="10:10">
      <c r="J848" s="1375" t="str">
        <f t="shared" si="13"/>
        <v/>
      </c>
    </row>
    <row r="849" spans="10:10">
      <c r="J849" s="1375" t="str">
        <f t="shared" si="13"/>
        <v/>
      </c>
    </row>
    <row r="850" spans="10:10">
      <c r="J850" s="1375" t="str">
        <f t="shared" si="13"/>
        <v/>
      </c>
    </row>
    <row r="851" spans="10:10">
      <c r="J851" s="1375" t="str">
        <f t="shared" si="13"/>
        <v/>
      </c>
    </row>
    <row r="852" spans="10:10">
      <c r="J852" s="1375" t="str">
        <f t="shared" si="13"/>
        <v/>
      </c>
    </row>
    <row r="853" spans="10:10">
      <c r="J853" s="1375" t="str">
        <f t="shared" si="13"/>
        <v/>
      </c>
    </row>
    <row r="854" spans="10:10">
      <c r="J854" s="1375" t="str">
        <f t="shared" si="13"/>
        <v/>
      </c>
    </row>
    <row r="855" spans="10:10">
      <c r="J855" s="1375" t="str">
        <f t="shared" si="13"/>
        <v/>
      </c>
    </row>
    <row r="856" spans="10:10">
      <c r="J856" s="1375" t="str">
        <f t="shared" si="13"/>
        <v/>
      </c>
    </row>
    <row r="857" spans="10:10">
      <c r="J857" s="1375" t="str">
        <f t="shared" si="13"/>
        <v/>
      </c>
    </row>
    <row r="858" spans="10:10">
      <c r="J858" s="1375" t="str">
        <f t="shared" si="13"/>
        <v/>
      </c>
    </row>
    <row r="859" spans="10:10">
      <c r="J859" s="1375" t="str">
        <f t="shared" si="13"/>
        <v/>
      </c>
    </row>
    <row r="860" spans="10:10">
      <c r="J860" s="1375" t="str">
        <f t="shared" si="13"/>
        <v/>
      </c>
    </row>
    <row r="861" spans="10:10">
      <c r="J861" s="1375" t="str">
        <f t="shared" si="13"/>
        <v/>
      </c>
    </row>
    <row r="862" spans="10:10">
      <c r="J862" s="1375" t="str">
        <f t="shared" si="13"/>
        <v/>
      </c>
    </row>
    <row r="863" spans="10:10">
      <c r="J863" s="1375" t="str">
        <f t="shared" si="13"/>
        <v/>
      </c>
    </row>
    <row r="864" spans="10:10">
      <c r="J864" s="1375" t="str">
        <f t="shared" si="13"/>
        <v/>
      </c>
    </row>
    <row r="865" spans="10:10">
      <c r="J865" s="1375" t="str">
        <f t="shared" si="13"/>
        <v/>
      </c>
    </row>
    <row r="866" spans="10:10">
      <c r="J866" s="1375" t="str">
        <f t="shared" si="13"/>
        <v/>
      </c>
    </row>
    <row r="867" spans="10:10">
      <c r="J867" s="1375" t="str">
        <f t="shared" si="13"/>
        <v/>
      </c>
    </row>
    <row r="868" spans="10:10">
      <c r="J868" s="1375" t="str">
        <f t="shared" si="13"/>
        <v/>
      </c>
    </row>
    <row r="869" spans="10:10">
      <c r="J869" s="1375" t="str">
        <f t="shared" si="13"/>
        <v/>
      </c>
    </row>
    <row r="870" spans="10:10">
      <c r="J870" s="1375" t="str">
        <f t="shared" si="13"/>
        <v/>
      </c>
    </row>
    <row r="871" spans="10:10">
      <c r="J871" s="1375" t="str">
        <f t="shared" si="13"/>
        <v/>
      </c>
    </row>
    <row r="872" spans="10:10">
      <c r="J872" s="1375" t="str">
        <f t="shared" si="13"/>
        <v/>
      </c>
    </row>
    <row r="873" spans="10:10">
      <c r="J873" s="1375" t="str">
        <f t="shared" si="13"/>
        <v/>
      </c>
    </row>
    <row r="874" spans="10:10">
      <c r="J874" s="1375" t="str">
        <f t="shared" si="13"/>
        <v/>
      </c>
    </row>
    <row r="875" spans="10:10">
      <c r="J875" s="1375" t="str">
        <f t="shared" si="13"/>
        <v/>
      </c>
    </row>
    <row r="876" spans="10:10">
      <c r="J876" s="1375" t="str">
        <f t="shared" si="13"/>
        <v/>
      </c>
    </row>
    <row r="877" spans="10:10">
      <c r="J877" s="1375" t="str">
        <f t="shared" si="13"/>
        <v/>
      </c>
    </row>
    <row r="878" spans="10:10">
      <c r="J878" s="1375" t="str">
        <f t="shared" si="13"/>
        <v/>
      </c>
    </row>
    <row r="879" spans="10:10">
      <c r="J879" s="1375" t="str">
        <f t="shared" si="13"/>
        <v/>
      </c>
    </row>
    <row r="880" spans="10:10">
      <c r="J880" s="1375" t="str">
        <f t="shared" si="13"/>
        <v/>
      </c>
    </row>
    <row r="881" spans="10:10">
      <c r="J881" s="1375" t="str">
        <f t="shared" si="13"/>
        <v/>
      </c>
    </row>
    <row r="882" spans="10:10">
      <c r="J882" s="1375" t="str">
        <f t="shared" si="13"/>
        <v/>
      </c>
    </row>
    <row r="883" spans="10:10">
      <c r="J883" s="1375" t="str">
        <f t="shared" si="13"/>
        <v/>
      </c>
    </row>
    <row r="884" spans="10:10">
      <c r="J884" s="1375" t="str">
        <f t="shared" si="13"/>
        <v/>
      </c>
    </row>
    <row r="885" spans="10:10">
      <c r="J885" s="1375" t="str">
        <f t="shared" si="13"/>
        <v/>
      </c>
    </row>
    <row r="886" spans="10:10">
      <c r="J886" s="1375" t="str">
        <f t="shared" si="13"/>
        <v/>
      </c>
    </row>
    <row r="887" spans="10:10">
      <c r="J887" s="1375" t="str">
        <f t="shared" si="13"/>
        <v/>
      </c>
    </row>
    <row r="888" spans="10:10">
      <c r="J888" s="1375" t="str">
        <f t="shared" si="13"/>
        <v/>
      </c>
    </row>
    <row r="889" spans="10:10">
      <c r="J889" s="1375" t="str">
        <f t="shared" si="13"/>
        <v/>
      </c>
    </row>
    <row r="890" spans="10:10">
      <c r="J890" s="1375" t="str">
        <f t="shared" si="13"/>
        <v/>
      </c>
    </row>
    <row r="891" spans="10:10">
      <c r="J891" s="1375" t="str">
        <f t="shared" si="13"/>
        <v/>
      </c>
    </row>
    <row r="892" spans="10:10">
      <c r="J892" s="1375" t="str">
        <f t="shared" si="13"/>
        <v/>
      </c>
    </row>
    <row r="893" spans="10:10">
      <c r="J893" s="1375" t="str">
        <f t="shared" si="13"/>
        <v/>
      </c>
    </row>
    <row r="894" spans="10:10">
      <c r="J894" s="1375" t="str">
        <f t="shared" si="13"/>
        <v/>
      </c>
    </row>
    <row r="895" spans="10:10">
      <c r="J895" s="1375" t="str">
        <f t="shared" si="13"/>
        <v/>
      </c>
    </row>
    <row r="896" spans="10:10">
      <c r="J896" s="1375" t="str">
        <f t="shared" si="13"/>
        <v/>
      </c>
    </row>
    <row r="897" spans="10:10">
      <c r="J897" s="1375" t="str">
        <f t="shared" si="13"/>
        <v/>
      </c>
    </row>
    <row r="898" spans="10:10">
      <c r="J898" s="1375" t="str">
        <f t="shared" si="13"/>
        <v/>
      </c>
    </row>
    <row r="899" spans="10:10">
      <c r="J899" s="1375" t="str">
        <f t="shared" si="13"/>
        <v/>
      </c>
    </row>
    <row r="900" spans="10:10">
      <c r="J900" s="1375" t="str">
        <f t="shared" si="13"/>
        <v/>
      </c>
    </row>
    <row r="901" spans="10:10">
      <c r="J901" s="1375" t="str">
        <f t="shared" si="13"/>
        <v/>
      </c>
    </row>
    <row r="902" spans="10:10">
      <c r="J902" s="1375" t="str">
        <f t="shared" ref="J902:J965" si="14">B902&amp;C902</f>
        <v/>
      </c>
    </row>
    <row r="903" spans="10:10">
      <c r="J903" s="1375" t="str">
        <f t="shared" si="14"/>
        <v/>
      </c>
    </row>
    <row r="904" spans="10:10">
      <c r="J904" s="1375" t="str">
        <f t="shared" si="14"/>
        <v/>
      </c>
    </row>
    <row r="905" spans="10:10">
      <c r="J905" s="1375" t="str">
        <f t="shared" si="14"/>
        <v/>
      </c>
    </row>
    <row r="906" spans="10:10">
      <c r="J906" s="1375" t="str">
        <f t="shared" si="14"/>
        <v/>
      </c>
    </row>
    <row r="907" spans="10:10">
      <c r="J907" s="1375" t="str">
        <f t="shared" si="14"/>
        <v/>
      </c>
    </row>
    <row r="908" spans="10:10">
      <c r="J908" s="1375" t="str">
        <f t="shared" si="14"/>
        <v/>
      </c>
    </row>
    <row r="909" spans="10:10">
      <c r="J909" s="1375" t="str">
        <f t="shared" si="14"/>
        <v/>
      </c>
    </row>
    <row r="910" spans="10:10">
      <c r="J910" s="1375" t="str">
        <f t="shared" si="14"/>
        <v/>
      </c>
    </row>
    <row r="911" spans="10:10">
      <c r="J911" s="1375" t="str">
        <f t="shared" si="14"/>
        <v/>
      </c>
    </row>
    <row r="912" spans="10:10">
      <c r="J912" s="1375" t="str">
        <f t="shared" si="14"/>
        <v/>
      </c>
    </row>
    <row r="913" spans="10:10">
      <c r="J913" s="1375" t="str">
        <f t="shared" si="14"/>
        <v/>
      </c>
    </row>
    <row r="914" spans="10:10">
      <c r="J914" s="1375" t="str">
        <f t="shared" si="14"/>
        <v/>
      </c>
    </row>
    <row r="915" spans="10:10">
      <c r="J915" s="1375" t="str">
        <f t="shared" si="14"/>
        <v/>
      </c>
    </row>
    <row r="916" spans="10:10">
      <c r="J916" s="1375" t="str">
        <f t="shared" si="14"/>
        <v/>
      </c>
    </row>
    <row r="917" spans="10:10">
      <c r="J917" s="1375" t="str">
        <f t="shared" si="14"/>
        <v/>
      </c>
    </row>
    <row r="918" spans="10:10">
      <c r="J918" s="1375" t="str">
        <f t="shared" si="14"/>
        <v/>
      </c>
    </row>
    <row r="919" spans="10:10">
      <c r="J919" s="1375" t="str">
        <f t="shared" si="14"/>
        <v/>
      </c>
    </row>
    <row r="920" spans="10:10">
      <c r="J920" s="1375" t="str">
        <f t="shared" si="14"/>
        <v/>
      </c>
    </row>
    <row r="921" spans="10:10">
      <c r="J921" s="1375" t="str">
        <f t="shared" si="14"/>
        <v/>
      </c>
    </row>
    <row r="922" spans="10:10">
      <c r="J922" s="1375" t="str">
        <f t="shared" si="14"/>
        <v/>
      </c>
    </row>
    <row r="923" spans="10:10">
      <c r="J923" s="1375" t="str">
        <f t="shared" si="14"/>
        <v/>
      </c>
    </row>
    <row r="924" spans="10:10">
      <c r="J924" s="1375" t="str">
        <f t="shared" si="14"/>
        <v/>
      </c>
    </row>
    <row r="925" spans="10:10">
      <c r="J925" s="1375" t="str">
        <f t="shared" si="14"/>
        <v/>
      </c>
    </row>
    <row r="926" spans="10:10">
      <c r="J926" s="1375" t="str">
        <f t="shared" si="14"/>
        <v/>
      </c>
    </row>
    <row r="927" spans="10:10">
      <c r="J927" s="1375" t="str">
        <f t="shared" si="14"/>
        <v/>
      </c>
    </row>
    <row r="928" spans="10:10">
      <c r="J928" s="1375" t="str">
        <f t="shared" si="14"/>
        <v/>
      </c>
    </row>
    <row r="929" spans="10:10">
      <c r="J929" s="1375" t="str">
        <f t="shared" si="14"/>
        <v/>
      </c>
    </row>
    <row r="930" spans="10:10">
      <c r="J930" s="1375" t="str">
        <f t="shared" si="14"/>
        <v/>
      </c>
    </row>
    <row r="931" spans="10:10">
      <c r="J931" s="1375" t="str">
        <f t="shared" si="14"/>
        <v/>
      </c>
    </row>
    <row r="932" spans="10:10">
      <c r="J932" s="1375" t="str">
        <f t="shared" si="14"/>
        <v/>
      </c>
    </row>
    <row r="933" spans="10:10">
      <c r="J933" s="1375" t="str">
        <f t="shared" si="14"/>
        <v/>
      </c>
    </row>
    <row r="934" spans="10:10">
      <c r="J934" s="1375" t="str">
        <f t="shared" si="14"/>
        <v/>
      </c>
    </row>
    <row r="935" spans="10:10">
      <c r="J935" s="1375" t="str">
        <f t="shared" si="14"/>
        <v/>
      </c>
    </row>
    <row r="936" spans="10:10">
      <c r="J936" s="1375" t="str">
        <f t="shared" si="14"/>
        <v/>
      </c>
    </row>
    <row r="937" spans="10:10">
      <c r="J937" s="1375" t="str">
        <f t="shared" si="14"/>
        <v/>
      </c>
    </row>
    <row r="938" spans="10:10">
      <c r="J938" s="1375" t="str">
        <f t="shared" si="14"/>
        <v/>
      </c>
    </row>
    <row r="939" spans="10:10">
      <c r="J939" s="1375" t="str">
        <f t="shared" si="14"/>
        <v/>
      </c>
    </row>
    <row r="940" spans="10:10">
      <c r="J940" s="1375" t="str">
        <f t="shared" si="14"/>
        <v/>
      </c>
    </row>
    <row r="941" spans="10:10">
      <c r="J941" s="1375" t="str">
        <f t="shared" si="14"/>
        <v/>
      </c>
    </row>
    <row r="942" spans="10:10">
      <c r="J942" s="1375" t="str">
        <f t="shared" si="14"/>
        <v/>
      </c>
    </row>
    <row r="943" spans="10:10">
      <c r="J943" s="1375" t="str">
        <f t="shared" si="14"/>
        <v/>
      </c>
    </row>
    <row r="944" spans="10:10">
      <c r="J944" s="1375" t="str">
        <f t="shared" si="14"/>
        <v/>
      </c>
    </row>
    <row r="945" spans="10:10">
      <c r="J945" s="1375" t="str">
        <f t="shared" si="14"/>
        <v/>
      </c>
    </row>
    <row r="946" spans="10:10">
      <c r="J946" s="1375" t="str">
        <f t="shared" si="14"/>
        <v/>
      </c>
    </row>
    <row r="947" spans="10:10">
      <c r="J947" s="1375" t="str">
        <f t="shared" si="14"/>
        <v/>
      </c>
    </row>
    <row r="948" spans="10:10">
      <c r="J948" s="1375" t="str">
        <f t="shared" si="14"/>
        <v/>
      </c>
    </row>
    <row r="949" spans="10:10">
      <c r="J949" s="1375" t="str">
        <f t="shared" si="14"/>
        <v/>
      </c>
    </row>
    <row r="950" spans="10:10">
      <c r="J950" s="1375" t="str">
        <f t="shared" si="14"/>
        <v/>
      </c>
    </row>
    <row r="951" spans="10:10">
      <c r="J951" s="1375" t="str">
        <f t="shared" si="14"/>
        <v/>
      </c>
    </row>
    <row r="952" spans="10:10">
      <c r="J952" s="1375" t="str">
        <f t="shared" si="14"/>
        <v/>
      </c>
    </row>
    <row r="953" spans="10:10">
      <c r="J953" s="1375" t="str">
        <f t="shared" si="14"/>
        <v/>
      </c>
    </row>
    <row r="954" spans="10:10">
      <c r="J954" s="1375" t="str">
        <f t="shared" si="14"/>
        <v/>
      </c>
    </row>
    <row r="955" spans="10:10">
      <c r="J955" s="1375" t="str">
        <f t="shared" si="14"/>
        <v/>
      </c>
    </row>
    <row r="956" spans="10:10">
      <c r="J956" s="1375" t="str">
        <f t="shared" si="14"/>
        <v/>
      </c>
    </row>
    <row r="957" spans="10:10">
      <c r="J957" s="1375" t="str">
        <f t="shared" si="14"/>
        <v/>
      </c>
    </row>
    <row r="958" spans="10:10">
      <c r="J958" s="1375" t="str">
        <f t="shared" si="14"/>
        <v/>
      </c>
    </row>
    <row r="959" spans="10:10">
      <c r="J959" s="1375" t="str">
        <f t="shared" si="14"/>
        <v/>
      </c>
    </row>
    <row r="960" spans="10:10">
      <c r="J960" s="1375" t="str">
        <f t="shared" si="14"/>
        <v/>
      </c>
    </row>
    <row r="961" spans="10:10">
      <c r="J961" s="1375" t="str">
        <f t="shared" si="14"/>
        <v/>
      </c>
    </row>
    <row r="962" spans="10:10">
      <c r="J962" s="1375" t="str">
        <f t="shared" si="14"/>
        <v/>
      </c>
    </row>
    <row r="963" spans="10:10">
      <c r="J963" s="1375" t="str">
        <f t="shared" si="14"/>
        <v/>
      </c>
    </row>
    <row r="964" spans="10:10">
      <c r="J964" s="1375" t="str">
        <f t="shared" si="14"/>
        <v/>
      </c>
    </row>
    <row r="965" spans="10:10">
      <c r="J965" s="1375" t="str">
        <f t="shared" si="14"/>
        <v/>
      </c>
    </row>
    <row r="966" spans="10:10">
      <c r="J966" s="1375" t="str">
        <f t="shared" ref="J966:J1029" si="15">B966&amp;C966</f>
        <v/>
      </c>
    </row>
    <row r="967" spans="10:10">
      <c r="J967" s="1375" t="str">
        <f t="shared" si="15"/>
        <v/>
      </c>
    </row>
    <row r="968" spans="10:10">
      <c r="J968" s="1375" t="str">
        <f t="shared" si="15"/>
        <v/>
      </c>
    </row>
    <row r="969" spans="10:10">
      <c r="J969" s="1375" t="str">
        <f t="shared" si="15"/>
        <v/>
      </c>
    </row>
    <row r="970" spans="10:10">
      <c r="J970" s="1375" t="str">
        <f t="shared" si="15"/>
        <v/>
      </c>
    </row>
    <row r="971" spans="10:10">
      <c r="J971" s="1375" t="str">
        <f t="shared" si="15"/>
        <v/>
      </c>
    </row>
    <row r="972" spans="10:10">
      <c r="J972" s="1375" t="str">
        <f t="shared" si="15"/>
        <v/>
      </c>
    </row>
    <row r="973" spans="10:10">
      <c r="J973" s="1375" t="str">
        <f t="shared" si="15"/>
        <v/>
      </c>
    </row>
    <row r="974" spans="10:10">
      <c r="J974" s="1375" t="str">
        <f t="shared" si="15"/>
        <v/>
      </c>
    </row>
    <row r="975" spans="10:10">
      <c r="J975" s="1375" t="str">
        <f t="shared" si="15"/>
        <v/>
      </c>
    </row>
    <row r="976" spans="10:10">
      <c r="J976" s="1375" t="str">
        <f t="shared" si="15"/>
        <v/>
      </c>
    </row>
    <row r="977" spans="10:10">
      <c r="J977" s="1375" t="str">
        <f t="shared" si="15"/>
        <v/>
      </c>
    </row>
    <row r="978" spans="10:10">
      <c r="J978" s="1375" t="str">
        <f t="shared" si="15"/>
        <v/>
      </c>
    </row>
    <row r="979" spans="10:10">
      <c r="J979" s="1375" t="str">
        <f t="shared" si="15"/>
        <v/>
      </c>
    </row>
    <row r="980" spans="10:10">
      <c r="J980" s="1375" t="str">
        <f t="shared" si="15"/>
        <v/>
      </c>
    </row>
    <row r="981" spans="10:10">
      <c r="J981" s="1375" t="str">
        <f t="shared" si="15"/>
        <v/>
      </c>
    </row>
    <row r="982" spans="10:10">
      <c r="J982" s="1375" t="str">
        <f t="shared" si="15"/>
        <v/>
      </c>
    </row>
    <row r="983" spans="10:10">
      <c r="J983" s="1375" t="str">
        <f t="shared" si="15"/>
        <v/>
      </c>
    </row>
    <row r="984" spans="10:10">
      <c r="J984" s="1375" t="str">
        <f t="shared" si="15"/>
        <v/>
      </c>
    </row>
    <row r="985" spans="10:10">
      <c r="J985" s="1375" t="str">
        <f t="shared" si="15"/>
        <v/>
      </c>
    </row>
    <row r="986" spans="10:10">
      <c r="J986" s="1375" t="str">
        <f t="shared" si="15"/>
        <v/>
      </c>
    </row>
    <row r="987" spans="10:10">
      <c r="J987" s="1375" t="str">
        <f t="shared" si="15"/>
        <v/>
      </c>
    </row>
    <row r="988" spans="10:10">
      <c r="J988" s="1375" t="str">
        <f t="shared" si="15"/>
        <v/>
      </c>
    </row>
    <row r="989" spans="10:10">
      <c r="J989" s="1375" t="str">
        <f t="shared" si="15"/>
        <v/>
      </c>
    </row>
    <row r="990" spans="10:10">
      <c r="J990" s="1375" t="str">
        <f t="shared" si="15"/>
        <v/>
      </c>
    </row>
    <row r="991" spans="10:10">
      <c r="J991" s="1375" t="str">
        <f t="shared" si="15"/>
        <v/>
      </c>
    </row>
    <row r="992" spans="10:10">
      <c r="J992" s="1375" t="str">
        <f t="shared" si="15"/>
        <v/>
      </c>
    </row>
    <row r="993" spans="10:10">
      <c r="J993" s="1375" t="str">
        <f t="shared" si="15"/>
        <v/>
      </c>
    </row>
    <row r="994" spans="10:10">
      <c r="J994" s="1375" t="str">
        <f t="shared" si="15"/>
        <v/>
      </c>
    </row>
    <row r="995" spans="10:10">
      <c r="J995" s="1375" t="str">
        <f t="shared" si="15"/>
        <v/>
      </c>
    </row>
    <row r="996" spans="10:10">
      <c r="J996" s="1375" t="str">
        <f t="shared" si="15"/>
        <v/>
      </c>
    </row>
    <row r="997" spans="10:10">
      <c r="J997" s="1375" t="str">
        <f t="shared" si="15"/>
        <v/>
      </c>
    </row>
    <row r="998" spans="10:10">
      <c r="J998" s="1375" t="str">
        <f t="shared" si="15"/>
        <v/>
      </c>
    </row>
    <row r="999" spans="10:10">
      <c r="J999" s="1375" t="str">
        <f t="shared" si="15"/>
        <v/>
      </c>
    </row>
    <row r="1000" spans="10:10">
      <c r="J1000" s="1375" t="str">
        <f t="shared" si="15"/>
        <v/>
      </c>
    </row>
    <row r="1001" spans="10:10">
      <c r="J1001" s="1375" t="str">
        <f t="shared" si="15"/>
        <v/>
      </c>
    </row>
    <row r="1002" spans="10:10">
      <c r="J1002" s="1375" t="str">
        <f t="shared" si="15"/>
        <v/>
      </c>
    </row>
    <row r="1003" spans="10:10">
      <c r="J1003" s="1375" t="str">
        <f t="shared" si="15"/>
        <v/>
      </c>
    </row>
    <row r="1004" spans="10:10">
      <c r="J1004" s="1375" t="str">
        <f t="shared" si="15"/>
        <v/>
      </c>
    </row>
    <row r="1005" spans="10:10">
      <c r="J1005" s="1375" t="str">
        <f t="shared" si="15"/>
        <v/>
      </c>
    </row>
    <row r="1006" spans="10:10">
      <c r="J1006" s="1375" t="str">
        <f t="shared" si="15"/>
        <v/>
      </c>
    </row>
    <row r="1007" spans="10:10">
      <c r="J1007" s="1375" t="str">
        <f t="shared" si="15"/>
        <v/>
      </c>
    </row>
    <row r="1008" spans="10:10">
      <c r="J1008" s="1375" t="str">
        <f t="shared" si="15"/>
        <v/>
      </c>
    </row>
    <row r="1009" spans="10:10">
      <c r="J1009" s="1375" t="str">
        <f t="shared" si="15"/>
        <v/>
      </c>
    </row>
    <row r="1010" spans="10:10">
      <c r="J1010" s="1375" t="str">
        <f t="shared" si="15"/>
        <v/>
      </c>
    </row>
    <row r="1011" spans="10:10">
      <c r="J1011" s="1375" t="str">
        <f t="shared" si="15"/>
        <v/>
      </c>
    </row>
    <row r="1012" spans="10:10">
      <c r="J1012" s="1375" t="str">
        <f t="shared" si="15"/>
        <v/>
      </c>
    </row>
    <row r="1013" spans="10:10">
      <c r="J1013" s="1375" t="str">
        <f t="shared" si="15"/>
        <v/>
      </c>
    </row>
    <row r="1014" spans="10:10">
      <c r="J1014" s="1375" t="str">
        <f t="shared" si="15"/>
        <v/>
      </c>
    </row>
    <row r="1015" spans="10:10">
      <c r="J1015" s="1375" t="str">
        <f t="shared" si="15"/>
        <v/>
      </c>
    </row>
    <row r="1016" spans="10:10">
      <c r="J1016" s="1375" t="str">
        <f t="shared" si="15"/>
        <v/>
      </c>
    </row>
    <row r="1017" spans="10:10">
      <c r="J1017" s="1375" t="str">
        <f t="shared" si="15"/>
        <v/>
      </c>
    </row>
    <row r="1018" spans="10:10">
      <c r="J1018" s="1375" t="str">
        <f t="shared" si="15"/>
        <v/>
      </c>
    </row>
    <row r="1019" spans="10:10">
      <c r="J1019" s="1375" t="str">
        <f t="shared" si="15"/>
        <v/>
      </c>
    </row>
    <row r="1020" spans="10:10">
      <c r="J1020" s="1375" t="str">
        <f t="shared" si="15"/>
        <v/>
      </c>
    </row>
    <row r="1021" spans="10:10">
      <c r="J1021" s="1375" t="str">
        <f t="shared" si="15"/>
        <v/>
      </c>
    </row>
    <row r="1022" spans="10:10">
      <c r="J1022" s="1375" t="str">
        <f t="shared" si="15"/>
        <v/>
      </c>
    </row>
    <row r="1023" spans="10:10">
      <c r="J1023" s="1375" t="str">
        <f t="shared" si="15"/>
        <v/>
      </c>
    </row>
    <row r="1024" spans="10:10">
      <c r="J1024" s="1375" t="str">
        <f t="shared" si="15"/>
        <v/>
      </c>
    </row>
    <row r="1025" spans="10:10">
      <c r="J1025" s="1375" t="str">
        <f t="shared" si="15"/>
        <v/>
      </c>
    </row>
    <row r="1026" spans="10:10">
      <c r="J1026" s="1375" t="str">
        <f t="shared" si="15"/>
        <v/>
      </c>
    </row>
    <row r="1027" spans="10:10">
      <c r="J1027" s="1375" t="str">
        <f t="shared" si="15"/>
        <v/>
      </c>
    </row>
    <row r="1028" spans="10:10">
      <c r="J1028" s="1375" t="str">
        <f t="shared" si="15"/>
        <v/>
      </c>
    </row>
    <row r="1029" spans="10:10">
      <c r="J1029" s="1375" t="str">
        <f t="shared" si="15"/>
        <v/>
      </c>
    </row>
    <row r="1030" spans="10:10">
      <c r="J1030" s="1375" t="str">
        <f t="shared" ref="J1030:J1054" si="16">B1030&amp;C1030</f>
        <v/>
      </c>
    </row>
    <row r="1031" spans="10:10">
      <c r="J1031" s="1375" t="str">
        <f t="shared" si="16"/>
        <v/>
      </c>
    </row>
    <row r="1032" spans="10:10">
      <c r="J1032" s="1375" t="str">
        <f t="shared" si="16"/>
        <v/>
      </c>
    </row>
    <row r="1033" spans="10:10">
      <c r="J1033" s="1375" t="str">
        <f t="shared" si="16"/>
        <v/>
      </c>
    </row>
    <row r="1034" spans="10:10">
      <c r="J1034" s="1375" t="str">
        <f t="shared" si="16"/>
        <v/>
      </c>
    </row>
    <row r="1035" spans="10:10">
      <c r="J1035" s="1375" t="str">
        <f t="shared" si="16"/>
        <v/>
      </c>
    </row>
    <row r="1036" spans="10:10">
      <c r="J1036" s="1375" t="str">
        <f t="shared" si="16"/>
        <v/>
      </c>
    </row>
    <row r="1037" spans="10:10">
      <c r="J1037" s="1375" t="str">
        <f t="shared" si="16"/>
        <v/>
      </c>
    </row>
    <row r="1038" spans="10:10">
      <c r="J1038" s="1375" t="str">
        <f t="shared" si="16"/>
        <v/>
      </c>
    </row>
    <row r="1039" spans="10:10">
      <c r="J1039" s="1375" t="str">
        <f t="shared" si="16"/>
        <v/>
      </c>
    </row>
    <row r="1040" spans="10:10">
      <c r="J1040" s="1375" t="str">
        <f t="shared" si="16"/>
        <v/>
      </c>
    </row>
    <row r="1041" spans="10:10">
      <c r="J1041" s="1375" t="str">
        <f t="shared" si="16"/>
        <v/>
      </c>
    </row>
    <row r="1042" spans="10:10">
      <c r="J1042" s="1375" t="str">
        <f t="shared" si="16"/>
        <v/>
      </c>
    </row>
    <row r="1043" spans="10:10">
      <c r="J1043" s="1375" t="str">
        <f t="shared" si="16"/>
        <v/>
      </c>
    </row>
    <row r="1044" spans="10:10">
      <c r="J1044" s="1375" t="str">
        <f t="shared" si="16"/>
        <v/>
      </c>
    </row>
    <row r="1045" spans="10:10">
      <c r="J1045" s="1375" t="str">
        <f t="shared" si="16"/>
        <v/>
      </c>
    </row>
    <row r="1046" spans="10:10">
      <c r="J1046" s="1375" t="str">
        <f t="shared" si="16"/>
        <v/>
      </c>
    </row>
    <row r="1047" spans="10:10">
      <c r="J1047" s="1375" t="str">
        <f t="shared" si="16"/>
        <v/>
      </c>
    </row>
    <row r="1048" spans="10:10">
      <c r="J1048" s="1375" t="str">
        <f t="shared" si="16"/>
        <v/>
      </c>
    </row>
    <row r="1049" spans="10:10">
      <c r="J1049" s="1375" t="str">
        <f t="shared" si="16"/>
        <v/>
      </c>
    </row>
    <row r="1050" spans="10:10">
      <c r="J1050" s="1375" t="str">
        <f t="shared" si="16"/>
        <v/>
      </c>
    </row>
    <row r="1051" spans="10:10">
      <c r="J1051" s="1375" t="str">
        <f t="shared" si="16"/>
        <v/>
      </c>
    </row>
    <row r="1052" spans="10:10">
      <c r="J1052" s="1375" t="str">
        <f t="shared" si="16"/>
        <v/>
      </c>
    </row>
    <row r="1053" spans="10:10">
      <c r="J1053" s="1375" t="str">
        <f t="shared" si="16"/>
        <v/>
      </c>
    </row>
    <row r="1054" spans="10:10">
      <c r="J1054" s="1375" t="str">
        <f t="shared" si="16"/>
        <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topLeftCell="F971" zoomScale="70" zoomScaleNormal="70" workbookViewId="0">
      <selection sqref="A1:H539"/>
    </sheetView>
  </sheetViews>
  <sheetFormatPr defaultRowHeight="15"/>
  <cols>
    <col min="1" max="1" width="37.5703125" customWidth="1"/>
    <col min="2" max="2" width="33.7109375" customWidth="1"/>
    <col min="3" max="3" width="42.5703125" customWidth="1"/>
    <col min="4" max="4" width="26.85546875" customWidth="1"/>
    <col min="5" max="5" width="49.42578125" customWidth="1"/>
    <col min="6" max="6" width="18.5703125" customWidth="1"/>
    <col min="7" max="7" width="34.140625" customWidth="1"/>
    <col min="8" max="8" width="14.85546875" bestFit="1" customWidth="1"/>
    <col min="9" max="9" width="255.7109375" style="1375" bestFit="1" customWidth="1"/>
  </cols>
  <sheetData>
    <row r="1" spans="1:11">
      <c r="A1" s="65" t="s">
        <v>0</v>
      </c>
      <c r="B1" s="65" t="s">
        <v>4</v>
      </c>
      <c r="C1" s="65" t="s">
        <v>5</v>
      </c>
      <c r="D1" s="65" t="s">
        <v>6</v>
      </c>
      <c r="E1" s="65" t="s">
        <v>7</v>
      </c>
      <c r="F1" s="65" t="s">
        <v>2592</v>
      </c>
      <c r="G1" s="65" t="s">
        <v>2593</v>
      </c>
      <c r="H1" s="65" t="s">
        <v>1097</v>
      </c>
      <c r="I1" s="65" t="s">
        <v>165</v>
      </c>
    </row>
    <row r="2" spans="1:11">
      <c r="A2" s="1375" t="s">
        <v>3101</v>
      </c>
      <c r="B2" s="1375" t="s">
        <v>3102</v>
      </c>
      <c r="C2" s="1375" t="s">
        <v>3103</v>
      </c>
      <c r="D2" s="1375" t="s">
        <v>3104</v>
      </c>
      <c r="E2" s="1375" t="s">
        <v>3105</v>
      </c>
      <c r="F2" s="1375" t="s">
        <v>3105</v>
      </c>
      <c r="G2" s="1375" t="s">
        <v>3106</v>
      </c>
      <c r="H2" s="1375">
        <v>10</v>
      </c>
      <c r="I2" s="1375" t="s">
        <v>3107</v>
      </c>
      <c r="K2" t="str">
        <f>LEFT(A2,10)</f>
        <v>AGR_200201</v>
      </c>
    </row>
    <row r="3" spans="1:11">
      <c r="A3" s="1375" t="s">
        <v>3108</v>
      </c>
      <c r="B3" s="1375" t="s">
        <v>3109</v>
      </c>
      <c r="C3" s="1375" t="s">
        <v>3110</v>
      </c>
      <c r="D3" s="1375" t="s">
        <v>3111</v>
      </c>
      <c r="E3" s="1375" t="s">
        <v>3109</v>
      </c>
      <c r="F3" s="1375" t="s">
        <v>332</v>
      </c>
      <c r="G3" s="1375" t="s">
        <v>3106</v>
      </c>
      <c r="H3" s="1375" t="s">
        <v>2898</v>
      </c>
      <c r="I3" s="1375" t="s">
        <v>3112</v>
      </c>
      <c r="K3" s="1375" t="str">
        <f t="shared" ref="K3:K66" si="0">LEFT(A3,10)</f>
        <v>AGR_201401</v>
      </c>
    </row>
    <row r="4" spans="1:11">
      <c r="A4" s="1375" t="s">
        <v>394</v>
      </c>
      <c r="B4" s="1375" t="s">
        <v>468</v>
      </c>
      <c r="C4" s="1375" t="s">
        <v>155</v>
      </c>
      <c r="D4" s="1375" t="s">
        <v>334</v>
      </c>
      <c r="E4" s="1375" t="s">
        <v>3113</v>
      </c>
      <c r="F4" s="1375" t="s">
        <v>3113</v>
      </c>
      <c r="G4" s="1375" t="s">
        <v>468</v>
      </c>
      <c r="H4" s="1375">
        <v>5</v>
      </c>
      <c r="I4" s="1375" t="s">
        <v>3114</v>
      </c>
      <c r="K4" s="1375" t="str">
        <f t="shared" si="0"/>
        <v>COM_199701</v>
      </c>
    </row>
    <row r="5" spans="1:11">
      <c r="A5" s="1375" t="s">
        <v>19</v>
      </c>
      <c r="B5" s="1375" t="s">
        <v>136</v>
      </c>
      <c r="C5" s="1375" t="s">
        <v>287</v>
      </c>
      <c r="D5" s="1375" t="s">
        <v>334</v>
      </c>
      <c r="E5" s="1375" t="s">
        <v>1776</v>
      </c>
      <c r="F5" s="1375" t="s">
        <v>1777</v>
      </c>
      <c r="G5" s="1375" t="s">
        <v>1968</v>
      </c>
      <c r="H5" s="1375">
        <v>5</v>
      </c>
      <c r="I5" s="1375" t="s">
        <v>174</v>
      </c>
      <c r="K5" s="1375" t="str">
        <f t="shared" si="0"/>
        <v>COM_200002</v>
      </c>
    </row>
    <row r="6" spans="1:11">
      <c r="A6" s="1375" t="s">
        <v>20</v>
      </c>
      <c r="B6" s="1375" t="s">
        <v>136</v>
      </c>
      <c r="C6" s="1375" t="s">
        <v>313</v>
      </c>
      <c r="D6" s="1375" t="s">
        <v>334</v>
      </c>
      <c r="E6" s="1375" t="s">
        <v>1778</v>
      </c>
      <c r="F6" s="1375" t="s">
        <v>1779</v>
      </c>
      <c r="G6" s="1375" t="s">
        <v>1970</v>
      </c>
      <c r="H6" s="1375">
        <v>5</v>
      </c>
      <c r="I6" s="1375" t="s">
        <v>174</v>
      </c>
      <c r="K6" s="1375" t="str">
        <f t="shared" si="0"/>
        <v>COM_200002</v>
      </c>
    </row>
    <row r="7" spans="1:11">
      <c r="A7" s="1375" t="s">
        <v>865</v>
      </c>
      <c r="B7" s="1375" t="s">
        <v>136</v>
      </c>
      <c r="C7" s="1375" t="s">
        <v>866</v>
      </c>
      <c r="D7" s="1375" t="s">
        <v>334</v>
      </c>
      <c r="E7" s="1375" t="s">
        <v>2355</v>
      </c>
      <c r="F7" s="1375" t="s">
        <v>2046</v>
      </c>
      <c r="G7" s="1375" t="s">
        <v>1969</v>
      </c>
      <c r="H7" s="1375">
        <v>5</v>
      </c>
      <c r="I7" s="1375" t="s">
        <v>174</v>
      </c>
      <c r="K7" s="1375" t="str">
        <f t="shared" si="0"/>
        <v>COM_200002</v>
      </c>
    </row>
    <row r="8" spans="1:11">
      <c r="A8" s="1375" t="s">
        <v>867</v>
      </c>
      <c r="B8" s="1375" t="s">
        <v>136</v>
      </c>
      <c r="C8" s="1375" t="s">
        <v>868</v>
      </c>
      <c r="D8" s="1375" t="s">
        <v>334</v>
      </c>
      <c r="E8" s="1375" t="s">
        <v>2356</v>
      </c>
      <c r="F8" s="1375" t="s">
        <v>2047</v>
      </c>
      <c r="G8" s="1375" t="s">
        <v>1971</v>
      </c>
      <c r="H8" s="1375">
        <v>5</v>
      </c>
      <c r="I8" s="1375" t="s">
        <v>174</v>
      </c>
      <c r="K8" s="1375" t="str">
        <f t="shared" si="0"/>
        <v>COM_200002</v>
      </c>
    </row>
    <row r="9" spans="1:11">
      <c r="A9" s="1375" t="s">
        <v>412</v>
      </c>
      <c r="B9" s="1375" t="s">
        <v>137</v>
      </c>
      <c r="C9" s="1375" t="s">
        <v>296</v>
      </c>
      <c r="D9" s="1375" t="s">
        <v>358</v>
      </c>
      <c r="E9" s="1375" t="s">
        <v>2357</v>
      </c>
      <c r="F9" s="1375" t="s">
        <v>2118</v>
      </c>
      <c r="G9" s="1375" t="s">
        <v>2004</v>
      </c>
      <c r="H9" s="1375">
        <v>20</v>
      </c>
      <c r="I9" s="1375" t="s">
        <v>177</v>
      </c>
      <c r="K9" s="1375" t="str">
        <f t="shared" si="0"/>
        <v>COM_200202</v>
      </c>
    </row>
    <row r="10" spans="1:11">
      <c r="A10" s="1375" t="s">
        <v>869</v>
      </c>
      <c r="B10" s="1375" t="s">
        <v>137</v>
      </c>
      <c r="C10" s="1375" t="s">
        <v>296</v>
      </c>
      <c r="D10" s="1375" t="s">
        <v>1361</v>
      </c>
      <c r="E10" s="1375" t="s">
        <v>2358</v>
      </c>
      <c r="F10" s="1375" t="s">
        <v>2125</v>
      </c>
      <c r="G10" s="1375" t="s">
        <v>2004</v>
      </c>
      <c r="H10" s="1375">
        <v>20</v>
      </c>
      <c r="I10" s="1375" t="s">
        <v>177</v>
      </c>
      <c r="K10" s="1375" t="str">
        <f t="shared" si="0"/>
        <v>COM_200202</v>
      </c>
    </row>
    <row r="11" spans="1:11">
      <c r="A11" s="1375" t="s">
        <v>413</v>
      </c>
      <c r="B11" s="1375" t="s">
        <v>137</v>
      </c>
      <c r="C11" s="1375" t="s">
        <v>296</v>
      </c>
      <c r="D11" s="1375" t="s">
        <v>359</v>
      </c>
      <c r="E11" s="1375" t="s">
        <v>2359</v>
      </c>
      <c r="F11" s="1375" t="s">
        <v>2119</v>
      </c>
      <c r="G11" s="1375" t="s">
        <v>2004</v>
      </c>
      <c r="H11" s="1375">
        <v>20</v>
      </c>
      <c r="I11" s="1375" t="s">
        <v>177</v>
      </c>
      <c r="K11" s="1375" t="str">
        <f t="shared" si="0"/>
        <v>COM_200202</v>
      </c>
    </row>
    <row r="12" spans="1:11">
      <c r="A12" s="1375" t="s">
        <v>414</v>
      </c>
      <c r="B12" s="1375" t="s">
        <v>137</v>
      </c>
      <c r="C12" s="1375" t="s">
        <v>296</v>
      </c>
      <c r="D12" s="1375" t="s">
        <v>360</v>
      </c>
      <c r="E12" s="1375" t="s">
        <v>2360</v>
      </c>
      <c r="F12" s="1375" t="s">
        <v>2120</v>
      </c>
      <c r="G12" s="1375" t="s">
        <v>2004</v>
      </c>
      <c r="H12" s="1375">
        <v>20</v>
      </c>
      <c r="I12" s="1375" t="s">
        <v>177</v>
      </c>
      <c r="K12" s="1375" t="str">
        <f t="shared" si="0"/>
        <v>COM_200202</v>
      </c>
    </row>
    <row r="13" spans="1:11">
      <c r="A13" s="1375" t="s">
        <v>415</v>
      </c>
      <c r="B13" s="1375" t="s">
        <v>137</v>
      </c>
      <c r="C13" s="1375" t="s">
        <v>296</v>
      </c>
      <c r="D13" s="1375" t="s">
        <v>361</v>
      </c>
      <c r="E13" s="1375" t="s">
        <v>2361</v>
      </c>
      <c r="F13" s="1375" t="s">
        <v>2121</v>
      </c>
      <c r="G13" s="1375" t="s">
        <v>2004</v>
      </c>
      <c r="H13" s="1375">
        <v>20</v>
      </c>
      <c r="I13" s="1375" t="s">
        <v>177</v>
      </c>
      <c r="K13" s="1375" t="str">
        <f t="shared" si="0"/>
        <v>COM_200202</v>
      </c>
    </row>
    <row r="14" spans="1:11">
      <c r="A14" s="1375" t="s">
        <v>21</v>
      </c>
      <c r="B14" s="1375" t="s">
        <v>137</v>
      </c>
      <c r="C14" s="1375" t="s">
        <v>296</v>
      </c>
      <c r="D14" s="1375" t="s">
        <v>1362</v>
      </c>
      <c r="E14" s="1375" t="s">
        <v>1810</v>
      </c>
      <c r="F14" s="1375" t="s">
        <v>1811</v>
      </c>
      <c r="G14" s="1375" t="s">
        <v>2004</v>
      </c>
      <c r="H14" s="1375">
        <v>20</v>
      </c>
      <c r="I14" s="1375" t="s">
        <v>177</v>
      </c>
      <c r="K14" s="1375" t="str">
        <f t="shared" si="0"/>
        <v>COM_200202</v>
      </c>
    </row>
    <row r="15" spans="1:11">
      <c r="A15" s="1375" t="s">
        <v>1363</v>
      </c>
      <c r="B15" s="1375" t="s">
        <v>137</v>
      </c>
      <c r="C15" s="1375" t="s">
        <v>296</v>
      </c>
      <c r="D15" s="1375" t="s">
        <v>1364</v>
      </c>
      <c r="E15" s="1375" t="s">
        <v>1812</v>
      </c>
      <c r="F15" s="1375" t="s">
        <v>1813</v>
      </c>
      <c r="G15" s="1375" t="s">
        <v>2004</v>
      </c>
      <c r="H15" s="1375">
        <v>20</v>
      </c>
      <c r="I15" s="1375" t="s">
        <v>177</v>
      </c>
      <c r="K15" s="1375" t="str">
        <f t="shared" si="0"/>
        <v>COM_200202</v>
      </c>
    </row>
    <row r="16" spans="1:11">
      <c r="A16" s="1375" t="s">
        <v>871</v>
      </c>
      <c r="B16" s="1375" t="s">
        <v>137</v>
      </c>
      <c r="C16" s="1375" t="s">
        <v>296</v>
      </c>
      <c r="D16" s="1375" t="s">
        <v>1365</v>
      </c>
      <c r="E16" s="1375" t="s">
        <v>2362</v>
      </c>
      <c r="F16" s="1375" t="s">
        <v>2122</v>
      </c>
      <c r="G16" s="1375" t="s">
        <v>2004</v>
      </c>
      <c r="H16" s="1375">
        <v>20</v>
      </c>
      <c r="I16" s="1375" t="s">
        <v>177</v>
      </c>
      <c r="K16" s="1375" t="str">
        <f t="shared" si="0"/>
        <v>COM_200202</v>
      </c>
    </row>
    <row r="17" spans="1:11">
      <c r="A17" s="1375" t="s">
        <v>872</v>
      </c>
      <c r="B17" s="1375" t="s">
        <v>137</v>
      </c>
      <c r="C17" s="1375" t="s">
        <v>296</v>
      </c>
      <c r="D17" s="1375" t="s">
        <v>1366</v>
      </c>
      <c r="E17" s="1375" t="s">
        <v>2363</v>
      </c>
      <c r="F17" s="1375" t="s">
        <v>2123</v>
      </c>
      <c r="G17" s="1375" t="s">
        <v>2004</v>
      </c>
      <c r="H17" s="1375">
        <v>20</v>
      </c>
      <c r="I17" s="1375" t="s">
        <v>177</v>
      </c>
      <c r="K17" s="1375" t="str">
        <f t="shared" si="0"/>
        <v>COM_200202</v>
      </c>
    </row>
    <row r="18" spans="1:11">
      <c r="A18" s="1375" t="s">
        <v>874</v>
      </c>
      <c r="B18" s="1375" t="s">
        <v>137</v>
      </c>
      <c r="C18" s="1375" t="s">
        <v>296</v>
      </c>
      <c r="D18" s="1375" t="s">
        <v>1367</v>
      </c>
      <c r="E18" s="1375" t="s">
        <v>2364</v>
      </c>
      <c r="F18" s="1375" t="s">
        <v>2124</v>
      </c>
      <c r="G18" s="1375" t="s">
        <v>2004</v>
      </c>
      <c r="H18" s="1375">
        <v>20</v>
      </c>
      <c r="I18" s="1375" t="s">
        <v>177</v>
      </c>
      <c r="K18" s="1375" t="str">
        <f t="shared" si="0"/>
        <v>COM_200202</v>
      </c>
    </row>
    <row r="19" spans="1:11">
      <c r="A19" s="1375" t="s">
        <v>425</v>
      </c>
      <c r="B19" s="1375" t="s">
        <v>137</v>
      </c>
      <c r="C19" s="1375" t="s">
        <v>304</v>
      </c>
      <c r="D19" s="1375" t="s">
        <v>368</v>
      </c>
      <c r="E19" s="1375" t="s">
        <v>2365</v>
      </c>
      <c r="F19" s="1375" t="s">
        <v>2126</v>
      </c>
      <c r="G19" s="1375" t="s">
        <v>2004</v>
      </c>
      <c r="H19" s="1375">
        <v>20</v>
      </c>
      <c r="I19" s="1375" t="s">
        <v>177</v>
      </c>
      <c r="K19" s="1375" t="str">
        <f t="shared" si="0"/>
        <v>COM_200202</v>
      </c>
    </row>
    <row r="20" spans="1:11">
      <c r="A20" s="1375" t="s">
        <v>426</v>
      </c>
      <c r="B20" s="1375" t="s">
        <v>137</v>
      </c>
      <c r="C20" s="1375" t="s">
        <v>304</v>
      </c>
      <c r="D20" s="1375" t="s">
        <v>369</v>
      </c>
      <c r="E20" s="1375" t="s">
        <v>2366</v>
      </c>
      <c r="F20" s="1375" t="s">
        <v>2127</v>
      </c>
      <c r="G20" s="1375" t="s">
        <v>2004</v>
      </c>
      <c r="H20" s="1375">
        <v>20</v>
      </c>
      <c r="I20" s="1375" t="s">
        <v>177</v>
      </c>
      <c r="K20" s="1375" t="str">
        <f t="shared" si="0"/>
        <v>COM_200202</v>
      </c>
    </row>
    <row r="21" spans="1:11">
      <c r="A21" s="1375" t="s">
        <v>427</v>
      </c>
      <c r="B21" s="1375" t="s">
        <v>137</v>
      </c>
      <c r="C21" s="1375" t="s">
        <v>304</v>
      </c>
      <c r="D21" s="1375" t="s">
        <v>370</v>
      </c>
      <c r="E21" s="1375" t="s">
        <v>2367</v>
      </c>
      <c r="F21" s="1375" t="s">
        <v>2128</v>
      </c>
      <c r="G21" s="1375" t="s">
        <v>2004</v>
      </c>
      <c r="H21" s="1375">
        <v>20</v>
      </c>
      <c r="I21" s="1375" t="s">
        <v>177</v>
      </c>
      <c r="K21" s="1375" t="str">
        <f t="shared" si="0"/>
        <v>COM_200202</v>
      </c>
    </row>
    <row r="22" spans="1:11">
      <c r="A22" s="1375" t="s">
        <v>22</v>
      </c>
      <c r="B22" s="1375" t="s">
        <v>137</v>
      </c>
      <c r="C22" s="1375" t="s">
        <v>304</v>
      </c>
      <c r="D22" s="1375" t="s">
        <v>1368</v>
      </c>
      <c r="E22" s="1375" t="s">
        <v>1814</v>
      </c>
      <c r="F22" s="1375" t="s">
        <v>1815</v>
      </c>
      <c r="G22" s="1375" t="s">
        <v>2004</v>
      </c>
      <c r="H22" s="1375">
        <v>20</v>
      </c>
      <c r="I22" s="1375" t="s">
        <v>177</v>
      </c>
      <c r="K22" s="1375" t="str">
        <f t="shared" si="0"/>
        <v>COM_200202</v>
      </c>
    </row>
    <row r="23" spans="1:11">
      <c r="A23" s="1375" t="s">
        <v>1369</v>
      </c>
      <c r="B23" s="1375" t="s">
        <v>137</v>
      </c>
      <c r="C23" s="1375" t="s">
        <v>304</v>
      </c>
      <c r="D23" s="1375" t="s">
        <v>1370</v>
      </c>
      <c r="E23" s="1375" t="s">
        <v>2368</v>
      </c>
      <c r="F23" s="1375" t="s">
        <v>2129</v>
      </c>
      <c r="G23" s="1375" t="s">
        <v>2004</v>
      </c>
      <c r="H23" s="1375">
        <v>20</v>
      </c>
      <c r="I23" s="1375" t="s">
        <v>177</v>
      </c>
      <c r="K23" s="1375" t="str">
        <f t="shared" si="0"/>
        <v>COM_200202</v>
      </c>
    </row>
    <row r="24" spans="1:11">
      <c r="A24" s="1375" t="s">
        <v>876</v>
      </c>
      <c r="B24" s="1375" t="s">
        <v>137</v>
      </c>
      <c r="C24" s="1375" t="s">
        <v>304</v>
      </c>
      <c r="D24" s="1375" t="s">
        <v>1371</v>
      </c>
      <c r="E24" s="1375" t="s">
        <v>2369</v>
      </c>
      <c r="F24" s="1375" t="s">
        <v>2130</v>
      </c>
      <c r="G24" s="1375" t="s">
        <v>2004</v>
      </c>
      <c r="H24" s="1375">
        <v>20</v>
      </c>
      <c r="I24" s="1375" t="s">
        <v>177</v>
      </c>
      <c r="K24" s="1375" t="str">
        <f t="shared" si="0"/>
        <v>COM_200202</v>
      </c>
    </row>
    <row r="25" spans="1:11">
      <c r="A25" s="1375" t="s">
        <v>877</v>
      </c>
      <c r="B25" s="1375" t="s">
        <v>137</v>
      </c>
      <c r="C25" s="1375" t="s">
        <v>304</v>
      </c>
      <c r="D25" s="1375" t="s">
        <v>1372</v>
      </c>
      <c r="E25" s="1375" t="s">
        <v>2370</v>
      </c>
      <c r="F25" s="1375" t="s">
        <v>2131</v>
      </c>
      <c r="G25" s="1375" t="s">
        <v>2004</v>
      </c>
      <c r="H25" s="1375">
        <v>20</v>
      </c>
      <c r="I25" s="1375" t="s">
        <v>177</v>
      </c>
      <c r="K25" s="1375" t="str">
        <f t="shared" si="0"/>
        <v>COM_200202</v>
      </c>
    </row>
    <row r="26" spans="1:11">
      <c r="A26" s="1375" t="s">
        <v>878</v>
      </c>
      <c r="B26" s="1375" t="s">
        <v>137</v>
      </c>
      <c r="C26" s="1375" t="s">
        <v>304</v>
      </c>
      <c r="D26" s="1375" t="s">
        <v>1373</v>
      </c>
      <c r="E26" s="1375" t="s">
        <v>2371</v>
      </c>
      <c r="F26" s="1375" t="s">
        <v>2132</v>
      </c>
      <c r="G26" s="1375" t="s">
        <v>2004</v>
      </c>
      <c r="H26" s="1375">
        <v>20</v>
      </c>
      <c r="I26" s="1375" t="s">
        <v>177</v>
      </c>
      <c r="K26" s="1375" t="str">
        <f t="shared" si="0"/>
        <v>COM_200202</v>
      </c>
    </row>
    <row r="27" spans="1:11">
      <c r="A27" s="1375" t="s">
        <v>436</v>
      </c>
      <c r="B27" s="1375" t="s">
        <v>137</v>
      </c>
      <c r="C27" s="1375" t="s">
        <v>310</v>
      </c>
      <c r="D27" s="1375" t="s">
        <v>372</v>
      </c>
      <c r="E27" s="1375" t="s">
        <v>2372</v>
      </c>
      <c r="F27" s="1375" t="s">
        <v>2133</v>
      </c>
      <c r="G27" s="1375" t="s">
        <v>2004</v>
      </c>
      <c r="H27" s="1375">
        <v>20</v>
      </c>
      <c r="I27" s="1375" t="s">
        <v>177</v>
      </c>
      <c r="K27" s="1375" t="str">
        <f t="shared" si="0"/>
        <v>COM_200202</v>
      </c>
    </row>
    <row r="28" spans="1:11">
      <c r="A28" s="1375" t="s">
        <v>437</v>
      </c>
      <c r="B28" s="1375" t="s">
        <v>137</v>
      </c>
      <c r="C28" s="1375" t="s">
        <v>310</v>
      </c>
      <c r="D28" s="1375" t="s">
        <v>373</v>
      </c>
      <c r="E28" s="1375" t="s">
        <v>2373</v>
      </c>
      <c r="F28" s="1375" t="s">
        <v>2134</v>
      </c>
      <c r="G28" s="1375" t="s">
        <v>2004</v>
      </c>
      <c r="H28" s="1375">
        <v>20</v>
      </c>
      <c r="I28" s="1375" t="s">
        <v>177</v>
      </c>
      <c r="K28" s="1375" t="str">
        <f t="shared" si="0"/>
        <v>COM_200202</v>
      </c>
    </row>
    <row r="29" spans="1:11">
      <c r="A29" s="1375" t="s">
        <v>438</v>
      </c>
      <c r="B29" s="1375" t="s">
        <v>137</v>
      </c>
      <c r="C29" s="1375" t="s">
        <v>310</v>
      </c>
      <c r="D29" s="1375" t="s">
        <v>1510</v>
      </c>
      <c r="E29" s="1375" t="s">
        <v>2374</v>
      </c>
      <c r="F29" s="1375" t="s">
        <v>2135</v>
      </c>
      <c r="G29" s="1375" t="s">
        <v>2004</v>
      </c>
      <c r="H29" s="1375">
        <v>20</v>
      </c>
      <c r="I29" s="1375" t="s">
        <v>177</v>
      </c>
      <c r="K29" s="1375" t="str">
        <f t="shared" si="0"/>
        <v>COM_200202</v>
      </c>
    </row>
    <row r="30" spans="1:11">
      <c r="A30" s="1375" t="s">
        <v>439</v>
      </c>
      <c r="B30" s="1375" t="s">
        <v>137</v>
      </c>
      <c r="C30" s="1375" t="s">
        <v>310</v>
      </c>
      <c r="D30" s="1375" t="s">
        <v>374</v>
      </c>
      <c r="E30" s="1375" t="s">
        <v>2375</v>
      </c>
      <c r="F30" s="1375" t="s">
        <v>2136</v>
      </c>
      <c r="G30" s="1375" t="s">
        <v>2004</v>
      </c>
      <c r="H30" s="1375">
        <v>20</v>
      </c>
      <c r="I30" s="1375" t="s">
        <v>177</v>
      </c>
      <c r="K30" s="1375" t="str">
        <f t="shared" si="0"/>
        <v>COM_200202</v>
      </c>
    </row>
    <row r="31" spans="1:11">
      <c r="A31" s="1375" t="s">
        <v>23</v>
      </c>
      <c r="B31" s="1375" t="s">
        <v>137</v>
      </c>
      <c r="C31" s="1375" t="s">
        <v>310</v>
      </c>
      <c r="D31" s="1375" t="s">
        <v>1511</v>
      </c>
      <c r="E31" s="1375" t="s">
        <v>1816</v>
      </c>
      <c r="F31" s="1375" t="s">
        <v>1817</v>
      </c>
      <c r="G31" s="1375" t="s">
        <v>2004</v>
      </c>
      <c r="H31" s="1375">
        <v>20</v>
      </c>
      <c r="I31" s="1375" t="s">
        <v>177</v>
      </c>
      <c r="K31" s="1375" t="str">
        <f t="shared" si="0"/>
        <v>COM_200202</v>
      </c>
    </row>
    <row r="32" spans="1:11">
      <c r="A32" s="1375" t="s">
        <v>1374</v>
      </c>
      <c r="B32" s="1375" t="s">
        <v>137</v>
      </c>
      <c r="C32" s="1375" t="s">
        <v>310</v>
      </c>
      <c r="D32" s="1375" t="s">
        <v>1512</v>
      </c>
      <c r="E32" s="1375" t="s">
        <v>1818</v>
      </c>
      <c r="F32" s="1375" t="s">
        <v>1819</v>
      </c>
      <c r="G32" s="1375" t="s">
        <v>2004</v>
      </c>
      <c r="H32" s="1375">
        <v>20</v>
      </c>
      <c r="I32" s="1375" t="s">
        <v>177</v>
      </c>
      <c r="K32" s="1375" t="str">
        <f t="shared" si="0"/>
        <v>COM_200202</v>
      </c>
    </row>
    <row r="33" spans="1:11">
      <c r="A33" s="1375" t="s">
        <v>1375</v>
      </c>
      <c r="B33" s="1375" t="s">
        <v>137</v>
      </c>
      <c r="C33" s="1375" t="s">
        <v>310</v>
      </c>
      <c r="D33" s="1375" t="s">
        <v>1513</v>
      </c>
      <c r="E33" s="1375" t="s">
        <v>2376</v>
      </c>
      <c r="F33" s="1375" t="s">
        <v>2137</v>
      </c>
      <c r="G33" s="1375" t="s">
        <v>2004</v>
      </c>
      <c r="H33" s="1375">
        <v>20</v>
      </c>
      <c r="I33" s="1375" t="s">
        <v>177</v>
      </c>
      <c r="K33" s="1375" t="str">
        <f t="shared" si="0"/>
        <v>COM_200202</v>
      </c>
    </row>
    <row r="34" spans="1:11">
      <c r="A34" s="1375" t="s">
        <v>880</v>
      </c>
      <c r="B34" s="1375" t="s">
        <v>137</v>
      </c>
      <c r="C34" s="1375" t="s">
        <v>310</v>
      </c>
      <c r="D34" s="1375" t="s">
        <v>1514</v>
      </c>
      <c r="E34" s="1375" t="s">
        <v>2377</v>
      </c>
      <c r="F34" s="1375" t="s">
        <v>2138</v>
      </c>
      <c r="G34" s="1375" t="s">
        <v>2004</v>
      </c>
      <c r="H34" s="1375">
        <v>20</v>
      </c>
      <c r="I34" s="1375" t="s">
        <v>177</v>
      </c>
      <c r="K34" s="1375" t="str">
        <f t="shared" si="0"/>
        <v>COM_200202</v>
      </c>
    </row>
    <row r="35" spans="1:11">
      <c r="A35" s="1375" t="s">
        <v>1376</v>
      </c>
      <c r="B35" s="1375" t="s">
        <v>137</v>
      </c>
      <c r="C35" s="1375" t="s">
        <v>310</v>
      </c>
      <c r="D35" s="1375" t="s">
        <v>1515</v>
      </c>
      <c r="E35" s="1375" t="s">
        <v>2378</v>
      </c>
      <c r="F35" s="1375" t="s">
        <v>2139</v>
      </c>
      <c r="G35" s="1375" t="s">
        <v>2004</v>
      </c>
      <c r="H35" s="1375">
        <v>20</v>
      </c>
      <c r="I35" s="1375" t="s">
        <v>177</v>
      </c>
      <c r="K35" s="1375" t="str">
        <f t="shared" si="0"/>
        <v>COM_200202</v>
      </c>
    </row>
    <row r="36" spans="1:11">
      <c r="A36" s="1375" t="s">
        <v>459</v>
      </c>
      <c r="B36" s="1375" t="s">
        <v>137</v>
      </c>
      <c r="C36" s="1375" t="s">
        <v>328</v>
      </c>
      <c r="D36" s="1375" t="s">
        <v>387</v>
      </c>
      <c r="E36" s="1375" t="s">
        <v>2379</v>
      </c>
      <c r="F36" s="1375" t="s">
        <v>2140</v>
      </c>
      <c r="G36" s="1375" t="s">
        <v>2004</v>
      </c>
      <c r="H36" s="1375">
        <v>20</v>
      </c>
      <c r="I36" s="1375" t="s">
        <v>177</v>
      </c>
      <c r="K36" s="1375" t="str">
        <f t="shared" si="0"/>
        <v>COM_200202</v>
      </c>
    </row>
    <row r="37" spans="1:11">
      <c r="A37" s="1375" t="s">
        <v>2272</v>
      </c>
      <c r="B37" s="1375" t="s">
        <v>137</v>
      </c>
      <c r="C37" s="1375" t="s">
        <v>328</v>
      </c>
      <c r="D37" s="1375" t="s">
        <v>1383</v>
      </c>
      <c r="E37" s="1375" t="s">
        <v>2380</v>
      </c>
      <c r="F37" s="1375" t="s">
        <v>2147</v>
      </c>
      <c r="G37" s="1375" t="s">
        <v>2004</v>
      </c>
      <c r="H37" s="1375">
        <v>20</v>
      </c>
      <c r="I37" s="1375" t="s">
        <v>177</v>
      </c>
      <c r="K37" s="1375" t="str">
        <f t="shared" si="0"/>
        <v>COM_200202</v>
      </c>
    </row>
    <row r="38" spans="1:11">
      <c r="A38" s="1375" t="s">
        <v>2273</v>
      </c>
      <c r="B38" s="1375" t="s">
        <v>137</v>
      </c>
      <c r="C38" s="1375" t="s">
        <v>328</v>
      </c>
      <c r="D38" s="1375" t="s">
        <v>1384</v>
      </c>
      <c r="E38" s="1375" t="s">
        <v>2381</v>
      </c>
      <c r="F38" s="1375" t="s">
        <v>2148</v>
      </c>
      <c r="G38" s="1375" t="s">
        <v>2004</v>
      </c>
      <c r="H38" s="1375">
        <v>20</v>
      </c>
      <c r="I38" s="1375" t="s">
        <v>177</v>
      </c>
      <c r="K38" s="1375" t="str">
        <f t="shared" si="0"/>
        <v>COM_200202</v>
      </c>
    </row>
    <row r="39" spans="1:11">
      <c r="A39" s="1375" t="s">
        <v>460</v>
      </c>
      <c r="B39" s="1375" t="s">
        <v>137</v>
      </c>
      <c r="C39" s="1375" t="s">
        <v>328</v>
      </c>
      <c r="D39" s="1375" t="s">
        <v>388</v>
      </c>
      <c r="E39" s="1375" t="s">
        <v>2382</v>
      </c>
      <c r="F39" s="1375" t="s">
        <v>2141</v>
      </c>
      <c r="G39" s="1375" t="s">
        <v>2004</v>
      </c>
      <c r="H39" s="1375">
        <v>20</v>
      </c>
      <c r="I39" s="1375" t="s">
        <v>177</v>
      </c>
      <c r="K39" s="1375" t="str">
        <f t="shared" si="0"/>
        <v>COM_200202</v>
      </c>
    </row>
    <row r="40" spans="1:11">
      <c r="A40" s="1375" t="s">
        <v>473</v>
      </c>
      <c r="B40" s="1375" t="s">
        <v>137</v>
      </c>
      <c r="C40" s="1375" t="s">
        <v>328</v>
      </c>
      <c r="D40" s="1375" t="s">
        <v>474</v>
      </c>
      <c r="E40" s="1375" t="s">
        <v>2383</v>
      </c>
      <c r="F40" s="1375" t="s">
        <v>2142</v>
      </c>
      <c r="G40" s="1375" t="s">
        <v>2004</v>
      </c>
      <c r="H40" s="1375">
        <v>20</v>
      </c>
      <c r="I40" s="1375" t="s">
        <v>177</v>
      </c>
      <c r="K40" s="1375" t="str">
        <f t="shared" si="0"/>
        <v>COM_200202</v>
      </c>
    </row>
    <row r="41" spans="1:11">
      <c r="A41" s="1375" t="s">
        <v>461</v>
      </c>
      <c r="B41" s="1375" t="s">
        <v>137</v>
      </c>
      <c r="C41" s="1375" t="s">
        <v>328</v>
      </c>
      <c r="D41" s="1375" t="s">
        <v>389</v>
      </c>
      <c r="E41" s="1375" t="s">
        <v>2384</v>
      </c>
      <c r="F41" s="1375" t="s">
        <v>2143</v>
      </c>
      <c r="G41" s="1375" t="s">
        <v>2004</v>
      </c>
      <c r="H41" s="1375">
        <v>20</v>
      </c>
      <c r="I41" s="1375" t="s">
        <v>177</v>
      </c>
      <c r="K41" s="1375" t="str">
        <f t="shared" si="0"/>
        <v>COM_200202</v>
      </c>
    </row>
    <row r="42" spans="1:11">
      <c r="A42" s="1375" t="s">
        <v>462</v>
      </c>
      <c r="B42" s="1375" t="s">
        <v>137</v>
      </c>
      <c r="C42" s="1375" t="s">
        <v>328</v>
      </c>
      <c r="D42" s="1375" t="s">
        <v>390</v>
      </c>
      <c r="E42" s="1375" t="s">
        <v>2385</v>
      </c>
      <c r="F42" s="1375" t="s">
        <v>2144</v>
      </c>
      <c r="G42" s="1375" t="s">
        <v>2004</v>
      </c>
      <c r="H42" s="1375">
        <v>20</v>
      </c>
      <c r="I42" s="1375" t="s">
        <v>177</v>
      </c>
      <c r="K42" s="1375" t="str">
        <f t="shared" si="0"/>
        <v>COM_200202</v>
      </c>
    </row>
    <row r="43" spans="1:11">
      <c r="A43" s="1375" t="s">
        <v>24</v>
      </c>
      <c r="B43" s="1375" t="s">
        <v>137</v>
      </c>
      <c r="C43" s="1375" t="s">
        <v>328</v>
      </c>
      <c r="D43" s="1375" t="s">
        <v>882</v>
      </c>
      <c r="E43" s="1375" t="s">
        <v>1820</v>
      </c>
      <c r="F43" s="1375" t="s">
        <v>1821</v>
      </c>
      <c r="G43" s="1375" t="s">
        <v>2004</v>
      </c>
      <c r="H43" s="1375">
        <v>20</v>
      </c>
      <c r="I43" s="1375" t="s">
        <v>177</v>
      </c>
      <c r="K43" s="1375" t="str">
        <f t="shared" si="0"/>
        <v>COM_200202</v>
      </c>
    </row>
    <row r="44" spans="1:11">
      <c r="A44" s="1375" t="s">
        <v>1377</v>
      </c>
      <c r="B44" s="1375" t="s">
        <v>137</v>
      </c>
      <c r="C44" s="1375" t="s">
        <v>328</v>
      </c>
      <c r="D44" s="1375" t="s">
        <v>1378</v>
      </c>
      <c r="E44" s="1375" t="s">
        <v>1822</v>
      </c>
      <c r="F44" s="1375" t="s">
        <v>1823</v>
      </c>
      <c r="G44" s="1375" t="s">
        <v>2004</v>
      </c>
      <c r="H44" s="1375">
        <v>20</v>
      </c>
      <c r="I44" s="1375" t="s">
        <v>177</v>
      </c>
      <c r="K44" s="1375" t="str">
        <f t="shared" si="0"/>
        <v>COM_200202</v>
      </c>
    </row>
    <row r="45" spans="1:11">
      <c r="A45" s="1375" t="s">
        <v>883</v>
      </c>
      <c r="B45" s="1375" t="s">
        <v>137</v>
      </c>
      <c r="C45" s="1375" t="s">
        <v>328</v>
      </c>
      <c r="D45" s="1375" t="s">
        <v>1379</v>
      </c>
      <c r="E45" s="1375" t="s">
        <v>2386</v>
      </c>
      <c r="F45" s="1375" t="s">
        <v>2145</v>
      </c>
      <c r="G45" s="1375" t="s">
        <v>2004</v>
      </c>
      <c r="H45" s="1375">
        <v>20</v>
      </c>
      <c r="I45" s="1375" t="s">
        <v>177</v>
      </c>
      <c r="K45" s="1375" t="str">
        <f t="shared" si="0"/>
        <v>COM_200202</v>
      </c>
    </row>
    <row r="46" spans="1:11">
      <c r="A46" s="1375" t="s">
        <v>884</v>
      </c>
      <c r="B46" s="1375" t="s">
        <v>137</v>
      </c>
      <c r="C46" s="1375" t="s">
        <v>328</v>
      </c>
      <c r="D46" s="1375" t="s">
        <v>1380</v>
      </c>
      <c r="E46" s="1375" t="s">
        <v>2387</v>
      </c>
      <c r="F46" s="1375" t="s">
        <v>2146</v>
      </c>
      <c r="G46" s="1375" t="s">
        <v>2004</v>
      </c>
      <c r="H46" s="1375">
        <v>20</v>
      </c>
      <c r="I46" s="1375" t="s">
        <v>177</v>
      </c>
      <c r="K46" s="1375" t="str">
        <f t="shared" si="0"/>
        <v>COM_200202</v>
      </c>
    </row>
    <row r="47" spans="1:11">
      <c r="A47" s="1375" t="s">
        <v>2274</v>
      </c>
      <c r="B47" s="1375" t="s">
        <v>1920</v>
      </c>
      <c r="C47" s="1375" t="s">
        <v>1945</v>
      </c>
      <c r="D47" s="1375" t="s">
        <v>334</v>
      </c>
      <c r="E47" s="1375" t="s">
        <v>2263</v>
      </c>
      <c r="F47" s="1375" t="s">
        <v>2263</v>
      </c>
      <c r="G47" s="1375" t="s">
        <v>2045</v>
      </c>
      <c r="H47" s="1375">
        <v>5</v>
      </c>
      <c r="I47" s="1375" t="s">
        <v>3004</v>
      </c>
      <c r="K47" s="1375" t="str">
        <f t="shared" si="0"/>
        <v>COM_200203</v>
      </c>
    </row>
    <row r="48" spans="1:11">
      <c r="A48" s="1375" t="s">
        <v>1434</v>
      </c>
      <c r="B48" s="1375" t="s">
        <v>138</v>
      </c>
      <c r="C48" s="1375" t="s">
        <v>476</v>
      </c>
      <c r="D48" s="1375" t="s">
        <v>1007</v>
      </c>
      <c r="E48" s="1375" t="s">
        <v>2388</v>
      </c>
      <c r="F48" s="1375" t="s">
        <v>2050</v>
      </c>
      <c r="G48" s="1375" t="s">
        <v>1972</v>
      </c>
      <c r="H48" s="1375">
        <v>5</v>
      </c>
      <c r="I48" s="1375" t="s">
        <v>173</v>
      </c>
      <c r="K48" s="1375" t="str">
        <f t="shared" si="0"/>
        <v>COM_200701</v>
      </c>
    </row>
    <row r="49" spans="1:11">
      <c r="A49" s="1375" t="s">
        <v>475</v>
      </c>
      <c r="B49" s="1375" t="s">
        <v>138</v>
      </c>
      <c r="C49" s="1375" t="s">
        <v>476</v>
      </c>
      <c r="D49" s="1375" t="s">
        <v>477</v>
      </c>
      <c r="E49" s="1375" t="s">
        <v>2389</v>
      </c>
      <c r="F49" s="1375" t="s">
        <v>477</v>
      </c>
      <c r="G49" s="1375" t="s">
        <v>1972</v>
      </c>
      <c r="H49" s="1375">
        <v>5</v>
      </c>
      <c r="I49" s="1375" t="s">
        <v>173</v>
      </c>
      <c r="K49" s="1375" t="str">
        <f t="shared" si="0"/>
        <v>COM_200701</v>
      </c>
    </row>
    <row r="50" spans="1:11">
      <c r="A50" s="1375" t="s">
        <v>1431</v>
      </c>
      <c r="B50" s="1375" t="s">
        <v>138</v>
      </c>
      <c r="C50" s="1375" t="s">
        <v>476</v>
      </c>
      <c r="D50" s="1375" t="s">
        <v>1432</v>
      </c>
      <c r="E50" s="1375" t="s">
        <v>2390</v>
      </c>
      <c r="F50" s="1375" t="s">
        <v>2048</v>
      </c>
      <c r="G50" s="1375" t="s">
        <v>1972</v>
      </c>
      <c r="H50" s="1375">
        <v>5</v>
      </c>
      <c r="I50" s="1375" t="s">
        <v>173</v>
      </c>
      <c r="K50" s="1375" t="str">
        <f t="shared" si="0"/>
        <v>COM_200701</v>
      </c>
    </row>
    <row r="51" spans="1:11">
      <c r="A51" s="1375" t="s">
        <v>71</v>
      </c>
      <c r="B51" s="1375" t="s">
        <v>138</v>
      </c>
      <c r="C51" s="1375" t="s">
        <v>476</v>
      </c>
      <c r="D51" s="1375" t="s">
        <v>741</v>
      </c>
      <c r="E51" s="1375" t="s">
        <v>1780</v>
      </c>
      <c r="F51" s="1375" t="s">
        <v>1781</v>
      </c>
      <c r="G51" s="1375" t="s">
        <v>1972</v>
      </c>
      <c r="H51" s="1375">
        <v>5</v>
      </c>
      <c r="I51" s="1375" t="s">
        <v>173</v>
      </c>
      <c r="K51" s="1375" t="str">
        <f t="shared" si="0"/>
        <v>COM_200701</v>
      </c>
    </row>
    <row r="52" spans="1:11">
      <c r="A52" s="1375" t="s">
        <v>1106</v>
      </c>
      <c r="B52" s="1375" t="s">
        <v>138</v>
      </c>
      <c r="C52" s="1375" t="s">
        <v>476</v>
      </c>
      <c r="D52" s="1375" t="s">
        <v>1109</v>
      </c>
      <c r="E52" s="1375" t="s">
        <v>1782</v>
      </c>
      <c r="F52" s="1375" t="s">
        <v>1783</v>
      </c>
      <c r="G52" s="1375" t="s">
        <v>1972</v>
      </c>
      <c r="H52" s="1375">
        <v>5</v>
      </c>
      <c r="I52" s="1375" t="s">
        <v>173</v>
      </c>
      <c r="K52" s="1375" t="str">
        <f t="shared" si="0"/>
        <v>COM_200701</v>
      </c>
    </row>
    <row r="53" spans="1:11">
      <c r="A53" s="1375" t="s">
        <v>1516</v>
      </c>
      <c r="B53" s="1375" t="s">
        <v>138</v>
      </c>
      <c r="C53" s="1375" t="s">
        <v>476</v>
      </c>
      <c r="D53" s="1375" t="s">
        <v>1517</v>
      </c>
      <c r="E53" s="1375" t="s">
        <v>2391</v>
      </c>
      <c r="F53" s="1375" t="s">
        <v>2049</v>
      </c>
      <c r="G53" s="1375" t="s">
        <v>1972</v>
      </c>
      <c r="H53" s="1375">
        <v>5</v>
      </c>
      <c r="I53" s="1375" t="s">
        <v>173</v>
      </c>
      <c r="K53" s="1375" t="str">
        <f t="shared" si="0"/>
        <v>COM_200701</v>
      </c>
    </row>
    <row r="54" spans="1:11">
      <c r="A54" s="1375" t="s">
        <v>3115</v>
      </c>
      <c r="B54" s="1375" t="s">
        <v>478</v>
      </c>
      <c r="C54" s="1375" t="s">
        <v>3116</v>
      </c>
      <c r="D54" s="1375" t="s">
        <v>157</v>
      </c>
      <c r="E54" s="1375" t="s">
        <v>2079</v>
      </c>
      <c r="F54" s="1375" t="s">
        <v>2079</v>
      </c>
      <c r="G54" s="1375" t="s">
        <v>3116</v>
      </c>
      <c r="H54" s="1375" t="s">
        <v>2898</v>
      </c>
      <c r="I54" s="1375" t="s">
        <v>3117</v>
      </c>
      <c r="K54" s="1375" t="str">
        <f t="shared" si="0"/>
        <v>COM_200702</v>
      </c>
    </row>
    <row r="55" spans="1:11">
      <c r="A55" s="1375" t="s">
        <v>3118</v>
      </c>
      <c r="B55" s="1375" t="s">
        <v>3119</v>
      </c>
      <c r="C55" s="1375" t="s">
        <v>3120</v>
      </c>
      <c r="D55" s="1375" t="s">
        <v>157</v>
      </c>
      <c r="E55" s="1375" t="s">
        <v>3121</v>
      </c>
      <c r="F55" s="1375" t="s">
        <v>3121</v>
      </c>
      <c r="G55" s="1375" t="s">
        <v>3122</v>
      </c>
      <c r="H55" s="1375">
        <v>5</v>
      </c>
      <c r="I55" s="1375" t="s">
        <v>3123</v>
      </c>
      <c r="K55" s="1375" t="str">
        <f t="shared" si="0"/>
        <v>COM_200801</v>
      </c>
    </row>
    <row r="56" spans="1:11">
      <c r="A56" s="1375" t="s">
        <v>25</v>
      </c>
      <c r="B56" s="1375" t="s">
        <v>479</v>
      </c>
      <c r="C56" s="1375" t="s">
        <v>480</v>
      </c>
      <c r="D56" s="1375" t="s">
        <v>334</v>
      </c>
      <c r="E56" s="1375" t="s">
        <v>2194</v>
      </c>
      <c r="F56" s="1375" t="s">
        <v>2194</v>
      </c>
      <c r="G56" s="1375" t="s">
        <v>3124</v>
      </c>
      <c r="H56" s="1375">
        <v>15</v>
      </c>
      <c r="I56" s="1375" t="s">
        <v>3125</v>
      </c>
      <c r="K56" s="1375" t="str">
        <f t="shared" si="0"/>
        <v>COM_200802</v>
      </c>
    </row>
    <row r="57" spans="1:11">
      <c r="A57" s="1375" t="s">
        <v>26</v>
      </c>
      <c r="B57" s="1375" t="s">
        <v>139</v>
      </c>
      <c r="C57" s="1375" t="s">
        <v>481</v>
      </c>
      <c r="D57" s="1375" t="s">
        <v>334</v>
      </c>
      <c r="E57" s="1375" t="s">
        <v>3126</v>
      </c>
      <c r="F57" s="1375" t="s">
        <v>3127</v>
      </c>
      <c r="G57" s="1375" t="s">
        <v>3128</v>
      </c>
      <c r="H57" s="1375">
        <v>5</v>
      </c>
      <c r="I57" s="1375" t="s">
        <v>856</v>
      </c>
      <c r="K57" s="1375" t="str">
        <f t="shared" si="0"/>
        <v>COM_200803</v>
      </c>
    </row>
    <row r="58" spans="1:11">
      <c r="A58" s="1375" t="s">
        <v>109</v>
      </c>
      <c r="B58" s="1375" t="s">
        <v>139</v>
      </c>
      <c r="C58" s="1375" t="s">
        <v>482</v>
      </c>
      <c r="D58" s="1375" t="s">
        <v>334</v>
      </c>
      <c r="E58" s="1375" t="s">
        <v>3129</v>
      </c>
      <c r="F58" s="1375" t="s">
        <v>3130</v>
      </c>
      <c r="G58" s="1375" t="s">
        <v>482</v>
      </c>
      <c r="H58" s="1375">
        <v>5</v>
      </c>
      <c r="I58" s="1375" t="s">
        <v>856</v>
      </c>
      <c r="K58" s="1375" t="str">
        <f t="shared" si="0"/>
        <v>COM_200803</v>
      </c>
    </row>
    <row r="59" spans="1:11">
      <c r="A59" s="1375" t="s">
        <v>110</v>
      </c>
      <c r="B59" s="1375" t="s">
        <v>139</v>
      </c>
      <c r="C59" s="1375" t="s">
        <v>483</v>
      </c>
      <c r="D59" s="1375" t="s">
        <v>334</v>
      </c>
      <c r="E59" s="1375" t="s">
        <v>3131</v>
      </c>
      <c r="F59" s="1375" t="s">
        <v>3132</v>
      </c>
      <c r="G59" s="1375" t="s">
        <v>483</v>
      </c>
      <c r="H59" s="1375">
        <v>5</v>
      </c>
      <c r="I59" s="1375" t="s">
        <v>856</v>
      </c>
      <c r="K59" s="1375" t="str">
        <f t="shared" si="0"/>
        <v>COM_200803</v>
      </c>
    </row>
    <row r="60" spans="1:11">
      <c r="A60" s="1375" t="s">
        <v>111</v>
      </c>
      <c r="B60" s="1375" t="s">
        <v>139</v>
      </c>
      <c r="C60" s="1375" t="s">
        <v>484</v>
      </c>
      <c r="D60" s="1375" t="s">
        <v>334</v>
      </c>
      <c r="E60" s="1375" t="s">
        <v>3133</v>
      </c>
      <c r="F60" s="1375" t="s">
        <v>3134</v>
      </c>
      <c r="G60" s="1375" t="s">
        <v>484</v>
      </c>
      <c r="H60" s="1375">
        <v>5</v>
      </c>
      <c r="I60" s="1375" t="s">
        <v>856</v>
      </c>
      <c r="K60" s="1375" t="str">
        <f t="shared" si="0"/>
        <v>COM_200803</v>
      </c>
    </row>
    <row r="61" spans="1:11">
      <c r="A61" s="1375" t="s">
        <v>3135</v>
      </c>
      <c r="B61" s="1375" t="s">
        <v>3136</v>
      </c>
      <c r="C61" s="1375" t="s">
        <v>3137</v>
      </c>
      <c r="D61" s="1375" t="s">
        <v>157</v>
      </c>
      <c r="E61" s="1375" t="s">
        <v>3121</v>
      </c>
      <c r="F61" s="1375" t="s">
        <v>3121</v>
      </c>
      <c r="G61" s="1375" t="s">
        <v>3138</v>
      </c>
      <c r="H61" s="1375" t="s">
        <v>2898</v>
      </c>
      <c r="I61" s="1375" t="s">
        <v>3139</v>
      </c>
      <c r="K61" s="1375" t="str">
        <f t="shared" si="0"/>
        <v>COM_200901</v>
      </c>
    </row>
    <row r="62" spans="1:11">
      <c r="A62" s="1375" t="s">
        <v>3140</v>
      </c>
      <c r="B62" s="1375" t="s">
        <v>3141</v>
      </c>
      <c r="C62" s="1375" t="s">
        <v>3142</v>
      </c>
      <c r="D62" s="1375" t="s">
        <v>3143</v>
      </c>
      <c r="E62" s="1375" t="s">
        <v>3143</v>
      </c>
      <c r="F62" s="1375" t="s">
        <v>3143</v>
      </c>
      <c r="G62" s="1375" t="s">
        <v>3144</v>
      </c>
      <c r="H62" s="1375">
        <v>10</v>
      </c>
      <c r="I62" s="1375" t="s">
        <v>3145</v>
      </c>
      <c r="K62" s="1375" t="str">
        <f t="shared" si="0"/>
        <v>COM_201101</v>
      </c>
    </row>
    <row r="63" spans="1:11">
      <c r="A63" s="1375" t="s">
        <v>27</v>
      </c>
      <c r="B63" s="1375" t="s">
        <v>140</v>
      </c>
      <c r="C63" s="1375" t="s">
        <v>281</v>
      </c>
      <c r="D63" s="1375" t="s">
        <v>334</v>
      </c>
      <c r="E63" s="1375" t="s">
        <v>3146</v>
      </c>
      <c r="F63" s="1375" t="s">
        <v>468</v>
      </c>
      <c r="G63" s="1375" t="s">
        <v>140</v>
      </c>
      <c r="H63" s="1375">
        <v>5</v>
      </c>
      <c r="I63" s="1375" t="s">
        <v>167</v>
      </c>
      <c r="K63" s="1375" t="str">
        <f t="shared" si="0"/>
        <v>COM_201201</v>
      </c>
    </row>
    <row r="64" spans="1:11">
      <c r="A64" s="1375" t="s">
        <v>2275</v>
      </c>
      <c r="B64" s="1375" t="s">
        <v>141</v>
      </c>
      <c r="C64" s="1375" t="s">
        <v>1930</v>
      </c>
      <c r="D64" s="1375" t="s">
        <v>333</v>
      </c>
      <c r="E64" s="1375" t="s">
        <v>2392</v>
      </c>
      <c r="F64" s="1375" t="s">
        <v>2170</v>
      </c>
      <c r="G64" s="1375" t="s">
        <v>2010</v>
      </c>
      <c r="H64" s="1375" t="s">
        <v>2898</v>
      </c>
      <c r="I64" s="1375" t="s">
        <v>1407</v>
      </c>
      <c r="K64" s="1375" t="str">
        <f t="shared" si="0"/>
        <v>COM_201304</v>
      </c>
    </row>
    <row r="65" spans="1:11">
      <c r="A65" s="1375" t="s">
        <v>2276</v>
      </c>
      <c r="B65" s="1375" t="s">
        <v>141</v>
      </c>
      <c r="C65" s="1375" t="s">
        <v>1254</v>
      </c>
      <c r="D65" s="1375" t="s">
        <v>333</v>
      </c>
      <c r="E65" s="1375" t="s">
        <v>332</v>
      </c>
      <c r="F65" s="1375" t="s">
        <v>2175</v>
      </c>
      <c r="G65" s="1375" t="s">
        <v>2014</v>
      </c>
      <c r="H65" s="1375" t="s">
        <v>2898</v>
      </c>
      <c r="I65" s="1375" t="s">
        <v>1407</v>
      </c>
      <c r="K65" s="1375" t="str">
        <f t="shared" si="0"/>
        <v>COM_201304</v>
      </c>
    </row>
    <row r="66" spans="1:11">
      <c r="A66" s="1375" t="s">
        <v>886</v>
      </c>
      <c r="B66" s="1375" t="s">
        <v>141</v>
      </c>
      <c r="C66" s="1375" t="s">
        <v>887</v>
      </c>
      <c r="D66" s="1375" t="s">
        <v>333</v>
      </c>
      <c r="E66" s="1375" t="s">
        <v>1852</v>
      </c>
      <c r="F66" s="1375" t="s">
        <v>1246</v>
      </c>
      <c r="G66" s="1375" t="s">
        <v>2015</v>
      </c>
      <c r="H66" s="1375">
        <v>4</v>
      </c>
      <c r="I66" s="1375" t="s">
        <v>1407</v>
      </c>
      <c r="K66" s="1375" t="str">
        <f t="shared" si="0"/>
        <v>COM_201304</v>
      </c>
    </row>
    <row r="67" spans="1:11">
      <c r="A67" s="1375" t="s">
        <v>1358</v>
      </c>
      <c r="B67" s="1375" t="s">
        <v>141</v>
      </c>
      <c r="C67" s="1375" t="s">
        <v>1359</v>
      </c>
      <c r="D67" s="1375" t="s">
        <v>333</v>
      </c>
      <c r="E67" s="1375" t="s">
        <v>2393</v>
      </c>
      <c r="F67" s="1375" t="s">
        <v>1767</v>
      </c>
      <c r="G67" s="1375" t="s">
        <v>1359</v>
      </c>
      <c r="H67" s="1375">
        <v>14</v>
      </c>
      <c r="I67" s="1375" t="s">
        <v>1407</v>
      </c>
      <c r="K67" s="1375" t="str">
        <f t="shared" ref="K67:K130" si="1">LEFT(A67,10)</f>
        <v>COM_201304</v>
      </c>
    </row>
    <row r="68" spans="1:11">
      <c r="A68" s="1375" t="s">
        <v>2277</v>
      </c>
      <c r="B68" s="1375" t="s">
        <v>141</v>
      </c>
      <c r="C68" s="1375" t="s">
        <v>1929</v>
      </c>
      <c r="D68" s="1375" t="s">
        <v>333</v>
      </c>
      <c r="E68" s="1375" t="s">
        <v>2394</v>
      </c>
      <c r="F68" s="1375" t="s">
        <v>2169</v>
      </c>
      <c r="G68" s="1375" t="s">
        <v>1929</v>
      </c>
      <c r="H68" s="1375">
        <v>14</v>
      </c>
      <c r="I68" s="1375" t="s">
        <v>1407</v>
      </c>
      <c r="K68" s="1375" t="str">
        <f t="shared" si="1"/>
        <v>COM_201304</v>
      </c>
    </row>
    <row r="69" spans="1:11">
      <c r="A69" s="1375" t="s">
        <v>2278</v>
      </c>
      <c r="B69" s="1375" t="s">
        <v>141</v>
      </c>
      <c r="C69" s="1375" t="s">
        <v>1928</v>
      </c>
      <c r="D69" s="1375" t="s">
        <v>1951</v>
      </c>
      <c r="E69" s="1375" t="s">
        <v>2395</v>
      </c>
      <c r="F69" s="1375" t="s">
        <v>2167</v>
      </c>
      <c r="G69" s="1375" t="s">
        <v>2008</v>
      </c>
      <c r="H69" s="1375">
        <v>13</v>
      </c>
      <c r="I69" s="1375" t="s">
        <v>1407</v>
      </c>
      <c r="K69" s="1375" t="str">
        <f t="shared" si="1"/>
        <v>COM_201304</v>
      </c>
    </row>
    <row r="70" spans="1:11">
      <c r="A70" s="1375" t="s">
        <v>2279</v>
      </c>
      <c r="B70" s="1375" t="s">
        <v>141</v>
      </c>
      <c r="C70" s="1375" t="s">
        <v>1928</v>
      </c>
      <c r="D70" s="1375" t="s">
        <v>1952</v>
      </c>
      <c r="E70" s="1375" t="s">
        <v>2396</v>
      </c>
      <c r="F70" s="1375" t="s">
        <v>2168</v>
      </c>
      <c r="G70" s="1375" t="s">
        <v>2008</v>
      </c>
      <c r="H70" s="1375">
        <v>13</v>
      </c>
      <c r="I70" s="1375" t="s">
        <v>1407</v>
      </c>
      <c r="K70" s="1375" t="str">
        <f t="shared" si="1"/>
        <v>COM_201304</v>
      </c>
    </row>
    <row r="71" spans="1:11">
      <c r="A71" s="1375" t="s">
        <v>2280</v>
      </c>
      <c r="B71" s="1375" t="s">
        <v>141</v>
      </c>
      <c r="C71" s="1375" t="s">
        <v>1932</v>
      </c>
      <c r="D71" s="1375" t="s">
        <v>1953</v>
      </c>
      <c r="E71" s="1375" t="s">
        <v>2397</v>
      </c>
      <c r="F71" s="1375" t="s">
        <v>2176</v>
      </c>
      <c r="G71" s="1375" t="s">
        <v>1012</v>
      </c>
      <c r="H71" s="1375">
        <v>11</v>
      </c>
      <c r="I71" s="1375" t="s">
        <v>1407</v>
      </c>
      <c r="K71" s="1375" t="str">
        <f t="shared" si="1"/>
        <v>COM_201304</v>
      </c>
    </row>
    <row r="72" spans="1:11">
      <c r="A72" s="1375" t="s">
        <v>2281</v>
      </c>
      <c r="B72" s="1375" t="s">
        <v>141</v>
      </c>
      <c r="C72" s="1375" t="s">
        <v>1933</v>
      </c>
      <c r="D72" s="1375" t="s">
        <v>1953</v>
      </c>
      <c r="E72" s="1375" t="s">
        <v>2398</v>
      </c>
      <c r="F72" s="1375" t="s">
        <v>2178</v>
      </c>
      <c r="G72" s="1375" t="s">
        <v>1012</v>
      </c>
      <c r="H72" s="1375">
        <v>6</v>
      </c>
      <c r="I72" s="1375" t="s">
        <v>1407</v>
      </c>
      <c r="K72" s="1375" t="str">
        <f t="shared" si="1"/>
        <v>COM_201304</v>
      </c>
    </row>
    <row r="73" spans="1:11">
      <c r="A73" s="1375" t="s">
        <v>2282</v>
      </c>
      <c r="B73" s="1375" t="s">
        <v>141</v>
      </c>
      <c r="C73" s="1375" t="s">
        <v>1931</v>
      </c>
      <c r="D73" s="1375" t="s">
        <v>1951</v>
      </c>
      <c r="E73" s="1375" t="s">
        <v>2399</v>
      </c>
      <c r="F73" s="1375" t="s">
        <v>2171</v>
      </c>
      <c r="G73" s="1375" t="s">
        <v>1012</v>
      </c>
      <c r="H73" s="1375">
        <v>25</v>
      </c>
      <c r="I73" s="1375" t="s">
        <v>1407</v>
      </c>
      <c r="K73" s="1375" t="str">
        <f t="shared" si="1"/>
        <v>COM_201304</v>
      </c>
    </row>
    <row r="74" spans="1:11">
      <c r="A74" s="1375" t="s">
        <v>3074</v>
      </c>
      <c r="B74" s="1375" t="s">
        <v>141</v>
      </c>
      <c r="C74" s="1375" t="s">
        <v>3075</v>
      </c>
      <c r="D74" s="1375" t="s">
        <v>3076</v>
      </c>
      <c r="E74" s="1375" t="s">
        <v>3077</v>
      </c>
      <c r="F74" s="1375" t="s">
        <v>3078</v>
      </c>
      <c r="G74" s="1375" t="s">
        <v>3075</v>
      </c>
      <c r="H74" s="1375">
        <v>8</v>
      </c>
      <c r="I74" s="1375" t="s">
        <v>1407</v>
      </c>
      <c r="K74" s="1375" t="str">
        <f t="shared" si="1"/>
        <v>COM_201304</v>
      </c>
    </row>
    <row r="75" spans="1:11">
      <c r="A75" s="1375" t="s">
        <v>3079</v>
      </c>
      <c r="B75" s="1375" t="s">
        <v>141</v>
      </c>
      <c r="C75" s="1375" t="s">
        <v>3075</v>
      </c>
      <c r="D75" s="1375" t="s">
        <v>3080</v>
      </c>
      <c r="E75" s="1375" t="s">
        <v>3081</v>
      </c>
      <c r="F75" s="1375" t="s">
        <v>3082</v>
      </c>
      <c r="G75" s="1375" t="s">
        <v>3075</v>
      </c>
      <c r="H75" s="1375">
        <v>8</v>
      </c>
      <c r="I75" s="1375" t="s">
        <v>1407</v>
      </c>
      <c r="K75" s="1375" t="str">
        <f t="shared" si="1"/>
        <v>COM_201304</v>
      </c>
    </row>
    <row r="76" spans="1:11">
      <c r="A76" s="1375" t="s">
        <v>3083</v>
      </c>
      <c r="B76" s="1375" t="s">
        <v>141</v>
      </c>
      <c r="C76" s="1375" t="s">
        <v>3084</v>
      </c>
      <c r="D76" s="1375" t="s">
        <v>3076</v>
      </c>
      <c r="E76" s="1375" t="s">
        <v>3085</v>
      </c>
      <c r="F76" s="1375" t="s">
        <v>3086</v>
      </c>
      <c r="G76" s="1375" t="s">
        <v>3084</v>
      </c>
      <c r="H76" s="1375">
        <v>8</v>
      </c>
      <c r="I76" s="1375" t="s">
        <v>1407</v>
      </c>
      <c r="K76" s="1375" t="str">
        <f t="shared" si="1"/>
        <v>COM_201304</v>
      </c>
    </row>
    <row r="77" spans="1:11">
      <c r="A77" s="1375" t="s">
        <v>3087</v>
      </c>
      <c r="B77" s="1375" t="s">
        <v>141</v>
      </c>
      <c r="C77" s="1375" t="s">
        <v>3084</v>
      </c>
      <c r="D77" s="1375" t="s">
        <v>3080</v>
      </c>
      <c r="E77" s="1375" t="s">
        <v>3088</v>
      </c>
      <c r="F77" s="1375" t="s">
        <v>3089</v>
      </c>
      <c r="G77" s="1375" t="s">
        <v>3084</v>
      </c>
      <c r="H77" s="1375">
        <v>8</v>
      </c>
      <c r="I77" s="1375" t="s">
        <v>1407</v>
      </c>
      <c r="K77" s="1375" t="str">
        <f t="shared" si="1"/>
        <v>COM_201304</v>
      </c>
    </row>
    <row r="78" spans="1:11">
      <c r="A78" s="1375" t="s">
        <v>406</v>
      </c>
      <c r="B78" s="1375" t="s">
        <v>141</v>
      </c>
      <c r="C78" s="1375" t="s">
        <v>1381</v>
      </c>
      <c r="D78" s="1375" t="s">
        <v>333</v>
      </c>
      <c r="E78" s="1375" t="s">
        <v>2400</v>
      </c>
      <c r="F78" s="1375" t="s">
        <v>2174</v>
      </c>
      <c r="G78" s="1375" t="s">
        <v>2013</v>
      </c>
      <c r="H78" s="1375">
        <v>16</v>
      </c>
      <c r="I78" s="1375" t="s">
        <v>1407</v>
      </c>
      <c r="K78" s="1375" t="str">
        <f t="shared" si="1"/>
        <v>COM_201304</v>
      </c>
    </row>
    <row r="79" spans="1:11">
      <c r="A79" s="1375" t="s">
        <v>772</v>
      </c>
      <c r="B79" s="1375" t="s">
        <v>141</v>
      </c>
      <c r="C79" s="1375" t="s">
        <v>1410</v>
      </c>
      <c r="D79" s="1375" t="s">
        <v>333</v>
      </c>
      <c r="E79" s="1375" t="s">
        <v>1847</v>
      </c>
      <c r="F79" s="1375" t="s">
        <v>1769</v>
      </c>
      <c r="G79" s="1375" t="s">
        <v>2009</v>
      </c>
      <c r="H79" s="1375">
        <v>14</v>
      </c>
      <c r="I79" s="1375" t="s">
        <v>1407</v>
      </c>
      <c r="K79" s="1375" t="str">
        <f t="shared" si="1"/>
        <v>COM_201304</v>
      </c>
    </row>
    <row r="80" spans="1:11">
      <c r="A80" s="1375" t="s">
        <v>453</v>
      </c>
      <c r="B80" s="1375" t="s">
        <v>141</v>
      </c>
      <c r="C80" s="1375" t="s">
        <v>320</v>
      </c>
      <c r="D80" s="1375" t="s">
        <v>333</v>
      </c>
      <c r="E80" s="1375" t="s">
        <v>2401</v>
      </c>
      <c r="F80" s="1375" t="s">
        <v>2177</v>
      </c>
      <c r="G80" s="1375" t="s">
        <v>2017</v>
      </c>
      <c r="H80" s="1375">
        <v>8</v>
      </c>
      <c r="I80" s="1375" t="s">
        <v>1407</v>
      </c>
      <c r="K80" s="1375" t="str">
        <f t="shared" si="1"/>
        <v>COM_201304</v>
      </c>
    </row>
    <row r="81" spans="1:11">
      <c r="A81" s="1375" t="s">
        <v>1441</v>
      </c>
      <c r="B81" s="1375" t="s">
        <v>141</v>
      </c>
      <c r="C81" s="1375" t="s">
        <v>1442</v>
      </c>
      <c r="D81" s="1375" t="s">
        <v>333</v>
      </c>
      <c r="E81" s="1375" t="s">
        <v>2402</v>
      </c>
      <c r="F81" s="1375" t="s">
        <v>2172</v>
      </c>
      <c r="G81" s="1375" t="s">
        <v>2011</v>
      </c>
      <c r="H81" s="1375">
        <v>12</v>
      </c>
      <c r="I81" s="1375" t="s">
        <v>1407</v>
      </c>
      <c r="K81" s="1375" t="str">
        <f t="shared" si="1"/>
        <v>COM_201304</v>
      </c>
    </row>
    <row r="82" spans="1:11">
      <c r="A82" s="1375" t="s">
        <v>1443</v>
      </c>
      <c r="B82" s="1375" t="s">
        <v>141</v>
      </c>
      <c r="C82" s="1375" t="s">
        <v>1345</v>
      </c>
      <c r="D82" s="1375" t="s">
        <v>1444</v>
      </c>
      <c r="E82" s="1375" t="s">
        <v>2403</v>
      </c>
      <c r="F82" s="1375" t="s">
        <v>2179</v>
      </c>
      <c r="G82" s="1375" t="s">
        <v>2018</v>
      </c>
      <c r="H82" s="1375">
        <v>11</v>
      </c>
      <c r="I82" s="1375" t="s">
        <v>1407</v>
      </c>
      <c r="K82" s="1375" t="str">
        <f t="shared" si="1"/>
        <v>COM_201304</v>
      </c>
    </row>
    <row r="83" spans="1:11">
      <c r="A83" s="1375" t="s">
        <v>1115</v>
      </c>
      <c r="B83" s="1375" t="s">
        <v>141</v>
      </c>
      <c r="C83" s="1375" t="s">
        <v>1345</v>
      </c>
      <c r="D83" s="1375" t="s">
        <v>1445</v>
      </c>
      <c r="E83" s="1375" t="s">
        <v>1848</v>
      </c>
      <c r="F83" s="1375" t="s">
        <v>1773</v>
      </c>
      <c r="G83" s="1375" t="s">
        <v>2018</v>
      </c>
      <c r="H83" s="1375">
        <v>11</v>
      </c>
      <c r="I83" s="1375" t="s">
        <v>1407</v>
      </c>
      <c r="K83" s="1375" t="str">
        <f t="shared" si="1"/>
        <v>COM_201304</v>
      </c>
    </row>
    <row r="84" spans="1:11">
      <c r="A84" s="1375" t="s">
        <v>122</v>
      </c>
      <c r="B84" s="1375" t="s">
        <v>141</v>
      </c>
      <c r="C84" s="1375" t="s">
        <v>773</v>
      </c>
      <c r="D84" s="1375" t="s">
        <v>333</v>
      </c>
      <c r="E84" s="1375" t="s">
        <v>1846</v>
      </c>
      <c r="F84" s="1375" t="s">
        <v>1772</v>
      </c>
      <c r="G84" s="1375" t="s">
        <v>773</v>
      </c>
      <c r="H84" s="1375">
        <v>23</v>
      </c>
      <c r="I84" s="1375" t="s">
        <v>1407</v>
      </c>
      <c r="K84" s="1375" t="str">
        <f t="shared" si="1"/>
        <v>COM_201304</v>
      </c>
    </row>
    <row r="85" spans="1:11">
      <c r="A85" s="1375" t="s">
        <v>1446</v>
      </c>
      <c r="B85" s="1375" t="s">
        <v>141</v>
      </c>
      <c r="C85" s="1375" t="s">
        <v>1447</v>
      </c>
      <c r="D85" s="1375" t="s">
        <v>333</v>
      </c>
      <c r="E85" s="1375" t="s">
        <v>2404</v>
      </c>
      <c r="F85" s="1375" t="s">
        <v>2173</v>
      </c>
      <c r="G85" s="1375" t="s">
        <v>2012</v>
      </c>
      <c r="H85" s="1375">
        <v>20</v>
      </c>
      <c r="I85" s="1375" t="s">
        <v>1407</v>
      </c>
      <c r="K85" s="1375" t="str">
        <f t="shared" si="1"/>
        <v>COM_201304</v>
      </c>
    </row>
    <row r="86" spans="1:11">
      <c r="A86" s="1375" t="s">
        <v>1113</v>
      </c>
      <c r="B86" s="1375" t="s">
        <v>141</v>
      </c>
      <c r="C86" s="1375" t="s">
        <v>1346</v>
      </c>
      <c r="D86" s="1375" t="s">
        <v>1951</v>
      </c>
      <c r="E86" s="1375" t="s">
        <v>1849</v>
      </c>
      <c r="F86" s="1375" t="s">
        <v>1768</v>
      </c>
      <c r="G86" s="1375" t="s">
        <v>2016</v>
      </c>
      <c r="H86" s="1375">
        <v>14</v>
      </c>
      <c r="I86" s="1375" t="s">
        <v>1407</v>
      </c>
      <c r="K86" s="1375" t="str">
        <f t="shared" si="1"/>
        <v>COM_201304</v>
      </c>
    </row>
    <row r="87" spans="1:11">
      <c r="A87" s="1375" t="s">
        <v>1114</v>
      </c>
      <c r="B87" s="1375" t="s">
        <v>141</v>
      </c>
      <c r="C87" s="1375" t="s">
        <v>1346</v>
      </c>
      <c r="D87" s="1375" t="s">
        <v>1952</v>
      </c>
      <c r="E87" s="1375" t="s">
        <v>1850</v>
      </c>
      <c r="F87" s="1375" t="s">
        <v>1771</v>
      </c>
      <c r="G87" s="1375" t="s">
        <v>2016</v>
      </c>
      <c r="H87" s="1375">
        <v>14</v>
      </c>
      <c r="I87" s="1375" t="s">
        <v>1407</v>
      </c>
      <c r="K87" s="1375" t="str">
        <f t="shared" si="1"/>
        <v>COM_201304</v>
      </c>
    </row>
    <row r="88" spans="1:11">
      <c r="A88" s="1375" t="s">
        <v>1112</v>
      </c>
      <c r="B88" s="1375" t="s">
        <v>141</v>
      </c>
      <c r="C88" s="1375" t="s">
        <v>1346</v>
      </c>
      <c r="D88" s="1375" t="s">
        <v>1946</v>
      </c>
      <c r="E88" s="1375" t="s">
        <v>1851</v>
      </c>
      <c r="F88" s="1375" t="s">
        <v>1770</v>
      </c>
      <c r="G88" s="1375" t="s">
        <v>2016</v>
      </c>
      <c r="H88" s="1375">
        <v>14</v>
      </c>
      <c r="I88" s="1375" t="s">
        <v>1407</v>
      </c>
      <c r="K88" s="1375" t="str">
        <f t="shared" si="1"/>
        <v>COM_201304</v>
      </c>
    </row>
    <row r="89" spans="1:11">
      <c r="A89" s="1375" t="s">
        <v>28</v>
      </c>
      <c r="B89" s="1375" t="s">
        <v>159</v>
      </c>
      <c r="C89" s="1375" t="s">
        <v>485</v>
      </c>
      <c r="D89" s="1375" t="s">
        <v>334</v>
      </c>
      <c r="E89" s="1375" t="s">
        <v>3147</v>
      </c>
      <c r="F89" s="1375" t="s">
        <v>485</v>
      </c>
      <c r="G89" s="1375" t="s">
        <v>3148</v>
      </c>
      <c r="H89" s="1375">
        <v>5</v>
      </c>
      <c r="I89" s="1375" t="s">
        <v>179</v>
      </c>
      <c r="K89" s="1375" t="str">
        <f t="shared" si="1"/>
        <v>COM_201305</v>
      </c>
    </row>
    <row r="90" spans="1:11">
      <c r="A90" s="1375" t="s">
        <v>29</v>
      </c>
      <c r="B90" s="1375" t="s">
        <v>142</v>
      </c>
      <c r="C90" s="1375" t="s">
        <v>142</v>
      </c>
      <c r="D90" s="1375" t="s">
        <v>1382</v>
      </c>
      <c r="E90" s="1375" t="s">
        <v>2405</v>
      </c>
      <c r="F90" s="1375" t="s">
        <v>2080</v>
      </c>
      <c r="G90" s="1375" t="s">
        <v>1986</v>
      </c>
      <c r="H90" s="1375">
        <v>12</v>
      </c>
      <c r="I90" s="1375" t="s">
        <v>180</v>
      </c>
      <c r="K90" s="1375" t="str">
        <f t="shared" si="1"/>
        <v>COM_201401</v>
      </c>
    </row>
    <row r="91" spans="1:11">
      <c r="A91" s="1375" t="s">
        <v>2283</v>
      </c>
      <c r="B91" s="1375" t="s">
        <v>1918</v>
      </c>
      <c r="C91" s="1375" t="s">
        <v>1943</v>
      </c>
      <c r="D91" s="1375" t="s">
        <v>334</v>
      </c>
      <c r="E91" s="1375" t="s">
        <v>1918</v>
      </c>
      <c r="F91" s="1375" t="s">
        <v>1918</v>
      </c>
      <c r="G91" s="1375" t="s">
        <v>2042</v>
      </c>
      <c r="H91" s="1375" t="s">
        <v>2898</v>
      </c>
      <c r="I91" s="1375" t="s">
        <v>3005</v>
      </c>
      <c r="K91" s="1375" t="str">
        <f t="shared" si="1"/>
        <v>COM_201402</v>
      </c>
    </row>
    <row r="92" spans="1:11">
      <c r="A92" s="1375" t="s">
        <v>112</v>
      </c>
      <c r="B92" s="1375" t="s">
        <v>143</v>
      </c>
      <c r="C92" s="1375" t="s">
        <v>323</v>
      </c>
      <c r="D92" s="1375" t="s">
        <v>1019</v>
      </c>
      <c r="E92" s="1375" t="s">
        <v>2406</v>
      </c>
      <c r="F92" s="1375" t="s">
        <v>1857</v>
      </c>
      <c r="G92" s="1375" t="s">
        <v>2027</v>
      </c>
      <c r="H92" s="1375">
        <v>8</v>
      </c>
      <c r="I92" s="1375" t="s">
        <v>169</v>
      </c>
      <c r="K92" s="1375" t="str">
        <f t="shared" si="1"/>
        <v>COM_201403</v>
      </c>
    </row>
    <row r="93" spans="1:11">
      <c r="A93" s="1375" t="s">
        <v>30</v>
      </c>
      <c r="B93" s="1375" t="s">
        <v>143</v>
      </c>
      <c r="C93" s="1375" t="s">
        <v>323</v>
      </c>
      <c r="D93" s="1375" t="s">
        <v>157</v>
      </c>
      <c r="E93" s="1375" t="s">
        <v>1856</v>
      </c>
      <c r="F93" s="1375" t="s">
        <v>1857</v>
      </c>
      <c r="G93" s="1375" t="s">
        <v>2027</v>
      </c>
      <c r="H93" s="1375">
        <v>8</v>
      </c>
      <c r="I93" s="1375" t="s">
        <v>169</v>
      </c>
      <c r="K93" s="1375" t="str">
        <f t="shared" si="1"/>
        <v>COM_201403</v>
      </c>
    </row>
    <row r="94" spans="1:11">
      <c r="A94" s="1375" t="s">
        <v>113</v>
      </c>
      <c r="B94" s="1375" t="s">
        <v>143</v>
      </c>
      <c r="C94" s="1375" t="s">
        <v>321</v>
      </c>
      <c r="D94" s="1375" t="s">
        <v>1019</v>
      </c>
      <c r="E94" s="1375" t="s">
        <v>2407</v>
      </c>
      <c r="F94" s="1375" t="s">
        <v>1855</v>
      </c>
      <c r="G94" s="1375" t="s">
        <v>2027</v>
      </c>
      <c r="H94" s="1375">
        <v>8</v>
      </c>
      <c r="I94" s="1375" t="s">
        <v>169</v>
      </c>
      <c r="K94" s="1375" t="str">
        <f t="shared" si="1"/>
        <v>COM_201403</v>
      </c>
    </row>
    <row r="95" spans="1:11">
      <c r="A95" s="1375" t="s">
        <v>31</v>
      </c>
      <c r="B95" s="1375" t="s">
        <v>143</v>
      </c>
      <c r="C95" s="1375" t="s">
        <v>321</v>
      </c>
      <c r="D95" s="1375" t="s">
        <v>157</v>
      </c>
      <c r="E95" s="1375" t="s">
        <v>1854</v>
      </c>
      <c r="F95" s="1375" t="s">
        <v>1855</v>
      </c>
      <c r="G95" s="1375" t="s">
        <v>2027</v>
      </c>
      <c r="H95" s="1375">
        <v>8</v>
      </c>
      <c r="I95" s="1375" t="s">
        <v>169</v>
      </c>
      <c r="K95" s="1375" t="str">
        <f t="shared" si="1"/>
        <v>COM_201403</v>
      </c>
    </row>
    <row r="96" spans="1:11">
      <c r="A96" s="1375" t="s">
        <v>104</v>
      </c>
      <c r="B96" s="1375" t="s">
        <v>143</v>
      </c>
      <c r="C96" s="1375" t="s">
        <v>324</v>
      </c>
      <c r="D96" s="1375" t="s">
        <v>1019</v>
      </c>
      <c r="E96" s="1375" t="s">
        <v>2408</v>
      </c>
      <c r="F96" s="1375" t="s">
        <v>1859</v>
      </c>
      <c r="G96" s="1375" t="s">
        <v>2028</v>
      </c>
      <c r="H96" s="1375">
        <v>8</v>
      </c>
      <c r="I96" s="1375" t="s">
        <v>169</v>
      </c>
      <c r="K96" s="1375" t="str">
        <f t="shared" si="1"/>
        <v>COM_201403</v>
      </c>
    </row>
    <row r="97" spans="1:11">
      <c r="A97" s="1375" t="s">
        <v>93</v>
      </c>
      <c r="B97" s="1375" t="s">
        <v>143</v>
      </c>
      <c r="C97" s="1375" t="s">
        <v>324</v>
      </c>
      <c r="D97" s="1375" t="s">
        <v>157</v>
      </c>
      <c r="E97" s="1375" t="s">
        <v>1858</v>
      </c>
      <c r="F97" s="1375" t="s">
        <v>1859</v>
      </c>
      <c r="G97" s="1375" t="s">
        <v>2028</v>
      </c>
      <c r="H97" s="1375">
        <v>8</v>
      </c>
      <c r="I97" s="1375" t="s">
        <v>169</v>
      </c>
      <c r="K97" s="1375" t="str">
        <f t="shared" si="1"/>
        <v>COM_201403</v>
      </c>
    </row>
    <row r="98" spans="1:11">
      <c r="A98" s="1375" t="s">
        <v>105</v>
      </c>
      <c r="B98" s="1375" t="s">
        <v>143</v>
      </c>
      <c r="C98" s="1375" t="s">
        <v>322</v>
      </c>
      <c r="D98" s="1375" t="s">
        <v>1019</v>
      </c>
      <c r="E98" s="1375" t="s">
        <v>2409</v>
      </c>
      <c r="F98" s="1375" t="s">
        <v>1861</v>
      </c>
      <c r="G98" s="1375" t="s">
        <v>2028</v>
      </c>
      <c r="H98" s="1375">
        <v>8</v>
      </c>
      <c r="I98" s="1375" t="s">
        <v>169</v>
      </c>
      <c r="K98" s="1375" t="str">
        <f t="shared" si="1"/>
        <v>COM_201403</v>
      </c>
    </row>
    <row r="99" spans="1:11">
      <c r="A99" s="1375" t="s">
        <v>94</v>
      </c>
      <c r="B99" s="1375" t="s">
        <v>143</v>
      </c>
      <c r="C99" s="1375" t="s">
        <v>322</v>
      </c>
      <c r="D99" s="1375" t="s">
        <v>157</v>
      </c>
      <c r="E99" s="1375" t="s">
        <v>1860</v>
      </c>
      <c r="F99" s="1375" t="s">
        <v>1861</v>
      </c>
      <c r="G99" s="1375" t="s">
        <v>2028</v>
      </c>
      <c r="H99" s="1375">
        <v>8</v>
      </c>
      <c r="I99" s="1375" t="s">
        <v>169</v>
      </c>
      <c r="K99" s="1375" t="str">
        <f t="shared" si="1"/>
        <v>COM_201403</v>
      </c>
    </row>
    <row r="100" spans="1:11">
      <c r="A100" s="1375" t="s">
        <v>3149</v>
      </c>
      <c r="B100" s="1375" t="s">
        <v>3150</v>
      </c>
      <c r="C100" s="1375" t="s">
        <v>3151</v>
      </c>
      <c r="D100" s="1375" t="s">
        <v>334</v>
      </c>
      <c r="E100" s="1375" t="s">
        <v>3152</v>
      </c>
      <c r="F100" s="1375" t="s">
        <v>3152</v>
      </c>
      <c r="G100" s="1375" t="s">
        <v>3153</v>
      </c>
      <c r="H100" s="1375" t="s">
        <v>2898</v>
      </c>
      <c r="I100" s="1375" t="s">
        <v>3154</v>
      </c>
      <c r="K100" s="1375" t="str">
        <f t="shared" si="1"/>
        <v>COM_201404</v>
      </c>
    </row>
    <row r="101" spans="1:11">
      <c r="A101" s="1375" t="s">
        <v>420</v>
      </c>
      <c r="B101" s="1375" t="s">
        <v>144</v>
      </c>
      <c r="C101" s="1375" t="s">
        <v>299</v>
      </c>
      <c r="D101" s="1375" t="s">
        <v>334</v>
      </c>
      <c r="E101" s="1375" t="s">
        <v>2410</v>
      </c>
      <c r="F101" s="1375" t="s">
        <v>2192</v>
      </c>
      <c r="G101" s="1375" t="s">
        <v>299</v>
      </c>
      <c r="H101" s="1375">
        <v>5</v>
      </c>
      <c r="I101" s="1375" t="s">
        <v>170</v>
      </c>
      <c r="K101" s="1375" t="str">
        <f t="shared" si="1"/>
        <v>COM_201405</v>
      </c>
    </row>
    <row r="102" spans="1:11">
      <c r="A102" s="1375" t="s">
        <v>399</v>
      </c>
      <c r="B102" s="1375" t="s">
        <v>144</v>
      </c>
      <c r="C102" s="1375" t="s">
        <v>285</v>
      </c>
      <c r="D102" s="1375" t="s">
        <v>334</v>
      </c>
      <c r="E102" s="1375" t="s">
        <v>2411</v>
      </c>
      <c r="F102" s="1375" t="s">
        <v>2191</v>
      </c>
      <c r="G102" s="1375" t="s">
        <v>285</v>
      </c>
      <c r="H102" s="1375">
        <v>5</v>
      </c>
      <c r="I102" s="1375" t="s">
        <v>170</v>
      </c>
      <c r="K102" s="1375" t="str">
        <f t="shared" si="1"/>
        <v>COM_201405</v>
      </c>
    </row>
    <row r="103" spans="1:11">
      <c r="A103" s="1375" t="s">
        <v>3090</v>
      </c>
      <c r="B103" s="1375" t="s">
        <v>1108</v>
      </c>
      <c r="C103" s="1375" t="s">
        <v>2714</v>
      </c>
      <c r="D103" s="1375" t="s">
        <v>157</v>
      </c>
      <c r="E103" s="1375" t="s">
        <v>2714</v>
      </c>
      <c r="F103" s="1375" t="s">
        <v>3091</v>
      </c>
      <c r="G103" s="1375" t="s">
        <v>2714</v>
      </c>
      <c r="H103" s="1375">
        <v>30</v>
      </c>
      <c r="I103" s="1375" t="s">
        <v>3092</v>
      </c>
      <c r="K103" s="1375" t="str">
        <f t="shared" si="1"/>
        <v>COM_202106</v>
      </c>
    </row>
    <row r="104" spans="1:11">
      <c r="A104" s="1375" t="s">
        <v>2284</v>
      </c>
      <c r="B104" s="1375" t="s">
        <v>1919</v>
      </c>
      <c r="C104" s="1375" t="s">
        <v>1944</v>
      </c>
      <c r="D104" s="1375" t="s">
        <v>334</v>
      </c>
      <c r="E104" s="1375" t="s">
        <v>2262</v>
      </c>
      <c r="F104" s="1375" t="s">
        <v>2262</v>
      </c>
      <c r="G104" s="1375" t="s">
        <v>2044</v>
      </c>
      <c r="H104" s="1375">
        <v>10</v>
      </c>
      <c r="I104" s="1375" t="s">
        <v>3006</v>
      </c>
      <c r="K104" s="1375" t="str">
        <f t="shared" si="1"/>
        <v>IND_199801</v>
      </c>
    </row>
    <row r="105" spans="1:11">
      <c r="A105" s="1375" t="s">
        <v>3155</v>
      </c>
      <c r="B105" s="1375" t="s">
        <v>3156</v>
      </c>
      <c r="C105" s="1375" t="s">
        <v>3157</v>
      </c>
      <c r="D105" s="1375" t="s">
        <v>157</v>
      </c>
      <c r="E105" s="1375" t="s">
        <v>3158</v>
      </c>
      <c r="F105" s="1375" t="s">
        <v>3158</v>
      </c>
      <c r="G105" s="1375" t="s">
        <v>3159</v>
      </c>
      <c r="H105" s="1375" t="s">
        <v>2898</v>
      </c>
      <c r="I105" s="1375" t="s">
        <v>3160</v>
      </c>
      <c r="K105" s="1375" t="str">
        <f t="shared" si="1"/>
        <v>IND_199802</v>
      </c>
    </row>
    <row r="106" spans="1:11">
      <c r="A106" s="1375" t="s">
        <v>3161</v>
      </c>
      <c r="B106" s="1375" t="s">
        <v>3156</v>
      </c>
      <c r="C106" s="1375" t="s">
        <v>3162</v>
      </c>
      <c r="D106" s="1375" t="s">
        <v>157</v>
      </c>
      <c r="E106" s="1375" t="s">
        <v>3163</v>
      </c>
      <c r="F106" s="1375" t="s">
        <v>3163</v>
      </c>
      <c r="G106" s="1375" t="s">
        <v>3159</v>
      </c>
      <c r="H106" s="1375" t="s">
        <v>2898</v>
      </c>
      <c r="I106" s="1375" t="s">
        <v>3160</v>
      </c>
      <c r="K106" s="1375" t="str">
        <f t="shared" si="1"/>
        <v>IND_199802</v>
      </c>
    </row>
    <row r="107" spans="1:11">
      <c r="A107" s="1375" t="s">
        <v>3164</v>
      </c>
      <c r="B107" s="1375" t="s">
        <v>3156</v>
      </c>
      <c r="C107" s="1375" t="s">
        <v>3165</v>
      </c>
      <c r="D107" s="1375" t="s">
        <v>157</v>
      </c>
      <c r="E107" s="1375" t="s">
        <v>3166</v>
      </c>
      <c r="F107" s="1375" t="s">
        <v>3166</v>
      </c>
      <c r="G107" s="1375" t="s">
        <v>3167</v>
      </c>
      <c r="H107" s="1375" t="s">
        <v>2898</v>
      </c>
      <c r="I107" s="1375" t="s">
        <v>3160</v>
      </c>
      <c r="K107" s="1375" t="str">
        <f t="shared" si="1"/>
        <v>IND_199802</v>
      </c>
    </row>
    <row r="108" spans="1:11">
      <c r="A108" s="1375" t="s">
        <v>3168</v>
      </c>
      <c r="B108" s="1375" t="s">
        <v>3169</v>
      </c>
      <c r="C108" s="1375" t="s">
        <v>3170</v>
      </c>
      <c r="D108" s="1375" t="s">
        <v>157</v>
      </c>
      <c r="E108" s="1375" t="s">
        <v>3171</v>
      </c>
      <c r="F108" s="1375" t="s">
        <v>3171</v>
      </c>
      <c r="G108" s="1375" t="s">
        <v>3170</v>
      </c>
      <c r="H108" s="1375">
        <v>20</v>
      </c>
      <c r="I108" s="1375" t="s">
        <v>3172</v>
      </c>
      <c r="K108" s="1375" t="str">
        <f t="shared" si="1"/>
        <v>IND_199901</v>
      </c>
    </row>
    <row r="109" spans="1:11">
      <c r="A109" s="1375" t="s">
        <v>34</v>
      </c>
      <c r="B109" s="1375" t="s">
        <v>488</v>
      </c>
      <c r="C109" s="1375" t="s">
        <v>489</v>
      </c>
      <c r="D109" s="1375" t="s">
        <v>334</v>
      </c>
      <c r="E109" s="1375" t="s">
        <v>3173</v>
      </c>
      <c r="F109" s="1375" t="s">
        <v>3173</v>
      </c>
      <c r="G109" s="1375" t="s">
        <v>3174</v>
      </c>
      <c r="H109" s="1375">
        <v>10</v>
      </c>
      <c r="I109" s="1375" t="s">
        <v>3175</v>
      </c>
      <c r="K109" s="1375" t="str">
        <f t="shared" si="1"/>
        <v>IND_199902</v>
      </c>
    </row>
    <row r="110" spans="1:11">
      <c r="A110" s="1375" t="s">
        <v>35</v>
      </c>
      <c r="B110" s="1375" t="s">
        <v>488</v>
      </c>
      <c r="C110" s="1375" t="s">
        <v>490</v>
      </c>
      <c r="D110" s="1375" t="s">
        <v>334</v>
      </c>
      <c r="E110" s="1375" t="s">
        <v>3176</v>
      </c>
      <c r="F110" s="1375" t="s">
        <v>3176</v>
      </c>
      <c r="G110" s="1375" t="s">
        <v>3176</v>
      </c>
      <c r="H110" s="1375">
        <v>10</v>
      </c>
      <c r="I110" s="1375" t="s">
        <v>3175</v>
      </c>
      <c r="K110" s="1375" t="str">
        <f t="shared" si="1"/>
        <v>IND_199902</v>
      </c>
    </row>
    <row r="111" spans="1:11">
      <c r="A111" s="1375" t="s">
        <v>2285</v>
      </c>
      <c r="B111" s="1375" t="s">
        <v>1916</v>
      </c>
      <c r="C111" s="1375" t="s">
        <v>1935</v>
      </c>
      <c r="D111" s="1375" t="s">
        <v>334</v>
      </c>
      <c r="E111" s="1375" t="s">
        <v>2193</v>
      </c>
      <c r="F111" s="1375" t="s">
        <v>2193</v>
      </c>
      <c r="G111" s="1375" t="s">
        <v>1012</v>
      </c>
      <c r="H111" s="1375">
        <v>10</v>
      </c>
      <c r="I111" s="1375" t="s">
        <v>3007</v>
      </c>
      <c r="K111" s="1375" t="str">
        <f t="shared" si="1"/>
        <v>IND_200004</v>
      </c>
    </row>
    <row r="112" spans="1:11">
      <c r="A112" s="1375" t="s">
        <v>36</v>
      </c>
      <c r="B112" s="1375" t="s">
        <v>145</v>
      </c>
      <c r="C112" s="1375" t="s">
        <v>307</v>
      </c>
      <c r="D112" s="1375" t="s">
        <v>334</v>
      </c>
      <c r="E112" s="1375" t="s">
        <v>2412</v>
      </c>
      <c r="F112" s="1375" t="s">
        <v>2053</v>
      </c>
      <c r="G112" s="1375" t="s">
        <v>1976</v>
      </c>
      <c r="H112" s="1375">
        <v>9</v>
      </c>
      <c r="I112" s="1375" t="s">
        <v>176</v>
      </c>
      <c r="K112" s="1375" t="str">
        <f t="shared" si="1"/>
        <v>IND_200402</v>
      </c>
    </row>
    <row r="113" spans="1:11">
      <c r="A113" s="1375" t="s">
        <v>37</v>
      </c>
      <c r="B113" s="1375" t="s">
        <v>145</v>
      </c>
      <c r="C113" s="1375" t="s">
        <v>292</v>
      </c>
      <c r="D113" s="1375" t="s">
        <v>334</v>
      </c>
      <c r="E113" s="1375" t="s">
        <v>1784</v>
      </c>
      <c r="F113" s="1375" t="s">
        <v>1785</v>
      </c>
      <c r="G113" s="1375" t="s">
        <v>1973</v>
      </c>
      <c r="H113" s="1375">
        <v>9</v>
      </c>
      <c r="I113" s="1375" t="s">
        <v>176</v>
      </c>
      <c r="K113" s="1375" t="str">
        <f t="shared" si="1"/>
        <v>IND_200402</v>
      </c>
    </row>
    <row r="114" spans="1:11">
      <c r="A114" s="1375" t="s">
        <v>2286</v>
      </c>
      <c r="B114" s="1375" t="s">
        <v>145</v>
      </c>
      <c r="C114" s="1375" t="s">
        <v>1921</v>
      </c>
      <c r="D114" s="1375" t="s">
        <v>1946</v>
      </c>
      <c r="E114" s="1375" t="s">
        <v>2413</v>
      </c>
      <c r="F114" s="1375" t="s">
        <v>2051</v>
      </c>
      <c r="G114" s="1375" t="s">
        <v>1974</v>
      </c>
      <c r="H114" s="1375">
        <v>9</v>
      </c>
      <c r="I114" s="1375" t="s">
        <v>176</v>
      </c>
      <c r="K114" s="1375" t="str">
        <f t="shared" si="1"/>
        <v>IND_200402</v>
      </c>
    </row>
    <row r="115" spans="1:11">
      <c r="A115" s="1375" t="s">
        <v>421</v>
      </c>
      <c r="B115" s="1375" t="s">
        <v>145</v>
      </c>
      <c r="C115" s="1375" t="s">
        <v>302</v>
      </c>
      <c r="D115" s="1375" t="s">
        <v>334</v>
      </c>
      <c r="E115" s="1375" t="s">
        <v>2414</v>
      </c>
      <c r="F115" s="1375" t="s">
        <v>2052</v>
      </c>
      <c r="G115" s="1375" t="s">
        <v>1975</v>
      </c>
      <c r="H115" s="1375">
        <v>9</v>
      </c>
      <c r="I115" s="1375" t="s">
        <v>176</v>
      </c>
      <c r="K115" s="1375" t="str">
        <f t="shared" si="1"/>
        <v>IND_200402</v>
      </c>
    </row>
    <row r="116" spans="1:11">
      <c r="A116" s="1375" t="s">
        <v>38</v>
      </c>
      <c r="B116" s="1375" t="s">
        <v>491</v>
      </c>
      <c r="C116" s="1375" t="s">
        <v>492</v>
      </c>
      <c r="D116" s="1375" t="s">
        <v>334</v>
      </c>
      <c r="E116" s="1375" t="s">
        <v>3177</v>
      </c>
      <c r="F116" s="1375" t="s">
        <v>3178</v>
      </c>
      <c r="G116" s="1375" t="s">
        <v>3124</v>
      </c>
      <c r="H116" s="1375">
        <v>10</v>
      </c>
      <c r="I116" s="1375" t="s">
        <v>3179</v>
      </c>
      <c r="K116" s="1375" t="str">
        <f t="shared" si="1"/>
        <v>IND_200602</v>
      </c>
    </row>
    <row r="117" spans="1:11">
      <c r="A117" s="1375" t="s">
        <v>2287</v>
      </c>
      <c r="B117" s="1375" t="s">
        <v>1917</v>
      </c>
      <c r="C117" s="1375" t="s">
        <v>1936</v>
      </c>
      <c r="D117" s="1375" t="s">
        <v>157</v>
      </c>
      <c r="E117" s="1375" t="s">
        <v>2194</v>
      </c>
      <c r="F117" s="1375" t="s">
        <v>2194</v>
      </c>
      <c r="G117" s="1375" t="s">
        <v>2026</v>
      </c>
      <c r="H117" s="1375" t="s">
        <v>2898</v>
      </c>
      <c r="I117" s="1375" t="s">
        <v>3008</v>
      </c>
      <c r="K117" s="1375" t="str">
        <f t="shared" si="1"/>
        <v>IND_200603</v>
      </c>
    </row>
    <row r="118" spans="1:11">
      <c r="A118" s="1375" t="s">
        <v>3180</v>
      </c>
      <c r="B118" s="1375" t="s">
        <v>3181</v>
      </c>
      <c r="C118" s="1375" t="s">
        <v>3182</v>
      </c>
      <c r="D118" s="1375" t="s">
        <v>157</v>
      </c>
      <c r="E118" s="1375" t="s">
        <v>3181</v>
      </c>
      <c r="F118" s="1375" t="s">
        <v>3181</v>
      </c>
      <c r="G118" s="1375" t="s">
        <v>3181</v>
      </c>
      <c r="H118" s="1375" t="s">
        <v>2898</v>
      </c>
      <c r="I118" s="1375" t="s">
        <v>3183</v>
      </c>
      <c r="K118" s="1375" t="str">
        <f t="shared" si="1"/>
        <v>IND_200702</v>
      </c>
    </row>
    <row r="119" spans="1:11">
      <c r="A119" s="1375" t="s">
        <v>39</v>
      </c>
      <c r="B119" s="1375" t="s">
        <v>146</v>
      </c>
      <c r="C119" s="1375" t="s">
        <v>493</v>
      </c>
      <c r="D119" s="1375" t="s">
        <v>334</v>
      </c>
      <c r="E119" s="1375" t="s">
        <v>1774</v>
      </c>
      <c r="F119" s="1375" t="s">
        <v>1967</v>
      </c>
      <c r="G119" s="1375" t="s">
        <v>1967</v>
      </c>
      <c r="H119" s="1375">
        <v>5</v>
      </c>
      <c r="I119" s="1375" t="s">
        <v>168</v>
      </c>
      <c r="K119" s="1375" t="str">
        <f t="shared" si="1"/>
        <v>IND_201301</v>
      </c>
    </row>
    <row r="120" spans="1:11">
      <c r="A120" s="1375" t="s">
        <v>3184</v>
      </c>
      <c r="B120" s="1375" t="s">
        <v>3185</v>
      </c>
      <c r="C120" s="1375" t="s">
        <v>3186</v>
      </c>
      <c r="D120" s="1375" t="s">
        <v>334</v>
      </c>
      <c r="E120" s="1375" t="s">
        <v>2194</v>
      </c>
      <c r="F120" s="1375" t="s">
        <v>2194</v>
      </c>
      <c r="G120" s="1375" t="s">
        <v>3187</v>
      </c>
      <c r="H120" s="1375">
        <v>5</v>
      </c>
      <c r="I120" s="1375" t="s">
        <v>3188</v>
      </c>
      <c r="K120" s="1375" t="str">
        <f t="shared" si="1"/>
        <v>IND_201302</v>
      </c>
    </row>
    <row r="121" spans="1:11">
      <c r="A121" s="1375" t="s">
        <v>1006</v>
      </c>
      <c r="B121" s="1375" t="s">
        <v>859</v>
      </c>
      <c r="C121" s="1375" t="s">
        <v>911</v>
      </c>
      <c r="D121" s="1375" t="s">
        <v>1007</v>
      </c>
      <c r="E121" s="1375" t="s">
        <v>2415</v>
      </c>
      <c r="F121" s="1375" t="s">
        <v>2164</v>
      </c>
      <c r="G121" s="1375" t="s">
        <v>2005</v>
      </c>
      <c r="H121" s="1375">
        <v>4</v>
      </c>
      <c r="I121" s="1375" t="s">
        <v>860</v>
      </c>
      <c r="K121" s="1375" t="str">
        <f t="shared" si="1"/>
        <v>OTH_201601</v>
      </c>
    </row>
    <row r="122" spans="1:11">
      <c r="A122" s="1375" t="s">
        <v>910</v>
      </c>
      <c r="B122" s="1375" t="s">
        <v>859</v>
      </c>
      <c r="C122" s="1375" t="s">
        <v>911</v>
      </c>
      <c r="D122" s="1375" t="s">
        <v>741</v>
      </c>
      <c r="E122" s="1375" t="s">
        <v>1840</v>
      </c>
      <c r="F122" s="1375" t="s">
        <v>1841</v>
      </c>
      <c r="G122" s="1375" t="s">
        <v>2005</v>
      </c>
      <c r="H122" s="1375">
        <v>4</v>
      </c>
      <c r="I122" s="1375" t="s">
        <v>860</v>
      </c>
      <c r="K122" s="1375" t="str">
        <f t="shared" si="1"/>
        <v>OTH_201601</v>
      </c>
    </row>
    <row r="123" spans="1:11">
      <c r="A123" s="1375" t="s">
        <v>1008</v>
      </c>
      <c r="B123" s="1375" t="s">
        <v>859</v>
      </c>
      <c r="C123" s="1375" t="s">
        <v>1001</v>
      </c>
      <c r="D123" s="1375" t="s">
        <v>1007</v>
      </c>
      <c r="E123" s="1375" t="s">
        <v>2416</v>
      </c>
      <c r="F123" s="1375" t="s">
        <v>2165</v>
      </c>
      <c r="G123" s="1375" t="s">
        <v>2006</v>
      </c>
      <c r="H123" s="1375">
        <v>5</v>
      </c>
      <c r="I123" s="1375" t="s">
        <v>860</v>
      </c>
      <c r="K123" s="1375" t="str">
        <f t="shared" si="1"/>
        <v>OTH_201601</v>
      </c>
    </row>
    <row r="124" spans="1:11">
      <c r="A124" s="1375" t="s">
        <v>957</v>
      </c>
      <c r="B124" s="1375" t="s">
        <v>859</v>
      </c>
      <c r="C124" s="1375" t="s">
        <v>1001</v>
      </c>
      <c r="D124" s="1375" t="s">
        <v>741</v>
      </c>
      <c r="E124" s="1375" t="s">
        <v>1842</v>
      </c>
      <c r="F124" s="1375" t="s">
        <v>1843</v>
      </c>
      <c r="G124" s="1375" t="s">
        <v>2006</v>
      </c>
      <c r="H124" s="1375">
        <v>5</v>
      </c>
      <c r="I124" s="1375" t="s">
        <v>860</v>
      </c>
      <c r="K124" s="1375" t="str">
        <f t="shared" si="1"/>
        <v>OTH_201601</v>
      </c>
    </row>
    <row r="125" spans="1:11">
      <c r="A125" s="1375" t="s">
        <v>1009</v>
      </c>
      <c r="B125" s="1375" t="s">
        <v>859</v>
      </c>
      <c r="C125" s="1375" t="s">
        <v>913</v>
      </c>
      <c r="D125" s="1375" t="s">
        <v>1007</v>
      </c>
      <c r="E125" s="1375" t="s">
        <v>2417</v>
      </c>
      <c r="F125" s="1375" t="s">
        <v>2166</v>
      </c>
      <c r="G125" s="1375" t="s">
        <v>2007</v>
      </c>
      <c r="H125" s="1375">
        <v>4</v>
      </c>
      <c r="I125" s="1375" t="s">
        <v>860</v>
      </c>
      <c r="K125" s="1375" t="str">
        <f t="shared" si="1"/>
        <v>OTH_201601</v>
      </c>
    </row>
    <row r="126" spans="1:11">
      <c r="A126" s="1375" t="s">
        <v>912</v>
      </c>
      <c r="B126" s="1375" t="s">
        <v>859</v>
      </c>
      <c r="C126" s="1375" t="s">
        <v>913</v>
      </c>
      <c r="D126" s="1375" t="s">
        <v>741</v>
      </c>
      <c r="E126" s="1375" t="s">
        <v>1844</v>
      </c>
      <c r="F126" s="1375" t="s">
        <v>1845</v>
      </c>
      <c r="G126" s="1375" t="s">
        <v>2007</v>
      </c>
      <c r="H126" s="1375">
        <v>4</v>
      </c>
      <c r="I126" s="1375" t="s">
        <v>860</v>
      </c>
      <c r="K126" s="1375" t="str">
        <f t="shared" si="1"/>
        <v>OTH_201601</v>
      </c>
    </row>
    <row r="127" spans="1:11">
      <c r="A127" s="1375" t="s">
        <v>100</v>
      </c>
      <c r="B127" s="1375" t="s">
        <v>147</v>
      </c>
      <c r="C127" s="1375" t="s">
        <v>284</v>
      </c>
      <c r="D127" s="1375" t="s">
        <v>1007</v>
      </c>
      <c r="E127" s="1375" t="s">
        <v>3189</v>
      </c>
      <c r="F127" s="1375" t="s">
        <v>3190</v>
      </c>
      <c r="G127" s="1375" t="s">
        <v>284</v>
      </c>
      <c r="H127" s="1375">
        <v>14</v>
      </c>
      <c r="I127" s="1375" t="s">
        <v>175</v>
      </c>
      <c r="K127" s="1375" t="str">
        <f t="shared" si="1"/>
        <v>RES_199702</v>
      </c>
    </row>
    <row r="128" spans="1:11">
      <c r="A128" s="1375" t="s">
        <v>396</v>
      </c>
      <c r="B128" s="1375" t="s">
        <v>147</v>
      </c>
      <c r="C128" s="1375" t="s">
        <v>147</v>
      </c>
      <c r="D128" s="1375" t="s">
        <v>342</v>
      </c>
      <c r="E128" s="1375" t="s">
        <v>3191</v>
      </c>
      <c r="F128" s="1375" t="s">
        <v>3192</v>
      </c>
      <c r="G128" s="1375" t="s">
        <v>147</v>
      </c>
      <c r="H128" s="1375">
        <v>14</v>
      </c>
      <c r="I128" s="1375" t="s">
        <v>175</v>
      </c>
      <c r="K128" s="1375" t="str">
        <f t="shared" si="1"/>
        <v>RES_199702</v>
      </c>
    </row>
    <row r="129" spans="1:11">
      <c r="A129" s="1375" t="s">
        <v>3193</v>
      </c>
      <c r="B129" s="1375" t="s">
        <v>147</v>
      </c>
      <c r="C129" s="1375" t="s">
        <v>156</v>
      </c>
      <c r="D129" s="1375" t="s">
        <v>1007</v>
      </c>
      <c r="E129" s="1375" t="s">
        <v>3194</v>
      </c>
      <c r="F129" s="1375" t="s">
        <v>3190</v>
      </c>
      <c r="G129" s="1375" t="s">
        <v>156</v>
      </c>
      <c r="H129" s="1375">
        <v>14</v>
      </c>
      <c r="I129" s="1375" t="s">
        <v>175</v>
      </c>
      <c r="K129" s="1375" t="str">
        <f t="shared" si="1"/>
        <v>RES_199702</v>
      </c>
    </row>
    <row r="130" spans="1:11">
      <c r="A130" s="1375" t="s">
        <v>3195</v>
      </c>
      <c r="B130" s="1375" t="s">
        <v>147</v>
      </c>
      <c r="C130" s="1375" t="s">
        <v>156</v>
      </c>
      <c r="D130" s="1375" t="s">
        <v>163</v>
      </c>
      <c r="E130" s="1375" t="s">
        <v>3196</v>
      </c>
      <c r="F130" s="1375" t="s">
        <v>3197</v>
      </c>
      <c r="G130" s="1375" t="s">
        <v>156</v>
      </c>
      <c r="H130" s="1375">
        <v>14</v>
      </c>
      <c r="I130" s="1375" t="s">
        <v>175</v>
      </c>
      <c r="K130" s="1375" t="str">
        <f t="shared" si="1"/>
        <v>RES_199702</v>
      </c>
    </row>
    <row r="131" spans="1:11">
      <c r="A131" s="1375" t="s">
        <v>397</v>
      </c>
      <c r="B131" s="1375" t="s">
        <v>147</v>
      </c>
      <c r="C131" s="1375" t="s">
        <v>147</v>
      </c>
      <c r="D131" s="1375" t="s">
        <v>343</v>
      </c>
      <c r="E131" s="1375" t="s">
        <v>3198</v>
      </c>
      <c r="F131" s="1375" t="s">
        <v>3199</v>
      </c>
      <c r="G131" s="1375" t="s">
        <v>147</v>
      </c>
      <c r="H131" s="1375">
        <v>14</v>
      </c>
      <c r="I131" s="1375" t="s">
        <v>175</v>
      </c>
      <c r="K131" s="1375" t="str">
        <f t="shared" ref="K131:K194" si="2">LEFT(A131,10)</f>
        <v>RES_199702</v>
      </c>
    </row>
    <row r="132" spans="1:11">
      <c r="A132" s="1375" t="s">
        <v>398</v>
      </c>
      <c r="B132" s="1375" t="s">
        <v>147</v>
      </c>
      <c r="C132" s="1375" t="s">
        <v>147</v>
      </c>
      <c r="D132" s="1375" t="s">
        <v>345</v>
      </c>
      <c r="E132" s="1375" t="s">
        <v>3200</v>
      </c>
      <c r="F132" s="1375" t="s">
        <v>3201</v>
      </c>
      <c r="G132" s="1375" t="s">
        <v>147</v>
      </c>
      <c r="H132" s="1375">
        <v>14</v>
      </c>
      <c r="I132" s="1375" t="s">
        <v>175</v>
      </c>
      <c r="K132" s="1375" t="str">
        <f t="shared" si="2"/>
        <v>RES_199702</v>
      </c>
    </row>
    <row r="133" spans="1:11">
      <c r="A133" s="1375" t="s">
        <v>40</v>
      </c>
      <c r="B133" s="1375" t="s">
        <v>147</v>
      </c>
      <c r="C133" s="1375" t="s">
        <v>147</v>
      </c>
      <c r="D133" s="1375" t="s">
        <v>346</v>
      </c>
      <c r="E133" s="1375" t="s">
        <v>3202</v>
      </c>
      <c r="F133" s="1375" t="s">
        <v>3203</v>
      </c>
      <c r="G133" s="1375" t="s">
        <v>147</v>
      </c>
      <c r="H133" s="1375">
        <v>14</v>
      </c>
      <c r="I133" s="1375" t="s">
        <v>175</v>
      </c>
      <c r="K133" s="1375" t="str">
        <f t="shared" si="2"/>
        <v>RES_199702</v>
      </c>
    </row>
    <row r="134" spans="1:11">
      <c r="A134" s="1375" t="s">
        <v>41</v>
      </c>
      <c r="B134" s="1375" t="s">
        <v>147</v>
      </c>
      <c r="C134" s="1375" t="s">
        <v>147</v>
      </c>
      <c r="D134" s="1375" t="s">
        <v>344</v>
      </c>
      <c r="E134" s="1375" t="s">
        <v>3204</v>
      </c>
      <c r="F134" s="1375" t="s">
        <v>3205</v>
      </c>
      <c r="G134" s="1375" t="s">
        <v>147</v>
      </c>
      <c r="H134" s="1375">
        <v>14</v>
      </c>
      <c r="I134" s="1375" t="s">
        <v>175</v>
      </c>
      <c r="K134" s="1375" t="str">
        <f t="shared" si="2"/>
        <v>RES_199702</v>
      </c>
    </row>
    <row r="135" spans="1:11">
      <c r="A135" s="1375" t="s">
        <v>42</v>
      </c>
      <c r="B135" s="1375" t="s">
        <v>147</v>
      </c>
      <c r="C135" s="1375" t="s">
        <v>147</v>
      </c>
      <c r="D135" s="1375" t="s">
        <v>160</v>
      </c>
      <c r="E135" s="1375" t="s">
        <v>3206</v>
      </c>
      <c r="F135" s="1375" t="s">
        <v>3207</v>
      </c>
      <c r="G135" s="1375" t="s">
        <v>147</v>
      </c>
      <c r="H135" s="1375">
        <v>14</v>
      </c>
      <c r="I135" s="1375" t="s">
        <v>175</v>
      </c>
      <c r="K135" s="1375" t="str">
        <f t="shared" si="2"/>
        <v>RES_199702</v>
      </c>
    </row>
    <row r="136" spans="1:11">
      <c r="A136" s="1375" t="s">
        <v>43</v>
      </c>
      <c r="B136" s="1375" t="s">
        <v>147</v>
      </c>
      <c r="C136" s="1375" t="s">
        <v>147</v>
      </c>
      <c r="D136" s="1375" t="s">
        <v>161</v>
      </c>
      <c r="E136" s="1375" t="s">
        <v>3208</v>
      </c>
      <c r="F136" s="1375" t="s">
        <v>3209</v>
      </c>
      <c r="G136" s="1375" t="s">
        <v>147</v>
      </c>
      <c r="H136" s="1375">
        <v>14</v>
      </c>
      <c r="I136" s="1375" t="s">
        <v>175</v>
      </c>
      <c r="K136" s="1375" t="str">
        <f t="shared" si="2"/>
        <v>RES_199702</v>
      </c>
    </row>
    <row r="137" spans="1:11">
      <c r="A137" s="1375" t="s">
        <v>44</v>
      </c>
      <c r="B137" s="1375" t="s">
        <v>147</v>
      </c>
      <c r="C137" s="1375" t="s">
        <v>147</v>
      </c>
      <c r="D137" s="1375" t="s">
        <v>162</v>
      </c>
      <c r="E137" s="1375" t="s">
        <v>3210</v>
      </c>
      <c r="F137" s="1375" t="s">
        <v>3211</v>
      </c>
      <c r="G137" s="1375" t="s">
        <v>147</v>
      </c>
      <c r="H137" s="1375">
        <v>14</v>
      </c>
      <c r="I137" s="1375" t="s">
        <v>175</v>
      </c>
      <c r="K137" s="1375" t="str">
        <f t="shared" si="2"/>
        <v>RES_199702</v>
      </c>
    </row>
    <row r="138" spans="1:11">
      <c r="A138" s="1375" t="s">
        <v>101</v>
      </c>
      <c r="B138" s="1375" t="s">
        <v>147</v>
      </c>
      <c r="C138" s="1375" t="s">
        <v>284</v>
      </c>
      <c r="D138" s="1375" t="s">
        <v>917</v>
      </c>
      <c r="E138" s="1375" t="s">
        <v>3212</v>
      </c>
      <c r="F138" s="1375" t="s">
        <v>3213</v>
      </c>
      <c r="G138" s="1375" t="s">
        <v>284</v>
      </c>
      <c r="H138" s="1375">
        <v>14</v>
      </c>
      <c r="I138" s="1375" t="s">
        <v>175</v>
      </c>
      <c r="K138" s="1375" t="str">
        <f t="shared" si="2"/>
        <v>RES_199702</v>
      </c>
    </row>
    <row r="139" spans="1:11">
      <c r="A139" s="1375" t="s">
        <v>45</v>
      </c>
      <c r="B139" s="1375" t="s">
        <v>148</v>
      </c>
      <c r="C139" s="1375" t="s">
        <v>676</v>
      </c>
      <c r="D139" s="1375" t="s">
        <v>157</v>
      </c>
      <c r="E139" s="1375" t="s">
        <v>1862</v>
      </c>
      <c r="F139" s="1375" t="s">
        <v>1863</v>
      </c>
      <c r="G139" s="1375" t="s">
        <v>2029</v>
      </c>
      <c r="H139" s="1375">
        <v>6</v>
      </c>
      <c r="I139" s="1375" t="s">
        <v>172</v>
      </c>
      <c r="K139" s="1375" t="str">
        <f t="shared" si="2"/>
        <v>RES_199703</v>
      </c>
    </row>
    <row r="140" spans="1:11">
      <c r="A140" s="1375" t="s">
        <v>46</v>
      </c>
      <c r="B140" s="1375" t="s">
        <v>148</v>
      </c>
      <c r="C140" s="1375" t="s">
        <v>677</v>
      </c>
      <c r="D140" s="1375" t="s">
        <v>157</v>
      </c>
      <c r="E140" s="1375" t="s">
        <v>1864</v>
      </c>
      <c r="F140" s="1375" t="s">
        <v>1865</v>
      </c>
      <c r="G140" s="1375" t="s">
        <v>2030</v>
      </c>
      <c r="H140" s="1375">
        <v>7</v>
      </c>
      <c r="I140" s="1375" t="s">
        <v>172</v>
      </c>
      <c r="K140" s="1375" t="str">
        <f t="shared" si="2"/>
        <v>RES_199703</v>
      </c>
    </row>
    <row r="141" spans="1:11">
      <c r="A141" s="1375" t="s">
        <v>102</v>
      </c>
      <c r="B141" s="1375" t="s">
        <v>148</v>
      </c>
      <c r="C141" s="1375" t="s">
        <v>300</v>
      </c>
      <c r="D141" s="1375" t="s">
        <v>157</v>
      </c>
      <c r="E141" s="1375" t="s">
        <v>1866</v>
      </c>
      <c r="F141" s="1375" t="s">
        <v>1867</v>
      </c>
      <c r="G141" s="1375" t="s">
        <v>300</v>
      </c>
      <c r="H141" s="1375">
        <v>12</v>
      </c>
      <c r="I141" s="1375" t="s">
        <v>172</v>
      </c>
      <c r="K141" s="1375" t="str">
        <f t="shared" si="2"/>
        <v>RES_199703</v>
      </c>
    </row>
    <row r="142" spans="1:11">
      <c r="A142" s="1375" t="s">
        <v>103</v>
      </c>
      <c r="B142" s="1375" t="s">
        <v>148</v>
      </c>
      <c r="C142" s="1375" t="s">
        <v>301</v>
      </c>
      <c r="D142" s="1375" t="s">
        <v>157</v>
      </c>
      <c r="E142" s="1375" t="s">
        <v>1868</v>
      </c>
      <c r="F142" s="1375" t="s">
        <v>1869</v>
      </c>
      <c r="G142" s="1375" t="s">
        <v>301</v>
      </c>
      <c r="H142" s="1375">
        <v>12</v>
      </c>
      <c r="I142" s="1375" t="s">
        <v>172</v>
      </c>
      <c r="K142" s="1375" t="str">
        <f t="shared" si="2"/>
        <v>RES_199703</v>
      </c>
    </row>
    <row r="143" spans="1:11">
      <c r="A143" s="1375" t="s">
        <v>914</v>
      </c>
      <c r="B143" s="1375" t="s">
        <v>148</v>
      </c>
      <c r="C143" s="1375" t="s">
        <v>678</v>
      </c>
      <c r="D143" s="1375" t="s">
        <v>157</v>
      </c>
      <c r="E143" s="1375" t="s">
        <v>2418</v>
      </c>
      <c r="F143" s="1375" t="s">
        <v>2195</v>
      </c>
      <c r="G143" s="1375" t="s">
        <v>2031</v>
      </c>
      <c r="H143" s="1375">
        <v>2</v>
      </c>
      <c r="I143" s="1375" t="s">
        <v>172</v>
      </c>
      <c r="K143" s="1375" t="str">
        <f t="shared" si="2"/>
        <v>RES_199703</v>
      </c>
    </row>
    <row r="144" spans="1:11">
      <c r="A144" s="1375" t="s">
        <v>915</v>
      </c>
      <c r="B144" s="1375" t="s">
        <v>148</v>
      </c>
      <c r="C144" s="1375" t="s">
        <v>679</v>
      </c>
      <c r="D144" s="1375" t="s">
        <v>157</v>
      </c>
      <c r="E144" s="1375" t="s">
        <v>2419</v>
      </c>
      <c r="F144" s="1375" t="s">
        <v>2196</v>
      </c>
      <c r="G144" s="1375" t="s">
        <v>2032</v>
      </c>
      <c r="H144" s="1375">
        <v>2</v>
      </c>
      <c r="I144" s="1375" t="s">
        <v>172</v>
      </c>
      <c r="K144" s="1375" t="str">
        <f t="shared" si="2"/>
        <v>RES_199703</v>
      </c>
    </row>
    <row r="145" spans="1:11">
      <c r="A145" s="1375" t="s">
        <v>494</v>
      </c>
      <c r="B145" s="1375" t="s">
        <v>495</v>
      </c>
      <c r="C145" s="1375" t="s">
        <v>496</v>
      </c>
      <c r="D145" s="1375" t="s">
        <v>497</v>
      </c>
      <c r="E145" s="1375" t="s">
        <v>3214</v>
      </c>
      <c r="F145" s="1375" t="s">
        <v>3214</v>
      </c>
      <c r="G145" s="1375" t="s">
        <v>3215</v>
      </c>
      <c r="H145" s="1375">
        <v>20</v>
      </c>
      <c r="I145" s="1375" t="s">
        <v>3216</v>
      </c>
      <c r="K145" s="1375" t="str">
        <f t="shared" si="2"/>
        <v>RES_199705</v>
      </c>
    </row>
    <row r="146" spans="1:11">
      <c r="A146" s="1375" t="s">
        <v>3217</v>
      </c>
      <c r="B146" s="1375" t="s">
        <v>495</v>
      </c>
      <c r="C146" s="1375" t="s">
        <v>3218</v>
      </c>
      <c r="D146" s="1375" t="s">
        <v>497</v>
      </c>
      <c r="E146" s="1375" t="s">
        <v>3219</v>
      </c>
      <c r="F146" s="1375" t="s">
        <v>3220</v>
      </c>
      <c r="G146" s="1375" t="s">
        <v>495</v>
      </c>
      <c r="H146" s="1375" t="s">
        <v>2898</v>
      </c>
      <c r="I146" s="1375" t="s">
        <v>3216</v>
      </c>
      <c r="K146" s="1375" t="str">
        <f t="shared" si="2"/>
        <v>RES_199705</v>
      </c>
    </row>
    <row r="147" spans="1:11">
      <c r="A147" s="1375" t="s">
        <v>3221</v>
      </c>
      <c r="B147" s="1375" t="s">
        <v>495</v>
      </c>
      <c r="C147" s="1375" t="s">
        <v>3222</v>
      </c>
      <c r="D147" s="1375" t="s">
        <v>497</v>
      </c>
      <c r="E147" s="1375" t="s">
        <v>3219</v>
      </c>
      <c r="F147" s="1375" t="s">
        <v>3220</v>
      </c>
      <c r="G147" s="1375" t="s">
        <v>495</v>
      </c>
      <c r="H147" s="1375" t="s">
        <v>2898</v>
      </c>
      <c r="I147" s="1375" t="s">
        <v>3216</v>
      </c>
      <c r="K147" s="1375" t="str">
        <f t="shared" si="2"/>
        <v>RES_199705</v>
      </c>
    </row>
    <row r="148" spans="1:11">
      <c r="A148" s="1375" t="s">
        <v>3223</v>
      </c>
      <c r="B148" s="1375" t="s">
        <v>3224</v>
      </c>
      <c r="C148" s="1375" t="s">
        <v>3224</v>
      </c>
      <c r="D148" s="1375" t="s">
        <v>157</v>
      </c>
      <c r="E148" s="1375" t="s">
        <v>3225</v>
      </c>
      <c r="F148" s="1375" t="s">
        <v>3225</v>
      </c>
      <c r="G148" s="1375" t="s">
        <v>3226</v>
      </c>
      <c r="H148" s="1375" t="s">
        <v>2898</v>
      </c>
      <c r="I148" s="1375" t="s">
        <v>3227</v>
      </c>
      <c r="K148" s="1375" t="str">
        <f t="shared" si="2"/>
        <v>RES_199706</v>
      </c>
    </row>
    <row r="149" spans="1:11">
      <c r="A149" s="1375" t="s">
        <v>2288</v>
      </c>
      <c r="B149" s="1375" t="s">
        <v>1915</v>
      </c>
      <c r="C149" s="1375" t="s">
        <v>1924</v>
      </c>
      <c r="D149" s="1375" t="s">
        <v>157</v>
      </c>
      <c r="E149" s="1375" t="s">
        <v>2079</v>
      </c>
      <c r="F149" s="1375" t="s">
        <v>2079</v>
      </c>
      <c r="G149" s="1375" t="s">
        <v>1985</v>
      </c>
      <c r="H149" s="1375" t="s">
        <v>2898</v>
      </c>
      <c r="I149" s="1375" t="s">
        <v>3009</v>
      </c>
      <c r="K149" s="1375" t="str">
        <f t="shared" si="2"/>
        <v>RES_199802</v>
      </c>
    </row>
    <row r="150" spans="1:11">
      <c r="A150" s="1375" t="s">
        <v>401</v>
      </c>
      <c r="B150" s="1375" t="s">
        <v>291</v>
      </c>
      <c r="C150" s="1375" t="s">
        <v>291</v>
      </c>
      <c r="D150" s="1375" t="s">
        <v>347</v>
      </c>
      <c r="E150" s="1375" t="s">
        <v>3228</v>
      </c>
      <c r="F150" s="1375" t="s">
        <v>3229</v>
      </c>
      <c r="G150" s="1375" t="s">
        <v>291</v>
      </c>
      <c r="H150" s="1375">
        <v>14</v>
      </c>
      <c r="I150" s="1375" t="s">
        <v>3230</v>
      </c>
      <c r="K150" s="1375" t="str">
        <f t="shared" si="2"/>
        <v>RES_200005</v>
      </c>
    </row>
    <row r="151" spans="1:11">
      <c r="A151" s="1375" t="s">
        <v>402</v>
      </c>
      <c r="B151" s="1375" t="s">
        <v>291</v>
      </c>
      <c r="C151" s="1375" t="s">
        <v>291</v>
      </c>
      <c r="D151" s="1375" t="s">
        <v>348</v>
      </c>
      <c r="E151" s="1375" t="s">
        <v>3231</v>
      </c>
      <c r="F151" s="1375" t="s">
        <v>3232</v>
      </c>
      <c r="G151" s="1375" t="s">
        <v>291</v>
      </c>
      <c r="H151" s="1375">
        <v>14</v>
      </c>
      <c r="I151" s="1375" t="s">
        <v>3230</v>
      </c>
      <c r="K151" s="1375" t="str">
        <f t="shared" si="2"/>
        <v>RES_200005</v>
      </c>
    </row>
    <row r="152" spans="1:11">
      <c r="A152" s="1375" t="s">
        <v>403</v>
      </c>
      <c r="B152" s="1375" t="s">
        <v>291</v>
      </c>
      <c r="C152" s="1375" t="s">
        <v>291</v>
      </c>
      <c r="D152" s="1375" t="s">
        <v>349</v>
      </c>
      <c r="E152" s="1375" t="s">
        <v>3233</v>
      </c>
      <c r="F152" s="1375" t="s">
        <v>3234</v>
      </c>
      <c r="G152" s="1375" t="s">
        <v>291</v>
      </c>
      <c r="H152" s="1375">
        <v>14</v>
      </c>
      <c r="I152" s="1375" t="s">
        <v>3230</v>
      </c>
      <c r="K152" s="1375" t="str">
        <f t="shared" si="2"/>
        <v>RES_200005</v>
      </c>
    </row>
    <row r="153" spans="1:11">
      <c r="A153" s="1375" t="s">
        <v>404</v>
      </c>
      <c r="B153" s="1375" t="s">
        <v>291</v>
      </c>
      <c r="C153" s="1375" t="s">
        <v>291</v>
      </c>
      <c r="D153" s="1375" t="s">
        <v>350</v>
      </c>
      <c r="E153" s="1375" t="s">
        <v>3235</v>
      </c>
      <c r="F153" s="1375" t="s">
        <v>3236</v>
      </c>
      <c r="G153" s="1375" t="s">
        <v>291</v>
      </c>
      <c r="H153" s="1375">
        <v>14</v>
      </c>
      <c r="I153" s="1375" t="s">
        <v>3230</v>
      </c>
      <c r="K153" s="1375" t="str">
        <f t="shared" si="2"/>
        <v>RES_200005</v>
      </c>
    </row>
    <row r="154" spans="1:11">
      <c r="A154" s="1375" t="s">
        <v>3237</v>
      </c>
      <c r="B154" s="1375" t="s">
        <v>314</v>
      </c>
      <c r="C154" s="1375" t="s">
        <v>314</v>
      </c>
      <c r="D154" s="1375" t="s">
        <v>3238</v>
      </c>
      <c r="E154" s="1375" t="s">
        <v>3239</v>
      </c>
      <c r="F154" s="1375" t="s">
        <v>3240</v>
      </c>
      <c r="G154" s="1375" t="s">
        <v>314</v>
      </c>
      <c r="H154" s="1375">
        <v>20</v>
      </c>
      <c r="I154" s="1375" t="s">
        <v>862</v>
      </c>
      <c r="K154" s="1375" t="str">
        <f t="shared" si="2"/>
        <v>RES_200006</v>
      </c>
    </row>
    <row r="155" spans="1:11">
      <c r="A155" s="1375" t="s">
        <v>445</v>
      </c>
      <c r="B155" s="1375" t="s">
        <v>314</v>
      </c>
      <c r="C155" s="1375" t="s">
        <v>314</v>
      </c>
      <c r="D155" s="1375" t="s">
        <v>379</v>
      </c>
      <c r="E155" s="1375" t="s">
        <v>3241</v>
      </c>
      <c r="F155" s="1375" t="s">
        <v>3242</v>
      </c>
      <c r="G155" s="1375" t="s">
        <v>314</v>
      </c>
      <c r="H155" s="1375">
        <v>20</v>
      </c>
      <c r="I155" s="1375" t="s">
        <v>862</v>
      </c>
      <c r="K155" s="1375" t="str">
        <f t="shared" si="2"/>
        <v>RES_200006</v>
      </c>
    </row>
    <row r="156" spans="1:11">
      <c r="A156" s="1375" t="s">
        <v>446</v>
      </c>
      <c r="B156" s="1375" t="s">
        <v>314</v>
      </c>
      <c r="C156" s="1375" t="s">
        <v>314</v>
      </c>
      <c r="D156" s="1375" t="s">
        <v>380</v>
      </c>
      <c r="E156" s="1375" t="s">
        <v>3243</v>
      </c>
      <c r="F156" s="1375" t="s">
        <v>3244</v>
      </c>
      <c r="G156" s="1375" t="s">
        <v>314</v>
      </c>
      <c r="H156" s="1375">
        <v>20</v>
      </c>
      <c r="I156" s="1375" t="s">
        <v>862</v>
      </c>
      <c r="K156" s="1375" t="str">
        <f t="shared" si="2"/>
        <v>RES_200006</v>
      </c>
    </row>
    <row r="157" spans="1:11">
      <c r="A157" s="1375" t="s">
        <v>442</v>
      </c>
      <c r="B157" s="1375" t="s">
        <v>314</v>
      </c>
      <c r="C157" s="1375" t="s">
        <v>314</v>
      </c>
      <c r="D157" s="1375" t="s">
        <v>376</v>
      </c>
      <c r="E157" s="1375" t="s">
        <v>3245</v>
      </c>
      <c r="F157" s="1375" t="s">
        <v>3246</v>
      </c>
      <c r="G157" s="1375" t="s">
        <v>314</v>
      </c>
      <c r="H157" s="1375">
        <v>20</v>
      </c>
      <c r="I157" s="1375" t="s">
        <v>862</v>
      </c>
      <c r="K157" s="1375" t="str">
        <f t="shared" si="2"/>
        <v>RES_200006</v>
      </c>
    </row>
    <row r="158" spans="1:11">
      <c r="A158" s="1375" t="s">
        <v>443</v>
      </c>
      <c r="B158" s="1375" t="s">
        <v>314</v>
      </c>
      <c r="C158" s="1375" t="s">
        <v>314</v>
      </c>
      <c r="D158" s="1375" t="s">
        <v>377</v>
      </c>
      <c r="E158" s="1375" t="s">
        <v>3247</v>
      </c>
      <c r="F158" s="1375" t="s">
        <v>3248</v>
      </c>
      <c r="G158" s="1375" t="s">
        <v>314</v>
      </c>
      <c r="H158" s="1375">
        <v>20</v>
      </c>
      <c r="I158" s="1375" t="s">
        <v>862</v>
      </c>
      <c r="K158" s="1375" t="str">
        <f t="shared" si="2"/>
        <v>RES_200006</v>
      </c>
    </row>
    <row r="159" spans="1:11">
      <c r="A159" s="1375" t="s">
        <v>444</v>
      </c>
      <c r="B159" s="1375" t="s">
        <v>314</v>
      </c>
      <c r="C159" s="1375" t="s">
        <v>314</v>
      </c>
      <c r="D159" s="1375" t="s">
        <v>378</v>
      </c>
      <c r="E159" s="1375" t="s">
        <v>3249</v>
      </c>
      <c r="F159" s="1375" t="s">
        <v>3250</v>
      </c>
      <c r="G159" s="1375" t="s">
        <v>314</v>
      </c>
      <c r="H159" s="1375">
        <v>20</v>
      </c>
      <c r="I159" s="1375" t="s">
        <v>862</v>
      </c>
      <c r="K159" s="1375" t="str">
        <f t="shared" si="2"/>
        <v>RES_200006</v>
      </c>
    </row>
    <row r="160" spans="1:11">
      <c r="A160" s="1375" t="s">
        <v>3251</v>
      </c>
      <c r="B160" s="1375" t="s">
        <v>314</v>
      </c>
      <c r="C160" s="1375" t="s">
        <v>314</v>
      </c>
      <c r="D160" s="1375" t="s">
        <v>3252</v>
      </c>
      <c r="E160" s="1375" t="s">
        <v>3253</v>
      </c>
      <c r="F160" s="1375" t="s">
        <v>3254</v>
      </c>
      <c r="G160" s="1375" t="s">
        <v>314</v>
      </c>
      <c r="H160" s="1375">
        <v>20</v>
      </c>
      <c r="I160" s="1375" t="s">
        <v>862</v>
      </c>
      <c r="K160" s="1375" t="str">
        <f t="shared" si="2"/>
        <v>RES_200006</v>
      </c>
    </row>
    <row r="161" spans="1:11">
      <c r="A161" s="1375" t="s">
        <v>47</v>
      </c>
      <c r="B161" s="1375" t="s">
        <v>469</v>
      </c>
      <c r="C161" s="1375" t="s">
        <v>916</v>
      </c>
      <c r="D161" s="1375" t="s">
        <v>917</v>
      </c>
      <c r="E161" s="1375" t="s">
        <v>2420</v>
      </c>
      <c r="F161" s="1375" t="s">
        <v>2073</v>
      </c>
      <c r="G161" s="1375" t="s">
        <v>1979</v>
      </c>
      <c r="H161" s="1375">
        <v>45</v>
      </c>
      <c r="I161" s="1375" t="s">
        <v>3010</v>
      </c>
      <c r="K161" s="1375" t="str">
        <f t="shared" si="2"/>
        <v>RES_200401</v>
      </c>
    </row>
    <row r="162" spans="1:11">
      <c r="A162" s="1375" t="s">
        <v>2289</v>
      </c>
      <c r="B162" s="1375" t="s">
        <v>469</v>
      </c>
      <c r="C162" s="1375" t="s">
        <v>498</v>
      </c>
      <c r="D162" s="1375" t="s">
        <v>917</v>
      </c>
      <c r="E162" s="1375" t="s">
        <v>2421</v>
      </c>
      <c r="F162" s="1375" t="s">
        <v>2058</v>
      </c>
      <c r="G162" s="1375" t="s">
        <v>1980</v>
      </c>
      <c r="H162" s="1375">
        <v>45</v>
      </c>
      <c r="I162" s="1375" t="s">
        <v>3010</v>
      </c>
      <c r="K162" s="1375" t="str">
        <f t="shared" si="2"/>
        <v>RES_200401</v>
      </c>
    </row>
    <row r="163" spans="1:11">
      <c r="A163" s="1375" t="s">
        <v>432</v>
      </c>
      <c r="B163" s="1375" t="s">
        <v>469</v>
      </c>
      <c r="C163" s="1375" t="s">
        <v>308</v>
      </c>
      <c r="D163" s="1375" t="s">
        <v>917</v>
      </c>
      <c r="E163" s="1375" t="s">
        <v>2422</v>
      </c>
      <c r="F163" s="1375" t="s">
        <v>2064</v>
      </c>
      <c r="G163" s="1375" t="s">
        <v>1979</v>
      </c>
      <c r="H163" s="1375">
        <v>45</v>
      </c>
      <c r="I163" s="1375" t="s">
        <v>3010</v>
      </c>
      <c r="K163" s="1375" t="str">
        <f t="shared" si="2"/>
        <v>RES_200401</v>
      </c>
    </row>
    <row r="164" spans="1:11">
      <c r="A164" s="1375" t="s">
        <v>2290</v>
      </c>
      <c r="B164" s="1375" t="s">
        <v>469</v>
      </c>
      <c r="C164" s="1375" t="s">
        <v>1923</v>
      </c>
      <c r="D164" s="1375" t="s">
        <v>917</v>
      </c>
      <c r="E164" s="1375" t="s">
        <v>2423</v>
      </c>
      <c r="F164" s="1375" t="s">
        <v>2069</v>
      </c>
      <c r="G164" s="1375" t="s">
        <v>1980</v>
      </c>
      <c r="H164" s="1375">
        <v>45</v>
      </c>
      <c r="I164" s="1375" t="s">
        <v>3010</v>
      </c>
      <c r="K164" s="1375" t="str">
        <f t="shared" si="2"/>
        <v>RES_200401</v>
      </c>
    </row>
    <row r="165" spans="1:11">
      <c r="A165" s="1375" t="s">
        <v>2291</v>
      </c>
      <c r="B165" s="1375" t="s">
        <v>469</v>
      </c>
      <c r="C165" s="1375" t="s">
        <v>499</v>
      </c>
      <c r="D165" s="1375" t="s">
        <v>917</v>
      </c>
      <c r="E165" s="1375" t="s">
        <v>2424</v>
      </c>
      <c r="F165" s="1375" t="s">
        <v>2074</v>
      </c>
      <c r="G165" s="1375" t="s">
        <v>1980</v>
      </c>
      <c r="H165" s="1375">
        <v>45</v>
      </c>
      <c r="I165" s="1375" t="s">
        <v>3010</v>
      </c>
      <c r="K165" s="1375" t="str">
        <f t="shared" si="2"/>
        <v>RES_200401</v>
      </c>
    </row>
    <row r="166" spans="1:11">
      <c r="A166" s="1375" t="s">
        <v>2292</v>
      </c>
      <c r="B166" s="1375" t="s">
        <v>469</v>
      </c>
      <c r="C166" s="1375" t="s">
        <v>1922</v>
      </c>
      <c r="D166" s="1375" t="s">
        <v>917</v>
      </c>
      <c r="E166" s="1375" t="s">
        <v>2425</v>
      </c>
      <c r="F166" s="1375" t="s">
        <v>2063</v>
      </c>
      <c r="G166" s="1375" t="s">
        <v>1980</v>
      </c>
      <c r="H166" s="1375">
        <v>45</v>
      </c>
      <c r="I166" s="1375" t="s">
        <v>3010</v>
      </c>
      <c r="K166" s="1375" t="str">
        <f t="shared" si="2"/>
        <v>RES_200401</v>
      </c>
    </row>
    <row r="167" spans="1:11">
      <c r="A167" s="1375" t="s">
        <v>409</v>
      </c>
      <c r="B167" s="1375" t="s">
        <v>469</v>
      </c>
      <c r="C167" s="1375" t="s">
        <v>295</v>
      </c>
      <c r="D167" s="1375" t="s">
        <v>353</v>
      </c>
      <c r="E167" s="1375" t="s">
        <v>2426</v>
      </c>
      <c r="F167" s="1375" t="s">
        <v>2054</v>
      </c>
      <c r="G167" s="1375" t="s">
        <v>1979</v>
      </c>
      <c r="H167" s="1375">
        <v>45</v>
      </c>
      <c r="I167" s="1375" t="s">
        <v>3010</v>
      </c>
      <c r="K167" s="1375" t="str">
        <f t="shared" si="2"/>
        <v>RES_200401</v>
      </c>
    </row>
    <row r="168" spans="1:11">
      <c r="A168" s="1375" t="s">
        <v>410</v>
      </c>
      <c r="B168" s="1375" t="s">
        <v>469</v>
      </c>
      <c r="C168" s="1375" t="s">
        <v>295</v>
      </c>
      <c r="D168" s="1375" t="s">
        <v>354</v>
      </c>
      <c r="E168" s="1375" t="s">
        <v>2427</v>
      </c>
      <c r="F168" s="1375" t="s">
        <v>2055</v>
      </c>
      <c r="G168" s="1375" t="s">
        <v>1979</v>
      </c>
      <c r="H168" s="1375">
        <v>45</v>
      </c>
      <c r="I168" s="1375" t="s">
        <v>3010</v>
      </c>
      <c r="K168" s="1375" t="str">
        <f t="shared" si="2"/>
        <v>RES_200401</v>
      </c>
    </row>
    <row r="169" spans="1:11">
      <c r="A169" s="1375" t="s">
        <v>411</v>
      </c>
      <c r="B169" s="1375" t="s">
        <v>469</v>
      </c>
      <c r="C169" s="1375" t="s">
        <v>295</v>
      </c>
      <c r="D169" s="1375" t="s">
        <v>355</v>
      </c>
      <c r="E169" s="1375" t="s">
        <v>2428</v>
      </c>
      <c r="F169" s="1375" t="s">
        <v>2056</v>
      </c>
      <c r="G169" s="1375" t="s">
        <v>1979</v>
      </c>
      <c r="H169" s="1375">
        <v>45</v>
      </c>
      <c r="I169" s="1375" t="s">
        <v>3010</v>
      </c>
      <c r="K169" s="1375" t="str">
        <f t="shared" si="2"/>
        <v>RES_200401</v>
      </c>
    </row>
    <row r="170" spans="1:11">
      <c r="A170" s="1375" t="s">
        <v>422</v>
      </c>
      <c r="B170" s="1375" t="s">
        <v>469</v>
      </c>
      <c r="C170" s="1375" t="s">
        <v>303</v>
      </c>
      <c r="D170" s="1375" t="s">
        <v>364</v>
      </c>
      <c r="E170" s="1375" t="s">
        <v>2429</v>
      </c>
      <c r="F170" s="1375" t="s">
        <v>2059</v>
      </c>
      <c r="G170" s="1375" t="s">
        <v>1979</v>
      </c>
      <c r="H170" s="1375">
        <v>45</v>
      </c>
      <c r="I170" s="1375" t="s">
        <v>3010</v>
      </c>
      <c r="K170" s="1375" t="str">
        <f t="shared" si="2"/>
        <v>RES_200401</v>
      </c>
    </row>
    <row r="171" spans="1:11">
      <c r="A171" s="1375" t="s">
        <v>423</v>
      </c>
      <c r="B171" s="1375" t="s">
        <v>469</v>
      </c>
      <c r="C171" s="1375" t="s">
        <v>303</v>
      </c>
      <c r="D171" s="1375" t="s">
        <v>365</v>
      </c>
      <c r="E171" s="1375" t="s">
        <v>2430</v>
      </c>
      <c r="F171" s="1375" t="s">
        <v>2060</v>
      </c>
      <c r="G171" s="1375" t="s">
        <v>1979</v>
      </c>
      <c r="H171" s="1375">
        <v>45</v>
      </c>
      <c r="I171" s="1375" t="s">
        <v>3010</v>
      </c>
      <c r="K171" s="1375" t="str">
        <f t="shared" si="2"/>
        <v>RES_200401</v>
      </c>
    </row>
    <row r="172" spans="1:11">
      <c r="A172" s="1375" t="s">
        <v>424</v>
      </c>
      <c r="B172" s="1375" t="s">
        <v>469</v>
      </c>
      <c r="C172" s="1375" t="s">
        <v>303</v>
      </c>
      <c r="D172" s="1375" t="s">
        <v>366</v>
      </c>
      <c r="E172" s="1375" t="s">
        <v>2431</v>
      </c>
      <c r="F172" s="1375" t="s">
        <v>2061</v>
      </c>
      <c r="G172" s="1375" t="s">
        <v>1979</v>
      </c>
      <c r="H172" s="1375">
        <v>45</v>
      </c>
      <c r="I172" s="1375" t="s">
        <v>3010</v>
      </c>
      <c r="K172" s="1375" t="str">
        <f t="shared" si="2"/>
        <v>RES_200401</v>
      </c>
    </row>
    <row r="173" spans="1:11">
      <c r="A173" s="1375" t="s">
        <v>434</v>
      </c>
      <c r="B173" s="1375" t="s">
        <v>469</v>
      </c>
      <c r="C173" s="1375" t="s">
        <v>309</v>
      </c>
      <c r="D173" s="1375" t="s">
        <v>371</v>
      </c>
      <c r="E173" s="1375" t="s">
        <v>2432</v>
      </c>
      <c r="F173" s="1375" t="s">
        <v>2066</v>
      </c>
      <c r="G173" s="1375" t="s">
        <v>1979</v>
      </c>
      <c r="H173" s="1375">
        <v>45</v>
      </c>
      <c r="I173" s="1375" t="s">
        <v>3010</v>
      </c>
      <c r="K173" s="1375" t="str">
        <f t="shared" si="2"/>
        <v>RES_200401</v>
      </c>
    </row>
    <row r="174" spans="1:11">
      <c r="A174" s="1375" t="s">
        <v>435</v>
      </c>
      <c r="B174" s="1375" t="s">
        <v>469</v>
      </c>
      <c r="C174" s="1375" t="s">
        <v>309</v>
      </c>
      <c r="D174" s="1375" t="s">
        <v>1518</v>
      </c>
      <c r="E174" s="1375" t="s">
        <v>2433</v>
      </c>
      <c r="F174" s="1375" t="s">
        <v>2067</v>
      </c>
      <c r="G174" s="1375" t="s">
        <v>1979</v>
      </c>
      <c r="H174" s="1375">
        <v>45</v>
      </c>
      <c r="I174" s="1375" t="s">
        <v>3010</v>
      </c>
      <c r="K174" s="1375" t="str">
        <f t="shared" si="2"/>
        <v>RES_200401</v>
      </c>
    </row>
    <row r="175" spans="1:11">
      <c r="A175" s="1375" t="s">
        <v>2293</v>
      </c>
      <c r="B175" s="1375" t="s">
        <v>469</v>
      </c>
      <c r="C175" s="1375" t="s">
        <v>309</v>
      </c>
      <c r="D175" s="1375" t="s">
        <v>1947</v>
      </c>
      <c r="E175" s="1375" t="s">
        <v>2434</v>
      </c>
      <c r="F175" s="1375" t="s">
        <v>2065</v>
      </c>
      <c r="G175" s="1375" t="s">
        <v>1979</v>
      </c>
      <c r="H175" s="1375">
        <v>45</v>
      </c>
      <c r="I175" s="1375" t="s">
        <v>3010</v>
      </c>
      <c r="K175" s="1375" t="str">
        <f t="shared" si="2"/>
        <v>RES_200401</v>
      </c>
    </row>
    <row r="176" spans="1:11">
      <c r="A176" s="1375" t="s">
        <v>455</v>
      </c>
      <c r="B176" s="1375" t="s">
        <v>469</v>
      </c>
      <c r="C176" s="1375" t="s">
        <v>327</v>
      </c>
      <c r="D176" s="1375" t="s">
        <v>382</v>
      </c>
      <c r="E176" s="1375" t="s">
        <v>2435</v>
      </c>
      <c r="F176" s="1375" t="s">
        <v>2070</v>
      </c>
      <c r="G176" s="1375" t="s">
        <v>1979</v>
      </c>
      <c r="H176" s="1375">
        <v>45</v>
      </c>
      <c r="I176" s="1375" t="s">
        <v>3010</v>
      </c>
      <c r="K176" s="1375" t="str">
        <f t="shared" si="2"/>
        <v>RES_200401</v>
      </c>
    </row>
    <row r="177" spans="1:11">
      <c r="A177" s="1375" t="s">
        <v>456</v>
      </c>
      <c r="B177" s="1375" t="s">
        <v>469</v>
      </c>
      <c r="C177" s="1375" t="s">
        <v>327</v>
      </c>
      <c r="D177" s="1375" t="s">
        <v>383</v>
      </c>
      <c r="E177" s="1375" t="s">
        <v>2436</v>
      </c>
      <c r="F177" s="1375" t="s">
        <v>2071</v>
      </c>
      <c r="G177" s="1375" t="s">
        <v>1979</v>
      </c>
      <c r="H177" s="1375">
        <v>45</v>
      </c>
      <c r="I177" s="1375" t="s">
        <v>3010</v>
      </c>
      <c r="K177" s="1375" t="str">
        <f t="shared" si="2"/>
        <v>RES_200401</v>
      </c>
    </row>
    <row r="178" spans="1:11">
      <c r="A178" s="1375" t="s">
        <v>457</v>
      </c>
      <c r="B178" s="1375" t="s">
        <v>469</v>
      </c>
      <c r="C178" s="1375" t="s">
        <v>327</v>
      </c>
      <c r="D178" s="1375" t="s">
        <v>384</v>
      </c>
      <c r="E178" s="1375" t="s">
        <v>2437</v>
      </c>
      <c r="F178" s="1375" t="s">
        <v>2072</v>
      </c>
      <c r="G178" s="1375" t="s">
        <v>1979</v>
      </c>
      <c r="H178" s="1375">
        <v>45</v>
      </c>
      <c r="I178" s="1375" t="s">
        <v>3010</v>
      </c>
      <c r="K178" s="1375" t="str">
        <f t="shared" si="2"/>
        <v>RES_200401</v>
      </c>
    </row>
    <row r="179" spans="1:11">
      <c r="A179" s="1375" t="s">
        <v>48</v>
      </c>
      <c r="B179" s="1375" t="s">
        <v>469</v>
      </c>
      <c r="C179" s="1375" t="s">
        <v>918</v>
      </c>
      <c r="D179" s="1375" t="s">
        <v>917</v>
      </c>
      <c r="E179" s="1375" t="s">
        <v>2438</v>
      </c>
      <c r="F179" s="1375" t="s">
        <v>2057</v>
      </c>
      <c r="G179" s="1375" t="s">
        <v>1979</v>
      </c>
      <c r="H179" s="1375">
        <v>45</v>
      </c>
      <c r="I179" s="1375" t="s">
        <v>3010</v>
      </c>
      <c r="K179" s="1375" t="str">
        <f t="shared" si="2"/>
        <v>RES_200401</v>
      </c>
    </row>
    <row r="180" spans="1:11">
      <c r="A180" s="1375" t="s">
        <v>49</v>
      </c>
      <c r="B180" s="1375" t="s">
        <v>469</v>
      </c>
      <c r="C180" s="1375" t="s">
        <v>919</v>
      </c>
      <c r="D180" s="1375" t="s">
        <v>917</v>
      </c>
      <c r="E180" s="1375" t="s">
        <v>2439</v>
      </c>
      <c r="F180" s="1375" t="s">
        <v>2062</v>
      </c>
      <c r="G180" s="1375" t="s">
        <v>1979</v>
      </c>
      <c r="H180" s="1375">
        <v>45</v>
      </c>
      <c r="I180" s="1375" t="s">
        <v>3010</v>
      </c>
      <c r="K180" s="1375" t="str">
        <f t="shared" si="2"/>
        <v>RES_200401</v>
      </c>
    </row>
    <row r="181" spans="1:11">
      <c r="A181" s="1375" t="s">
        <v>50</v>
      </c>
      <c r="B181" s="1375" t="s">
        <v>469</v>
      </c>
      <c r="C181" s="1375" t="s">
        <v>920</v>
      </c>
      <c r="D181" s="1375" t="s">
        <v>917</v>
      </c>
      <c r="E181" s="1375" t="s">
        <v>2440</v>
      </c>
      <c r="F181" s="1375" t="s">
        <v>2068</v>
      </c>
      <c r="G181" s="1375" t="s">
        <v>1979</v>
      </c>
      <c r="H181" s="1375">
        <v>45</v>
      </c>
      <c r="I181" s="1375" t="s">
        <v>3010</v>
      </c>
      <c r="K181" s="1375" t="str">
        <f t="shared" si="2"/>
        <v>RES_200401</v>
      </c>
    </row>
    <row r="182" spans="1:11">
      <c r="A182" s="1375" t="s">
        <v>417</v>
      </c>
      <c r="B182" s="1375" t="s">
        <v>149</v>
      </c>
      <c r="C182" s="1375" t="s">
        <v>298</v>
      </c>
      <c r="D182" s="1375" t="s">
        <v>353</v>
      </c>
      <c r="E182" s="1375" t="s">
        <v>2441</v>
      </c>
      <c r="F182" s="1375" t="s">
        <v>2149</v>
      </c>
      <c r="G182" s="1375" t="s">
        <v>1980</v>
      </c>
      <c r="H182" s="1375">
        <v>45</v>
      </c>
      <c r="I182" s="1375" t="s">
        <v>177</v>
      </c>
      <c r="K182" s="1375" t="str">
        <f t="shared" si="2"/>
        <v>RES_200601</v>
      </c>
    </row>
    <row r="183" spans="1:11">
      <c r="A183" s="1375" t="s">
        <v>418</v>
      </c>
      <c r="B183" s="1375" t="s">
        <v>149</v>
      </c>
      <c r="C183" s="1375" t="s">
        <v>298</v>
      </c>
      <c r="D183" s="1375" t="s">
        <v>354</v>
      </c>
      <c r="E183" s="1375" t="s">
        <v>2442</v>
      </c>
      <c r="F183" s="1375" t="s">
        <v>2150</v>
      </c>
      <c r="G183" s="1375" t="s">
        <v>1980</v>
      </c>
      <c r="H183" s="1375">
        <v>45</v>
      </c>
      <c r="I183" s="1375" t="s">
        <v>177</v>
      </c>
      <c r="K183" s="1375" t="str">
        <f t="shared" si="2"/>
        <v>RES_200601</v>
      </c>
    </row>
    <row r="184" spans="1:11">
      <c r="A184" s="1375" t="s">
        <v>419</v>
      </c>
      <c r="B184" s="1375" t="s">
        <v>149</v>
      </c>
      <c r="C184" s="1375" t="s">
        <v>298</v>
      </c>
      <c r="D184" s="1375" t="s">
        <v>355</v>
      </c>
      <c r="E184" s="1375" t="s">
        <v>2443</v>
      </c>
      <c r="F184" s="1375" t="s">
        <v>2151</v>
      </c>
      <c r="G184" s="1375" t="s">
        <v>1980</v>
      </c>
      <c r="H184" s="1375">
        <v>45</v>
      </c>
      <c r="I184" s="1375" t="s">
        <v>177</v>
      </c>
      <c r="K184" s="1375" t="str">
        <f t="shared" si="2"/>
        <v>RES_200601</v>
      </c>
    </row>
    <row r="185" spans="1:11">
      <c r="A185" s="1375" t="s">
        <v>1321</v>
      </c>
      <c r="B185" s="1375" t="s">
        <v>149</v>
      </c>
      <c r="C185" s="1375" t="s">
        <v>298</v>
      </c>
      <c r="D185" s="1375" t="s">
        <v>356</v>
      </c>
      <c r="E185" s="1375" t="s">
        <v>1832</v>
      </c>
      <c r="F185" s="1375" t="s">
        <v>1833</v>
      </c>
      <c r="G185" s="1375" t="s">
        <v>1980</v>
      </c>
      <c r="H185" s="1375">
        <v>45</v>
      </c>
      <c r="I185" s="1375" t="s">
        <v>177</v>
      </c>
      <c r="K185" s="1375" t="str">
        <f t="shared" si="2"/>
        <v>RES_200601</v>
      </c>
    </row>
    <row r="186" spans="1:11">
      <c r="A186" s="1375" t="s">
        <v>74</v>
      </c>
      <c r="B186" s="1375" t="s">
        <v>149</v>
      </c>
      <c r="C186" s="1375" t="s">
        <v>298</v>
      </c>
      <c r="D186" s="1375" t="s">
        <v>357</v>
      </c>
      <c r="E186" s="1375" t="s">
        <v>1834</v>
      </c>
      <c r="F186" s="1375" t="s">
        <v>1835</v>
      </c>
      <c r="G186" s="1375" t="s">
        <v>1980</v>
      </c>
      <c r="H186" s="1375">
        <v>45</v>
      </c>
      <c r="I186" s="1375" t="s">
        <v>177</v>
      </c>
      <c r="K186" s="1375" t="str">
        <f t="shared" si="2"/>
        <v>RES_200601</v>
      </c>
    </row>
    <row r="187" spans="1:11">
      <c r="A187" s="1375" t="s">
        <v>1519</v>
      </c>
      <c r="B187" s="1375" t="s">
        <v>149</v>
      </c>
      <c r="C187" s="1375" t="s">
        <v>298</v>
      </c>
      <c r="D187" s="1375" t="s">
        <v>367</v>
      </c>
      <c r="E187" s="1375" t="s">
        <v>2444</v>
      </c>
      <c r="F187" s="1375" t="s">
        <v>2152</v>
      </c>
      <c r="G187" s="1375" t="s">
        <v>1980</v>
      </c>
      <c r="H187" s="1375">
        <v>45</v>
      </c>
      <c r="I187" s="1375" t="s">
        <v>177</v>
      </c>
      <c r="K187" s="1375" t="str">
        <f t="shared" si="2"/>
        <v>RES_200601</v>
      </c>
    </row>
    <row r="188" spans="1:11">
      <c r="A188" s="1375" t="s">
        <v>429</v>
      </c>
      <c r="B188" s="1375" t="s">
        <v>149</v>
      </c>
      <c r="C188" s="1375" t="s">
        <v>306</v>
      </c>
      <c r="D188" s="1375" t="s">
        <v>364</v>
      </c>
      <c r="E188" s="1375" t="s">
        <v>2445</v>
      </c>
      <c r="F188" s="1375" t="s">
        <v>2153</v>
      </c>
      <c r="G188" s="1375" t="s">
        <v>1980</v>
      </c>
      <c r="H188" s="1375">
        <v>45</v>
      </c>
      <c r="I188" s="1375" t="s">
        <v>177</v>
      </c>
      <c r="K188" s="1375" t="str">
        <f t="shared" si="2"/>
        <v>RES_200601</v>
      </c>
    </row>
    <row r="189" spans="1:11">
      <c r="A189" s="1375" t="s">
        <v>430</v>
      </c>
      <c r="B189" s="1375" t="s">
        <v>149</v>
      </c>
      <c r="C189" s="1375" t="s">
        <v>306</v>
      </c>
      <c r="D189" s="1375" t="s">
        <v>365</v>
      </c>
      <c r="E189" s="1375" t="s">
        <v>2446</v>
      </c>
      <c r="F189" s="1375" t="s">
        <v>2154</v>
      </c>
      <c r="G189" s="1375" t="s">
        <v>1980</v>
      </c>
      <c r="H189" s="1375">
        <v>45</v>
      </c>
      <c r="I189" s="1375" t="s">
        <v>177</v>
      </c>
      <c r="K189" s="1375" t="str">
        <f t="shared" si="2"/>
        <v>RES_200601</v>
      </c>
    </row>
    <row r="190" spans="1:11">
      <c r="A190" s="1375" t="s">
        <v>431</v>
      </c>
      <c r="B190" s="1375" t="s">
        <v>149</v>
      </c>
      <c r="C190" s="1375" t="s">
        <v>306</v>
      </c>
      <c r="D190" s="1375" t="s">
        <v>366</v>
      </c>
      <c r="E190" s="1375" t="s">
        <v>2447</v>
      </c>
      <c r="F190" s="1375" t="s">
        <v>2155</v>
      </c>
      <c r="G190" s="1375" t="s">
        <v>1980</v>
      </c>
      <c r="H190" s="1375">
        <v>45</v>
      </c>
      <c r="I190" s="1375" t="s">
        <v>177</v>
      </c>
      <c r="K190" s="1375" t="str">
        <f t="shared" si="2"/>
        <v>RES_200601</v>
      </c>
    </row>
    <row r="191" spans="1:11">
      <c r="A191" s="1375" t="s">
        <v>1322</v>
      </c>
      <c r="B191" s="1375" t="s">
        <v>149</v>
      </c>
      <c r="C191" s="1375" t="s">
        <v>306</v>
      </c>
      <c r="D191" s="1375" t="s">
        <v>356</v>
      </c>
      <c r="E191" s="1375" t="s">
        <v>1836</v>
      </c>
      <c r="F191" s="1375" t="s">
        <v>1837</v>
      </c>
      <c r="G191" s="1375" t="s">
        <v>1980</v>
      </c>
      <c r="H191" s="1375">
        <v>45</v>
      </c>
      <c r="I191" s="1375" t="s">
        <v>177</v>
      </c>
      <c r="K191" s="1375" t="str">
        <f t="shared" si="2"/>
        <v>RES_200601</v>
      </c>
    </row>
    <row r="192" spans="1:11">
      <c r="A192" s="1375" t="s">
        <v>75</v>
      </c>
      <c r="B192" s="1375" t="s">
        <v>149</v>
      </c>
      <c r="C192" s="1375" t="s">
        <v>306</v>
      </c>
      <c r="D192" s="1375" t="s">
        <v>357</v>
      </c>
      <c r="E192" s="1375" t="s">
        <v>1838</v>
      </c>
      <c r="F192" s="1375" t="s">
        <v>1839</v>
      </c>
      <c r="G192" s="1375" t="s">
        <v>1980</v>
      </c>
      <c r="H192" s="1375">
        <v>45</v>
      </c>
      <c r="I192" s="1375" t="s">
        <v>177</v>
      </c>
      <c r="K192" s="1375" t="str">
        <f t="shared" si="2"/>
        <v>RES_200601</v>
      </c>
    </row>
    <row r="193" spans="1:11">
      <c r="A193" s="1375" t="s">
        <v>1520</v>
      </c>
      <c r="B193" s="1375" t="s">
        <v>149</v>
      </c>
      <c r="C193" s="1375" t="s">
        <v>306</v>
      </c>
      <c r="D193" s="1375" t="s">
        <v>367</v>
      </c>
      <c r="E193" s="1375" t="s">
        <v>3066</v>
      </c>
      <c r="F193" s="1375" t="s">
        <v>2156</v>
      </c>
      <c r="G193" s="1375" t="s">
        <v>1980</v>
      </c>
      <c r="H193" s="1375">
        <v>45</v>
      </c>
      <c r="I193" s="1375" t="s">
        <v>177</v>
      </c>
      <c r="K193" s="1375" t="str">
        <f t="shared" si="2"/>
        <v>RES_200601</v>
      </c>
    </row>
    <row r="194" spans="1:11">
      <c r="A194" s="1375" t="s">
        <v>441</v>
      </c>
      <c r="B194" s="1375" t="s">
        <v>149</v>
      </c>
      <c r="C194" s="1375" t="s">
        <v>312</v>
      </c>
      <c r="D194" s="1375" t="s">
        <v>371</v>
      </c>
      <c r="E194" s="1375" t="s">
        <v>2448</v>
      </c>
      <c r="F194" s="1375" t="s">
        <v>2157</v>
      </c>
      <c r="G194" s="1375" t="s">
        <v>1980</v>
      </c>
      <c r="H194" s="1375">
        <v>45</v>
      </c>
      <c r="I194" s="1375" t="s">
        <v>177</v>
      </c>
      <c r="K194" s="1375" t="str">
        <f t="shared" si="2"/>
        <v>RES_200601</v>
      </c>
    </row>
    <row r="195" spans="1:11">
      <c r="A195" s="1375" t="s">
        <v>1521</v>
      </c>
      <c r="B195" s="1375" t="s">
        <v>149</v>
      </c>
      <c r="C195" s="1375" t="s">
        <v>312</v>
      </c>
      <c r="D195" s="1375" t="s">
        <v>1518</v>
      </c>
      <c r="E195" s="1375" t="s">
        <v>2449</v>
      </c>
      <c r="F195" s="1375" t="s">
        <v>2158</v>
      </c>
      <c r="G195" s="1375" t="s">
        <v>1980</v>
      </c>
      <c r="H195" s="1375">
        <v>45</v>
      </c>
      <c r="I195" s="1375" t="s">
        <v>177</v>
      </c>
      <c r="K195" s="1375" t="str">
        <f t="shared" ref="K195:K258" si="3">LEFT(A195,10)</f>
        <v>RES_200601</v>
      </c>
    </row>
    <row r="196" spans="1:11">
      <c r="A196" s="1375" t="s">
        <v>1522</v>
      </c>
      <c r="B196" s="1375" t="s">
        <v>149</v>
      </c>
      <c r="C196" s="1375" t="s">
        <v>312</v>
      </c>
      <c r="D196" s="1375" t="s">
        <v>1523</v>
      </c>
      <c r="E196" s="1375" t="s">
        <v>2450</v>
      </c>
      <c r="F196" s="1375" t="s">
        <v>2159</v>
      </c>
      <c r="G196" s="1375" t="s">
        <v>1980</v>
      </c>
      <c r="H196" s="1375">
        <v>45</v>
      </c>
      <c r="I196" s="1375" t="s">
        <v>177</v>
      </c>
      <c r="K196" s="1375" t="str">
        <f t="shared" si="3"/>
        <v>RES_200601</v>
      </c>
    </row>
    <row r="197" spans="1:11">
      <c r="A197" s="1375" t="s">
        <v>755</v>
      </c>
      <c r="B197" s="1375" t="s">
        <v>149</v>
      </c>
      <c r="C197" s="1375" t="s">
        <v>312</v>
      </c>
      <c r="D197" s="1375" t="s">
        <v>810</v>
      </c>
      <c r="E197" s="1375" t="s">
        <v>1824</v>
      </c>
      <c r="F197" s="1375" t="s">
        <v>1825</v>
      </c>
      <c r="G197" s="1375" t="s">
        <v>1980</v>
      </c>
      <c r="H197" s="1375">
        <v>45</v>
      </c>
      <c r="I197" s="1375" t="s">
        <v>177</v>
      </c>
      <c r="K197" s="1375" t="str">
        <f t="shared" si="3"/>
        <v>RES_200601</v>
      </c>
    </row>
    <row r="198" spans="1:11">
      <c r="A198" s="1375" t="s">
        <v>1312</v>
      </c>
      <c r="B198" s="1375" t="s">
        <v>149</v>
      </c>
      <c r="C198" s="1375" t="s">
        <v>312</v>
      </c>
      <c r="D198" s="1375" t="s">
        <v>1564</v>
      </c>
      <c r="E198" s="1375" t="s">
        <v>1828</v>
      </c>
      <c r="F198" s="1375" t="s">
        <v>1829</v>
      </c>
      <c r="G198" s="1375" t="s">
        <v>1980</v>
      </c>
      <c r="H198" s="1375">
        <v>45</v>
      </c>
      <c r="I198" s="1375" t="s">
        <v>177</v>
      </c>
      <c r="K198" s="1375" t="str">
        <f t="shared" si="3"/>
        <v>RES_200601</v>
      </c>
    </row>
    <row r="199" spans="1:11">
      <c r="A199" s="1375" t="s">
        <v>1524</v>
      </c>
      <c r="B199" s="1375" t="s">
        <v>149</v>
      </c>
      <c r="C199" s="1375" t="s">
        <v>312</v>
      </c>
      <c r="D199" s="1375" t="s">
        <v>944</v>
      </c>
      <c r="E199" s="1375" t="s">
        <v>3067</v>
      </c>
      <c r="F199" s="1375" t="s">
        <v>1829</v>
      </c>
      <c r="G199" s="1375" t="s">
        <v>1980</v>
      </c>
      <c r="H199" s="1375">
        <v>45</v>
      </c>
      <c r="I199" s="1375" t="s">
        <v>177</v>
      </c>
      <c r="K199" s="1375" t="str">
        <f t="shared" si="3"/>
        <v>RES_200601</v>
      </c>
    </row>
    <row r="200" spans="1:11">
      <c r="A200" s="1375" t="s">
        <v>464</v>
      </c>
      <c r="B200" s="1375" t="s">
        <v>149</v>
      </c>
      <c r="C200" s="1375" t="s">
        <v>330</v>
      </c>
      <c r="D200" s="1375" t="s">
        <v>382</v>
      </c>
      <c r="E200" s="1375" t="s">
        <v>2451</v>
      </c>
      <c r="F200" s="1375" t="s">
        <v>2160</v>
      </c>
      <c r="G200" s="1375" t="s">
        <v>1980</v>
      </c>
      <c r="H200" s="1375">
        <v>45</v>
      </c>
      <c r="I200" s="1375" t="s">
        <v>177</v>
      </c>
      <c r="K200" s="1375" t="str">
        <f t="shared" si="3"/>
        <v>RES_200601</v>
      </c>
    </row>
    <row r="201" spans="1:11">
      <c r="A201" s="1375" t="s">
        <v>465</v>
      </c>
      <c r="B201" s="1375" t="s">
        <v>149</v>
      </c>
      <c r="C201" s="1375" t="s">
        <v>330</v>
      </c>
      <c r="D201" s="1375" t="s">
        <v>383</v>
      </c>
      <c r="E201" s="1375" t="s">
        <v>2452</v>
      </c>
      <c r="F201" s="1375" t="s">
        <v>2161</v>
      </c>
      <c r="G201" s="1375" t="s">
        <v>1980</v>
      </c>
      <c r="H201" s="1375">
        <v>45</v>
      </c>
      <c r="I201" s="1375" t="s">
        <v>177</v>
      </c>
      <c r="K201" s="1375" t="str">
        <f t="shared" si="3"/>
        <v>RES_200601</v>
      </c>
    </row>
    <row r="202" spans="1:11">
      <c r="A202" s="1375" t="s">
        <v>466</v>
      </c>
      <c r="B202" s="1375" t="s">
        <v>149</v>
      </c>
      <c r="C202" s="1375" t="s">
        <v>330</v>
      </c>
      <c r="D202" s="1375" t="s">
        <v>384</v>
      </c>
      <c r="E202" s="1375" t="s">
        <v>2453</v>
      </c>
      <c r="F202" s="1375" t="s">
        <v>2162</v>
      </c>
      <c r="G202" s="1375" t="s">
        <v>1980</v>
      </c>
      <c r="H202" s="1375">
        <v>45</v>
      </c>
      <c r="I202" s="1375" t="s">
        <v>177</v>
      </c>
      <c r="K202" s="1375" t="str">
        <f t="shared" si="3"/>
        <v>RES_200601</v>
      </c>
    </row>
    <row r="203" spans="1:11">
      <c r="A203" s="1375" t="s">
        <v>72</v>
      </c>
      <c r="B203" s="1375" t="s">
        <v>149</v>
      </c>
      <c r="C203" s="1375" t="s">
        <v>330</v>
      </c>
      <c r="D203" s="1375" t="s">
        <v>385</v>
      </c>
      <c r="E203" s="1375" t="s">
        <v>1826</v>
      </c>
      <c r="F203" s="1375" t="s">
        <v>1827</v>
      </c>
      <c r="G203" s="1375" t="s">
        <v>1980</v>
      </c>
      <c r="H203" s="1375">
        <v>45</v>
      </c>
      <c r="I203" s="1375" t="s">
        <v>177</v>
      </c>
      <c r="K203" s="1375" t="str">
        <f t="shared" si="3"/>
        <v>RES_200601</v>
      </c>
    </row>
    <row r="204" spans="1:11">
      <c r="A204" s="1375" t="s">
        <v>73</v>
      </c>
      <c r="B204" s="1375" t="s">
        <v>149</v>
      </c>
      <c r="C204" s="1375" t="s">
        <v>330</v>
      </c>
      <c r="D204" s="1375" t="s">
        <v>386</v>
      </c>
      <c r="E204" s="1375" t="s">
        <v>1830</v>
      </c>
      <c r="F204" s="1375" t="s">
        <v>1831</v>
      </c>
      <c r="G204" s="1375" t="s">
        <v>1980</v>
      </c>
      <c r="H204" s="1375">
        <v>45</v>
      </c>
      <c r="I204" s="1375" t="s">
        <v>177</v>
      </c>
      <c r="K204" s="1375" t="str">
        <f t="shared" si="3"/>
        <v>RES_200601</v>
      </c>
    </row>
    <row r="205" spans="1:11">
      <c r="A205" s="1375" t="s">
        <v>1525</v>
      </c>
      <c r="B205" s="1375" t="s">
        <v>149</v>
      </c>
      <c r="C205" s="1375" t="s">
        <v>330</v>
      </c>
      <c r="D205" s="1375" t="s">
        <v>885</v>
      </c>
      <c r="E205" s="1375" t="s">
        <v>3068</v>
      </c>
      <c r="F205" s="1375" t="s">
        <v>2163</v>
      </c>
      <c r="G205" s="1375" t="s">
        <v>1980</v>
      </c>
      <c r="H205" s="1375">
        <v>45</v>
      </c>
      <c r="I205" s="1375" t="s">
        <v>177</v>
      </c>
      <c r="K205" s="1375" t="str">
        <f t="shared" si="3"/>
        <v>RES_200601</v>
      </c>
    </row>
    <row r="206" spans="1:11">
      <c r="A206" s="1375" t="s">
        <v>51</v>
      </c>
      <c r="B206" s="1375" t="s">
        <v>150</v>
      </c>
      <c r="C206" s="1375" t="s">
        <v>290</v>
      </c>
      <c r="D206" s="1375" t="s">
        <v>157</v>
      </c>
      <c r="E206" s="1375" t="s">
        <v>1790</v>
      </c>
      <c r="F206" s="1375" t="s">
        <v>1791</v>
      </c>
      <c r="G206" s="1375" t="s">
        <v>1978</v>
      </c>
      <c r="H206" s="1375">
        <v>15</v>
      </c>
      <c r="I206" s="1375" t="s">
        <v>166</v>
      </c>
      <c r="K206" s="1375" t="str">
        <f t="shared" si="3"/>
        <v>RES_200804</v>
      </c>
    </row>
    <row r="207" spans="1:11">
      <c r="A207" s="1375" t="s">
        <v>52</v>
      </c>
      <c r="B207" s="1375" t="s">
        <v>150</v>
      </c>
      <c r="C207" s="1375" t="s">
        <v>288</v>
      </c>
      <c r="D207" s="1375" t="s">
        <v>157</v>
      </c>
      <c r="E207" s="1375" t="s">
        <v>1786</v>
      </c>
      <c r="F207" s="1375" t="s">
        <v>1787</v>
      </c>
      <c r="G207" s="1375" t="s">
        <v>1977</v>
      </c>
      <c r="H207" s="1375">
        <v>15</v>
      </c>
      <c r="I207" s="1375" t="s">
        <v>166</v>
      </c>
      <c r="K207" s="1375" t="str">
        <f t="shared" si="3"/>
        <v>RES_200804</v>
      </c>
    </row>
    <row r="208" spans="1:11">
      <c r="A208" s="1375" t="s">
        <v>53</v>
      </c>
      <c r="B208" s="1375" t="s">
        <v>150</v>
      </c>
      <c r="C208" s="1375" t="s">
        <v>289</v>
      </c>
      <c r="D208" s="1375" t="s">
        <v>157</v>
      </c>
      <c r="E208" s="1375" t="s">
        <v>1788</v>
      </c>
      <c r="F208" s="1375" t="s">
        <v>1789</v>
      </c>
      <c r="G208" s="1375" t="s">
        <v>1977</v>
      </c>
      <c r="H208" s="1375">
        <v>15</v>
      </c>
      <c r="I208" s="1375" t="s">
        <v>166</v>
      </c>
      <c r="K208" s="1375" t="str">
        <f t="shared" si="3"/>
        <v>RES_200804</v>
      </c>
    </row>
    <row r="209" spans="1:11">
      <c r="A209" s="1375" t="s">
        <v>1527</v>
      </c>
      <c r="B209" s="1375" t="s">
        <v>1350</v>
      </c>
      <c r="C209" s="1375" t="s">
        <v>1350</v>
      </c>
      <c r="D209" s="1375" t="s">
        <v>1528</v>
      </c>
      <c r="E209" s="1375" t="s">
        <v>2454</v>
      </c>
      <c r="F209" s="1375" t="s">
        <v>2251</v>
      </c>
      <c r="G209" s="1375" t="s">
        <v>2043</v>
      </c>
      <c r="H209" s="1375">
        <v>7</v>
      </c>
      <c r="I209" s="1375" t="s">
        <v>3011</v>
      </c>
      <c r="K209" s="1375" t="str">
        <f t="shared" si="3"/>
        <v>RES_200902</v>
      </c>
    </row>
    <row r="210" spans="1:11">
      <c r="A210" s="1375" t="s">
        <v>2294</v>
      </c>
      <c r="B210" s="1375" t="s">
        <v>1350</v>
      </c>
      <c r="C210" s="1375" t="s">
        <v>1350</v>
      </c>
      <c r="D210" s="1375" t="s">
        <v>1958</v>
      </c>
      <c r="E210" s="1375" t="s">
        <v>2455</v>
      </c>
      <c r="F210" s="1375" t="s">
        <v>2252</v>
      </c>
      <c r="G210" s="1375" t="s">
        <v>2043</v>
      </c>
      <c r="H210" s="1375">
        <v>7</v>
      </c>
      <c r="I210" s="1375" t="s">
        <v>3011</v>
      </c>
      <c r="K210" s="1375" t="str">
        <f t="shared" si="3"/>
        <v>RES_200902</v>
      </c>
    </row>
    <row r="211" spans="1:11">
      <c r="A211" s="1375" t="s">
        <v>2295</v>
      </c>
      <c r="B211" s="1375" t="s">
        <v>1350</v>
      </c>
      <c r="C211" s="1375" t="s">
        <v>1350</v>
      </c>
      <c r="D211" s="1375" t="s">
        <v>1966</v>
      </c>
      <c r="E211" s="1375" t="s">
        <v>2456</v>
      </c>
      <c r="F211" s="1375" t="s">
        <v>2261</v>
      </c>
      <c r="G211" s="1375" t="s">
        <v>2043</v>
      </c>
      <c r="H211" s="1375">
        <v>7</v>
      </c>
      <c r="I211" s="1375" t="s">
        <v>3011</v>
      </c>
      <c r="K211" s="1375" t="str">
        <f t="shared" si="3"/>
        <v>RES_200902</v>
      </c>
    </row>
    <row r="212" spans="1:11">
      <c r="A212" s="1375" t="s">
        <v>2296</v>
      </c>
      <c r="B212" s="1375" t="s">
        <v>1350</v>
      </c>
      <c r="C212" s="1375" t="s">
        <v>1350</v>
      </c>
      <c r="D212" s="1375" t="s">
        <v>1959</v>
      </c>
      <c r="E212" s="1375" t="s">
        <v>2457</v>
      </c>
      <c r="F212" s="1375" t="s">
        <v>2253</v>
      </c>
      <c r="G212" s="1375" t="s">
        <v>2043</v>
      </c>
      <c r="H212" s="1375">
        <v>7</v>
      </c>
      <c r="I212" s="1375" t="s">
        <v>3011</v>
      </c>
      <c r="K212" s="1375" t="str">
        <f t="shared" si="3"/>
        <v>RES_200902</v>
      </c>
    </row>
    <row r="213" spans="1:11">
      <c r="A213" s="1375" t="s">
        <v>2297</v>
      </c>
      <c r="B213" s="1375" t="s">
        <v>1350</v>
      </c>
      <c r="C213" s="1375" t="s">
        <v>1350</v>
      </c>
      <c r="D213" s="1375" t="s">
        <v>1960</v>
      </c>
      <c r="E213" s="1375" t="s">
        <v>2458</v>
      </c>
      <c r="F213" s="1375" t="s">
        <v>2254</v>
      </c>
      <c r="G213" s="1375" t="s">
        <v>2043</v>
      </c>
      <c r="H213" s="1375">
        <v>7</v>
      </c>
      <c r="I213" s="1375" t="s">
        <v>3011</v>
      </c>
      <c r="K213" s="1375" t="str">
        <f t="shared" si="3"/>
        <v>RES_200902</v>
      </c>
    </row>
    <row r="214" spans="1:11">
      <c r="A214" s="1375" t="s">
        <v>2298</v>
      </c>
      <c r="B214" s="1375" t="s">
        <v>1350</v>
      </c>
      <c r="C214" s="1375" t="s">
        <v>1350</v>
      </c>
      <c r="D214" s="1375" t="s">
        <v>1961</v>
      </c>
      <c r="E214" s="1375" t="s">
        <v>2459</v>
      </c>
      <c r="F214" s="1375" t="s">
        <v>2255</v>
      </c>
      <c r="G214" s="1375" t="s">
        <v>2043</v>
      </c>
      <c r="H214" s="1375">
        <v>7</v>
      </c>
      <c r="I214" s="1375" t="s">
        <v>3011</v>
      </c>
      <c r="K214" s="1375" t="str">
        <f t="shared" si="3"/>
        <v>RES_200902</v>
      </c>
    </row>
    <row r="215" spans="1:11">
      <c r="A215" s="1375" t="s">
        <v>2299</v>
      </c>
      <c r="B215" s="1375" t="s">
        <v>1350</v>
      </c>
      <c r="C215" s="1375" t="s">
        <v>1350</v>
      </c>
      <c r="D215" s="1375" t="s">
        <v>1962</v>
      </c>
      <c r="E215" s="1375" t="s">
        <v>2460</v>
      </c>
      <c r="F215" s="1375" t="s">
        <v>2256</v>
      </c>
      <c r="G215" s="1375" t="s">
        <v>2043</v>
      </c>
      <c r="H215" s="1375">
        <v>7</v>
      </c>
      <c r="I215" s="1375" t="s">
        <v>3011</v>
      </c>
      <c r="K215" s="1375" t="str">
        <f t="shared" si="3"/>
        <v>RES_200902</v>
      </c>
    </row>
    <row r="216" spans="1:11">
      <c r="A216" s="1375" t="s">
        <v>2300</v>
      </c>
      <c r="B216" s="1375" t="s">
        <v>1350</v>
      </c>
      <c r="C216" s="1375" t="s">
        <v>1350</v>
      </c>
      <c r="D216" s="1375" t="s">
        <v>1963</v>
      </c>
      <c r="E216" s="1375" t="s">
        <v>2461</v>
      </c>
      <c r="F216" s="1375" t="s">
        <v>2257</v>
      </c>
      <c r="G216" s="1375" t="s">
        <v>2043</v>
      </c>
      <c r="H216" s="1375">
        <v>7</v>
      </c>
      <c r="I216" s="1375" t="s">
        <v>3011</v>
      </c>
      <c r="K216" s="1375" t="str">
        <f t="shared" si="3"/>
        <v>RES_200902</v>
      </c>
    </row>
    <row r="217" spans="1:11">
      <c r="A217" s="1375" t="s">
        <v>2301</v>
      </c>
      <c r="B217" s="1375" t="s">
        <v>1350</v>
      </c>
      <c r="C217" s="1375" t="s">
        <v>1350</v>
      </c>
      <c r="D217" s="1375" t="s">
        <v>1965</v>
      </c>
      <c r="E217" s="1375" t="s">
        <v>2462</v>
      </c>
      <c r="F217" s="1375" t="s">
        <v>2260</v>
      </c>
      <c r="G217" s="1375" t="s">
        <v>2043</v>
      </c>
      <c r="H217" s="1375">
        <v>7</v>
      </c>
      <c r="I217" s="1375" t="s">
        <v>3011</v>
      </c>
      <c r="K217" s="1375" t="str">
        <f t="shared" si="3"/>
        <v>RES_200902</v>
      </c>
    </row>
    <row r="218" spans="1:11">
      <c r="A218" s="1375" t="s">
        <v>2302</v>
      </c>
      <c r="B218" s="1375" t="s">
        <v>1350</v>
      </c>
      <c r="C218" s="1375" t="s">
        <v>1350</v>
      </c>
      <c r="D218" s="1375" t="s">
        <v>946</v>
      </c>
      <c r="E218" s="1375" t="s">
        <v>2463</v>
      </c>
      <c r="F218" s="1375" t="s">
        <v>2258</v>
      </c>
      <c r="G218" s="1375" t="s">
        <v>2043</v>
      </c>
      <c r="H218" s="1375">
        <v>7</v>
      </c>
      <c r="I218" s="1375" t="s">
        <v>3011</v>
      </c>
      <c r="K218" s="1375" t="str">
        <f t="shared" si="3"/>
        <v>RES_200902</v>
      </c>
    </row>
    <row r="219" spans="1:11">
      <c r="A219" s="1375" t="s">
        <v>2303</v>
      </c>
      <c r="B219" s="1375" t="s">
        <v>1350</v>
      </c>
      <c r="C219" s="1375" t="s">
        <v>1350</v>
      </c>
      <c r="D219" s="1375" t="s">
        <v>1964</v>
      </c>
      <c r="E219" s="1375" t="s">
        <v>2464</v>
      </c>
      <c r="F219" s="1375" t="s">
        <v>2259</v>
      </c>
      <c r="G219" s="1375" t="s">
        <v>2043</v>
      </c>
      <c r="H219" s="1375">
        <v>7</v>
      </c>
      <c r="I219" s="1375" t="s">
        <v>3011</v>
      </c>
      <c r="K219" s="1375" t="str">
        <f t="shared" si="3"/>
        <v>RES_200902</v>
      </c>
    </row>
    <row r="220" spans="1:11">
      <c r="A220" s="1375" t="s">
        <v>2304</v>
      </c>
      <c r="B220" s="1375" t="s">
        <v>151</v>
      </c>
      <c r="C220" s="1375" t="s">
        <v>283</v>
      </c>
      <c r="D220" s="1375" t="s">
        <v>1007</v>
      </c>
      <c r="E220" s="1375" t="s">
        <v>2465</v>
      </c>
      <c r="F220" s="1375" t="s">
        <v>2245</v>
      </c>
      <c r="G220" s="1375" t="s">
        <v>2020</v>
      </c>
      <c r="H220" s="1375">
        <v>12</v>
      </c>
      <c r="I220" s="1375" t="s">
        <v>178</v>
      </c>
      <c r="K220" s="1375" t="str">
        <f t="shared" si="3"/>
        <v>RES_201101</v>
      </c>
    </row>
    <row r="221" spans="1:11">
      <c r="A221" s="1375" t="s">
        <v>54</v>
      </c>
      <c r="B221" s="1375" t="s">
        <v>151</v>
      </c>
      <c r="C221" s="1375" t="s">
        <v>283</v>
      </c>
      <c r="D221" s="1375" t="s">
        <v>1385</v>
      </c>
      <c r="E221" s="1375" t="s">
        <v>2466</v>
      </c>
      <c r="F221" s="1375" t="s">
        <v>2244</v>
      </c>
      <c r="G221" s="1375" t="s">
        <v>2020</v>
      </c>
      <c r="H221" s="1375">
        <v>12</v>
      </c>
      <c r="I221" s="1375" t="s">
        <v>178</v>
      </c>
      <c r="K221" s="1375" t="str">
        <f t="shared" si="3"/>
        <v>RES_201101</v>
      </c>
    </row>
    <row r="222" spans="1:11">
      <c r="A222" s="1375" t="s">
        <v>88</v>
      </c>
      <c r="B222" s="1375" t="s">
        <v>151</v>
      </c>
      <c r="C222" s="1375" t="s">
        <v>283</v>
      </c>
      <c r="D222" s="1375" t="s">
        <v>1386</v>
      </c>
      <c r="E222" s="1375" t="s">
        <v>2467</v>
      </c>
      <c r="F222" s="1375" t="s">
        <v>2246</v>
      </c>
      <c r="G222" s="1375" t="s">
        <v>2020</v>
      </c>
      <c r="H222" s="1375">
        <v>12</v>
      </c>
      <c r="I222" s="1375" t="s">
        <v>178</v>
      </c>
      <c r="K222" s="1375" t="str">
        <f t="shared" si="3"/>
        <v>RES_201101</v>
      </c>
    </row>
    <row r="223" spans="1:11">
      <c r="A223" s="1375" t="s">
        <v>89</v>
      </c>
      <c r="B223" s="1375" t="s">
        <v>151</v>
      </c>
      <c r="C223" s="1375" t="s">
        <v>283</v>
      </c>
      <c r="D223" s="1375" t="s">
        <v>1387</v>
      </c>
      <c r="E223" s="1375" t="s">
        <v>2468</v>
      </c>
      <c r="F223" s="1375" t="s">
        <v>2247</v>
      </c>
      <c r="G223" s="1375" t="s">
        <v>2020</v>
      </c>
      <c r="H223" s="1375">
        <v>12</v>
      </c>
      <c r="I223" s="1375" t="s">
        <v>178</v>
      </c>
      <c r="K223" s="1375" t="str">
        <f t="shared" si="3"/>
        <v>RES_201101</v>
      </c>
    </row>
    <row r="224" spans="1:11">
      <c r="A224" s="1375" t="s">
        <v>90</v>
      </c>
      <c r="B224" s="1375" t="s">
        <v>151</v>
      </c>
      <c r="C224" s="1375" t="s">
        <v>283</v>
      </c>
      <c r="D224" s="1375" t="s">
        <v>1388</v>
      </c>
      <c r="E224" s="1375" t="s">
        <v>2469</v>
      </c>
      <c r="F224" s="1375" t="s">
        <v>2248</v>
      </c>
      <c r="G224" s="1375" t="s">
        <v>2020</v>
      </c>
      <c r="H224" s="1375">
        <v>12</v>
      </c>
      <c r="I224" s="1375" t="s">
        <v>178</v>
      </c>
      <c r="K224" s="1375" t="str">
        <f t="shared" si="3"/>
        <v>RES_201101</v>
      </c>
    </row>
    <row r="225" spans="1:11">
      <c r="A225" s="1375" t="s">
        <v>91</v>
      </c>
      <c r="B225" s="1375" t="s">
        <v>151</v>
      </c>
      <c r="C225" s="1375" t="s">
        <v>283</v>
      </c>
      <c r="D225" s="1375" t="s">
        <v>1389</v>
      </c>
      <c r="E225" s="1375" t="s">
        <v>2470</v>
      </c>
      <c r="F225" s="1375" t="s">
        <v>2249</v>
      </c>
      <c r="G225" s="1375" t="s">
        <v>2020</v>
      </c>
      <c r="H225" s="1375">
        <v>12</v>
      </c>
      <c r="I225" s="1375" t="s">
        <v>178</v>
      </c>
      <c r="K225" s="1375" t="str">
        <f t="shared" si="3"/>
        <v>RES_201101</v>
      </c>
    </row>
    <row r="226" spans="1:11">
      <c r="A226" s="1375" t="s">
        <v>117</v>
      </c>
      <c r="B226" s="1375" t="s">
        <v>151</v>
      </c>
      <c r="C226" s="1375" t="s">
        <v>283</v>
      </c>
      <c r="D226" s="1375" t="s">
        <v>1390</v>
      </c>
      <c r="E226" s="1375" t="s">
        <v>2471</v>
      </c>
      <c r="F226" s="1375" t="s">
        <v>2250</v>
      </c>
      <c r="G226" s="1375" t="s">
        <v>2020</v>
      </c>
      <c r="H226" s="1375">
        <v>12</v>
      </c>
      <c r="I226" s="1375" t="s">
        <v>178</v>
      </c>
      <c r="K226" s="1375" t="str">
        <f t="shared" si="3"/>
        <v>RES_201101</v>
      </c>
    </row>
    <row r="227" spans="1:11">
      <c r="A227" s="1375" t="s">
        <v>55</v>
      </c>
      <c r="B227" s="1375" t="s">
        <v>152</v>
      </c>
      <c r="C227" s="1375" t="s">
        <v>804</v>
      </c>
      <c r="D227" s="1375" t="s">
        <v>157</v>
      </c>
      <c r="E227" s="1375" t="s">
        <v>2472</v>
      </c>
      <c r="F227" s="1375" t="s">
        <v>2075</v>
      </c>
      <c r="G227" s="1375" t="s">
        <v>1981</v>
      </c>
      <c r="H227" s="1375">
        <v>13</v>
      </c>
      <c r="I227" s="1375" t="s">
        <v>171</v>
      </c>
      <c r="K227" s="1375" t="str">
        <f t="shared" si="3"/>
        <v>RES_201202</v>
      </c>
    </row>
    <row r="228" spans="1:11">
      <c r="A228" s="1375" t="s">
        <v>56</v>
      </c>
      <c r="B228" s="1375" t="s">
        <v>152</v>
      </c>
      <c r="C228" s="1375" t="s">
        <v>804</v>
      </c>
      <c r="D228" s="1375" t="s">
        <v>158</v>
      </c>
      <c r="E228" s="1375" t="s">
        <v>2473</v>
      </c>
      <c r="F228" s="1375" t="s">
        <v>2075</v>
      </c>
      <c r="G228" s="1375" t="s">
        <v>1981</v>
      </c>
      <c r="H228" s="1375">
        <v>13</v>
      </c>
      <c r="I228" s="1375" t="s">
        <v>171</v>
      </c>
      <c r="K228" s="1375" t="str">
        <f t="shared" si="3"/>
        <v>RES_201202</v>
      </c>
    </row>
    <row r="229" spans="1:11">
      <c r="A229" s="1375" t="s">
        <v>770</v>
      </c>
      <c r="B229" s="1375" t="s">
        <v>152</v>
      </c>
      <c r="C229" s="1375" t="s">
        <v>804</v>
      </c>
      <c r="D229" s="1375" t="s">
        <v>818</v>
      </c>
      <c r="E229" s="1375" t="s">
        <v>2474</v>
      </c>
      <c r="F229" s="1375" t="s">
        <v>2075</v>
      </c>
      <c r="G229" s="1375" t="s">
        <v>1981</v>
      </c>
      <c r="H229" s="1375">
        <v>13</v>
      </c>
      <c r="I229" s="1375" t="s">
        <v>171</v>
      </c>
      <c r="K229" s="1375" t="str">
        <f t="shared" si="3"/>
        <v>RES_201202</v>
      </c>
    </row>
    <row r="230" spans="1:11">
      <c r="A230" s="1375" t="s">
        <v>771</v>
      </c>
      <c r="B230" s="1375" t="s">
        <v>152</v>
      </c>
      <c r="C230" s="1375" t="s">
        <v>804</v>
      </c>
      <c r="D230" s="1375" t="s">
        <v>819</v>
      </c>
      <c r="E230" s="1375" t="s">
        <v>2475</v>
      </c>
      <c r="F230" s="1375" t="s">
        <v>2075</v>
      </c>
      <c r="G230" s="1375" t="s">
        <v>1981</v>
      </c>
      <c r="H230" s="1375">
        <v>13</v>
      </c>
      <c r="I230" s="1375" t="s">
        <v>171</v>
      </c>
      <c r="K230" s="1375" t="str">
        <f t="shared" si="3"/>
        <v>RES_201202</v>
      </c>
    </row>
    <row r="231" spans="1:11">
      <c r="A231" s="1375" t="s">
        <v>921</v>
      </c>
      <c r="B231" s="1375" t="s">
        <v>152</v>
      </c>
      <c r="C231" s="1375" t="s">
        <v>804</v>
      </c>
      <c r="D231" s="1375" t="s">
        <v>922</v>
      </c>
      <c r="E231" s="1375" t="s">
        <v>2476</v>
      </c>
      <c r="F231" s="1375" t="s">
        <v>2075</v>
      </c>
      <c r="G231" s="1375" t="s">
        <v>1981</v>
      </c>
      <c r="H231" s="1375">
        <v>13</v>
      </c>
      <c r="I231" s="1375" t="s">
        <v>171</v>
      </c>
      <c r="K231" s="1375" t="str">
        <f t="shared" si="3"/>
        <v>RES_201202</v>
      </c>
    </row>
    <row r="232" spans="1:11">
      <c r="A232" s="1375" t="s">
        <v>57</v>
      </c>
      <c r="B232" s="1375" t="s">
        <v>152</v>
      </c>
      <c r="C232" s="1375" t="s">
        <v>805</v>
      </c>
      <c r="D232" s="1375" t="s">
        <v>157</v>
      </c>
      <c r="E232" s="1375" t="s">
        <v>2477</v>
      </c>
      <c r="F232" s="1375" t="s">
        <v>2077</v>
      </c>
      <c r="G232" s="1375" t="s">
        <v>1983</v>
      </c>
      <c r="H232" s="1375">
        <v>13</v>
      </c>
      <c r="I232" s="1375" t="s">
        <v>171</v>
      </c>
      <c r="K232" s="1375" t="str">
        <f t="shared" si="3"/>
        <v>RES_201202</v>
      </c>
    </row>
    <row r="233" spans="1:11">
      <c r="A233" s="1375" t="s">
        <v>58</v>
      </c>
      <c r="B233" s="1375" t="s">
        <v>152</v>
      </c>
      <c r="C233" s="1375" t="s">
        <v>805</v>
      </c>
      <c r="D233" s="1375" t="s">
        <v>158</v>
      </c>
      <c r="E233" s="1375" t="s">
        <v>2478</v>
      </c>
      <c r="F233" s="1375" t="s">
        <v>2077</v>
      </c>
      <c r="G233" s="1375" t="s">
        <v>1983</v>
      </c>
      <c r="H233" s="1375">
        <v>13</v>
      </c>
      <c r="I233" s="1375" t="s">
        <v>171</v>
      </c>
      <c r="K233" s="1375" t="str">
        <f t="shared" si="3"/>
        <v>RES_201202</v>
      </c>
    </row>
    <row r="234" spans="1:11">
      <c r="A234" s="1375" t="s">
        <v>762</v>
      </c>
      <c r="B234" s="1375" t="s">
        <v>152</v>
      </c>
      <c r="C234" s="1375" t="s">
        <v>805</v>
      </c>
      <c r="D234" s="1375" t="s">
        <v>818</v>
      </c>
      <c r="E234" s="1375" t="s">
        <v>2479</v>
      </c>
      <c r="F234" s="1375" t="s">
        <v>2077</v>
      </c>
      <c r="G234" s="1375" t="s">
        <v>1983</v>
      </c>
      <c r="H234" s="1375">
        <v>13</v>
      </c>
      <c r="I234" s="1375" t="s">
        <v>171</v>
      </c>
      <c r="K234" s="1375" t="str">
        <f t="shared" si="3"/>
        <v>RES_201202</v>
      </c>
    </row>
    <row r="235" spans="1:11">
      <c r="A235" s="1375" t="s">
        <v>763</v>
      </c>
      <c r="B235" s="1375" t="s">
        <v>152</v>
      </c>
      <c r="C235" s="1375" t="s">
        <v>805</v>
      </c>
      <c r="D235" s="1375" t="s">
        <v>819</v>
      </c>
      <c r="E235" s="1375" t="s">
        <v>2480</v>
      </c>
      <c r="F235" s="1375" t="s">
        <v>2077</v>
      </c>
      <c r="G235" s="1375" t="s">
        <v>1983</v>
      </c>
      <c r="H235" s="1375">
        <v>13</v>
      </c>
      <c r="I235" s="1375" t="s">
        <v>171</v>
      </c>
      <c r="K235" s="1375" t="str">
        <f t="shared" si="3"/>
        <v>RES_201202</v>
      </c>
    </row>
    <row r="236" spans="1:11">
      <c r="A236" s="1375" t="s">
        <v>923</v>
      </c>
      <c r="B236" s="1375" t="s">
        <v>152</v>
      </c>
      <c r="C236" s="1375" t="s">
        <v>805</v>
      </c>
      <c r="D236" s="1375" t="s">
        <v>922</v>
      </c>
      <c r="E236" s="1375" t="s">
        <v>2481</v>
      </c>
      <c r="F236" s="1375" t="s">
        <v>2077</v>
      </c>
      <c r="G236" s="1375" t="s">
        <v>1983</v>
      </c>
      <c r="H236" s="1375">
        <v>13</v>
      </c>
      <c r="I236" s="1375" t="s">
        <v>171</v>
      </c>
      <c r="K236" s="1375" t="str">
        <f t="shared" si="3"/>
        <v>RES_201202</v>
      </c>
    </row>
    <row r="237" spans="1:11">
      <c r="A237" s="1375" t="s">
        <v>744</v>
      </c>
      <c r="B237" s="1375" t="s">
        <v>152</v>
      </c>
      <c r="C237" s="1375" t="s">
        <v>806</v>
      </c>
      <c r="D237" s="1375" t="s">
        <v>157</v>
      </c>
      <c r="E237" s="1375" t="s">
        <v>2482</v>
      </c>
      <c r="F237" s="1375" t="s">
        <v>2076</v>
      </c>
      <c r="G237" s="1375" t="s">
        <v>1982</v>
      </c>
      <c r="H237" s="1375">
        <v>13</v>
      </c>
      <c r="I237" s="1375" t="s">
        <v>171</v>
      </c>
      <c r="K237" s="1375" t="str">
        <f t="shared" si="3"/>
        <v>RES_201202</v>
      </c>
    </row>
    <row r="238" spans="1:11">
      <c r="A238" s="1375" t="s">
        <v>745</v>
      </c>
      <c r="B238" s="1375" t="s">
        <v>152</v>
      </c>
      <c r="C238" s="1375" t="s">
        <v>806</v>
      </c>
      <c r="D238" s="1375" t="s">
        <v>158</v>
      </c>
      <c r="E238" s="1375" t="s">
        <v>2483</v>
      </c>
      <c r="F238" s="1375" t="s">
        <v>2076</v>
      </c>
      <c r="G238" s="1375" t="s">
        <v>1982</v>
      </c>
      <c r="H238" s="1375">
        <v>13</v>
      </c>
      <c r="I238" s="1375" t="s">
        <v>171</v>
      </c>
      <c r="K238" s="1375" t="str">
        <f t="shared" si="3"/>
        <v>RES_201202</v>
      </c>
    </row>
    <row r="239" spans="1:11">
      <c r="A239" s="1375" t="s">
        <v>764</v>
      </c>
      <c r="B239" s="1375" t="s">
        <v>152</v>
      </c>
      <c r="C239" s="1375" t="s">
        <v>806</v>
      </c>
      <c r="D239" s="1375" t="s">
        <v>818</v>
      </c>
      <c r="E239" s="1375" t="s">
        <v>2484</v>
      </c>
      <c r="F239" s="1375" t="s">
        <v>2076</v>
      </c>
      <c r="G239" s="1375" t="s">
        <v>1982</v>
      </c>
      <c r="H239" s="1375">
        <v>13</v>
      </c>
      <c r="I239" s="1375" t="s">
        <v>171</v>
      </c>
      <c r="K239" s="1375" t="str">
        <f t="shared" si="3"/>
        <v>RES_201202</v>
      </c>
    </row>
    <row r="240" spans="1:11">
      <c r="A240" s="1375" t="s">
        <v>765</v>
      </c>
      <c r="B240" s="1375" t="s">
        <v>152</v>
      </c>
      <c r="C240" s="1375" t="s">
        <v>806</v>
      </c>
      <c r="D240" s="1375" t="s">
        <v>819</v>
      </c>
      <c r="E240" s="1375" t="s">
        <v>2485</v>
      </c>
      <c r="F240" s="1375" t="s">
        <v>2076</v>
      </c>
      <c r="G240" s="1375" t="s">
        <v>1982</v>
      </c>
      <c r="H240" s="1375">
        <v>13</v>
      </c>
      <c r="I240" s="1375" t="s">
        <v>171</v>
      </c>
      <c r="K240" s="1375" t="str">
        <f t="shared" si="3"/>
        <v>RES_201202</v>
      </c>
    </row>
    <row r="241" spans="1:11">
      <c r="A241" s="1375" t="s">
        <v>924</v>
      </c>
      <c r="B241" s="1375" t="s">
        <v>152</v>
      </c>
      <c r="C241" s="1375" t="s">
        <v>806</v>
      </c>
      <c r="D241" s="1375" t="s">
        <v>922</v>
      </c>
      <c r="E241" s="1375" t="s">
        <v>2486</v>
      </c>
      <c r="F241" s="1375" t="s">
        <v>2076</v>
      </c>
      <c r="G241" s="1375" t="s">
        <v>1982</v>
      </c>
      <c r="H241" s="1375">
        <v>13</v>
      </c>
      <c r="I241" s="1375" t="s">
        <v>171</v>
      </c>
      <c r="K241" s="1375" t="str">
        <f t="shared" si="3"/>
        <v>RES_201202</v>
      </c>
    </row>
    <row r="242" spans="1:11">
      <c r="A242" s="1375" t="s">
        <v>766</v>
      </c>
      <c r="B242" s="1375" t="s">
        <v>152</v>
      </c>
      <c r="C242" s="1375" t="s">
        <v>807</v>
      </c>
      <c r="D242" s="1375" t="s">
        <v>157</v>
      </c>
      <c r="E242" s="1375" t="s">
        <v>2487</v>
      </c>
      <c r="F242" s="1375" t="s">
        <v>2078</v>
      </c>
      <c r="G242" s="1375" t="s">
        <v>1984</v>
      </c>
      <c r="H242" s="1375">
        <v>13</v>
      </c>
      <c r="I242" s="1375" t="s">
        <v>171</v>
      </c>
      <c r="K242" s="1375" t="str">
        <f t="shared" si="3"/>
        <v>RES_201202</v>
      </c>
    </row>
    <row r="243" spans="1:11">
      <c r="A243" s="1375" t="s">
        <v>767</v>
      </c>
      <c r="B243" s="1375" t="s">
        <v>152</v>
      </c>
      <c r="C243" s="1375" t="s">
        <v>807</v>
      </c>
      <c r="D243" s="1375" t="s">
        <v>158</v>
      </c>
      <c r="E243" s="1375" t="s">
        <v>2488</v>
      </c>
      <c r="F243" s="1375" t="s">
        <v>2078</v>
      </c>
      <c r="G243" s="1375" t="s">
        <v>1984</v>
      </c>
      <c r="H243" s="1375">
        <v>13</v>
      </c>
      <c r="I243" s="1375" t="s">
        <v>171</v>
      </c>
      <c r="K243" s="1375" t="str">
        <f t="shared" si="3"/>
        <v>RES_201202</v>
      </c>
    </row>
    <row r="244" spans="1:11">
      <c r="A244" s="1375" t="s">
        <v>768</v>
      </c>
      <c r="B244" s="1375" t="s">
        <v>152</v>
      </c>
      <c r="C244" s="1375" t="s">
        <v>807</v>
      </c>
      <c r="D244" s="1375" t="s">
        <v>818</v>
      </c>
      <c r="E244" s="1375" t="s">
        <v>2489</v>
      </c>
      <c r="F244" s="1375" t="s">
        <v>2078</v>
      </c>
      <c r="G244" s="1375" t="s">
        <v>1984</v>
      </c>
      <c r="H244" s="1375">
        <v>13</v>
      </c>
      <c r="I244" s="1375" t="s">
        <v>171</v>
      </c>
      <c r="K244" s="1375" t="str">
        <f t="shared" si="3"/>
        <v>RES_201202</v>
      </c>
    </row>
    <row r="245" spans="1:11">
      <c r="A245" s="1375" t="s">
        <v>769</v>
      </c>
      <c r="B245" s="1375" t="s">
        <v>152</v>
      </c>
      <c r="C245" s="1375" t="s">
        <v>807</v>
      </c>
      <c r="D245" s="1375" t="s">
        <v>819</v>
      </c>
      <c r="E245" s="1375" t="s">
        <v>2490</v>
      </c>
      <c r="F245" s="1375" t="s">
        <v>2078</v>
      </c>
      <c r="G245" s="1375" t="s">
        <v>1984</v>
      </c>
      <c r="H245" s="1375">
        <v>13</v>
      </c>
      <c r="I245" s="1375" t="s">
        <v>171</v>
      </c>
      <c r="K245" s="1375" t="str">
        <f t="shared" si="3"/>
        <v>RES_201202</v>
      </c>
    </row>
    <row r="246" spans="1:11">
      <c r="A246" s="1375" t="s">
        <v>925</v>
      </c>
      <c r="B246" s="1375" t="s">
        <v>152</v>
      </c>
      <c r="C246" s="1375" t="s">
        <v>807</v>
      </c>
      <c r="D246" s="1375" t="s">
        <v>922</v>
      </c>
      <c r="E246" s="1375" t="s">
        <v>2491</v>
      </c>
      <c r="F246" s="1375" t="s">
        <v>2078</v>
      </c>
      <c r="G246" s="1375" t="s">
        <v>1984</v>
      </c>
      <c r="H246" s="1375">
        <v>13</v>
      </c>
      <c r="I246" s="1375" t="s">
        <v>171</v>
      </c>
      <c r="K246" s="1375" t="str">
        <f t="shared" si="3"/>
        <v>RES_201202</v>
      </c>
    </row>
    <row r="247" spans="1:11">
      <c r="A247" s="1375" t="s">
        <v>59</v>
      </c>
      <c r="B247" s="1375" t="s">
        <v>746</v>
      </c>
      <c r="C247" s="1375" t="s">
        <v>311</v>
      </c>
      <c r="D247" s="1375" t="s">
        <v>363</v>
      </c>
      <c r="E247" s="1375" t="s">
        <v>2492</v>
      </c>
      <c r="F247" s="1375" t="s">
        <v>2107</v>
      </c>
      <c r="G247" s="1375" t="s">
        <v>1979</v>
      </c>
      <c r="H247" s="1375">
        <v>45</v>
      </c>
      <c r="I247" s="1375" t="s">
        <v>864</v>
      </c>
      <c r="K247" s="1375" t="str">
        <f t="shared" si="3"/>
        <v>RES_201301</v>
      </c>
    </row>
    <row r="248" spans="1:11">
      <c r="A248" s="1375" t="s">
        <v>463</v>
      </c>
      <c r="B248" s="1375" t="s">
        <v>746</v>
      </c>
      <c r="C248" s="1375" t="s">
        <v>916</v>
      </c>
      <c r="D248" s="1375" t="s">
        <v>917</v>
      </c>
      <c r="E248" s="1375" t="s">
        <v>2493</v>
      </c>
      <c r="F248" s="1375" t="s">
        <v>2073</v>
      </c>
      <c r="G248" s="1375" t="s">
        <v>1979</v>
      </c>
      <c r="H248" s="1375">
        <v>45</v>
      </c>
      <c r="I248" s="1375" t="s">
        <v>864</v>
      </c>
      <c r="K248" s="1375" t="str">
        <f t="shared" si="3"/>
        <v>RES_201301</v>
      </c>
    </row>
    <row r="249" spans="1:11">
      <c r="A249" s="1375" t="s">
        <v>60</v>
      </c>
      <c r="B249" s="1375" t="s">
        <v>746</v>
      </c>
      <c r="C249" s="1375" t="s">
        <v>329</v>
      </c>
      <c r="D249" s="1375" t="s">
        <v>363</v>
      </c>
      <c r="E249" s="1375" t="s">
        <v>2494</v>
      </c>
      <c r="F249" s="1375" t="s">
        <v>2116</v>
      </c>
      <c r="G249" s="1375" t="s">
        <v>1979</v>
      </c>
      <c r="H249" s="1375">
        <v>45</v>
      </c>
      <c r="I249" s="1375" t="s">
        <v>864</v>
      </c>
      <c r="K249" s="1375" t="str">
        <f t="shared" si="3"/>
        <v>RES_201301</v>
      </c>
    </row>
    <row r="250" spans="1:11">
      <c r="A250" s="1375" t="s">
        <v>81</v>
      </c>
      <c r="B250" s="1375" t="s">
        <v>746</v>
      </c>
      <c r="C250" s="1375" t="s">
        <v>1529</v>
      </c>
      <c r="D250" s="1375" t="s">
        <v>927</v>
      </c>
      <c r="E250" s="1375" t="s">
        <v>2495</v>
      </c>
      <c r="F250" s="1375" t="s">
        <v>1989</v>
      </c>
      <c r="G250" s="1375" t="s">
        <v>1989</v>
      </c>
      <c r="H250" s="1375">
        <v>45</v>
      </c>
      <c r="I250" s="1375" t="s">
        <v>864</v>
      </c>
      <c r="K250" s="1375" t="str">
        <f t="shared" si="3"/>
        <v>RES_201301</v>
      </c>
    </row>
    <row r="251" spans="1:11">
      <c r="A251" s="1375" t="s">
        <v>82</v>
      </c>
      <c r="B251" s="1375" t="s">
        <v>746</v>
      </c>
      <c r="C251" s="1375" t="s">
        <v>1530</v>
      </c>
      <c r="D251" s="1375" t="s">
        <v>927</v>
      </c>
      <c r="E251" s="1375" t="s">
        <v>2496</v>
      </c>
      <c r="F251" s="1375" t="s">
        <v>1993</v>
      </c>
      <c r="G251" s="1375" t="s">
        <v>1993</v>
      </c>
      <c r="H251" s="1375">
        <v>45</v>
      </c>
      <c r="I251" s="1375" t="s">
        <v>864</v>
      </c>
      <c r="K251" s="1375" t="str">
        <f t="shared" si="3"/>
        <v>RES_201301</v>
      </c>
    </row>
    <row r="252" spans="1:11">
      <c r="A252" s="1375" t="s">
        <v>83</v>
      </c>
      <c r="B252" s="1375" t="s">
        <v>746</v>
      </c>
      <c r="C252" s="1375" t="s">
        <v>1531</v>
      </c>
      <c r="D252" s="1375" t="s">
        <v>927</v>
      </c>
      <c r="E252" s="1375" t="s">
        <v>2497</v>
      </c>
      <c r="F252" s="1375" t="s">
        <v>1996</v>
      </c>
      <c r="G252" s="1375" t="s">
        <v>1996</v>
      </c>
      <c r="H252" s="1375">
        <v>45</v>
      </c>
      <c r="I252" s="1375" t="s">
        <v>864</v>
      </c>
      <c r="K252" s="1375" t="str">
        <f t="shared" si="3"/>
        <v>RES_201301</v>
      </c>
    </row>
    <row r="253" spans="1:11">
      <c r="A253" s="1375" t="s">
        <v>84</v>
      </c>
      <c r="B253" s="1375" t="s">
        <v>746</v>
      </c>
      <c r="C253" s="1375" t="s">
        <v>930</v>
      </c>
      <c r="D253" s="1375" t="s">
        <v>927</v>
      </c>
      <c r="E253" s="1375" t="s">
        <v>2498</v>
      </c>
      <c r="F253" s="1375" t="s">
        <v>2003</v>
      </c>
      <c r="G253" s="1375" t="s">
        <v>2003</v>
      </c>
      <c r="H253" s="1375">
        <v>45</v>
      </c>
      <c r="I253" s="1375" t="s">
        <v>864</v>
      </c>
      <c r="K253" s="1375" t="str">
        <f t="shared" si="3"/>
        <v>RES_201301</v>
      </c>
    </row>
    <row r="254" spans="1:11">
      <c r="A254" s="1375" t="s">
        <v>76</v>
      </c>
      <c r="B254" s="1375" t="s">
        <v>746</v>
      </c>
      <c r="C254" s="1375" t="s">
        <v>931</v>
      </c>
      <c r="D254" s="1375" t="s">
        <v>927</v>
      </c>
      <c r="E254" s="1375" t="s">
        <v>2499</v>
      </c>
      <c r="F254" s="1375" t="s">
        <v>1998</v>
      </c>
      <c r="G254" s="1375" t="s">
        <v>1998</v>
      </c>
      <c r="H254" s="1375">
        <v>45</v>
      </c>
      <c r="I254" s="1375" t="s">
        <v>864</v>
      </c>
      <c r="K254" s="1375" t="str">
        <f t="shared" si="3"/>
        <v>RES_201301</v>
      </c>
    </row>
    <row r="255" spans="1:11">
      <c r="A255" s="1375" t="s">
        <v>77</v>
      </c>
      <c r="B255" s="1375" t="s">
        <v>746</v>
      </c>
      <c r="C255" s="1375" t="s">
        <v>932</v>
      </c>
      <c r="D255" s="1375" t="s">
        <v>927</v>
      </c>
      <c r="E255" s="1375" t="s">
        <v>2500</v>
      </c>
      <c r="F255" s="1375" t="s">
        <v>2087</v>
      </c>
      <c r="G255" s="1375" t="s">
        <v>1987</v>
      </c>
      <c r="H255" s="1375">
        <v>45</v>
      </c>
      <c r="I255" s="1375" t="s">
        <v>864</v>
      </c>
      <c r="K255" s="1375" t="str">
        <f t="shared" si="3"/>
        <v>RES_201301</v>
      </c>
    </row>
    <row r="256" spans="1:11">
      <c r="A256" s="1375" t="s">
        <v>78</v>
      </c>
      <c r="B256" s="1375" t="s">
        <v>746</v>
      </c>
      <c r="C256" s="1375" t="s">
        <v>933</v>
      </c>
      <c r="D256" s="1375" t="s">
        <v>927</v>
      </c>
      <c r="E256" s="1375" t="s">
        <v>2501</v>
      </c>
      <c r="F256" s="1375" t="s">
        <v>2096</v>
      </c>
      <c r="G256" s="1375" t="s">
        <v>1991</v>
      </c>
      <c r="H256" s="1375">
        <v>45</v>
      </c>
      <c r="I256" s="1375" t="s">
        <v>864</v>
      </c>
      <c r="K256" s="1375" t="str">
        <f t="shared" si="3"/>
        <v>RES_201301</v>
      </c>
    </row>
    <row r="257" spans="1:11">
      <c r="A257" s="1375" t="s">
        <v>79</v>
      </c>
      <c r="B257" s="1375" t="s">
        <v>746</v>
      </c>
      <c r="C257" s="1375" t="s">
        <v>934</v>
      </c>
      <c r="D257" s="1375" t="s">
        <v>927</v>
      </c>
      <c r="E257" s="1375" t="s">
        <v>2502</v>
      </c>
      <c r="F257" s="1375" t="s">
        <v>2105</v>
      </c>
      <c r="G257" s="1375" t="s">
        <v>1994</v>
      </c>
      <c r="H257" s="1375">
        <v>45</v>
      </c>
      <c r="I257" s="1375" t="s">
        <v>864</v>
      </c>
      <c r="K257" s="1375" t="str">
        <f t="shared" si="3"/>
        <v>RES_201301</v>
      </c>
    </row>
    <row r="258" spans="1:11">
      <c r="A258" s="1375" t="s">
        <v>80</v>
      </c>
      <c r="B258" s="1375" t="s">
        <v>746</v>
      </c>
      <c r="C258" s="1375" t="s">
        <v>935</v>
      </c>
      <c r="D258" s="1375" t="s">
        <v>927</v>
      </c>
      <c r="E258" s="1375" t="s">
        <v>2503</v>
      </c>
      <c r="F258" s="1375" t="s">
        <v>2113</v>
      </c>
      <c r="G258" s="1375" t="s">
        <v>1999</v>
      </c>
      <c r="H258" s="1375">
        <v>45</v>
      </c>
      <c r="I258" s="1375" t="s">
        <v>864</v>
      </c>
      <c r="K258" s="1375" t="str">
        <f t="shared" si="3"/>
        <v>RES_201301</v>
      </c>
    </row>
    <row r="259" spans="1:11">
      <c r="A259" s="1375" t="s">
        <v>1398</v>
      </c>
      <c r="B259" s="1375" t="s">
        <v>746</v>
      </c>
      <c r="C259" s="1375" t="s">
        <v>1399</v>
      </c>
      <c r="D259" s="1375" t="s">
        <v>927</v>
      </c>
      <c r="E259" s="1375" t="s">
        <v>2504</v>
      </c>
      <c r="F259" s="1375" t="s">
        <v>2088</v>
      </c>
      <c r="G259" s="1375" t="s">
        <v>1988</v>
      </c>
      <c r="H259" s="1375">
        <v>45</v>
      </c>
      <c r="I259" s="1375" t="s">
        <v>864</v>
      </c>
      <c r="K259" s="1375" t="str">
        <f t="shared" ref="K259:K322" si="4">LEFT(A259,10)</f>
        <v>RES_201301</v>
      </c>
    </row>
    <row r="260" spans="1:11">
      <c r="A260" s="1375" t="s">
        <v>1400</v>
      </c>
      <c r="B260" s="1375" t="s">
        <v>746</v>
      </c>
      <c r="C260" s="1375" t="s">
        <v>1401</v>
      </c>
      <c r="D260" s="1375" t="s">
        <v>927</v>
      </c>
      <c r="E260" s="1375" t="s">
        <v>2505</v>
      </c>
      <c r="F260" s="1375" t="s">
        <v>2097</v>
      </c>
      <c r="G260" s="1375" t="s">
        <v>1992</v>
      </c>
      <c r="H260" s="1375">
        <v>45</v>
      </c>
      <c r="I260" s="1375" t="s">
        <v>864</v>
      </c>
      <c r="K260" s="1375" t="str">
        <f t="shared" si="4"/>
        <v>RES_201301</v>
      </c>
    </row>
    <row r="261" spans="1:11">
      <c r="A261" s="1375" t="s">
        <v>1402</v>
      </c>
      <c r="B261" s="1375" t="s">
        <v>746</v>
      </c>
      <c r="C261" s="1375" t="s">
        <v>1403</v>
      </c>
      <c r="D261" s="1375" t="s">
        <v>927</v>
      </c>
      <c r="E261" s="1375" t="s">
        <v>2506</v>
      </c>
      <c r="F261" s="1375" t="s">
        <v>2106</v>
      </c>
      <c r="G261" s="1375" t="s">
        <v>1995</v>
      </c>
      <c r="H261" s="1375">
        <v>45</v>
      </c>
      <c r="I261" s="1375" t="s">
        <v>864</v>
      </c>
      <c r="K261" s="1375" t="str">
        <f t="shared" si="4"/>
        <v>RES_201301</v>
      </c>
    </row>
    <row r="262" spans="1:11">
      <c r="A262" s="1375" t="s">
        <v>1404</v>
      </c>
      <c r="B262" s="1375" t="s">
        <v>746</v>
      </c>
      <c r="C262" s="1375" t="s">
        <v>1405</v>
      </c>
      <c r="D262" s="1375" t="s">
        <v>927</v>
      </c>
      <c r="E262" s="1375" t="s">
        <v>2507</v>
      </c>
      <c r="F262" s="1375" t="s">
        <v>2114</v>
      </c>
      <c r="G262" s="1375" t="s">
        <v>2000</v>
      </c>
      <c r="H262" s="1375">
        <v>45</v>
      </c>
      <c r="I262" s="1375" t="s">
        <v>864</v>
      </c>
      <c r="K262" s="1375" t="str">
        <f t="shared" si="4"/>
        <v>RES_201301</v>
      </c>
    </row>
    <row r="263" spans="1:11">
      <c r="A263" s="1375" t="s">
        <v>118</v>
      </c>
      <c r="B263" s="1375" t="s">
        <v>746</v>
      </c>
      <c r="C263" s="1375" t="s">
        <v>498</v>
      </c>
      <c r="D263" s="1375" t="s">
        <v>917</v>
      </c>
      <c r="E263" s="1375" t="s">
        <v>2508</v>
      </c>
      <c r="F263" s="1375" t="s">
        <v>2090</v>
      </c>
      <c r="G263" s="1375" t="s">
        <v>1980</v>
      </c>
      <c r="H263" s="1375">
        <v>45</v>
      </c>
      <c r="I263" s="1375" t="s">
        <v>864</v>
      </c>
      <c r="K263" s="1375" t="str">
        <f t="shared" si="4"/>
        <v>RES_201301</v>
      </c>
    </row>
    <row r="264" spans="1:11">
      <c r="A264" s="1375" t="s">
        <v>119</v>
      </c>
      <c r="B264" s="1375" t="s">
        <v>746</v>
      </c>
      <c r="C264" s="1375" t="s">
        <v>499</v>
      </c>
      <c r="D264" s="1375" t="s">
        <v>917</v>
      </c>
      <c r="E264" s="1375" t="s">
        <v>2509</v>
      </c>
      <c r="F264" s="1375" t="s">
        <v>2074</v>
      </c>
      <c r="G264" s="1375" t="s">
        <v>1980</v>
      </c>
      <c r="H264" s="1375">
        <v>45</v>
      </c>
      <c r="I264" s="1375" t="s">
        <v>864</v>
      </c>
      <c r="K264" s="1375" t="str">
        <f t="shared" si="4"/>
        <v>RES_201301</v>
      </c>
    </row>
    <row r="265" spans="1:11">
      <c r="A265" s="1375" t="s">
        <v>681</v>
      </c>
      <c r="B265" s="1375" t="s">
        <v>746</v>
      </c>
      <c r="C265" s="1375" t="s">
        <v>682</v>
      </c>
      <c r="D265" s="1375" t="s">
        <v>927</v>
      </c>
      <c r="E265" s="1375" t="s">
        <v>2510</v>
      </c>
      <c r="F265" s="1375" t="s">
        <v>2082</v>
      </c>
      <c r="G265" s="1375" t="s">
        <v>1979</v>
      </c>
      <c r="H265" s="1375">
        <v>45</v>
      </c>
      <c r="I265" s="1375" t="s">
        <v>864</v>
      </c>
      <c r="K265" s="1375" t="str">
        <f t="shared" si="4"/>
        <v>Res_201301</v>
      </c>
    </row>
    <row r="266" spans="1:11">
      <c r="A266" s="1375" t="s">
        <v>61</v>
      </c>
      <c r="B266" s="1375" t="s">
        <v>746</v>
      </c>
      <c r="C266" s="1375" t="s">
        <v>295</v>
      </c>
      <c r="D266" s="1375" t="s">
        <v>356</v>
      </c>
      <c r="E266" s="1375" t="s">
        <v>2511</v>
      </c>
      <c r="F266" s="1375" t="s">
        <v>2083</v>
      </c>
      <c r="G266" s="1375" t="s">
        <v>1979</v>
      </c>
      <c r="H266" s="1375">
        <v>45</v>
      </c>
      <c r="I266" s="1375" t="s">
        <v>864</v>
      </c>
      <c r="K266" s="1375" t="str">
        <f t="shared" si="4"/>
        <v>RES_201301</v>
      </c>
    </row>
    <row r="267" spans="1:11">
      <c r="A267" s="1375" t="s">
        <v>62</v>
      </c>
      <c r="B267" s="1375" t="s">
        <v>746</v>
      </c>
      <c r="C267" s="1375" t="s">
        <v>295</v>
      </c>
      <c r="D267" s="1375" t="s">
        <v>357</v>
      </c>
      <c r="E267" s="1375" t="s">
        <v>1808</v>
      </c>
      <c r="F267" s="1375" t="s">
        <v>1809</v>
      </c>
      <c r="G267" s="1375" t="s">
        <v>1979</v>
      </c>
      <c r="H267" s="1375">
        <v>45</v>
      </c>
      <c r="I267" s="1375" t="s">
        <v>864</v>
      </c>
      <c r="K267" s="1375" t="str">
        <f t="shared" si="4"/>
        <v>RES_201301</v>
      </c>
    </row>
    <row r="268" spans="1:11">
      <c r="A268" s="1375" t="s">
        <v>2305</v>
      </c>
      <c r="B268" s="1375" t="s">
        <v>746</v>
      </c>
      <c r="C268" s="1375" t="s">
        <v>295</v>
      </c>
      <c r="D268" s="1375" t="s">
        <v>367</v>
      </c>
      <c r="E268" s="1375" t="s">
        <v>2512</v>
      </c>
      <c r="F268" s="1375" t="s">
        <v>2084</v>
      </c>
      <c r="G268" s="1375" t="s">
        <v>1979</v>
      </c>
      <c r="H268" s="1375">
        <v>45</v>
      </c>
      <c r="I268" s="1375" t="s">
        <v>864</v>
      </c>
      <c r="K268" s="1375" t="str">
        <f t="shared" si="4"/>
        <v>RES_201301</v>
      </c>
    </row>
    <row r="269" spans="1:11">
      <c r="A269" s="1375" t="s">
        <v>2306</v>
      </c>
      <c r="B269" s="1375" t="s">
        <v>746</v>
      </c>
      <c r="C269" s="1375" t="s">
        <v>295</v>
      </c>
      <c r="D269" s="1375" t="s">
        <v>873</v>
      </c>
      <c r="E269" s="1375" t="s">
        <v>2513</v>
      </c>
      <c r="F269" s="1375" t="s">
        <v>2085</v>
      </c>
      <c r="G269" s="1375" t="s">
        <v>1979</v>
      </c>
      <c r="H269" s="1375">
        <v>45</v>
      </c>
      <c r="I269" s="1375" t="s">
        <v>864</v>
      </c>
      <c r="K269" s="1375" t="str">
        <f t="shared" si="4"/>
        <v>RES_201301</v>
      </c>
    </row>
    <row r="270" spans="1:11">
      <c r="A270" s="1375" t="s">
        <v>2307</v>
      </c>
      <c r="B270" s="1375" t="s">
        <v>746</v>
      </c>
      <c r="C270" s="1375" t="s">
        <v>295</v>
      </c>
      <c r="D270" s="1375" t="s">
        <v>875</v>
      </c>
      <c r="E270" s="1375" t="s">
        <v>2514</v>
      </c>
      <c r="F270" s="1375" t="s">
        <v>2086</v>
      </c>
      <c r="G270" s="1375" t="s">
        <v>1979</v>
      </c>
      <c r="H270" s="1375">
        <v>45</v>
      </c>
      <c r="I270" s="1375" t="s">
        <v>864</v>
      </c>
      <c r="K270" s="1375" t="str">
        <f t="shared" si="4"/>
        <v>RES_201301</v>
      </c>
    </row>
    <row r="271" spans="1:11">
      <c r="A271" s="1375" t="s">
        <v>500</v>
      </c>
      <c r="B271" s="1375" t="s">
        <v>746</v>
      </c>
      <c r="C271" s="1375" t="s">
        <v>936</v>
      </c>
      <c r="D271" s="1375" t="s">
        <v>927</v>
      </c>
      <c r="E271" s="1375" t="s">
        <v>2515</v>
      </c>
      <c r="F271" s="1375" t="s">
        <v>1997</v>
      </c>
      <c r="G271" s="1375" t="s">
        <v>1997</v>
      </c>
      <c r="H271" s="1375">
        <v>45</v>
      </c>
      <c r="I271" s="1375" t="s">
        <v>864</v>
      </c>
      <c r="K271" s="1375" t="str">
        <f t="shared" si="4"/>
        <v>Res_201301</v>
      </c>
    </row>
    <row r="272" spans="1:11">
      <c r="A272" s="1375" t="s">
        <v>757</v>
      </c>
      <c r="B272" s="1375" t="s">
        <v>746</v>
      </c>
      <c r="C272" s="1375" t="s">
        <v>937</v>
      </c>
      <c r="D272" s="1375" t="s">
        <v>927</v>
      </c>
      <c r="E272" s="1375" t="s">
        <v>2516</v>
      </c>
      <c r="F272" s="1375" t="s">
        <v>2092</v>
      </c>
      <c r="G272" s="1375" t="s">
        <v>1990</v>
      </c>
      <c r="H272" s="1375">
        <v>45</v>
      </c>
      <c r="I272" s="1375" t="s">
        <v>864</v>
      </c>
      <c r="K272" s="1375" t="str">
        <f t="shared" si="4"/>
        <v>RES_201301</v>
      </c>
    </row>
    <row r="273" spans="1:11">
      <c r="A273" s="1375" t="s">
        <v>758</v>
      </c>
      <c r="B273" s="1375" t="s">
        <v>746</v>
      </c>
      <c r="C273" s="1375" t="s">
        <v>938</v>
      </c>
      <c r="D273" s="1375" t="s">
        <v>927</v>
      </c>
      <c r="E273" s="1375" t="s">
        <v>2517</v>
      </c>
      <c r="F273" s="1375" t="s">
        <v>2100</v>
      </c>
      <c r="G273" s="1375" t="s">
        <v>1990</v>
      </c>
      <c r="H273" s="1375">
        <v>45</v>
      </c>
      <c r="I273" s="1375" t="s">
        <v>864</v>
      </c>
      <c r="K273" s="1375" t="str">
        <f t="shared" si="4"/>
        <v>RES_201301</v>
      </c>
    </row>
    <row r="274" spans="1:11">
      <c r="A274" s="1375" t="s">
        <v>759</v>
      </c>
      <c r="B274" s="1375" t="s">
        <v>746</v>
      </c>
      <c r="C274" s="1375" t="s">
        <v>939</v>
      </c>
      <c r="D274" s="1375" t="s">
        <v>927</v>
      </c>
      <c r="E274" s="1375" t="s">
        <v>2518</v>
      </c>
      <c r="F274" s="1375" t="s">
        <v>2109</v>
      </c>
      <c r="G274" s="1375" t="s">
        <v>1990</v>
      </c>
      <c r="H274" s="1375">
        <v>45</v>
      </c>
      <c r="I274" s="1375" t="s">
        <v>864</v>
      </c>
      <c r="K274" s="1375" t="str">
        <f t="shared" si="4"/>
        <v>RES_201301</v>
      </c>
    </row>
    <row r="275" spans="1:11">
      <c r="A275" s="1375" t="s">
        <v>760</v>
      </c>
      <c r="B275" s="1375" t="s">
        <v>746</v>
      </c>
      <c r="C275" s="1375" t="s">
        <v>940</v>
      </c>
      <c r="D275" s="1375" t="s">
        <v>927</v>
      </c>
      <c r="E275" s="1375" t="s">
        <v>2519</v>
      </c>
      <c r="F275" s="1375" t="s">
        <v>2117</v>
      </c>
      <c r="G275" s="1375" t="s">
        <v>1990</v>
      </c>
      <c r="H275" s="1375">
        <v>45</v>
      </c>
      <c r="I275" s="1375" t="s">
        <v>864</v>
      </c>
      <c r="K275" s="1375" t="str">
        <f t="shared" si="4"/>
        <v>RES_201301</v>
      </c>
    </row>
    <row r="276" spans="1:11">
      <c r="A276" s="1375" t="s">
        <v>761</v>
      </c>
      <c r="B276" s="1375" t="s">
        <v>746</v>
      </c>
      <c r="C276" s="1375" t="s">
        <v>941</v>
      </c>
      <c r="D276" s="1375" t="s">
        <v>927</v>
      </c>
      <c r="E276" s="1375" t="s">
        <v>2520</v>
      </c>
      <c r="F276" s="1375" t="s">
        <v>2002</v>
      </c>
      <c r="G276" s="1375" t="s">
        <v>2002</v>
      </c>
      <c r="H276" s="1375">
        <v>45</v>
      </c>
      <c r="I276" s="1375" t="s">
        <v>864</v>
      </c>
      <c r="K276" s="1375" t="str">
        <f t="shared" si="4"/>
        <v>RES_201301</v>
      </c>
    </row>
    <row r="277" spans="1:11">
      <c r="A277" s="1375" t="s">
        <v>2308</v>
      </c>
      <c r="B277" s="1375" t="s">
        <v>746</v>
      </c>
      <c r="C277" s="1375" t="s">
        <v>1926</v>
      </c>
      <c r="D277" s="1375" t="s">
        <v>927</v>
      </c>
      <c r="E277" s="1375" t="s">
        <v>2521</v>
      </c>
      <c r="F277" s="1375" t="s">
        <v>2108</v>
      </c>
      <c r="G277" s="1375" t="s">
        <v>1926</v>
      </c>
      <c r="H277" s="1375">
        <v>45</v>
      </c>
      <c r="I277" s="1375" t="s">
        <v>864</v>
      </c>
      <c r="K277" s="1375" t="str">
        <f t="shared" si="4"/>
        <v>RES_201301</v>
      </c>
    </row>
    <row r="278" spans="1:11">
      <c r="A278" s="1375" t="s">
        <v>2309</v>
      </c>
      <c r="B278" s="1375" t="s">
        <v>746</v>
      </c>
      <c r="C278" s="1375" t="s">
        <v>1925</v>
      </c>
      <c r="D278" s="1375" t="s">
        <v>927</v>
      </c>
      <c r="E278" s="1375" t="s">
        <v>2522</v>
      </c>
      <c r="F278" s="1375" t="s">
        <v>2091</v>
      </c>
      <c r="G278" s="1375" t="s">
        <v>1925</v>
      </c>
      <c r="H278" s="1375">
        <v>45</v>
      </c>
      <c r="I278" s="1375" t="s">
        <v>864</v>
      </c>
      <c r="K278" s="1375" t="str">
        <f t="shared" si="4"/>
        <v>RES_201301</v>
      </c>
    </row>
    <row r="279" spans="1:11">
      <c r="A279" s="1375" t="s">
        <v>1683</v>
      </c>
      <c r="B279" s="1375" t="s">
        <v>746</v>
      </c>
      <c r="C279" s="1375" t="s">
        <v>1766</v>
      </c>
      <c r="D279" s="1375" t="s">
        <v>927</v>
      </c>
      <c r="E279" s="1375" t="s">
        <v>2523</v>
      </c>
      <c r="F279" s="1375" t="s">
        <v>2099</v>
      </c>
      <c r="G279" s="1375" t="s">
        <v>1766</v>
      </c>
      <c r="H279" s="1375">
        <v>45</v>
      </c>
      <c r="I279" s="1375" t="s">
        <v>864</v>
      </c>
      <c r="K279" s="1375" t="str">
        <f t="shared" si="4"/>
        <v>RES_201301</v>
      </c>
    </row>
    <row r="280" spans="1:11">
      <c r="A280" s="1375" t="s">
        <v>756</v>
      </c>
      <c r="B280" s="1375" t="s">
        <v>746</v>
      </c>
      <c r="C280" s="1375" t="s">
        <v>942</v>
      </c>
      <c r="D280" s="1375" t="s">
        <v>927</v>
      </c>
      <c r="E280" s="1375" t="s">
        <v>2524</v>
      </c>
      <c r="F280" s="1375" t="s">
        <v>2104</v>
      </c>
      <c r="G280" s="1375" t="s">
        <v>1979</v>
      </c>
      <c r="H280" s="1375">
        <v>45</v>
      </c>
      <c r="I280" s="1375" t="s">
        <v>864</v>
      </c>
      <c r="K280" s="1375" t="str">
        <f t="shared" si="4"/>
        <v>RES_201301</v>
      </c>
    </row>
    <row r="281" spans="1:11">
      <c r="A281" s="1375" t="s">
        <v>2310</v>
      </c>
      <c r="B281" s="1375" t="s">
        <v>746</v>
      </c>
      <c r="C281" s="1375" t="s">
        <v>1927</v>
      </c>
      <c r="D281" s="1375" t="s">
        <v>927</v>
      </c>
      <c r="E281" s="1375" t="s">
        <v>2525</v>
      </c>
      <c r="F281" s="1375" t="s">
        <v>2115</v>
      </c>
      <c r="G281" s="1375" t="s">
        <v>2001</v>
      </c>
      <c r="H281" s="1375">
        <v>45</v>
      </c>
      <c r="I281" s="1375" t="s">
        <v>864</v>
      </c>
      <c r="K281" s="1375" t="str">
        <f t="shared" si="4"/>
        <v>RES_201301</v>
      </c>
    </row>
    <row r="282" spans="1:11">
      <c r="A282" s="1375" t="s">
        <v>63</v>
      </c>
      <c r="B282" s="1375" t="s">
        <v>746</v>
      </c>
      <c r="C282" s="1375" t="s">
        <v>303</v>
      </c>
      <c r="D282" s="1375" t="s">
        <v>357</v>
      </c>
      <c r="E282" s="1375" t="s">
        <v>1806</v>
      </c>
      <c r="F282" s="1375" t="s">
        <v>1807</v>
      </c>
      <c r="G282" s="1375" t="s">
        <v>1979</v>
      </c>
      <c r="H282" s="1375">
        <v>45</v>
      </c>
      <c r="I282" s="1375" t="s">
        <v>864</v>
      </c>
      <c r="K282" s="1375" t="str">
        <f t="shared" si="4"/>
        <v>RES_201301</v>
      </c>
    </row>
    <row r="283" spans="1:11">
      <c r="A283" s="1375" t="s">
        <v>64</v>
      </c>
      <c r="B283" s="1375" t="s">
        <v>746</v>
      </c>
      <c r="C283" s="1375" t="s">
        <v>303</v>
      </c>
      <c r="D283" s="1375" t="s">
        <v>367</v>
      </c>
      <c r="E283" s="1375" t="s">
        <v>2526</v>
      </c>
      <c r="F283" s="1375" t="s">
        <v>2093</v>
      </c>
      <c r="G283" s="1375" t="s">
        <v>1979</v>
      </c>
      <c r="H283" s="1375">
        <v>45</v>
      </c>
      <c r="I283" s="1375" t="s">
        <v>864</v>
      </c>
      <c r="K283" s="1375" t="str">
        <f t="shared" si="4"/>
        <v>RES_201301</v>
      </c>
    </row>
    <row r="284" spans="1:11">
      <c r="A284" s="1375" t="s">
        <v>2311</v>
      </c>
      <c r="B284" s="1375" t="s">
        <v>746</v>
      </c>
      <c r="C284" s="1375" t="s">
        <v>303</v>
      </c>
      <c r="D284" s="1375" t="s">
        <v>873</v>
      </c>
      <c r="E284" s="1375" t="s">
        <v>2527</v>
      </c>
      <c r="F284" s="1375" t="s">
        <v>2094</v>
      </c>
      <c r="G284" s="1375" t="s">
        <v>1979</v>
      </c>
      <c r="H284" s="1375">
        <v>45</v>
      </c>
      <c r="I284" s="1375" t="s">
        <v>864</v>
      </c>
      <c r="K284" s="1375" t="str">
        <f t="shared" si="4"/>
        <v>RES_201301</v>
      </c>
    </row>
    <row r="285" spans="1:11">
      <c r="A285" s="1375" t="s">
        <v>2312</v>
      </c>
      <c r="B285" s="1375" t="s">
        <v>746</v>
      </c>
      <c r="C285" s="1375" t="s">
        <v>303</v>
      </c>
      <c r="D285" s="1375" t="s">
        <v>875</v>
      </c>
      <c r="E285" s="1375" t="s">
        <v>2528</v>
      </c>
      <c r="F285" s="1375" t="s">
        <v>2095</v>
      </c>
      <c r="G285" s="1375" t="s">
        <v>1979</v>
      </c>
      <c r="H285" s="1375">
        <v>45</v>
      </c>
      <c r="I285" s="1375" t="s">
        <v>864</v>
      </c>
      <c r="K285" s="1375" t="str">
        <f t="shared" si="4"/>
        <v>RES_201301</v>
      </c>
    </row>
    <row r="286" spans="1:11">
      <c r="A286" s="1375" t="s">
        <v>433</v>
      </c>
      <c r="B286" s="1375" t="s">
        <v>746</v>
      </c>
      <c r="C286" s="1375" t="s">
        <v>309</v>
      </c>
      <c r="D286" s="1375" t="s">
        <v>810</v>
      </c>
      <c r="E286" s="1375" t="s">
        <v>1798</v>
      </c>
      <c r="F286" s="1375" t="s">
        <v>1799</v>
      </c>
      <c r="G286" s="1375" t="s">
        <v>1979</v>
      </c>
      <c r="H286" s="1375">
        <v>45</v>
      </c>
      <c r="I286" s="1375" t="s">
        <v>864</v>
      </c>
      <c r="K286" s="1375" t="str">
        <f t="shared" si="4"/>
        <v>Res_201301</v>
      </c>
    </row>
    <row r="287" spans="1:11">
      <c r="A287" s="1375" t="s">
        <v>65</v>
      </c>
      <c r="B287" s="1375" t="s">
        <v>746</v>
      </c>
      <c r="C287" s="1375" t="s">
        <v>309</v>
      </c>
      <c r="D287" s="1375" t="s">
        <v>1564</v>
      </c>
      <c r="E287" s="1375" t="s">
        <v>1802</v>
      </c>
      <c r="F287" s="1375" t="s">
        <v>1803</v>
      </c>
      <c r="G287" s="1375" t="s">
        <v>1979</v>
      </c>
      <c r="H287" s="1375">
        <v>45</v>
      </c>
      <c r="I287" s="1375" t="s">
        <v>864</v>
      </c>
      <c r="K287" s="1375" t="str">
        <f t="shared" si="4"/>
        <v>RES_201301</v>
      </c>
    </row>
    <row r="288" spans="1:11">
      <c r="A288" s="1375" t="s">
        <v>66</v>
      </c>
      <c r="B288" s="1375" t="s">
        <v>746</v>
      </c>
      <c r="C288" s="1375" t="s">
        <v>309</v>
      </c>
      <c r="D288" s="1375" t="s">
        <v>944</v>
      </c>
      <c r="E288" s="1375" t="s">
        <v>2529</v>
      </c>
      <c r="F288" s="1375" t="s">
        <v>2101</v>
      </c>
      <c r="G288" s="1375" t="s">
        <v>1979</v>
      </c>
      <c r="H288" s="1375">
        <v>45</v>
      </c>
      <c r="I288" s="1375" t="s">
        <v>864</v>
      </c>
      <c r="K288" s="1375" t="str">
        <f t="shared" si="4"/>
        <v>RES_201301</v>
      </c>
    </row>
    <row r="289" spans="1:11">
      <c r="A289" s="1375" t="s">
        <v>2313</v>
      </c>
      <c r="B289" s="1375" t="s">
        <v>746</v>
      </c>
      <c r="C289" s="1375" t="s">
        <v>309</v>
      </c>
      <c r="D289" s="1375" t="s">
        <v>1949</v>
      </c>
      <c r="E289" s="1375" t="s">
        <v>2530</v>
      </c>
      <c r="F289" s="1375" t="s">
        <v>2102</v>
      </c>
      <c r="G289" s="1375" t="s">
        <v>1979</v>
      </c>
      <c r="H289" s="1375">
        <v>45</v>
      </c>
      <c r="I289" s="1375" t="s">
        <v>864</v>
      </c>
      <c r="K289" s="1375" t="str">
        <f t="shared" si="4"/>
        <v>RES_201301</v>
      </c>
    </row>
    <row r="290" spans="1:11">
      <c r="A290" s="1375" t="s">
        <v>2314</v>
      </c>
      <c r="B290" s="1375" t="s">
        <v>746</v>
      </c>
      <c r="C290" s="1375" t="s">
        <v>309</v>
      </c>
      <c r="D290" s="1375" t="s">
        <v>1950</v>
      </c>
      <c r="E290" s="1375" t="s">
        <v>2531</v>
      </c>
      <c r="F290" s="1375" t="s">
        <v>2103</v>
      </c>
      <c r="G290" s="1375" t="s">
        <v>1979</v>
      </c>
      <c r="H290" s="1375">
        <v>45</v>
      </c>
      <c r="I290" s="1375" t="s">
        <v>864</v>
      </c>
      <c r="K290" s="1375" t="str">
        <f t="shared" si="4"/>
        <v>RES_201301</v>
      </c>
    </row>
    <row r="291" spans="1:11">
      <c r="A291" s="1375" t="s">
        <v>67</v>
      </c>
      <c r="B291" s="1375" t="s">
        <v>746</v>
      </c>
      <c r="C291" s="1375" t="s">
        <v>327</v>
      </c>
      <c r="D291" s="1375" t="s">
        <v>385</v>
      </c>
      <c r="E291" s="1375" t="s">
        <v>1800</v>
      </c>
      <c r="F291" s="1375" t="s">
        <v>1801</v>
      </c>
      <c r="G291" s="1375" t="s">
        <v>1979</v>
      </c>
      <c r="H291" s="1375">
        <v>45</v>
      </c>
      <c r="I291" s="1375" t="s">
        <v>864</v>
      </c>
      <c r="K291" s="1375" t="str">
        <f t="shared" si="4"/>
        <v>RES_201301</v>
      </c>
    </row>
    <row r="292" spans="1:11">
      <c r="A292" s="1375" t="s">
        <v>68</v>
      </c>
      <c r="B292" s="1375" t="s">
        <v>746</v>
      </c>
      <c r="C292" s="1375" t="s">
        <v>327</v>
      </c>
      <c r="D292" s="1375" t="s">
        <v>386</v>
      </c>
      <c r="E292" s="1375" t="s">
        <v>1804</v>
      </c>
      <c r="F292" s="1375" t="s">
        <v>1805</v>
      </c>
      <c r="G292" s="1375" t="s">
        <v>1979</v>
      </c>
      <c r="H292" s="1375">
        <v>45</v>
      </c>
      <c r="I292" s="1375" t="s">
        <v>864</v>
      </c>
      <c r="K292" s="1375" t="str">
        <f t="shared" si="4"/>
        <v>RES_201301</v>
      </c>
    </row>
    <row r="293" spans="1:11">
      <c r="A293" s="1375" t="s">
        <v>458</v>
      </c>
      <c r="B293" s="1375" t="s">
        <v>746</v>
      </c>
      <c r="C293" s="1375" t="s">
        <v>327</v>
      </c>
      <c r="D293" s="1375" t="s">
        <v>885</v>
      </c>
      <c r="E293" s="1375" t="s">
        <v>2532</v>
      </c>
      <c r="F293" s="1375" t="s">
        <v>2110</v>
      </c>
      <c r="G293" s="1375" t="s">
        <v>1979</v>
      </c>
      <c r="H293" s="1375">
        <v>45</v>
      </c>
      <c r="I293" s="1375" t="s">
        <v>864</v>
      </c>
      <c r="K293" s="1375" t="str">
        <f t="shared" si="4"/>
        <v>RES_201301</v>
      </c>
    </row>
    <row r="294" spans="1:11">
      <c r="A294" s="1375" t="s">
        <v>2315</v>
      </c>
      <c r="B294" s="1375" t="s">
        <v>746</v>
      </c>
      <c r="C294" s="1375" t="s">
        <v>327</v>
      </c>
      <c r="D294" s="1375" t="s">
        <v>902</v>
      </c>
      <c r="E294" s="1375" t="s">
        <v>2533</v>
      </c>
      <c r="F294" s="1375" t="s">
        <v>2111</v>
      </c>
      <c r="G294" s="1375" t="s">
        <v>1979</v>
      </c>
      <c r="H294" s="1375">
        <v>45</v>
      </c>
      <c r="I294" s="1375" t="s">
        <v>864</v>
      </c>
      <c r="K294" s="1375" t="str">
        <f t="shared" si="4"/>
        <v>RES_201301</v>
      </c>
    </row>
    <row r="295" spans="1:11">
      <c r="A295" s="1375" t="s">
        <v>2316</v>
      </c>
      <c r="B295" s="1375" t="s">
        <v>746</v>
      </c>
      <c r="C295" s="1375" t="s">
        <v>327</v>
      </c>
      <c r="D295" s="1375" t="s">
        <v>904</v>
      </c>
      <c r="E295" s="1375" t="s">
        <v>2534</v>
      </c>
      <c r="F295" s="1375" t="s">
        <v>2112</v>
      </c>
      <c r="G295" s="1375" t="s">
        <v>1979</v>
      </c>
      <c r="H295" s="1375">
        <v>45</v>
      </c>
      <c r="I295" s="1375" t="s">
        <v>864</v>
      </c>
      <c r="K295" s="1375" t="str">
        <f t="shared" si="4"/>
        <v>RES_201301</v>
      </c>
    </row>
    <row r="296" spans="1:11">
      <c r="A296" s="1375" t="s">
        <v>416</v>
      </c>
      <c r="B296" s="1375" t="s">
        <v>746</v>
      </c>
      <c r="C296" s="1375" t="s">
        <v>918</v>
      </c>
      <c r="D296" s="1375" t="s">
        <v>917</v>
      </c>
      <c r="E296" s="1375" t="s">
        <v>2535</v>
      </c>
      <c r="F296" s="1375" t="s">
        <v>2057</v>
      </c>
      <c r="G296" s="1375" t="s">
        <v>1979</v>
      </c>
      <c r="H296" s="1375">
        <v>45</v>
      </c>
      <c r="I296" s="1375" t="s">
        <v>864</v>
      </c>
      <c r="K296" s="1375" t="str">
        <f t="shared" si="4"/>
        <v>RES_201301</v>
      </c>
    </row>
    <row r="297" spans="1:11">
      <c r="A297" s="1375" t="s">
        <v>428</v>
      </c>
      <c r="B297" s="1375" t="s">
        <v>746</v>
      </c>
      <c r="C297" s="1375" t="s">
        <v>919</v>
      </c>
      <c r="D297" s="1375" t="s">
        <v>917</v>
      </c>
      <c r="E297" s="1375" t="s">
        <v>2536</v>
      </c>
      <c r="F297" s="1375" t="s">
        <v>2062</v>
      </c>
      <c r="G297" s="1375" t="s">
        <v>1979</v>
      </c>
      <c r="H297" s="1375">
        <v>45</v>
      </c>
      <c r="I297" s="1375" t="s">
        <v>864</v>
      </c>
      <c r="K297" s="1375" t="str">
        <f t="shared" si="4"/>
        <v>RES_201301</v>
      </c>
    </row>
    <row r="298" spans="1:11">
      <c r="A298" s="1375" t="s">
        <v>440</v>
      </c>
      <c r="B298" s="1375" t="s">
        <v>746</v>
      </c>
      <c r="C298" s="1375" t="s">
        <v>920</v>
      </c>
      <c r="D298" s="1375" t="s">
        <v>917</v>
      </c>
      <c r="E298" s="1375" t="s">
        <v>2537</v>
      </c>
      <c r="F298" s="1375" t="s">
        <v>2068</v>
      </c>
      <c r="G298" s="1375" t="s">
        <v>1979</v>
      </c>
      <c r="H298" s="1375">
        <v>45</v>
      </c>
      <c r="I298" s="1375" t="s">
        <v>864</v>
      </c>
      <c r="K298" s="1375" t="str">
        <f t="shared" si="4"/>
        <v>RES_201301</v>
      </c>
    </row>
    <row r="299" spans="1:11">
      <c r="A299" s="1375" t="s">
        <v>69</v>
      </c>
      <c r="B299" s="1375" t="s">
        <v>746</v>
      </c>
      <c r="C299" s="1375" t="s">
        <v>297</v>
      </c>
      <c r="D299" s="1375" t="s">
        <v>363</v>
      </c>
      <c r="E299" s="1375" t="s">
        <v>2538</v>
      </c>
      <c r="F299" s="1375" t="s">
        <v>2089</v>
      </c>
      <c r="G299" s="1375" t="s">
        <v>1979</v>
      </c>
      <c r="H299" s="1375">
        <v>45</v>
      </c>
      <c r="I299" s="1375" t="s">
        <v>864</v>
      </c>
      <c r="K299" s="1375" t="str">
        <f t="shared" si="4"/>
        <v>RES_201301</v>
      </c>
    </row>
    <row r="300" spans="1:11">
      <c r="A300" s="1375" t="s">
        <v>70</v>
      </c>
      <c r="B300" s="1375" t="s">
        <v>746</v>
      </c>
      <c r="C300" s="1375" t="s">
        <v>305</v>
      </c>
      <c r="D300" s="1375" t="s">
        <v>363</v>
      </c>
      <c r="E300" s="1375" t="s">
        <v>2539</v>
      </c>
      <c r="F300" s="1375" t="s">
        <v>2098</v>
      </c>
      <c r="G300" s="1375" t="s">
        <v>1979</v>
      </c>
      <c r="H300" s="1375">
        <v>45</v>
      </c>
      <c r="I300" s="1375" t="s">
        <v>864</v>
      </c>
      <c r="K300" s="1375" t="str">
        <f t="shared" si="4"/>
        <v>RES_201301</v>
      </c>
    </row>
    <row r="301" spans="1:11">
      <c r="A301" s="1375" t="s">
        <v>2317</v>
      </c>
      <c r="B301" s="1375" t="s">
        <v>470</v>
      </c>
      <c r="C301" s="1375" t="s">
        <v>1929</v>
      </c>
      <c r="D301" s="1375" t="s">
        <v>333</v>
      </c>
      <c r="E301" s="1375" t="s">
        <v>2540</v>
      </c>
      <c r="F301" s="1375" t="s">
        <v>2181</v>
      </c>
      <c r="G301" s="1375" t="s">
        <v>1929</v>
      </c>
      <c r="H301" s="1375">
        <v>14</v>
      </c>
      <c r="I301" s="1375" t="s">
        <v>1407</v>
      </c>
      <c r="K301" s="1375" t="str">
        <f t="shared" si="4"/>
        <v>RES_201402</v>
      </c>
    </row>
    <row r="302" spans="1:11">
      <c r="A302" s="1375" t="s">
        <v>2318</v>
      </c>
      <c r="B302" s="1375" t="s">
        <v>470</v>
      </c>
      <c r="C302" s="1375" t="s">
        <v>1932</v>
      </c>
      <c r="D302" s="1375" t="s">
        <v>1954</v>
      </c>
      <c r="E302" s="1375" t="s">
        <v>2541</v>
      </c>
      <c r="F302" s="1375" t="s">
        <v>2186</v>
      </c>
      <c r="G302" s="1375" t="s">
        <v>1012</v>
      </c>
      <c r="H302" s="1375">
        <v>11</v>
      </c>
      <c r="I302" s="1375" t="s">
        <v>1407</v>
      </c>
      <c r="K302" s="1375" t="str">
        <f t="shared" si="4"/>
        <v>RES_201402</v>
      </c>
    </row>
    <row r="303" spans="1:11">
      <c r="A303" s="1375" t="s">
        <v>2319</v>
      </c>
      <c r="B303" s="1375" t="s">
        <v>470</v>
      </c>
      <c r="C303" s="1375" t="s">
        <v>1933</v>
      </c>
      <c r="D303" s="1375" t="s">
        <v>1954</v>
      </c>
      <c r="E303" s="1375" t="s">
        <v>2542</v>
      </c>
      <c r="F303" s="1375" t="s">
        <v>2190</v>
      </c>
      <c r="G303" s="1375" t="s">
        <v>1012</v>
      </c>
      <c r="H303" s="1375">
        <v>6</v>
      </c>
      <c r="I303" s="1375" t="s">
        <v>1407</v>
      </c>
      <c r="K303" s="1375" t="str">
        <f t="shared" si="4"/>
        <v>RES_201402</v>
      </c>
    </row>
    <row r="304" spans="1:11">
      <c r="A304" s="1375" t="s">
        <v>2320</v>
      </c>
      <c r="B304" s="1375" t="s">
        <v>470</v>
      </c>
      <c r="C304" s="1375" t="s">
        <v>1931</v>
      </c>
      <c r="D304" s="1375" t="s">
        <v>1954</v>
      </c>
      <c r="E304" s="1375" t="s">
        <v>2543</v>
      </c>
      <c r="F304" s="1375" t="s">
        <v>2183</v>
      </c>
      <c r="G304" s="1375" t="s">
        <v>1012</v>
      </c>
      <c r="H304" s="1375">
        <v>25</v>
      </c>
      <c r="I304" s="1375" t="s">
        <v>1407</v>
      </c>
      <c r="K304" s="1375" t="str">
        <f t="shared" si="4"/>
        <v>RES_201402</v>
      </c>
    </row>
    <row r="305" spans="1:11">
      <c r="A305" s="1375" t="s">
        <v>2321</v>
      </c>
      <c r="B305" s="1375" t="s">
        <v>470</v>
      </c>
      <c r="C305" s="1375" t="s">
        <v>1934</v>
      </c>
      <c r="D305" s="1375" t="s">
        <v>332</v>
      </c>
      <c r="E305" s="1375" t="s">
        <v>332</v>
      </c>
      <c r="F305" s="1375" t="s">
        <v>2175</v>
      </c>
      <c r="G305" s="1375" t="s">
        <v>2023</v>
      </c>
      <c r="H305" s="1375" t="s">
        <v>2898</v>
      </c>
      <c r="I305" s="1375" t="s">
        <v>1407</v>
      </c>
      <c r="K305" s="1375" t="str">
        <f t="shared" si="4"/>
        <v>RES_201402</v>
      </c>
    </row>
    <row r="306" spans="1:11">
      <c r="A306" s="1375" t="s">
        <v>451</v>
      </c>
      <c r="B306" s="1375" t="s">
        <v>470</v>
      </c>
      <c r="C306" s="1375" t="s">
        <v>318</v>
      </c>
      <c r="D306" s="1375" t="s">
        <v>333</v>
      </c>
      <c r="E306" s="1375" t="s">
        <v>2544</v>
      </c>
      <c r="F306" s="1375" t="s">
        <v>2187</v>
      </c>
      <c r="G306" s="1375" t="s">
        <v>2024</v>
      </c>
      <c r="H306" s="1375">
        <v>19</v>
      </c>
      <c r="I306" s="1375" t="s">
        <v>1407</v>
      </c>
      <c r="K306" s="1375" t="str">
        <f t="shared" si="4"/>
        <v>RES_201402</v>
      </c>
    </row>
    <row r="307" spans="1:11">
      <c r="A307" s="1375" t="s">
        <v>393</v>
      </c>
      <c r="B307" s="1375" t="s">
        <v>470</v>
      </c>
      <c r="C307" s="1375" t="s">
        <v>280</v>
      </c>
      <c r="D307" s="1375" t="s">
        <v>333</v>
      </c>
      <c r="E307" s="1375" t="s">
        <v>2545</v>
      </c>
      <c r="F307" s="1375" t="s">
        <v>2180</v>
      </c>
      <c r="G307" s="1375" t="s">
        <v>2019</v>
      </c>
      <c r="H307" s="1375">
        <v>5</v>
      </c>
      <c r="I307" s="1375" t="s">
        <v>1407</v>
      </c>
      <c r="K307" s="1375" t="str">
        <f t="shared" si="4"/>
        <v>RES_201402</v>
      </c>
    </row>
    <row r="308" spans="1:11">
      <c r="A308" s="1375" t="s">
        <v>452</v>
      </c>
      <c r="B308" s="1375" t="s">
        <v>470</v>
      </c>
      <c r="C308" s="1375" t="s">
        <v>319</v>
      </c>
      <c r="D308" s="1375" t="s">
        <v>333</v>
      </c>
      <c r="E308" s="1375" t="s">
        <v>2546</v>
      </c>
      <c r="F308" s="1375" t="s">
        <v>2189</v>
      </c>
      <c r="G308" s="1375" t="s">
        <v>2025</v>
      </c>
      <c r="H308" s="1375">
        <v>16</v>
      </c>
      <c r="I308" s="1375" t="s">
        <v>1407</v>
      </c>
      <c r="K308" s="1375" t="str">
        <f t="shared" si="4"/>
        <v>RES_201402</v>
      </c>
    </row>
    <row r="309" spans="1:11">
      <c r="A309" s="1375" t="s">
        <v>467</v>
      </c>
      <c r="B309" s="1375" t="s">
        <v>470</v>
      </c>
      <c r="C309" s="1375" t="s">
        <v>331</v>
      </c>
      <c r="D309" s="1375" t="s">
        <v>333</v>
      </c>
      <c r="E309" s="1375" t="s">
        <v>2547</v>
      </c>
      <c r="F309" s="1375" t="s">
        <v>2185</v>
      </c>
      <c r="G309" s="1375" t="s">
        <v>2022</v>
      </c>
      <c r="H309" s="1375">
        <v>21</v>
      </c>
      <c r="I309" s="1375" t="s">
        <v>1407</v>
      </c>
      <c r="K309" s="1375" t="str">
        <f t="shared" si="4"/>
        <v>RES_201402</v>
      </c>
    </row>
    <row r="310" spans="1:11">
      <c r="A310" s="1375" t="s">
        <v>395</v>
      </c>
      <c r="B310" s="1375" t="s">
        <v>470</v>
      </c>
      <c r="C310" s="1375" t="s">
        <v>283</v>
      </c>
      <c r="D310" s="1375" t="s">
        <v>333</v>
      </c>
      <c r="E310" s="1375" t="s">
        <v>2548</v>
      </c>
      <c r="F310" s="1375" t="s">
        <v>2182</v>
      </c>
      <c r="G310" s="1375" t="s">
        <v>2020</v>
      </c>
      <c r="H310" s="1375">
        <v>16</v>
      </c>
      <c r="I310" s="1375" t="s">
        <v>1407</v>
      </c>
      <c r="K310" s="1375" t="str">
        <f t="shared" si="4"/>
        <v>RES_201402</v>
      </c>
    </row>
    <row r="311" spans="1:11">
      <c r="A311" s="1375" t="s">
        <v>405</v>
      </c>
      <c r="B311" s="1375" t="s">
        <v>470</v>
      </c>
      <c r="C311" s="1375" t="s">
        <v>293</v>
      </c>
      <c r="D311" s="1375" t="s">
        <v>333</v>
      </c>
      <c r="E311" s="1375" t="s">
        <v>2549</v>
      </c>
      <c r="F311" s="1375" t="s">
        <v>2184</v>
      </c>
      <c r="G311" s="1375" t="s">
        <v>2021</v>
      </c>
      <c r="H311" s="1375">
        <v>5</v>
      </c>
      <c r="I311" s="1375" t="s">
        <v>1407</v>
      </c>
      <c r="K311" s="1375" t="str">
        <f t="shared" si="4"/>
        <v>RES_201402</v>
      </c>
    </row>
    <row r="312" spans="1:11">
      <c r="A312" s="1375" t="s">
        <v>407</v>
      </c>
      <c r="B312" s="1375" t="s">
        <v>470</v>
      </c>
      <c r="C312" s="1375" t="s">
        <v>1391</v>
      </c>
      <c r="D312" s="1375" t="s">
        <v>333</v>
      </c>
      <c r="E312" s="1375" t="s">
        <v>2550</v>
      </c>
      <c r="F312" s="1375" t="s">
        <v>2188</v>
      </c>
      <c r="G312" s="1375" t="s">
        <v>2013</v>
      </c>
      <c r="H312" s="1375">
        <v>16</v>
      </c>
      <c r="I312" s="1375" t="s">
        <v>1407</v>
      </c>
      <c r="K312" s="1375" t="str">
        <f t="shared" si="4"/>
        <v>RES_201402</v>
      </c>
    </row>
    <row r="313" spans="1:11">
      <c r="A313" s="1375" t="s">
        <v>1360</v>
      </c>
      <c r="B313" s="1375" t="s">
        <v>470</v>
      </c>
      <c r="C313" s="1375" t="s">
        <v>1359</v>
      </c>
      <c r="D313" s="1375" t="s">
        <v>333</v>
      </c>
      <c r="E313" s="1375" t="s">
        <v>1853</v>
      </c>
      <c r="F313" s="1375" t="s">
        <v>1721</v>
      </c>
      <c r="G313" s="1375" t="s">
        <v>1359</v>
      </c>
      <c r="H313" s="1375">
        <v>14</v>
      </c>
      <c r="I313" s="1375" t="s">
        <v>1407</v>
      </c>
      <c r="K313" s="1375" t="str">
        <f t="shared" si="4"/>
        <v>RES_201402</v>
      </c>
    </row>
    <row r="314" spans="1:11">
      <c r="A314" s="1375" t="s">
        <v>115</v>
      </c>
      <c r="B314" s="1375" t="s">
        <v>154</v>
      </c>
      <c r="C314" s="1375" t="s">
        <v>945</v>
      </c>
      <c r="D314" s="1375" t="s">
        <v>1007</v>
      </c>
      <c r="E314" s="1375" t="s">
        <v>2220</v>
      </c>
      <c r="F314" s="1375" t="s">
        <v>2220</v>
      </c>
      <c r="G314" s="1375" t="s">
        <v>2038</v>
      </c>
      <c r="H314" s="1375">
        <v>6.5</v>
      </c>
      <c r="I314" s="1375" t="s">
        <v>181</v>
      </c>
      <c r="K314" s="1375" t="str">
        <f t="shared" si="4"/>
        <v>RES_201403</v>
      </c>
    </row>
    <row r="315" spans="1:11">
      <c r="A315" s="1375" t="s">
        <v>114</v>
      </c>
      <c r="B315" s="1375" t="s">
        <v>154</v>
      </c>
      <c r="C315" s="1375" t="s">
        <v>945</v>
      </c>
      <c r="D315" s="1375" t="s">
        <v>1262</v>
      </c>
      <c r="E315" s="1375" t="s">
        <v>1887</v>
      </c>
      <c r="F315" s="1375" t="s">
        <v>1887</v>
      </c>
      <c r="G315" s="1375" t="s">
        <v>2038</v>
      </c>
      <c r="H315" s="1375">
        <v>6.5</v>
      </c>
      <c r="I315" s="1375" t="s">
        <v>181</v>
      </c>
      <c r="K315" s="1375" t="str">
        <f t="shared" si="4"/>
        <v>RES_201403</v>
      </c>
    </row>
    <row r="316" spans="1:11">
      <c r="A316" s="1375" t="s">
        <v>400</v>
      </c>
      <c r="B316" s="1375" t="s">
        <v>154</v>
      </c>
      <c r="C316" s="1375" t="s">
        <v>945</v>
      </c>
      <c r="D316" s="1375" t="s">
        <v>1130</v>
      </c>
      <c r="E316" s="1375" t="s">
        <v>1888</v>
      </c>
      <c r="F316" s="1375" t="s">
        <v>1888</v>
      </c>
      <c r="G316" s="1375" t="s">
        <v>2038</v>
      </c>
      <c r="H316" s="1375">
        <v>6.5</v>
      </c>
      <c r="I316" s="1375" t="s">
        <v>181</v>
      </c>
      <c r="K316" s="1375" t="str">
        <f t="shared" si="4"/>
        <v>RES_201403</v>
      </c>
    </row>
    <row r="317" spans="1:11">
      <c r="A317" s="1375" t="s">
        <v>1913</v>
      </c>
      <c r="B317" s="1375" t="s">
        <v>154</v>
      </c>
      <c r="C317" s="1375" t="s">
        <v>284</v>
      </c>
      <c r="D317" s="1375" t="s">
        <v>1007</v>
      </c>
      <c r="E317" s="1375" t="s">
        <v>2551</v>
      </c>
      <c r="F317" s="1375" t="s">
        <v>2216</v>
      </c>
      <c r="G317" s="1375" t="s">
        <v>284</v>
      </c>
      <c r="H317" s="1375">
        <v>14</v>
      </c>
      <c r="I317" s="1375" t="s">
        <v>181</v>
      </c>
      <c r="K317" s="1375" t="str">
        <f t="shared" si="4"/>
        <v>RES_201403</v>
      </c>
    </row>
    <row r="318" spans="1:11">
      <c r="A318" s="1375" t="s">
        <v>268</v>
      </c>
      <c r="B318" s="1375" t="s">
        <v>154</v>
      </c>
      <c r="C318" s="1375" t="s">
        <v>284</v>
      </c>
      <c r="D318" s="1375" t="s">
        <v>1392</v>
      </c>
      <c r="E318" s="1375" t="s">
        <v>3063</v>
      </c>
      <c r="F318" s="1375" t="s">
        <v>1881</v>
      </c>
      <c r="G318" s="1375" t="s">
        <v>284</v>
      </c>
      <c r="H318" s="1375">
        <v>14</v>
      </c>
      <c r="I318" s="1375" t="s">
        <v>181</v>
      </c>
      <c r="K318" s="1375" t="str">
        <f t="shared" si="4"/>
        <v>RES_201403</v>
      </c>
    </row>
    <row r="319" spans="1:11">
      <c r="A319" s="1375" t="s">
        <v>269</v>
      </c>
      <c r="B319" s="1375" t="s">
        <v>154</v>
      </c>
      <c r="C319" s="1375" t="s">
        <v>284</v>
      </c>
      <c r="D319" s="1375" t="s">
        <v>947</v>
      </c>
      <c r="E319" s="1375" t="s">
        <v>3065</v>
      </c>
      <c r="F319" s="1375" t="s">
        <v>1882</v>
      </c>
      <c r="G319" s="1375" t="s">
        <v>284</v>
      </c>
      <c r="H319" s="1375">
        <v>14</v>
      </c>
      <c r="I319" s="1375" t="s">
        <v>181</v>
      </c>
      <c r="K319" s="1375" t="str">
        <f t="shared" si="4"/>
        <v>RES_201403</v>
      </c>
    </row>
    <row r="320" spans="1:11">
      <c r="A320" s="1375" t="s">
        <v>270</v>
      </c>
      <c r="B320" s="1375" t="s">
        <v>154</v>
      </c>
      <c r="C320" s="1375" t="s">
        <v>284</v>
      </c>
      <c r="D320" s="1375" t="s">
        <v>1393</v>
      </c>
      <c r="E320" s="1375" t="s">
        <v>2215</v>
      </c>
      <c r="F320" s="1375" t="s">
        <v>2215</v>
      </c>
      <c r="G320" s="1375" t="s">
        <v>284</v>
      </c>
      <c r="H320" s="1375">
        <v>14</v>
      </c>
      <c r="I320" s="1375" t="s">
        <v>181</v>
      </c>
      <c r="K320" s="1375" t="str">
        <f t="shared" si="4"/>
        <v>RES_201403</v>
      </c>
    </row>
    <row r="321" spans="1:11">
      <c r="A321" s="1375" t="s">
        <v>2322</v>
      </c>
      <c r="B321" s="1375" t="s">
        <v>154</v>
      </c>
      <c r="C321" s="1375" t="s">
        <v>315</v>
      </c>
      <c r="D321" s="1375" t="s">
        <v>1007</v>
      </c>
      <c r="E321" s="1375" t="s">
        <v>2552</v>
      </c>
      <c r="F321" s="1375" t="s">
        <v>2226</v>
      </c>
      <c r="G321" s="1375" t="s">
        <v>1012</v>
      </c>
      <c r="H321" s="1375">
        <v>15.2</v>
      </c>
      <c r="I321" s="1375" t="s">
        <v>181</v>
      </c>
      <c r="K321" s="1375" t="str">
        <f t="shared" si="4"/>
        <v>RES_201403</v>
      </c>
    </row>
    <row r="322" spans="1:11">
      <c r="A322" s="1375" t="s">
        <v>447</v>
      </c>
      <c r="B322" s="1375" t="s">
        <v>154</v>
      </c>
      <c r="C322" s="1375" t="s">
        <v>315</v>
      </c>
      <c r="D322" s="1375" t="s">
        <v>1262</v>
      </c>
      <c r="E322" s="1375" t="s">
        <v>1878</v>
      </c>
      <c r="F322" s="1375" t="s">
        <v>1878</v>
      </c>
      <c r="G322" s="1375" t="s">
        <v>1012</v>
      </c>
      <c r="H322" s="1375">
        <v>15.2</v>
      </c>
      <c r="I322" s="1375" t="s">
        <v>181</v>
      </c>
      <c r="K322" s="1375" t="str">
        <f t="shared" si="4"/>
        <v>RES_201403</v>
      </c>
    </row>
    <row r="323" spans="1:11">
      <c r="A323" s="1375" t="s">
        <v>448</v>
      </c>
      <c r="B323" s="1375" t="s">
        <v>154</v>
      </c>
      <c r="C323" s="1375" t="s">
        <v>315</v>
      </c>
      <c r="D323" s="1375" t="s">
        <v>163</v>
      </c>
      <c r="E323" s="1375" t="s">
        <v>2225</v>
      </c>
      <c r="F323" s="1375" t="s">
        <v>2225</v>
      </c>
      <c r="G323" s="1375" t="s">
        <v>1012</v>
      </c>
      <c r="H323" s="1375">
        <v>15.2</v>
      </c>
      <c r="I323" s="1375" t="s">
        <v>181</v>
      </c>
      <c r="K323" s="1375" t="str">
        <f t="shared" ref="K323:K386" si="5">LEFT(A323,10)</f>
        <v>RES_201403</v>
      </c>
    </row>
    <row r="324" spans="1:11">
      <c r="A324" s="1375" t="s">
        <v>2323</v>
      </c>
      <c r="B324" s="1375" t="s">
        <v>154</v>
      </c>
      <c r="C324" s="1375" t="s">
        <v>315</v>
      </c>
      <c r="D324" s="1375" t="s">
        <v>684</v>
      </c>
      <c r="E324" s="1375" t="s">
        <v>2224</v>
      </c>
      <c r="F324" s="1375" t="s">
        <v>2224</v>
      </c>
      <c r="G324" s="1375" t="s">
        <v>1012</v>
      </c>
      <c r="H324" s="1375">
        <v>15.2</v>
      </c>
      <c r="I324" s="1375" t="s">
        <v>181</v>
      </c>
      <c r="K324" s="1375" t="str">
        <f t="shared" si="5"/>
        <v>RES_201403</v>
      </c>
    </row>
    <row r="325" spans="1:11">
      <c r="A325" s="1375" t="s">
        <v>2324</v>
      </c>
      <c r="B325" s="1375" t="s">
        <v>154</v>
      </c>
      <c r="C325" s="1375" t="s">
        <v>317</v>
      </c>
      <c r="D325" s="1375" t="s">
        <v>1007</v>
      </c>
      <c r="E325" s="1375" t="s">
        <v>2235</v>
      </c>
      <c r="F325" s="1375" t="s">
        <v>2235</v>
      </c>
      <c r="G325" s="1375" t="s">
        <v>1012</v>
      </c>
      <c r="H325" s="1375">
        <v>15.2</v>
      </c>
      <c r="I325" s="1375" t="s">
        <v>181</v>
      </c>
      <c r="K325" s="1375" t="str">
        <f t="shared" si="5"/>
        <v>RES_201403</v>
      </c>
    </row>
    <row r="326" spans="1:11">
      <c r="A326" s="1375" t="s">
        <v>449</v>
      </c>
      <c r="B326" s="1375" t="s">
        <v>154</v>
      </c>
      <c r="C326" s="1375" t="s">
        <v>317</v>
      </c>
      <c r="D326" s="1375" t="s">
        <v>1262</v>
      </c>
      <c r="E326" s="1375" t="s">
        <v>1874</v>
      </c>
      <c r="F326" s="1375" t="s">
        <v>1874</v>
      </c>
      <c r="G326" s="1375" t="s">
        <v>1012</v>
      </c>
      <c r="H326" s="1375">
        <v>15.2</v>
      </c>
      <c r="I326" s="1375" t="s">
        <v>181</v>
      </c>
      <c r="K326" s="1375" t="str">
        <f t="shared" si="5"/>
        <v>RES_201403</v>
      </c>
    </row>
    <row r="327" spans="1:11">
      <c r="A327" s="1375" t="s">
        <v>450</v>
      </c>
      <c r="B327" s="1375" t="s">
        <v>154</v>
      </c>
      <c r="C327" s="1375" t="s">
        <v>317</v>
      </c>
      <c r="D327" s="1375" t="s">
        <v>163</v>
      </c>
      <c r="E327" s="1375" t="s">
        <v>1876</v>
      </c>
      <c r="F327" s="1375" t="s">
        <v>2234</v>
      </c>
      <c r="G327" s="1375" t="s">
        <v>1012</v>
      </c>
      <c r="H327" s="1375">
        <v>15.2</v>
      </c>
      <c r="I327" s="1375" t="s">
        <v>181</v>
      </c>
      <c r="K327" s="1375" t="str">
        <f t="shared" si="5"/>
        <v>RES_201403</v>
      </c>
    </row>
    <row r="328" spans="1:11">
      <c r="A328" s="1375" t="s">
        <v>2325</v>
      </c>
      <c r="B328" s="1375" t="s">
        <v>154</v>
      </c>
      <c r="C328" s="1375" t="s">
        <v>317</v>
      </c>
      <c r="D328" s="1375" t="s">
        <v>684</v>
      </c>
      <c r="E328" s="1375" t="s">
        <v>2233</v>
      </c>
      <c r="F328" s="1375" t="s">
        <v>2233</v>
      </c>
      <c r="G328" s="1375" t="s">
        <v>1012</v>
      </c>
      <c r="H328" s="1375">
        <v>15.2</v>
      </c>
      <c r="I328" s="1375" t="s">
        <v>181</v>
      </c>
      <c r="K328" s="1375" t="str">
        <f t="shared" si="5"/>
        <v>RES_201403</v>
      </c>
    </row>
    <row r="329" spans="1:11">
      <c r="A329" s="1375" t="s">
        <v>2326</v>
      </c>
      <c r="B329" s="1375" t="s">
        <v>154</v>
      </c>
      <c r="C329" s="1375" t="s">
        <v>1535</v>
      </c>
      <c r="D329" s="1375" t="s">
        <v>1007</v>
      </c>
      <c r="E329" s="1375" t="s">
        <v>2553</v>
      </c>
      <c r="F329" s="1375" t="s">
        <v>2207</v>
      </c>
      <c r="G329" s="1375" t="s">
        <v>2035</v>
      </c>
      <c r="H329" s="1375">
        <v>12</v>
      </c>
      <c r="I329" s="1375" t="s">
        <v>181</v>
      </c>
      <c r="K329" s="1375" t="str">
        <f t="shared" si="5"/>
        <v>RES_201403</v>
      </c>
    </row>
    <row r="330" spans="1:11">
      <c r="A330" s="1375" t="s">
        <v>1534</v>
      </c>
      <c r="B330" s="1375" t="s">
        <v>154</v>
      </c>
      <c r="C330" s="1375" t="s">
        <v>1535</v>
      </c>
      <c r="D330" s="1375" t="s">
        <v>1536</v>
      </c>
      <c r="E330" s="1375" t="s">
        <v>1898</v>
      </c>
      <c r="F330" s="1375" t="s">
        <v>1899</v>
      </c>
      <c r="G330" s="1375" t="s">
        <v>2035</v>
      </c>
      <c r="H330" s="1375">
        <v>12</v>
      </c>
      <c r="I330" s="1375" t="s">
        <v>181</v>
      </c>
      <c r="K330" s="1375" t="str">
        <f t="shared" si="5"/>
        <v>RES_201403</v>
      </c>
    </row>
    <row r="331" spans="1:11">
      <c r="A331" s="1375" t="s">
        <v>1537</v>
      </c>
      <c r="B331" s="1375" t="s">
        <v>154</v>
      </c>
      <c r="C331" s="1375" t="s">
        <v>1535</v>
      </c>
      <c r="D331" s="1375" t="s">
        <v>1386</v>
      </c>
      <c r="E331" s="1375" t="s">
        <v>1900</v>
      </c>
      <c r="F331" s="1375" t="s">
        <v>1901</v>
      </c>
      <c r="G331" s="1375" t="s">
        <v>2035</v>
      </c>
      <c r="H331" s="1375">
        <v>12</v>
      </c>
      <c r="I331" s="1375" t="s">
        <v>181</v>
      </c>
      <c r="K331" s="1375" t="str">
        <f t="shared" si="5"/>
        <v>RES_201403</v>
      </c>
    </row>
    <row r="332" spans="1:11">
      <c r="A332" s="1375" t="s">
        <v>1538</v>
      </c>
      <c r="B332" s="1375" t="s">
        <v>154</v>
      </c>
      <c r="C332" s="1375" t="s">
        <v>1535</v>
      </c>
      <c r="D332" s="1375" t="s">
        <v>1387</v>
      </c>
      <c r="E332" s="1375" t="s">
        <v>1902</v>
      </c>
      <c r="F332" s="1375" t="s">
        <v>1903</v>
      </c>
      <c r="G332" s="1375" t="s">
        <v>2035</v>
      </c>
      <c r="H332" s="1375">
        <v>12</v>
      </c>
      <c r="I332" s="1375" t="s">
        <v>181</v>
      </c>
      <c r="K332" s="1375" t="str">
        <f t="shared" si="5"/>
        <v>RES_201403</v>
      </c>
    </row>
    <row r="333" spans="1:11">
      <c r="A333" s="1375" t="s">
        <v>1539</v>
      </c>
      <c r="B333" s="1375" t="s">
        <v>154</v>
      </c>
      <c r="C333" s="1375" t="s">
        <v>1535</v>
      </c>
      <c r="D333" s="1375" t="s">
        <v>1388</v>
      </c>
      <c r="E333" s="1375" t="s">
        <v>1904</v>
      </c>
      <c r="F333" s="1375" t="s">
        <v>1905</v>
      </c>
      <c r="G333" s="1375" t="s">
        <v>2035</v>
      </c>
      <c r="H333" s="1375">
        <v>12</v>
      </c>
      <c r="I333" s="1375" t="s">
        <v>181</v>
      </c>
      <c r="K333" s="1375" t="str">
        <f t="shared" si="5"/>
        <v>RES_201403</v>
      </c>
    </row>
    <row r="334" spans="1:11">
      <c r="A334" s="1375" t="s">
        <v>1540</v>
      </c>
      <c r="B334" s="1375" t="s">
        <v>154</v>
      </c>
      <c r="C334" s="1375" t="s">
        <v>1535</v>
      </c>
      <c r="D334" s="1375" t="s">
        <v>1389</v>
      </c>
      <c r="E334" s="1375" t="s">
        <v>1906</v>
      </c>
      <c r="F334" s="1375" t="s">
        <v>1907</v>
      </c>
      <c r="G334" s="1375" t="s">
        <v>2035</v>
      </c>
      <c r="H334" s="1375">
        <v>12</v>
      </c>
      <c r="I334" s="1375" t="s">
        <v>181</v>
      </c>
      <c r="K334" s="1375" t="str">
        <f t="shared" si="5"/>
        <v>RES_201403</v>
      </c>
    </row>
    <row r="335" spans="1:11">
      <c r="A335" s="1375" t="s">
        <v>1541</v>
      </c>
      <c r="B335" s="1375" t="s">
        <v>154</v>
      </c>
      <c r="C335" s="1375" t="s">
        <v>1535</v>
      </c>
      <c r="D335" s="1375" t="s">
        <v>1390</v>
      </c>
      <c r="E335" s="1375" t="s">
        <v>1908</v>
      </c>
      <c r="F335" s="1375" t="s">
        <v>1909</v>
      </c>
      <c r="G335" s="1375" t="s">
        <v>2035</v>
      </c>
      <c r="H335" s="1375">
        <v>12</v>
      </c>
      <c r="I335" s="1375" t="s">
        <v>181</v>
      </c>
      <c r="K335" s="1375" t="str">
        <f t="shared" si="5"/>
        <v>RES_201403</v>
      </c>
    </row>
    <row r="336" spans="1:11">
      <c r="A336" s="1375" t="s">
        <v>2327</v>
      </c>
      <c r="B336" s="1375" t="s">
        <v>154</v>
      </c>
      <c r="C336" s="1375" t="s">
        <v>1939</v>
      </c>
      <c r="D336" s="1375" t="s">
        <v>1007</v>
      </c>
      <c r="E336" s="1375" t="s">
        <v>2554</v>
      </c>
      <c r="F336" s="1375" t="s">
        <v>2210</v>
      </c>
      <c r="G336" s="1375" t="s">
        <v>1939</v>
      </c>
      <c r="H336" s="1375">
        <v>12</v>
      </c>
      <c r="I336" s="1375" t="s">
        <v>181</v>
      </c>
      <c r="K336" s="1375" t="str">
        <f t="shared" si="5"/>
        <v>RES_201403</v>
      </c>
    </row>
    <row r="337" spans="1:11">
      <c r="A337" s="1375" t="s">
        <v>2328</v>
      </c>
      <c r="B337" s="1375" t="s">
        <v>154</v>
      </c>
      <c r="C337" s="1375" t="s">
        <v>1939</v>
      </c>
      <c r="D337" s="1375" t="s">
        <v>1536</v>
      </c>
      <c r="E337" s="1375" t="s">
        <v>2555</v>
      </c>
      <c r="F337" s="1375" t="s">
        <v>2208</v>
      </c>
      <c r="G337" s="1375" t="s">
        <v>1939</v>
      </c>
      <c r="H337" s="1375">
        <v>12</v>
      </c>
      <c r="I337" s="1375" t="s">
        <v>181</v>
      </c>
      <c r="K337" s="1375" t="str">
        <f t="shared" si="5"/>
        <v>RES_201403</v>
      </c>
    </row>
    <row r="338" spans="1:11">
      <c r="A338" s="1375" t="s">
        <v>2329</v>
      </c>
      <c r="B338" s="1375" t="s">
        <v>154</v>
      </c>
      <c r="C338" s="1375" t="s">
        <v>1939</v>
      </c>
      <c r="D338" s="1375" t="s">
        <v>1956</v>
      </c>
      <c r="E338" s="1375" t="s">
        <v>2556</v>
      </c>
      <c r="F338" s="1375" t="s">
        <v>2209</v>
      </c>
      <c r="G338" s="1375" t="s">
        <v>1939</v>
      </c>
      <c r="H338" s="1375">
        <v>12</v>
      </c>
      <c r="I338" s="1375" t="s">
        <v>181</v>
      </c>
      <c r="K338" s="1375" t="str">
        <f t="shared" si="5"/>
        <v>RES_201403</v>
      </c>
    </row>
    <row r="339" spans="1:11">
      <c r="A339" s="1375" t="s">
        <v>2330</v>
      </c>
      <c r="B339" s="1375" t="s">
        <v>154</v>
      </c>
      <c r="C339" s="1375" t="s">
        <v>1938</v>
      </c>
      <c r="D339" s="1375" t="s">
        <v>1007</v>
      </c>
      <c r="E339" s="1375" t="s">
        <v>2557</v>
      </c>
      <c r="F339" s="1375" t="s">
        <v>2206</v>
      </c>
      <c r="G339" s="1375" t="s">
        <v>1938</v>
      </c>
      <c r="H339" s="1375">
        <v>12</v>
      </c>
      <c r="I339" s="1375" t="s">
        <v>181</v>
      </c>
      <c r="K339" s="1375" t="str">
        <f t="shared" si="5"/>
        <v>RES_201403</v>
      </c>
    </row>
    <row r="340" spans="1:11">
      <c r="A340" s="1375" t="s">
        <v>2331</v>
      </c>
      <c r="B340" s="1375" t="s">
        <v>154</v>
      </c>
      <c r="C340" s="1375" t="s">
        <v>1938</v>
      </c>
      <c r="D340" s="1375" t="s">
        <v>1536</v>
      </c>
      <c r="E340" s="1375" t="s">
        <v>2558</v>
      </c>
      <c r="F340" s="1375" t="s">
        <v>2204</v>
      </c>
      <c r="G340" s="1375" t="s">
        <v>1938</v>
      </c>
      <c r="H340" s="1375">
        <v>12</v>
      </c>
      <c r="I340" s="1375" t="s">
        <v>181</v>
      </c>
      <c r="K340" s="1375" t="str">
        <f t="shared" si="5"/>
        <v>RES_201403</v>
      </c>
    </row>
    <row r="341" spans="1:11">
      <c r="A341" s="1375" t="s">
        <v>2332</v>
      </c>
      <c r="B341" s="1375" t="s">
        <v>154</v>
      </c>
      <c r="C341" s="1375" t="s">
        <v>1938</v>
      </c>
      <c r="D341" s="1375" t="s">
        <v>1956</v>
      </c>
      <c r="E341" s="1375" t="s">
        <v>2559</v>
      </c>
      <c r="F341" s="1375" t="s">
        <v>2205</v>
      </c>
      <c r="G341" s="1375" t="s">
        <v>1938</v>
      </c>
      <c r="H341" s="1375">
        <v>12</v>
      </c>
      <c r="I341" s="1375" t="s">
        <v>181</v>
      </c>
      <c r="K341" s="1375" t="str">
        <f t="shared" si="5"/>
        <v>RES_201403</v>
      </c>
    </row>
    <row r="342" spans="1:11">
      <c r="A342" s="1375" t="s">
        <v>2333</v>
      </c>
      <c r="B342" s="1375" t="s">
        <v>154</v>
      </c>
      <c r="C342" s="1375" t="s">
        <v>1941</v>
      </c>
      <c r="D342" s="1375" t="s">
        <v>1007</v>
      </c>
      <c r="E342" s="1375" t="s">
        <v>2560</v>
      </c>
      <c r="F342" s="1375" t="s">
        <v>2218</v>
      </c>
      <c r="G342" s="1375" t="s">
        <v>1941</v>
      </c>
      <c r="H342" s="1375">
        <v>11</v>
      </c>
      <c r="I342" s="1375" t="s">
        <v>181</v>
      </c>
      <c r="K342" s="1375" t="str">
        <f t="shared" si="5"/>
        <v>RES_201403</v>
      </c>
    </row>
    <row r="343" spans="1:11">
      <c r="A343" s="1375" t="s">
        <v>2334</v>
      </c>
      <c r="B343" s="1375" t="s">
        <v>154</v>
      </c>
      <c r="C343" s="1375" t="s">
        <v>1941</v>
      </c>
      <c r="D343" s="1375" t="s">
        <v>948</v>
      </c>
      <c r="E343" s="1375" t="s">
        <v>2561</v>
      </c>
      <c r="F343" s="1375" t="s">
        <v>2217</v>
      </c>
      <c r="G343" s="1375" t="s">
        <v>1941</v>
      </c>
      <c r="H343" s="1375">
        <v>11</v>
      </c>
      <c r="I343" s="1375" t="s">
        <v>181</v>
      </c>
      <c r="K343" s="1375" t="str">
        <f t="shared" si="5"/>
        <v>RES_201403</v>
      </c>
    </row>
    <row r="344" spans="1:11">
      <c r="A344" s="1375" t="s">
        <v>2335</v>
      </c>
      <c r="B344" s="1375" t="s">
        <v>154</v>
      </c>
      <c r="C344" s="1375" t="s">
        <v>1942</v>
      </c>
      <c r="D344" s="1375" t="s">
        <v>1007</v>
      </c>
      <c r="E344" s="1375" t="s">
        <v>2229</v>
      </c>
      <c r="F344" s="1375" t="s">
        <v>2229</v>
      </c>
      <c r="G344" s="1375" t="s">
        <v>2039</v>
      </c>
      <c r="H344" s="1375">
        <v>15.2</v>
      </c>
      <c r="I344" s="1375" t="s">
        <v>181</v>
      </c>
      <c r="K344" s="1375" t="str">
        <f t="shared" si="5"/>
        <v>RES_201403</v>
      </c>
    </row>
    <row r="345" spans="1:11">
      <c r="A345" s="1375" t="s">
        <v>2336</v>
      </c>
      <c r="B345" s="1375" t="s">
        <v>154</v>
      </c>
      <c r="C345" s="1375" t="s">
        <v>1942</v>
      </c>
      <c r="D345" s="1375" t="s">
        <v>1262</v>
      </c>
      <c r="E345" s="1375" t="s">
        <v>2227</v>
      </c>
      <c r="F345" s="1375" t="s">
        <v>2227</v>
      </c>
      <c r="G345" s="1375" t="s">
        <v>2039</v>
      </c>
      <c r="H345" s="1375">
        <v>15.2</v>
      </c>
      <c r="I345" s="1375" t="s">
        <v>181</v>
      </c>
      <c r="K345" s="1375" t="str">
        <f t="shared" si="5"/>
        <v>RES_201403</v>
      </c>
    </row>
    <row r="346" spans="1:11">
      <c r="A346" s="1375" t="s">
        <v>2337</v>
      </c>
      <c r="B346" s="1375" t="s">
        <v>154</v>
      </c>
      <c r="C346" s="1375" t="s">
        <v>1942</v>
      </c>
      <c r="D346" s="1375" t="s">
        <v>1533</v>
      </c>
      <c r="E346" s="1375" t="s">
        <v>2228</v>
      </c>
      <c r="F346" s="1375" t="s">
        <v>2228</v>
      </c>
      <c r="G346" s="1375" t="s">
        <v>2039</v>
      </c>
      <c r="H346" s="1375">
        <v>15.2</v>
      </c>
      <c r="I346" s="1375" t="s">
        <v>181</v>
      </c>
      <c r="K346" s="1375" t="str">
        <f t="shared" si="5"/>
        <v>RES_201403</v>
      </c>
    </row>
    <row r="347" spans="1:11">
      <c r="A347" s="1375" t="s">
        <v>2338</v>
      </c>
      <c r="B347" s="1375" t="s">
        <v>154</v>
      </c>
      <c r="C347" s="1375" t="s">
        <v>1937</v>
      </c>
      <c r="D347" s="1375" t="s">
        <v>1007</v>
      </c>
      <c r="E347" s="1375" t="s">
        <v>2562</v>
      </c>
      <c r="F347" s="1375" t="s">
        <v>2203</v>
      </c>
      <c r="G347" s="1375" t="s">
        <v>2034</v>
      </c>
      <c r="H347" s="1375">
        <v>12</v>
      </c>
      <c r="I347" s="1375" t="s">
        <v>181</v>
      </c>
      <c r="K347" s="1375" t="str">
        <f t="shared" si="5"/>
        <v>RES_201403</v>
      </c>
    </row>
    <row r="348" spans="1:11">
      <c r="A348" s="1375" t="s">
        <v>2339</v>
      </c>
      <c r="B348" s="1375" t="s">
        <v>154</v>
      </c>
      <c r="C348" s="1375" t="s">
        <v>1937</v>
      </c>
      <c r="D348" s="1375" t="s">
        <v>1536</v>
      </c>
      <c r="E348" s="1375" t="s">
        <v>2563</v>
      </c>
      <c r="F348" s="1375" t="s">
        <v>2201</v>
      </c>
      <c r="G348" s="1375" t="s">
        <v>2034</v>
      </c>
      <c r="H348" s="1375">
        <v>12</v>
      </c>
      <c r="I348" s="1375" t="s">
        <v>181</v>
      </c>
      <c r="K348" s="1375" t="str">
        <f t="shared" si="5"/>
        <v>RES_201403</v>
      </c>
    </row>
    <row r="349" spans="1:11">
      <c r="A349" s="1375" t="s">
        <v>2340</v>
      </c>
      <c r="B349" s="1375" t="s">
        <v>154</v>
      </c>
      <c r="C349" s="1375" t="s">
        <v>1937</v>
      </c>
      <c r="D349" s="1375" t="s">
        <v>1956</v>
      </c>
      <c r="E349" s="1375" t="s">
        <v>2564</v>
      </c>
      <c r="F349" s="1375" t="s">
        <v>2202</v>
      </c>
      <c r="G349" s="1375" t="s">
        <v>2034</v>
      </c>
      <c r="H349" s="1375">
        <v>12</v>
      </c>
      <c r="I349" s="1375" t="s">
        <v>181</v>
      </c>
      <c r="K349" s="1375" t="str">
        <f t="shared" si="5"/>
        <v>RES_201403</v>
      </c>
    </row>
    <row r="350" spans="1:11">
      <c r="A350" s="1375" t="s">
        <v>2341</v>
      </c>
      <c r="B350" s="1375" t="s">
        <v>154</v>
      </c>
      <c r="C350" s="1375" t="s">
        <v>1934</v>
      </c>
      <c r="D350" s="1375" t="s">
        <v>332</v>
      </c>
      <c r="E350" s="1375" t="s">
        <v>2565</v>
      </c>
      <c r="F350" s="1375" t="s">
        <v>2223</v>
      </c>
      <c r="G350" s="1375" t="s">
        <v>2023</v>
      </c>
      <c r="H350" s="1375">
        <v>7</v>
      </c>
      <c r="I350" s="1375" t="s">
        <v>181</v>
      </c>
      <c r="K350" s="1375" t="str">
        <f t="shared" si="5"/>
        <v>RES_201403</v>
      </c>
    </row>
    <row r="351" spans="1:11">
      <c r="A351" s="1375" t="s">
        <v>2342</v>
      </c>
      <c r="B351" s="1375" t="s">
        <v>154</v>
      </c>
      <c r="C351" s="1375" t="s">
        <v>1940</v>
      </c>
      <c r="D351" s="1375" t="s">
        <v>1007</v>
      </c>
      <c r="E351" s="1375" t="s">
        <v>2566</v>
      </c>
      <c r="F351" s="1375" t="s">
        <v>2211</v>
      </c>
      <c r="G351" s="1375" t="s">
        <v>2036</v>
      </c>
      <c r="H351" s="1375">
        <v>14</v>
      </c>
      <c r="I351" s="1375" t="s">
        <v>181</v>
      </c>
      <c r="K351" s="1375" t="str">
        <f t="shared" si="5"/>
        <v>RES_201403</v>
      </c>
    </row>
    <row r="352" spans="1:11">
      <c r="A352" s="1375" t="s">
        <v>3070</v>
      </c>
      <c r="B352" s="1375" t="s">
        <v>154</v>
      </c>
      <c r="C352" s="1375" t="s">
        <v>3071</v>
      </c>
      <c r="D352" s="1375" t="s">
        <v>3059</v>
      </c>
      <c r="E352" s="1375" t="s">
        <v>3069</v>
      </c>
      <c r="F352" s="1375" t="s">
        <v>3093</v>
      </c>
      <c r="G352" s="1375" t="s">
        <v>3094</v>
      </c>
      <c r="H352" s="1375">
        <v>7</v>
      </c>
      <c r="I352" s="1375" t="s">
        <v>181</v>
      </c>
      <c r="K352" s="1375" t="str">
        <f t="shared" si="5"/>
        <v>RES_201403</v>
      </c>
    </row>
    <row r="353" spans="1:11">
      <c r="A353" s="1375" t="s">
        <v>1749</v>
      </c>
      <c r="B353" s="1375" t="s">
        <v>154</v>
      </c>
      <c r="C353" s="1375" t="s">
        <v>279</v>
      </c>
      <c r="D353" s="1375" t="s">
        <v>1007</v>
      </c>
      <c r="E353" s="1375" t="s">
        <v>2200</v>
      </c>
      <c r="F353" s="1375" t="s">
        <v>2200</v>
      </c>
      <c r="G353" s="1375" t="s">
        <v>2033</v>
      </c>
      <c r="H353" s="1375">
        <v>9</v>
      </c>
      <c r="I353" s="1375" t="s">
        <v>181</v>
      </c>
      <c r="K353" s="1375" t="str">
        <f t="shared" si="5"/>
        <v>RES_201403</v>
      </c>
    </row>
    <row r="354" spans="1:11">
      <c r="A354" s="1375" t="s">
        <v>391</v>
      </c>
      <c r="B354" s="1375" t="s">
        <v>154</v>
      </c>
      <c r="C354" s="1375" t="s">
        <v>279</v>
      </c>
      <c r="D354" s="1375" t="s">
        <v>1536</v>
      </c>
      <c r="E354" s="1375" t="s">
        <v>2197</v>
      </c>
      <c r="F354" s="1375" t="s">
        <v>2197</v>
      </c>
      <c r="G354" s="1375" t="s">
        <v>2033</v>
      </c>
      <c r="H354" s="1375">
        <v>9</v>
      </c>
      <c r="I354" s="1375" t="s">
        <v>181</v>
      </c>
      <c r="K354" s="1375" t="str">
        <f t="shared" si="5"/>
        <v>RES_201403</v>
      </c>
    </row>
    <row r="355" spans="1:11">
      <c r="A355" s="1375" t="s">
        <v>392</v>
      </c>
      <c r="B355" s="1375" t="s">
        <v>154</v>
      </c>
      <c r="C355" s="1375" t="s">
        <v>279</v>
      </c>
      <c r="D355" s="1375" t="s">
        <v>1542</v>
      </c>
      <c r="E355" s="1375" t="s">
        <v>2198</v>
      </c>
      <c r="F355" s="1375" t="s">
        <v>2198</v>
      </c>
      <c r="G355" s="1375" t="s">
        <v>2033</v>
      </c>
      <c r="H355" s="1375">
        <v>9</v>
      </c>
      <c r="I355" s="1375" t="s">
        <v>181</v>
      </c>
      <c r="K355" s="1375" t="str">
        <f t="shared" si="5"/>
        <v>RES_201403</v>
      </c>
    </row>
    <row r="356" spans="1:11">
      <c r="A356" s="1375" t="s">
        <v>87</v>
      </c>
      <c r="B356" s="1375" t="s">
        <v>154</v>
      </c>
      <c r="C356" s="1375" t="s">
        <v>279</v>
      </c>
      <c r="D356" s="1375" t="s">
        <v>1955</v>
      </c>
      <c r="E356" s="1375" t="s">
        <v>2199</v>
      </c>
      <c r="F356" s="1375" t="s">
        <v>2199</v>
      </c>
      <c r="G356" s="1375" t="s">
        <v>2033</v>
      </c>
      <c r="H356" s="1375">
        <v>9</v>
      </c>
      <c r="I356" s="1375" t="s">
        <v>181</v>
      </c>
      <c r="K356" s="1375" t="str">
        <f t="shared" si="5"/>
        <v>RES_201403</v>
      </c>
    </row>
    <row r="357" spans="1:11">
      <c r="A357" s="1375" t="s">
        <v>2343</v>
      </c>
      <c r="B357" s="1375" t="s">
        <v>154</v>
      </c>
      <c r="C357" s="1375" t="s">
        <v>512</v>
      </c>
      <c r="D357" s="1375" t="s">
        <v>1007</v>
      </c>
      <c r="E357" s="1375" t="s">
        <v>2567</v>
      </c>
      <c r="F357" s="1375" t="s">
        <v>2238</v>
      </c>
      <c r="G357" s="1375" t="s">
        <v>2040</v>
      </c>
      <c r="H357" s="1375">
        <v>9</v>
      </c>
      <c r="I357" s="1375" t="s">
        <v>181</v>
      </c>
      <c r="K357" s="1375" t="str">
        <f t="shared" si="5"/>
        <v>RES_201403</v>
      </c>
    </row>
    <row r="358" spans="1:11">
      <c r="A358" s="1375" t="s">
        <v>120</v>
      </c>
      <c r="B358" s="1375" t="s">
        <v>154</v>
      </c>
      <c r="C358" s="1375" t="s">
        <v>512</v>
      </c>
      <c r="D358" s="1375" t="s">
        <v>948</v>
      </c>
      <c r="E358" s="1375" t="s">
        <v>1895</v>
      </c>
      <c r="F358" s="1375" t="s">
        <v>2237</v>
      </c>
      <c r="G358" s="1375" t="s">
        <v>2040</v>
      </c>
      <c r="H358" s="1375">
        <v>9</v>
      </c>
      <c r="I358" s="1375" t="s">
        <v>181</v>
      </c>
      <c r="K358" s="1375" t="str">
        <f t="shared" si="5"/>
        <v>RES_201403</v>
      </c>
    </row>
    <row r="359" spans="1:11">
      <c r="A359" s="1375" t="s">
        <v>1394</v>
      </c>
      <c r="B359" s="1375" t="s">
        <v>154</v>
      </c>
      <c r="C359" s="1375" t="s">
        <v>512</v>
      </c>
      <c r="D359" s="1375" t="s">
        <v>163</v>
      </c>
      <c r="E359" s="1375" t="s">
        <v>1896</v>
      </c>
      <c r="F359" s="1375" t="s">
        <v>2236</v>
      </c>
      <c r="G359" s="1375" t="s">
        <v>2040</v>
      </c>
      <c r="H359" s="1375">
        <v>9</v>
      </c>
      <c r="I359" s="1375" t="s">
        <v>181</v>
      </c>
      <c r="K359" s="1375" t="str">
        <f t="shared" si="5"/>
        <v>RES_201403</v>
      </c>
    </row>
    <row r="360" spans="1:11">
      <c r="A360" s="1375" t="s">
        <v>2344</v>
      </c>
      <c r="B360" s="1375" t="s">
        <v>154</v>
      </c>
      <c r="C360" s="1375" t="s">
        <v>517</v>
      </c>
      <c r="D360" s="1375" t="s">
        <v>1007</v>
      </c>
      <c r="E360" s="1375" t="s">
        <v>2568</v>
      </c>
      <c r="F360" s="1375" t="s">
        <v>2241</v>
      </c>
      <c r="G360" s="1375" t="s">
        <v>294</v>
      </c>
      <c r="H360" s="1375">
        <v>7</v>
      </c>
      <c r="I360" s="1375" t="s">
        <v>181</v>
      </c>
      <c r="K360" s="1375" t="str">
        <f t="shared" si="5"/>
        <v>RES_201403</v>
      </c>
    </row>
    <row r="361" spans="1:11">
      <c r="A361" s="1375" t="s">
        <v>121</v>
      </c>
      <c r="B361" s="1375" t="s">
        <v>154</v>
      </c>
      <c r="C361" s="1375" t="s">
        <v>517</v>
      </c>
      <c r="D361" s="1375" t="s">
        <v>949</v>
      </c>
      <c r="E361" s="1375" t="s">
        <v>2569</v>
      </c>
      <c r="F361" s="1375" t="s">
        <v>2240</v>
      </c>
      <c r="G361" s="1375" t="s">
        <v>294</v>
      </c>
      <c r="H361" s="1375">
        <v>7</v>
      </c>
      <c r="I361" s="1375" t="s">
        <v>181</v>
      </c>
      <c r="K361" s="1375" t="str">
        <f t="shared" si="5"/>
        <v>RES_201403</v>
      </c>
    </row>
    <row r="362" spans="1:11">
      <c r="A362" s="1375" t="s">
        <v>408</v>
      </c>
      <c r="B362" s="1375" t="s">
        <v>154</v>
      </c>
      <c r="C362" s="1375" t="s">
        <v>517</v>
      </c>
      <c r="D362" s="1375" t="s">
        <v>950</v>
      </c>
      <c r="E362" s="1375" t="s">
        <v>2570</v>
      </c>
      <c r="F362" s="1375" t="s">
        <v>1897</v>
      </c>
      <c r="G362" s="1375" t="s">
        <v>294</v>
      </c>
      <c r="H362" s="1375">
        <v>7</v>
      </c>
      <c r="I362" s="1375" t="s">
        <v>181</v>
      </c>
      <c r="K362" s="1375" t="str">
        <f t="shared" si="5"/>
        <v>RES_201403</v>
      </c>
    </row>
    <row r="363" spans="1:11">
      <c r="A363" s="1375" t="s">
        <v>92</v>
      </c>
      <c r="B363" s="1375" t="s">
        <v>154</v>
      </c>
      <c r="C363" s="1375" t="s">
        <v>517</v>
      </c>
      <c r="D363" s="1375" t="s">
        <v>951</v>
      </c>
      <c r="E363" s="1375" t="s">
        <v>2571</v>
      </c>
      <c r="F363" s="1375" t="s">
        <v>1880</v>
      </c>
      <c r="G363" s="1375" t="s">
        <v>294</v>
      </c>
      <c r="H363" s="1375">
        <v>7</v>
      </c>
      <c r="I363" s="1375" t="s">
        <v>181</v>
      </c>
      <c r="K363" s="1375" t="str">
        <f t="shared" si="5"/>
        <v>RES_201403</v>
      </c>
    </row>
    <row r="364" spans="1:11">
      <c r="A364" s="1375" t="s">
        <v>2345</v>
      </c>
      <c r="B364" s="1375" t="s">
        <v>154</v>
      </c>
      <c r="C364" s="1375" t="s">
        <v>517</v>
      </c>
      <c r="D364" s="1375" t="s">
        <v>1957</v>
      </c>
      <c r="E364" s="1375" t="s">
        <v>2572</v>
      </c>
      <c r="F364" s="1375" t="s">
        <v>2239</v>
      </c>
      <c r="G364" s="1375" t="s">
        <v>294</v>
      </c>
      <c r="H364" s="1375">
        <v>7</v>
      </c>
      <c r="I364" s="1375" t="s">
        <v>181</v>
      </c>
      <c r="K364" s="1375" t="str">
        <f t="shared" si="5"/>
        <v>RES_201403</v>
      </c>
    </row>
    <row r="365" spans="1:11">
      <c r="A365" s="1375" t="s">
        <v>2346</v>
      </c>
      <c r="B365" s="1375" t="s">
        <v>154</v>
      </c>
      <c r="C365" s="1375" t="s">
        <v>952</v>
      </c>
      <c r="D365" s="1375" t="s">
        <v>1007</v>
      </c>
      <c r="E365" s="1375" t="s">
        <v>2573</v>
      </c>
      <c r="F365" s="1375" t="s">
        <v>2221</v>
      </c>
      <c r="G365" s="1375" t="s">
        <v>326</v>
      </c>
      <c r="H365" s="1375">
        <v>22</v>
      </c>
      <c r="I365" s="1375" t="s">
        <v>181</v>
      </c>
      <c r="K365" s="1375" t="str">
        <f t="shared" si="5"/>
        <v>RES_201403</v>
      </c>
    </row>
    <row r="366" spans="1:11">
      <c r="A366" s="1375" t="s">
        <v>116</v>
      </c>
      <c r="B366" s="1375" t="s">
        <v>154</v>
      </c>
      <c r="C366" s="1375" t="s">
        <v>952</v>
      </c>
      <c r="D366" s="1375" t="s">
        <v>1262</v>
      </c>
      <c r="E366" s="1375" t="s">
        <v>1889</v>
      </c>
      <c r="F366" s="1375" t="s">
        <v>1889</v>
      </c>
      <c r="G366" s="1375" t="s">
        <v>326</v>
      </c>
      <c r="H366" s="1375">
        <v>22</v>
      </c>
      <c r="I366" s="1375" t="s">
        <v>181</v>
      </c>
      <c r="K366" s="1375" t="str">
        <f t="shared" si="5"/>
        <v>RES_201403</v>
      </c>
    </row>
    <row r="367" spans="1:11">
      <c r="A367" s="1375" t="s">
        <v>1543</v>
      </c>
      <c r="B367" s="1375" t="s">
        <v>154</v>
      </c>
      <c r="C367" s="1375" t="s">
        <v>952</v>
      </c>
      <c r="D367" s="1375" t="s">
        <v>1130</v>
      </c>
      <c r="E367" s="1375" t="s">
        <v>1890</v>
      </c>
      <c r="F367" s="1375" t="s">
        <v>1890</v>
      </c>
      <c r="G367" s="1375" t="s">
        <v>326</v>
      </c>
      <c r="H367" s="1375">
        <v>22</v>
      </c>
      <c r="I367" s="1375" t="s">
        <v>181</v>
      </c>
      <c r="K367" s="1375" t="str">
        <f t="shared" si="5"/>
        <v>RES_201403</v>
      </c>
    </row>
    <row r="368" spans="1:11">
      <c r="A368" s="1375" t="s">
        <v>454</v>
      </c>
      <c r="B368" s="1375" t="s">
        <v>154</v>
      </c>
      <c r="C368" s="1375" t="s">
        <v>952</v>
      </c>
      <c r="D368" s="1375" t="s">
        <v>332</v>
      </c>
      <c r="E368" s="1375" t="s">
        <v>2222</v>
      </c>
      <c r="F368" s="1375" t="s">
        <v>2222</v>
      </c>
      <c r="G368" s="1375" t="s">
        <v>326</v>
      </c>
      <c r="H368" s="1375">
        <v>22</v>
      </c>
      <c r="I368" s="1375" t="s">
        <v>181</v>
      </c>
      <c r="K368" s="1375" t="str">
        <f t="shared" si="5"/>
        <v>RES_201403</v>
      </c>
    </row>
    <row r="369" spans="1:11">
      <c r="A369" s="1375" t="s">
        <v>2347</v>
      </c>
      <c r="B369" s="1375" t="s">
        <v>154</v>
      </c>
      <c r="C369" s="1375" t="s">
        <v>316</v>
      </c>
      <c r="D369" s="1375" t="s">
        <v>1007</v>
      </c>
      <c r="E369" s="1375" t="s">
        <v>2232</v>
      </c>
      <c r="F369" s="1375" t="s">
        <v>2232</v>
      </c>
      <c r="G369" s="1375" t="s">
        <v>1012</v>
      </c>
      <c r="H369" s="1375">
        <v>15.2</v>
      </c>
      <c r="I369" s="1375" t="s">
        <v>181</v>
      </c>
      <c r="K369" s="1375" t="str">
        <f t="shared" si="5"/>
        <v>RES_201403</v>
      </c>
    </row>
    <row r="370" spans="1:11">
      <c r="A370" s="1375" t="s">
        <v>95</v>
      </c>
      <c r="B370" s="1375" t="s">
        <v>154</v>
      </c>
      <c r="C370" s="1375" t="s">
        <v>316</v>
      </c>
      <c r="D370" s="1375" t="s">
        <v>1262</v>
      </c>
      <c r="E370" s="1375" t="s">
        <v>1870</v>
      </c>
      <c r="F370" s="1375" t="s">
        <v>1870</v>
      </c>
      <c r="G370" s="1375" t="s">
        <v>1012</v>
      </c>
      <c r="H370" s="1375">
        <v>15.2</v>
      </c>
      <c r="I370" s="1375" t="s">
        <v>181</v>
      </c>
      <c r="K370" s="1375" t="str">
        <f t="shared" si="5"/>
        <v>RES_201403</v>
      </c>
    </row>
    <row r="371" spans="1:11">
      <c r="A371" s="1375" t="s">
        <v>96</v>
      </c>
      <c r="B371" s="1375" t="s">
        <v>154</v>
      </c>
      <c r="C371" s="1375" t="s">
        <v>316</v>
      </c>
      <c r="D371" s="1375" t="s">
        <v>163</v>
      </c>
      <c r="E371" s="1375" t="s">
        <v>2231</v>
      </c>
      <c r="F371" s="1375" t="s">
        <v>2231</v>
      </c>
      <c r="G371" s="1375" t="s">
        <v>1012</v>
      </c>
      <c r="H371" s="1375">
        <v>15.2</v>
      </c>
      <c r="I371" s="1375" t="s">
        <v>181</v>
      </c>
      <c r="K371" s="1375" t="str">
        <f t="shared" si="5"/>
        <v>RES_201403</v>
      </c>
    </row>
    <row r="372" spans="1:11">
      <c r="A372" s="1375" t="s">
        <v>2348</v>
      </c>
      <c r="B372" s="1375" t="s">
        <v>154</v>
      </c>
      <c r="C372" s="1375" t="s">
        <v>316</v>
      </c>
      <c r="D372" s="1375" t="s">
        <v>684</v>
      </c>
      <c r="E372" s="1375" t="s">
        <v>2230</v>
      </c>
      <c r="F372" s="1375" t="s">
        <v>2230</v>
      </c>
      <c r="G372" s="1375" t="s">
        <v>1012</v>
      </c>
      <c r="H372" s="1375">
        <v>15.2</v>
      </c>
      <c r="I372" s="1375" t="s">
        <v>181</v>
      </c>
      <c r="K372" s="1375" t="str">
        <f t="shared" si="5"/>
        <v>RES_201403</v>
      </c>
    </row>
    <row r="373" spans="1:11">
      <c r="A373" s="1375" t="s">
        <v>86</v>
      </c>
      <c r="B373" s="1375" t="s">
        <v>154</v>
      </c>
      <c r="C373" s="1375" t="s">
        <v>3058</v>
      </c>
      <c r="D373" s="1375" t="s">
        <v>3059</v>
      </c>
      <c r="E373" s="1375" t="s">
        <v>3057</v>
      </c>
      <c r="F373" s="1375" t="s">
        <v>3095</v>
      </c>
      <c r="G373" s="1375" t="s">
        <v>3094</v>
      </c>
      <c r="H373" s="1375">
        <v>7</v>
      </c>
      <c r="I373" s="1375" t="s">
        <v>181</v>
      </c>
      <c r="K373" s="1375" t="str">
        <f t="shared" si="5"/>
        <v>RES_201403</v>
      </c>
    </row>
    <row r="374" spans="1:11">
      <c r="A374" s="1375" t="s">
        <v>2349</v>
      </c>
      <c r="B374" s="1375" t="s">
        <v>154</v>
      </c>
      <c r="C374" s="1375" t="s">
        <v>683</v>
      </c>
      <c r="D374" s="1375" t="s">
        <v>3096</v>
      </c>
      <c r="E374" s="1375" t="s">
        <v>3097</v>
      </c>
      <c r="F374" s="1375" t="s">
        <v>3097</v>
      </c>
      <c r="G374" s="1375" t="s">
        <v>2041</v>
      </c>
      <c r="H374" s="1375">
        <v>7</v>
      </c>
      <c r="I374" s="1375" t="s">
        <v>181</v>
      </c>
      <c r="K374" s="1375" t="str">
        <f t="shared" si="5"/>
        <v>RES_201403</v>
      </c>
    </row>
    <row r="375" spans="1:11">
      <c r="A375" s="1375" t="s">
        <v>2350</v>
      </c>
      <c r="B375" s="1375" t="s">
        <v>154</v>
      </c>
      <c r="C375" s="1375" t="s">
        <v>683</v>
      </c>
      <c r="D375" s="1375" t="s">
        <v>163</v>
      </c>
      <c r="E375" s="1375" t="s">
        <v>2574</v>
      </c>
      <c r="F375" s="1375" t="s">
        <v>2242</v>
      </c>
      <c r="G375" s="1375" t="s">
        <v>2041</v>
      </c>
      <c r="H375" s="1375">
        <v>7</v>
      </c>
      <c r="I375" s="1375" t="s">
        <v>181</v>
      </c>
      <c r="K375" s="1375" t="str">
        <f t="shared" si="5"/>
        <v>RES_201403</v>
      </c>
    </row>
    <row r="376" spans="1:11">
      <c r="A376" s="1375" t="s">
        <v>2351</v>
      </c>
      <c r="B376" s="1375" t="s">
        <v>154</v>
      </c>
      <c r="C376" s="1375" t="s">
        <v>683</v>
      </c>
      <c r="D376" s="1375" t="s">
        <v>3098</v>
      </c>
      <c r="E376" s="1375" t="s">
        <v>3099</v>
      </c>
      <c r="F376" s="1375" t="s">
        <v>3099</v>
      </c>
      <c r="G376" s="1375" t="s">
        <v>2041</v>
      </c>
      <c r="H376" s="1375">
        <v>7</v>
      </c>
      <c r="I376" s="1375" t="s">
        <v>181</v>
      </c>
      <c r="K376" s="1375" t="str">
        <f t="shared" si="5"/>
        <v>RES_201403</v>
      </c>
    </row>
    <row r="377" spans="1:11">
      <c r="A377" s="1375" t="s">
        <v>2352</v>
      </c>
      <c r="B377" s="1375" t="s">
        <v>154</v>
      </c>
      <c r="C377" s="1375" t="s">
        <v>683</v>
      </c>
      <c r="D377" s="1375" t="s">
        <v>332</v>
      </c>
      <c r="E377" s="1375" t="s">
        <v>2575</v>
      </c>
      <c r="F377" s="1375" t="s">
        <v>2243</v>
      </c>
      <c r="G377" s="1375" t="s">
        <v>2041</v>
      </c>
      <c r="H377" s="1375">
        <v>7</v>
      </c>
      <c r="I377" s="1375" t="s">
        <v>181</v>
      </c>
      <c r="K377" s="1375" t="str">
        <f t="shared" si="5"/>
        <v>RES_201403</v>
      </c>
    </row>
    <row r="378" spans="1:11">
      <c r="A378" s="1375" t="s">
        <v>135</v>
      </c>
      <c r="B378" s="1375" t="s">
        <v>154</v>
      </c>
      <c r="C378" s="1375" t="s">
        <v>156</v>
      </c>
      <c r="D378" s="1375" t="s">
        <v>1007</v>
      </c>
      <c r="E378" s="1375" t="s">
        <v>2576</v>
      </c>
      <c r="F378" s="1375" t="s">
        <v>2214</v>
      </c>
      <c r="G378" s="1375" t="s">
        <v>156</v>
      </c>
      <c r="H378" s="1375">
        <v>14</v>
      </c>
      <c r="I378" s="1375" t="s">
        <v>181</v>
      </c>
      <c r="K378" s="1375" t="str">
        <f t="shared" si="5"/>
        <v>RES_201403</v>
      </c>
    </row>
    <row r="379" spans="1:11">
      <c r="A379" s="1375" t="s">
        <v>97</v>
      </c>
      <c r="B379" s="1375" t="s">
        <v>154</v>
      </c>
      <c r="C379" s="1375" t="s">
        <v>156</v>
      </c>
      <c r="D379" s="1375" t="s">
        <v>947</v>
      </c>
      <c r="E379" s="1375" t="s">
        <v>3062</v>
      </c>
      <c r="F379" s="1375" t="s">
        <v>2213</v>
      </c>
      <c r="G379" s="1375" t="s">
        <v>156</v>
      </c>
      <c r="H379" s="1375">
        <v>14</v>
      </c>
      <c r="I379" s="1375" t="s">
        <v>181</v>
      </c>
      <c r="K379" s="1375" t="str">
        <f t="shared" si="5"/>
        <v>RES_201403</v>
      </c>
    </row>
    <row r="380" spans="1:11">
      <c r="A380" s="1375" t="s">
        <v>98</v>
      </c>
      <c r="B380" s="1375" t="s">
        <v>154</v>
      </c>
      <c r="C380" s="1375" t="s">
        <v>156</v>
      </c>
      <c r="D380" s="1375" t="s">
        <v>1565</v>
      </c>
      <c r="E380" s="1375" t="s">
        <v>3064</v>
      </c>
      <c r="F380" s="1375" t="s">
        <v>1884</v>
      </c>
      <c r="G380" s="1375" t="s">
        <v>156</v>
      </c>
      <c r="H380" s="1375">
        <v>14</v>
      </c>
      <c r="I380" s="1375" t="s">
        <v>181</v>
      </c>
      <c r="K380" s="1375" t="str">
        <f t="shared" si="5"/>
        <v>RES_201403</v>
      </c>
    </row>
    <row r="381" spans="1:11">
      <c r="A381" s="1375" t="s">
        <v>99</v>
      </c>
      <c r="B381" s="1375" t="s">
        <v>154</v>
      </c>
      <c r="C381" s="1375" t="s">
        <v>156</v>
      </c>
      <c r="D381" s="1375" t="s">
        <v>1566</v>
      </c>
      <c r="E381" s="1375" t="s">
        <v>3100</v>
      </c>
      <c r="F381" s="1375" t="s">
        <v>1886</v>
      </c>
      <c r="G381" s="1375" t="s">
        <v>156</v>
      </c>
      <c r="H381" s="1375">
        <v>14</v>
      </c>
      <c r="I381" s="1375" t="s">
        <v>181</v>
      </c>
      <c r="K381" s="1375" t="str">
        <f t="shared" si="5"/>
        <v>RES_201403</v>
      </c>
    </row>
    <row r="382" spans="1:11">
      <c r="A382" s="1375" t="s">
        <v>2353</v>
      </c>
      <c r="B382" s="1375" t="s">
        <v>154</v>
      </c>
      <c r="C382" s="1375" t="s">
        <v>156</v>
      </c>
      <c r="D382" s="1375" t="s">
        <v>162</v>
      </c>
      <c r="E382" s="1375" t="s">
        <v>2577</v>
      </c>
      <c r="F382" s="1375" t="s">
        <v>2212</v>
      </c>
      <c r="G382" s="1375" t="s">
        <v>156</v>
      </c>
      <c r="H382" s="1375">
        <v>14</v>
      </c>
      <c r="I382" s="1375" t="s">
        <v>181</v>
      </c>
      <c r="K382" s="1375" t="str">
        <f t="shared" si="5"/>
        <v>RES_201403</v>
      </c>
    </row>
    <row r="383" spans="1:11">
      <c r="A383" s="1375" t="s">
        <v>106</v>
      </c>
      <c r="B383" s="1375" t="s">
        <v>154</v>
      </c>
      <c r="C383" s="1375" t="s">
        <v>953</v>
      </c>
      <c r="D383" s="1375" t="s">
        <v>1007</v>
      </c>
      <c r="E383" s="1375" t="s">
        <v>2219</v>
      </c>
      <c r="F383" s="1375" t="s">
        <v>2219</v>
      </c>
      <c r="G383" s="1375" t="s">
        <v>2037</v>
      </c>
      <c r="H383" s="1375">
        <v>22</v>
      </c>
      <c r="I383" s="1375" t="s">
        <v>181</v>
      </c>
      <c r="K383" s="1375" t="str">
        <f t="shared" si="5"/>
        <v>RES_201403</v>
      </c>
    </row>
    <row r="384" spans="1:11">
      <c r="A384" s="1375" t="s">
        <v>107</v>
      </c>
      <c r="B384" s="1375" t="s">
        <v>154</v>
      </c>
      <c r="C384" s="1375" t="s">
        <v>953</v>
      </c>
      <c r="D384" s="1375" t="s">
        <v>1262</v>
      </c>
      <c r="E384" s="1375" t="s">
        <v>1891</v>
      </c>
      <c r="F384" s="1375" t="s">
        <v>1891</v>
      </c>
      <c r="G384" s="1375" t="s">
        <v>2037</v>
      </c>
      <c r="H384" s="1375">
        <v>22</v>
      </c>
      <c r="I384" s="1375" t="s">
        <v>181</v>
      </c>
      <c r="K384" s="1375" t="str">
        <f t="shared" si="5"/>
        <v>RES_201403</v>
      </c>
    </row>
    <row r="385" spans="1:11">
      <c r="A385" s="1375" t="s">
        <v>108</v>
      </c>
      <c r="B385" s="1375" t="s">
        <v>154</v>
      </c>
      <c r="C385" s="1375" t="s">
        <v>953</v>
      </c>
      <c r="D385" s="1375" t="s">
        <v>1130</v>
      </c>
      <c r="E385" s="1375" t="s">
        <v>1892</v>
      </c>
      <c r="F385" s="1375" t="s">
        <v>1892</v>
      </c>
      <c r="G385" s="1375" t="s">
        <v>2037</v>
      </c>
      <c r="H385" s="1375">
        <v>22</v>
      </c>
      <c r="I385" s="1375" t="s">
        <v>181</v>
      </c>
      <c r="K385" s="1375" t="str">
        <f t="shared" si="5"/>
        <v>RES_201403</v>
      </c>
    </row>
    <row r="386" spans="1:11">
      <c r="A386" s="1375" t="s">
        <v>2354</v>
      </c>
      <c r="B386" s="1375" t="s">
        <v>857</v>
      </c>
      <c r="C386" s="1375" t="s">
        <v>1395</v>
      </c>
      <c r="D386" s="1375" t="s">
        <v>1948</v>
      </c>
      <c r="E386" s="1375" t="s">
        <v>2578</v>
      </c>
      <c r="F386" s="1375" t="s">
        <v>2081</v>
      </c>
      <c r="G386" s="1375" t="s">
        <v>1395</v>
      </c>
      <c r="H386" s="1375">
        <v>42</v>
      </c>
      <c r="I386" s="1375" t="s">
        <v>1406</v>
      </c>
      <c r="K386" s="1375" t="str">
        <f t="shared" si="5"/>
        <v>RES_201601</v>
      </c>
    </row>
    <row r="387" spans="1:11">
      <c r="A387" s="1375" t="s">
        <v>954</v>
      </c>
      <c r="B387" s="1375" t="s">
        <v>857</v>
      </c>
      <c r="C387" s="1375" t="s">
        <v>1395</v>
      </c>
      <c r="D387" s="1375" t="s">
        <v>955</v>
      </c>
      <c r="E387" s="1375" t="s">
        <v>1792</v>
      </c>
      <c r="F387" s="1375" t="s">
        <v>1793</v>
      </c>
      <c r="G387" s="1375" t="s">
        <v>1395</v>
      </c>
      <c r="H387" s="1375">
        <v>42</v>
      </c>
      <c r="I387" s="1375" t="s">
        <v>1406</v>
      </c>
      <c r="K387" s="1375" t="str">
        <f t="shared" ref="K387:K450" si="6">LEFT(A387,10)</f>
        <v>RES_201601</v>
      </c>
    </row>
    <row r="388" spans="1:11">
      <c r="A388" s="1375" t="s">
        <v>1396</v>
      </c>
      <c r="B388" s="1375" t="s">
        <v>857</v>
      </c>
      <c r="C388" s="1375" t="s">
        <v>1395</v>
      </c>
      <c r="D388" s="1375" t="s">
        <v>1397</v>
      </c>
      <c r="E388" s="1375" t="s">
        <v>1794</v>
      </c>
      <c r="F388" s="1375" t="s">
        <v>1795</v>
      </c>
      <c r="G388" s="1375" t="s">
        <v>1395</v>
      </c>
      <c r="H388" s="1375">
        <v>42</v>
      </c>
      <c r="I388" s="1375" t="s">
        <v>1406</v>
      </c>
      <c r="K388" s="1375" t="str">
        <f t="shared" si="6"/>
        <v>RES_201601</v>
      </c>
    </row>
    <row r="389" spans="1:11">
      <c r="A389" s="1375" t="s">
        <v>956</v>
      </c>
      <c r="B389" s="1375" t="s">
        <v>857</v>
      </c>
      <c r="C389" s="1375" t="s">
        <v>1395</v>
      </c>
      <c r="D389" s="1375" t="s">
        <v>1327</v>
      </c>
      <c r="E389" s="1375" t="s">
        <v>1796</v>
      </c>
      <c r="F389" s="1375" t="s">
        <v>1797</v>
      </c>
      <c r="G389" s="1375" t="s">
        <v>1395</v>
      </c>
      <c r="H389" s="1375">
        <v>42</v>
      </c>
      <c r="I389" s="1375" t="s">
        <v>1406</v>
      </c>
      <c r="K389" s="1375" t="str">
        <f t="shared" si="6"/>
        <v>RES_201601</v>
      </c>
    </row>
    <row r="390" spans="1:11">
      <c r="A390" s="1375" t="s">
        <v>2899</v>
      </c>
      <c r="B390" s="1375" t="s">
        <v>1758</v>
      </c>
      <c r="C390" s="1375" t="s">
        <v>1567</v>
      </c>
      <c r="D390" s="1375" t="s">
        <v>1007</v>
      </c>
      <c r="E390" s="1375" t="s">
        <v>2900</v>
      </c>
      <c r="F390" s="1375" t="s">
        <v>2901</v>
      </c>
      <c r="G390" s="1375" t="s">
        <v>1012</v>
      </c>
      <c r="H390" s="1375">
        <v>11.5</v>
      </c>
      <c r="I390" s="1375" t="s">
        <v>1562</v>
      </c>
      <c r="K390" s="1375" t="str">
        <f t="shared" si="6"/>
        <v>XMP_202001</v>
      </c>
    </row>
    <row r="391" spans="1:11">
      <c r="A391" s="1375" t="s">
        <v>1549</v>
      </c>
      <c r="B391" s="1375" t="s">
        <v>1758</v>
      </c>
      <c r="C391" s="1375" t="s">
        <v>1567</v>
      </c>
      <c r="D391" s="1375" t="s">
        <v>157</v>
      </c>
      <c r="E391" s="1375" t="s">
        <v>2579</v>
      </c>
      <c r="F391" s="1375" t="s">
        <v>1589</v>
      </c>
      <c r="G391" s="1375" t="s">
        <v>1012</v>
      </c>
      <c r="H391" s="1375">
        <v>11.5</v>
      </c>
      <c r="I391" s="1375" t="s">
        <v>1562</v>
      </c>
      <c r="K391" s="1375" t="str">
        <f t="shared" si="6"/>
        <v>XMP_202001</v>
      </c>
    </row>
    <row r="392" spans="1:11">
      <c r="A392" s="1375" t="s">
        <v>1550</v>
      </c>
      <c r="B392" s="1375" t="s">
        <v>1758</v>
      </c>
      <c r="C392" s="1375" t="s">
        <v>1567</v>
      </c>
      <c r="D392" s="1375" t="s">
        <v>158</v>
      </c>
      <c r="E392" s="1375" t="s">
        <v>2580</v>
      </c>
      <c r="F392" s="1375" t="s">
        <v>2271</v>
      </c>
      <c r="G392" s="1375" t="s">
        <v>1012</v>
      </c>
      <c r="H392" s="1375">
        <v>11.5</v>
      </c>
      <c r="I392" s="1375" t="s">
        <v>1562</v>
      </c>
      <c r="K392" s="1375" t="str">
        <f t="shared" si="6"/>
        <v>XMP_202001</v>
      </c>
    </row>
    <row r="393" spans="1:11">
      <c r="A393" s="1375" t="s">
        <v>2902</v>
      </c>
      <c r="B393" s="1375" t="s">
        <v>1758</v>
      </c>
      <c r="C393" s="1375" t="s">
        <v>1568</v>
      </c>
      <c r="D393" s="1375" t="s">
        <v>1007</v>
      </c>
      <c r="E393" s="1375" t="s">
        <v>2903</v>
      </c>
      <c r="F393" s="1375" t="s">
        <v>2904</v>
      </c>
      <c r="G393" s="1375" t="s">
        <v>1012</v>
      </c>
      <c r="H393" s="1375">
        <v>11.5</v>
      </c>
      <c r="I393" s="1375" t="s">
        <v>1562</v>
      </c>
      <c r="K393" s="1375" t="str">
        <f t="shared" si="6"/>
        <v>XMP_202001</v>
      </c>
    </row>
    <row r="394" spans="1:11">
      <c r="A394" s="1375" t="s">
        <v>1551</v>
      </c>
      <c r="B394" s="1375" t="s">
        <v>1758</v>
      </c>
      <c r="C394" s="1375" t="s">
        <v>1568</v>
      </c>
      <c r="D394" s="1375" t="s">
        <v>157</v>
      </c>
      <c r="E394" s="1375" t="s">
        <v>2581</v>
      </c>
      <c r="F394" s="1375" t="s">
        <v>1591</v>
      </c>
      <c r="G394" s="1375" t="s">
        <v>1012</v>
      </c>
      <c r="H394" s="1375">
        <v>11.5</v>
      </c>
      <c r="I394" s="1375" t="s">
        <v>1562</v>
      </c>
      <c r="K394" s="1375" t="str">
        <f t="shared" si="6"/>
        <v>XMP_202001</v>
      </c>
    </row>
    <row r="395" spans="1:11">
      <c r="A395" s="1375" t="s">
        <v>1552</v>
      </c>
      <c r="B395" s="1375" t="s">
        <v>1758</v>
      </c>
      <c r="C395" s="1375" t="s">
        <v>1568</v>
      </c>
      <c r="D395" s="1375" t="s">
        <v>158</v>
      </c>
      <c r="E395" s="1375" t="s">
        <v>2582</v>
      </c>
      <c r="F395" s="1375" t="s">
        <v>2267</v>
      </c>
      <c r="G395" s="1375" t="s">
        <v>1012</v>
      </c>
      <c r="H395" s="1375">
        <v>11.5</v>
      </c>
      <c r="I395" s="1375" t="s">
        <v>1562</v>
      </c>
      <c r="K395" s="1375" t="str">
        <f t="shared" si="6"/>
        <v>XMP_202001</v>
      </c>
    </row>
    <row r="396" spans="1:11">
      <c r="A396" s="1375" t="s">
        <v>2905</v>
      </c>
      <c r="B396" s="1375" t="s">
        <v>1758</v>
      </c>
      <c r="C396" s="1375" t="s">
        <v>1569</v>
      </c>
      <c r="D396" s="1375" t="s">
        <v>1007</v>
      </c>
      <c r="E396" s="1375" t="s">
        <v>2906</v>
      </c>
      <c r="F396" s="1375" t="s">
        <v>2907</v>
      </c>
      <c r="G396" s="1375" t="s">
        <v>1012</v>
      </c>
      <c r="H396" s="1375">
        <v>11.5</v>
      </c>
      <c r="I396" s="1375" t="s">
        <v>1562</v>
      </c>
      <c r="K396" s="1375" t="str">
        <f t="shared" si="6"/>
        <v>XMP_202001</v>
      </c>
    </row>
    <row r="397" spans="1:11">
      <c r="A397" s="1375" t="s">
        <v>1553</v>
      </c>
      <c r="B397" s="1375" t="s">
        <v>1758</v>
      </c>
      <c r="C397" s="1375" t="s">
        <v>1569</v>
      </c>
      <c r="D397" s="1375" t="s">
        <v>157</v>
      </c>
      <c r="E397" s="1375" t="s">
        <v>2583</v>
      </c>
      <c r="F397" s="1375" t="s">
        <v>2268</v>
      </c>
      <c r="G397" s="1375" t="s">
        <v>1012</v>
      </c>
      <c r="H397" s="1375">
        <v>11.5</v>
      </c>
      <c r="I397" s="1375" t="s">
        <v>1562</v>
      </c>
      <c r="K397" s="1375" t="str">
        <f t="shared" si="6"/>
        <v>XMP_202001</v>
      </c>
    </row>
    <row r="398" spans="1:11">
      <c r="A398" s="1375" t="s">
        <v>1554</v>
      </c>
      <c r="B398" s="1375" t="s">
        <v>1758</v>
      </c>
      <c r="C398" s="1375" t="s">
        <v>1569</v>
      </c>
      <c r="D398" s="1375" t="s">
        <v>158</v>
      </c>
      <c r="E398" s="1375" t="s">
        <v>2584</v>
      </c>
      <c r="F398" s="1375" t="s">
        <v>2269</v>
      </c>
      <c r="G398" s="1375" t="s">
        <v>1012</v>
      </c>
      <c r="H398" s="1375">
        <v>11.5</v>
      </c>
      <c r="I398" s="1375" t="s">
        <v>1562</v>
      </c>
      <c r="K398" s="1375" t="str">
        <f t="shared" si="6"/>
        <v>XMP_202001</v>
      </c>
    </row>
    <row r="399" spans="1:11">
      <c r="A399" s="1375" t="s">
        <v>1555</v>
      </c>
      <c r="B399" s="1375" t="s">
        <v>1758</v>
      </c>
      <c r="C399" s="1375" t="s">
        <v>1569</v>
      </c>
      <c r="D399" s="1375" t="s">
        <v>818</v>
      </c>
      <c r="E399" s="1375" t="s">
        <v>2585</v>
      </c>
      <c r="F399" s="1375" t="s">
        <v>2270</v>
      </c>
      <c r="G399" s="1375" t="s">
        <v>1012</v>
      </c>
      <c r="H399" s="1375">
        <v>11.5</v>
      </c>
      <c r="I399" s="1375" t="s">
        <v>1562</v>
      </c>
      <c r="K399" s="1375" t="str">
        <f t="shared" si="6"/>
        <v>XMP_202001</v>
      </c>
    </row>
    <row r="400" spans="1:11">
      <c r="A400" s="1375" t="s">
        <v>2908</v>
      </c>
      <c r="B400" s="1375" t="s">
        <v>1758</v>
      </c>
      <c r="C400" s="1375" t="s">
        <v>1570</v>
      </c>
      <c r="D400" s="1375" t="s">
        <v>1007</v>
      </c>
      <c r="E400" s="1375" t="s">
        <v>2909</v>
      </c>
      <c r="F400" s="1375" t="s">
        <v>2910</v>
      </c>
      <c r="G400" s="1375" t="s">
        <v>1012</v>
      </c>
      <c r="H400" s="1375">
        <v>11.5</v>
      </c>
      <c r="I400" s="1375" t="s">
        <v>1562</v>
      </c>
      <c r="K400" s="1375" t="str">
        <f t="shared" si="6"/>
        <v>XMP_202001</v>
      </c>
    </row>
    <row r="401" spans="1:11">
      <c r="A401" s="1375" t="s">
        <v>1556</v>
      </c>
      <c r="B401" s="1375" t="s">
        <v>1758</v>
      </c>
      <c r="C401" s="1375" t="s">
        <v>1570</v>
      </c>
      <c r="D401" s="1375" t="s">
        <v>157</v>
      </c>
      <c r="E401" s="1375" t="s">
        <v>2586</v>
      </c>
      <c r="F401" s="1375" t="s">
        <v>2264</v>
      </c>
      <c r="G401" s="1375" t="s">
        <v>1012</v>
      </c>
      <c r="H401" s="1375">
        <v>11.5</v>
      </c>
      <c r="I401" s="1375" t="s">
        <v>1562</v>
      </c>
      <c r="K401" s="1375" t="str">
        <f t="shared" si="6"/>
        <v>XMP_202001</v>
      </c>
    </row>
    <row r="402" spans="1:11">
      <c r="A402" s="1375" t="s">
        <v>1557</v>
      </c>
      <c r="B402" s="1375" t="s">
        <v>1758</v>
      </c>
      <c r="C402" s="1375" t="s">
        <v>1570</v>
      </c>
      <c r="D402" s="1375" t="s">
        <v>158</v>
      </c>
      <c r="E402" s="1375" t="s">
        <v>2587</v>
      </c>
      <c r="F402" s="1375" t="s">
        <v>2265</v>
      </c>
      <c r="G402" s="1375" t="s">
        <v>1012</v>
      </c>
      <c r="H402" s="1375">
        <v>11.5</v>
      </c>
      <c r="I402" s="1375" t="s">
        <v>1562</v>
      </c>
      <c r="K402" s="1375" t="str">
        <f t="shared" si="6"/>
        <v>XMP_202001</v>
      </c>
    </row>
    <row r="403" spans="1:11">
      <c r="A403" s="1375" t="s">
        <v>1558</v>
      </c>
      <c r="B403" s="1375" t="s">
        <v>1758</v>
      </c>
      <c r="C403" s="1375" t="s">
        <v>1570</v>
      </c>
      <c r="D403" s="1375" t="s">
        <v>818</v>
      </c>
      <c r="E403" s="1375" t="s">
        <v>2588</v>
      </c>
      <c r="F403" s="1375" t="s">
        <v>2266</v>
      </c>
      <c r="G403" s="1375" t="s">
        <v>1012</v>
      </c>
      <c r="H403" s="1375">
        <v>11.5</v>
      </c>
      <c r="I403" s="1375" t="s">
        <v>1562</v>
      </c>
      <c r="K403" s="1375" t="str">
        <f t="shared" si="6"/>
        <v>XMP_202001</v>
      </c>
    </row>
    <row r="404" spans="1:11">
      <c r="A404" s="1375" t="s">
        <v>2911</v>
      </c>
      <c r="B404" s="1375" t="s">
        <v>1758</v>
      </c>
      <c r="C404" s="1375" t="s">
        <v>1575</v>
      </c>
      <c r="D404" s="1375" t="s">
        <v>1007</v>
      </c>
      <c r="E404" s="1375" t="s">
        <v>2912</v>
      </c>
      <c r="F404" s="1375" t="s">
        <v>2913</v>
      </c>
      <c r="G404" s="1375" t="s">
        <v>1012</v>
      </c>
      <c r="H404" s="1375">
        <v>19</v>
      </c>
      <c r="I404" s="1375" t="s">
        <v>1562</v>
      </c>
      <c r="K404" s="1375" t="str">
        <f t="shared" si="6"/>
        <v>XMP_202001</v>
      </c>
    </row>
    <row r="405" spans="1:11">
      <c r="A405" s="1375" t="s">
        <v>1559</v>
      </c>
      <c r="B405" s="1375" t="s">
        <v>1758</v>
      </c>
      <c r="C405" s="1375" t="s">
        <v>1575</v>
      </c>
      <c r="D405" s="1375" t="s">
        <v>334</v>
      </c>
      <c r="E405" s="1375" t="s">
        <v>2589</v>
      </c>
      <c r="F405" s="1375" t="s">
        <v>1594</v>
      </c>
      <c r="G405" s="1375" t="s">
        <v>1012</v>
      </c>
      <c r="H405" s="1375">
        <v>19</v>
      </c>
      <c r="I405" s="1375" t="s">
        <v>1562</v>
      </c>
      <c r="K405" s="1375" t="str">
        <f t="shared" si="6"/>
        <v>XMP_202001</v>
      </c>
    </row>
    <row r="406" spans="1:11">
      <c r="A406" s="1375" t="s">
        <v>2914</v>
      </c>
      <c r="B406" s="1375" t="s">
        <v>1758</v>
      </c>
      <c r="C406" s="1375" t="s">
        <v>1743</v>
      </c>
      <c r="D406" s="1375" t="s">
        <v>1007</v>
      </c>
      <c r="E406" s="1375" t="s">
        <v>2915</v>
      </c>
      <c r="F406" s="1375" t="s">
        <v>2916</v>
      </c>
      <c r="G406" s="1375" t="s">
        <v>1012</v>
      </c>
      <c r="H406" s="1375">
        <v>19</v>
      </c>
      <c r="I406" s="1375" t="s">
        <v>1562</v>
      </c>
      <c r="K406" s="1375" t="str">
        <f t="shared" si="6"/>
        <v>XMP_202001</v>
      </c>
    </row>
    <row r="407" spans="1:11">
      <c r="A407" s="1375" t="s">
        <v>1560</v>
      </c>
      <c r="B407" s="1375" t="s">
        <v>1758</v>
      </c>
      <c r="C407" s="1375" t="s">
        <v>1743</v>
      </c>
      <c r="D407" s="1375" t="s">
        <v>157</v>
      </c>
      <c r="E407" s="1375" t="s">
        <v>2590</v>
      </c>
      <c r="F407" s="1375" t="s">
        <v>1595</v>
      </c>
      <c r="G407" s="1375" t="s">
        <v>1012</v>
      </c>
      <c r="H407" s="1375">
        <v>19</v>
      </c>
      <c r="I407" s="1375" t="s">
        <v>1562</v>
      </c>
      <c r="K407" s="1375" t="str">
        <f t="shared" si="6"/>
        <v>XMP_202001</v>
      </c>
    </row>
    <row r="408" spans="1:11">
      <c r="A408" s="1375" t="s">
        <v>1561</v>
      </c>
      <c r="B408" s="1375" t="s">
        <v>1758</v>
      </c>
      <c r="C408" s="1375" t="s">
        <v>1743</v>
      </c>
      <c r="D408" s="1375" t="s">
        <v>158</v>
      </c>
      <c r="E408" s="1375" t="s">
        <v>2591</v>
      </c>
      <c r="F408" s="1375" t="s">
        <v>1596</v>
      </c>
      <c r="G408" s="1375" t="s">
        <v>1012</v>
      </c>
      <c r="H408" s="1375">
        <v>19</v>
      </c>
      <c r="I408" s="1375" t="s">
        <v>1562</v>
      </c>
      <c r="K408" s="1375" t="str">
        <f t="shared" si="6"/>
        <v>XMP_202001</v>
      </c>
    </row>
    <row r="409" spans="1:11">
      <c r="K409" s="1375" t="str">
        <f t="shared" si="6"/>
        <v/>
      </c>
    </row>
    <row r="410" spans="1:11">
      <c r="K410" s="1375" t="str">
        <f t="shared" si="6"/>
        <v/>
      </c>
    </row>
    <row r="411" spans="1:11">
      <c r="K411" s="1375" t="str">
        <f t="shared" si="6"/>
        <v/>
      </c>
    </row>
    <row r="412" spans="1:11">
      <c r="K412" s="1375" t="str">
        <f t="shared" si="6"/>
        <v/>
      </c>
    </row>
    <row r="413" spans="1:11">
      <c r="K413" s="1375" t="str">
        <f t="shared" si="6"/>
        <v/>
      </c>
    </row>
    <row r="414" spans="1:11">
      <c r="K414" s="1375" t="str">
        <f t="shared" si="6"/>
        <v/>
      </c>
    </row>
    <row r="415" spans="1:11">
      <c r="K415" s="1375" t="str">
        <f t="shared" si="6"/>
        <v/>
      </c>
    </row>
    <row r="416" spans="1:11">
      <c r="K416" s="1375" t="str">
        <f t="shared" si="6"/>
        <v/>
      </c>
    </row>
    <row r="417" spans="11:11">
      <c r="K417" s="1375" t="str">
        <f t="shared" si="6"/>
        <v/>
      </c>
    </row>
    <row r="418" spans="11:11">
      <c r="K418" s="1375" t="str">
        <f t="shared" si="6"/>
        <v/>
      </c>
    </row>
    <row r="419" spans="11:11">
      <c r="K419" s="1375" t="str">
        <f t="shared" si="6"/>
        <v/>
      </c>
    </row>
    <row r="420" spans="11:11">
      <c r="K420" s="1375" t="str">
        <f t="shared" si="6"/>
        <v/>
      </c>
    </row>
    <row r="421" spans="11:11">
      <c r="K421" s="1375" t="str">
        <f t="shared" si="6"/>
        <v/>
      </c>
    </row>
    <row r="422" spans="11:11">
      <c r="K422" s="1375" t="str">
        <f t="shared" si="6"/>
        <v/>
      </c>
    </row>
    <row r="423" spans="11:11">
      <c r="K423" s="1375" t="str">
        <f t="shared" si="6"/>
        <v/>
      </c>
    </row>
    <row r="424" spans="11:11">
      <c r="K424" s="1375" t="str">
        <f t="shared" si="6"/>
        <v/>
      </c>
    </row>
    <row r="425" spans="11:11">
      <c r="K425" s="1375" t="str">
        <f t="shared" si="6"/>
        <v/>
      </c>
    </row>
    <row r="426" spans="11:11">
      <c r="K426" s="1375" t="str">
        <f t="shared" si="6"/>
        <v/>
      </c>
    </row>
    <row r="427" spans="11:11">
      <c r="K427" s="1375" t="str">
        <f t="shared" si="6"/>
        <v/>
      </c>
    </row>
    <row r="428" spans="11:11">
      <c r="K428" s="1375" t="str">
        <f t="shared" si="6"/>
        <v/>
      </c>
    </row>
    <row r="429" spans="11:11">
      <c r="K429" s="1375" t="str">
        <f t="shared" si="6"/>
        <v/>
      </c>
    </row>
    <row r="430" spans="11:11">
      <c r="K430" s="1375" t="str">
        <f t="shared" si="6"/>
        <v/>
      </c>
    </row>
    <row r="431" spans="11:11">
      <c r="K431" s="1375" t="str">
        <f t="shared" si="6"/>
        <v/>
      </c>
    </row>
    <row r="432" spans="11:11">
      <c r="K432" s="1375" t="str">
        <f t="shared" si="6"/>
        <v/>
      </c>
    </row>
    <row r="433" spans="11:11">
      <c r="K433" s="1375" t="str">
        <f t="shared" si="6"/>
        <v/>
      </c>
    </row>
    <row r="434" spans="11:11">
      <c r="K434" s="1375" t="str">
        <f t="shared" si="6"/>
        <v/>
      </c>
    </row>
    <row r="435" spans="11:11">
      <c r="K435" s="1375" t="str">
        <f t="shared" si="6"/>
        <v/>
      </c>
    </row>
    <row r="436" spans="11:11">
      <c r="K436" s="1375" t="str">
        <f t="shared" si="6"/>
        <v/>
      </c>
    </row>
    <row r="437" spans="11:11">
      <c r="K437" s="1375" t="str">
        <f t="shared" si="6"/>
        <v/>
      </c>
    </row>
    <row r="438" spans="11:11">
      <c r="K438" s="1375" t="str">
        <f t="shared" si="6"/>
        <v/>
      </c>
    </row>
    <row r="439" spans="11:11">
      <c r="K439" s="1375" t="str">
        <f t="shared" si="6"/>
        <v/>
      </c>
    </row>
    <row r="440" spans="11:11">
      <c r="K440" s="1375" t="str">
        <f t="shared" si="6"/>
        <v/>
      </c>
    </row>
    <row r="441" spans="11:11">
      <c r="K441" s="1375" t="str">
        <f t="shared" si="6"/>
        <v/>
      </c>
    </row>
    <row r="442" spans="11:11">
      <c r="K442" s="1375" t="str">
        <f t="shared" si="6"/>
        <v/>
      </c>
    </row>
    <row r="443" spans="11:11">
      <c r="K443" s="1375" t="str">
        <f t="shared" si="6"/>
        <v/>
      </c>
    </row>
    <row r="444" spans="11:11">
      <c r="K444" s="1375" t="str">
        <f t="shared" si="6"/>
        <v/>
      </c>
    </row>
    <row r="445" spans="11:11">
      <c r="K445" s="1375" t="str">
        <f t="shared" si="6"/>
        <v/>
      </c>
    </row>
    <row r="446" spans="11:11">
      <c r="K446" s="1375" t="str">
        <f t="shared" si="6"/>
        <v/>
      </c>
    </row>
    <row r="447" spans="11:11">
      <c r="K447" s="1375" t="str">
        <f t="shared" si="6"/>
        <v/>
      </c>
    </row>
    <row r="448" spans="11:11">
      <c r="K448" s="1375" t="str">
        <f t="shared" si="6"/>
        <v/>
      </c>
    </row>
    <row r="449" spans="11:11">
      <c r="K449" s="1375" t="str">
        <f t="shared" si="6"/>
        <v/>
      </c>
    </row>
    <row r="450" spans="11:11">
      <c r="K450" s="1375" t="str">
        <f t="shared" si="6"/>
        <v/>
      </c>
    </row>
    <row r="451" spans="11:11">
      <c r="K451" s="1375" t="str">
        <f t="shared" ref="K451:K514" si="7">LEFT(A451,10)</f>
        <v/>
      </c>
    </row>
    <row r="452" spans="11:11">
      <c r="K452" s="1375" t="str">
        <f t="shared" si="7"/>
        <v/>
      </c>
    </row>
    <row r="453" spans="11:11">
      <c r="K453" s="1375" t="str">
        <f t="shared" si="7"/>
        <v/>
      </c>
    </row>
    <row r="454" spans="11:11">
      <c r="K454" s="1375" t="str">
        <f t="shared" si="7"/>
        <v/>
      </c>
    </row>
    <row r="455" spans="11:11">
      <c r="K455" s="1375" t="str">
        <f t="shared" si="7"/>
        <v/>
      </c>
    </row>
    <row r="456" spans="11:11">
      <c r="K456" s="1375" t="str">
        <f t="shared" si="7"/>
        <v/>
      </c>
    </row>
    <row r="457" spans="11:11">
      <c r="K457" s="1375" t="str">
        <f t="shared" si="7"/>
        <v/>
      </c>
    </row>
    <row r="458" spans="11:11">
      <c r="K458" s="1375" t="str">
        <f t="shared" si="7"/>
        <v/>
      </c>
    </row>
    <row r="459" spans="11:11">
      <c r="K459" s="1375" t="str">
        <f t="shared" si="7"/>
        <v/>
      </c>
    </row>
    <row r="460" spans="11:11">
      <c r="K460" s="1375" t="str">
        <f t="shared" si="7"/>
        <v/>
      </c>
    </row>
    <row r="461" spans="11:11">
      <c r="K461" s="1375" t="str">
        <f t="shared" si="7"/>
        <v/>
      </c>
    </row>
    <row r="462" spans="11:11">
      <c r="K462" s="1375" t="str">
        <f t="shared" si="7"/>
        <v/>
      </c>
    </row>
    <row r="463" spans="11:11">
      <c r="K463" s="1375" t="str">
        <f t="shared" si="7"/>
        <v/>
      </c>
    </row>
    <row r="464" spans="11:11">
      <c r="K464" s="1375" t="str">
        <f t="shared" si="7"/>
        <v/>
      </c>
    </row>
    <row r="465" spans="11:11">
      <c r="K465" s="1375" t="str">
        <f t="shared" si="7"/>
        <v/>
      </c>
    </row>
    <row r="466" spans="11:11">
      <c r="K466" s="1375" t="str">
        <f t="shared" si="7"/>
        <v/>
      </c>
    </row>
    <row r="467" spans="11:11">
      <c r="K467" s="1375" t="str">
        <f t="shared" si="7"/>
        <v/>
      </c>
    </row>
    <row r="468" spans="11:11">
      <c r="K468" s="1375" t="str">
        <f t="shared" si="7"/>
        <v/>
      </c>
    </row>
    <row r="469" spans="11:11">
      <c r="K469" s="1375" t="str">
        <f t="shared" si="7"/>
        <v/>
      </c>
    </row>
    <row r="470" spans="11:11">
      <c r="K470" s="1375" t="str">
        <f t="shared" si="7"/>
        <v/>
      </c>
    </row>
    <row r="471" spans="11:11">
      <c r="K471" s="1375" t="str">
        <f t="shared" si="7"/>
        <v/>
      </c>
    </row>
    <row r="472" spans="11:11">
      <c r="K472" s="1375" t="str">
        <f t="shared" si="7"/>
        <v/>
      </c>
    </row>
    <row r="473" spans="11:11">
      <c r="K473" s="1375" t="str">
        <f t="shared" si="7"/>
        <v/>
      </c>
    </row>
    <row r="474" spans="11:11">
      <c r="K474" s="1375" t="str">
        <f t="shared" si="7"/>
        <v/>
      </c>
    </row>
    <row r="475" spans="11:11">
      <c r="K475" s="1375" t="str">
        <f t="shared" si="7"/>
        <v/>
      </c>
    </row>
    <row r="476" spans="11:11">
      <c r="K476" s="1375" t="str">
        <f t="shared" si="7"/>
        <v/>
      </c>
    </row>
    <row r="477" spans="11:11">
      <c r="K477" s="1375" t="str">
        <f t="shared" si="7"/>
        <v/>
      </c>
    </row>
    <row r="478" spans="11:11">
      <c r="K478" s="1375" t="str">
        <f t="shared" si="7"/>
        <v/>
      </c>
    </row>
    <row r="479" spans="11:11">
      <c r="K479" s="1375" t="str">
        <f t="shared" si="7"/>
        <v/>
      </c>
    </row>
    <row r="480" spans="11:11">
      <c r="K480" s="1375" t="str">
        <f t="shared" si="7"/>
        <v/>
      </c>
    </row>
    <row r="481" spans="11:11">
      <c r="K481" s="1375" t="str">
        <f t="shared" si="7"/>
        <v/>
      </c>
    </row>
    <row r="482" spans="11:11">
      <c r="K482" s="1375" t="str">
        <f t="shared" si="7"/>
        <v/>
      </c>
    </row>
    <row r="483" spans="11:11">
      <c r="K483" s="1375" t="str">
        <f t="shared" si="7"/>
        <v/>
      </c>
    </row>
    <row r="484" spans="11:11">
      <c r="K484" s="1375" t="str">
        <f t="shared" si="7"/>
        <v/>
      </c>
    </row>
    <row r="485" spans="11:11">
      <c r="K485" s="1375" t="str">
        <f t="shared" si="7"/>
        <v/>
      </c>
    </row>
    <row r="486" spans="11:11">
      <c r="K486" s="1375" t="str">
        <f t="shared" si="7"/>
        <v/>
      </c>
    </row>
    <row r="487" spans="11:11">
      <c r="K487" s="1375" t="str">
        <f t="shared" si="7"/>
        <v/>
      </c>
    </row>
    <row r="488" spans="11:11">
      <c r="K488" s="1375" t="str">
        <f t="shared" si="7"/>
        <v/>
      </c>
    </row>
    <row r="489" spans="11:11">
      <c r="K489" s="1375" t="str">
        <f t="shared" si="7"/>
        <v/>
      </c>
    </row>
    <row r="490" spans="11:11">
      <c r="K490" s="1375" t="str">
        <f t="shared" si="7"/>
        <v/>
      </c>
    </row>
    <row r="491" spans="11:11">
      <c r="K491" s="1375" t="str">
        <f t="shared" si="7"/>
        <v/>
      </c>
    </row>
    <row r="492" spans="11:11">
      <c r="K492" s="1375" t="str">
        <f t="shared" si="7"/>
        <v/>
      </c>
    </row>
    <row r="493" spans="11:11">
      <c r="K493" s="1375" t="str">
        <f t="shared" si="7"/>
        <v/>
      </c>
    </row>
    <row r="494" spans="11:11">
      <c r="K494" s="1375" t="str">
        <f t="shared" si="7"/>
        <v/>
      </c>
    </row>
    <row r="495" spans="11:11">
      <c r="K495" s="1375" t="str">
        <f t="shared" si="7"/>
        <v/>
      </c>
    </row>
    <row r="496" spans="11:11">
      <c r="K496" s="1375" t="str">
        <f t="shared" si="7"/>
        <v/>
      </c>
    </row>
    <row r="497" spans="11:11">
      <c r="K497" s="1375" t="str">
        <f t="shared" si="7"/>
        <v/>
      </c>
    </row>
    <row r="498" spans="11:11">
      <c r="K498" s="1375" t="str">
        <f t="shared" si="7"/>
        <v/>
      </c>
    </row>
    <row r="499" spans="11:11">
      <c r="K499" s="1375" t="str">
        <f t="shared" si="7"/>
        <v/>
      </c>
    </row>
    <row r="500" spans="11:11">
      <c r="K500" s="1375" t="str">
        <f t="shared" si="7"/>
        <v/>
      </c>
    </row>
    <row r="501" spans="11:11">
      <c r="K501" s="1375" t="str">
        <f t="shared" si="7"/>
        <v/>
      </c>
    </row>
    <row r="502" spans="11:11">
      <c r="K502" s="1375" t="str">
        <f t="shared" si="7"/>
        <v/>
      </c>
    </row>
    <row r="503" spans="11:11">
      <c r="K503" s="1375" t="str">
        <f t="shared" si="7"/>
        <v/>
      </c>
    </row>
    <row r="504" spans="11:11">
      <c r="K504" s="1375" t="str">
        <f t="shared" si="7"/>
        <v/>
      </c>
    </row>
    <row r="505" spans="11:11">
      <c r="K505" s="1375" t="str">
        <f t="shared" si="7"/>
        <v/>
      </c>
    </row>
    <row r="506" spans="11:11">
      <c r="K506" s="1375" t="str">
        <f t="shared" si="7"/>
        <v/>
      </c>
    </row>
    <row r="507" spans="11:11">
      <c r="K507" s="1375" t="str">
        <f t="shared" si="7"/>
        <v/>
      </c>
    </row>
    <row r="508" spans="11:11">
      <c r="K508" s="1375" t="str">
        <f t="shared" si="7"/>
        <v/>
      </c>
    </row>
    <row r="509" spans="11:11">
      <c r="K509" s="1375" t="str">
        <f t="shared" si="7"/>
        <v/>
      </c>
    </row>
    <row r="510" spans="11:11">
      <c r="K510" s="1375" t="str">
        <f t="shared" si="7"/>
        <v/>
      </c>
    </row>
    <row r="511" spans="11:11">
      <c r="K511" s="1375" t="str">
        <f t="shared" si="7"/>
        <v/>
      </c>
    </row>
    <row r="512" spans="11:11">
      <c r="K512" s="1375" t="str">
        <f t="shared" si="7"/>
        <v/>
      </c>
    </row>
    <row r="513" spans="11:11">
      <c r="K513" s="1375" t="str">
        <f t="shared" si="7"/>
        <v/>
      </c>
    </row>
    <row r="514" spans="11:11">
      <c r="K514" s="1375" t="str">
        <f t="shared" si="7"/>
        <v/>
      </c>
    </row>
    <row r="515" spans="11:11">
      <c r="K515" s="1375" t="str">
        <f t="shared" ref="K515:K578" si="8">LEFT(A515,10)</f>
        <v/>
      </c>
    </row>
    <row r="516" spans="11:11">
      <c r="K516" s="1375" t="str">
        <f t="shared" si="8"/>
        <v/>
      </c>
    </row>
    <row r="517" spans="11:11">
      <c r="K517" s="1375" t="str">
        <f t="shared" si="8"/>
        <v/>
      </c>
    </row>
    <row r="518" spans="11:11">
      <c r="K518" s="1375" t="str">
        <f t="shared" si="8"/>
        <v/>
      </c>
    </row>
    <row r="519" spans="11:11">
      <c r="K519" s="1375" t="str">
        <f t="shared" si="8"/>
        <v/>
      </c>
    </row>
    <row r="520" spans="11:11">
      <c r="K520" s="1375" t="str">
        <f t="shared" si="8"/>
        <v/>
      </c>
    </row>
    <row r="521" spans="11:11">
      <c r="K521" s="1375" t="str">
        <f t="shared" si="8"/>
        <v/>
      </c>
    </row>
    <row r="522" spans="11:11">
      <c r="K522" s="1375" t="str">
        <f t="shared" si="8"/>
        <v/>
      </c>
    </row>
    <row r="523" spans="11:11">
      <c r="K523" s="1375" t="str">
        <f t="shared" si="8"/>
        <v/>
      </c>
    </row>
    <row r="524" spans="11:11">
      <c r="K524" s="1375" t="str">
        <f t="shared" si="8"/>
        <v/>
      </c>
    </row>
    <row r="525" spans="11:11">
      <c r="K525" s="1375" t="str">
        <f t="shared" si="8"/>
        <v/>
      </c>
    </row>
    <row r="526" spans="11:11">
      <c r="K526" s="1375" t="str">
        <f t="shared" si="8"/>
        <v/>
      </c>
    </row>
    <row r="527" spans="11:11">
      <c r="K527" s="1375" t="str">
        <f t="shared" si="8"/>
        <v/>
      </c>
    </row>
    <row r="528" spans="11:11">
      <c r="K528" s="1375" t="str">
        <f t="shared" si="8"/>
        <v/>
      </c>
    </row>
    <row r="529" spans="11:11">
      <c r="K529" s="1375" t="str">
        <f t="shared" si="8"/>
        <v/>
      </c>
    </row>
    <row r="530" spans="11:11">
      <c r="K530" s="1375" t="str">
        <f t="shared" si="8"/>
        <v/>
      </c>
    </row>
    <row r="531" spans="11:11">
      <c r="K531" s="1375" t="str">
        <f t="shared" si="8"/>
        <v/>
      </c>
    </row>
    <row r="532" spans="11:11">
      <c r="K532" s="1375" t="str">
        <f t="shared" si="8"/>
        <v/>
      </c>
    </row>
    <row r="533" spans="11:11">
      <c r="K533" s="1375" t="str">
        <f t="shared" si="8"/>
        <v/>
      </c>
    </row>
    <row r="534" spans="11:11">
      <c r="K534" s="1375" t="str">
        <f t="shared" si="8"/>
        <v/>
      </c>
    </row>
    <row r="535" spans="11:11">
      <c r="K535" s="1375" t="str">
        <f t="shared" si="8"/>
        <v/>
      </c>
    </row>
    <row r="536" spans="11:11">
      <c r="K536" s="1375" t="str">
        <f t="shared" si="8"/>
        <v/>
      </c>
    </row>
    <row r="537" spans="11:11">
      <c r="K537" s="1375" t="str">
        <f t="shared" si="8"/>
        <v/>
      </c>
    </row>
    <row r="538" spans="11:11">
      <c r="K538" s="1375" t="str">
        <f t="shared" si="8"/>
        <v/>
      </c>
    </row>
    <row r="539" spans="11:11">
      <c r="K539" s="1375" t="str">
        <f t="shared" si="8"/>
        <v/>
      </c>
    </row>
    <row r="540" spans="11:11">
      <c r="K540" s="1375" t="str">
        <f t="shared" si="8"/>
        <v/>
      </c>
    </row>
    <row r="541" spans="11:11">
      <c r="K541" s="1375" t="str">
        <f t="shared" si="8"/>
        <v/>
      </c>
    </row>
    <row r="542" spans="11:11">
      <c r="K542" s="1375" t="str">
        <f t="shared" si="8"/>
        <v/>
      </c>
    </row>
    <row r="543" spans="11:11">
      <c r="K543" s="1375" t="str">
        <f t="shared" si="8"/>
        <v/>
      </c>
    </row>
    <row r="544" spans="11:11">
      <c r="K544" s="1375" t="str">
        <f t="shared" si="8"/>
        <v/>
      </c>
    </row>
    <row r="545" spans="11:11">
      <c r="K545" s="1375" t="str">
        <f t="shared" si="8"/>
        <v/>
      </c>
    </row>
    <row r="546" spans="11:11">
      <c r="K546" s="1375" t="str">
        <f t="shared" si="8"/>
        <v/>
      </c>
    </row>
    <row r="547" spans="11:11">
      <c r="K547" s="1375" t="str">
        <f t="shared" si="8"/>
        <v/>
      </c>
    </row>
    <row r="548" spans="11:11">
      <c r="K548" s="1375" t="str">
        <f t="shared" si="8"/>
        <v/>
      </c>
    </row>
    <row r="549" spans="11:11">
      <c r="K549" s="1375" t="str">
        <f t="shared" si="8"/>
        <v/>
      </c>
    </row>
    <row r="550" spans="11:11">
      <c r="K550" s="1375" t="str">
        <f t="shared" si="8"/>
        <v/>
      </c>
    </row>
    <row r="551" spans="11:11">
      <c r="K551" s="1375" t="str">
        <f t="shared" si="8"/>
        <v/>
      </c>
    </row>
    <row r="552" spans="11:11">
      <c r="K552" s="1375" t="str">
        <f t="shared" si="8"/>
        <v/>
      </c>
    </row>
    <row r="553" spans="11:11">
      <c r="K553" s="1375" t="str">
        <f t="shared" si="8"/>
        <v/>
      </c>
    </row>
    <row r="554" spans="11:11">
      <c r="K554" s="1375" t="str">
        <f t="shared" si="8"/>
        <v/>
      </c>
    </row>
    <row r="555" spans="11:11">
      <c r="K555" s="1375" t="str">
        <f t="shared" si="8"/>
        <v/>
      </c>
    </row>
    <row r="556" spans="11:11">
      <c r="K556" s="1375" t="str">
        <f t="shared" si="8"/>
        <v/>
      </c>
    </row>
    <row r="557" spans="11:11">
      <c r="K557" s="1375" t="str">
        <f t="shared" si="8"/>
        <v/>
      </c>
    </row>
    <row r="558" spans="11:11">
      <c r="K558" s="1375" t="str">
        <f t="shared" si="8"/>
        <v/>
      </c>
    </row>
    <row r="559" spans="11:11">
      <c r="K559" s="1375" t="str">
        <f t="shared" si="8"/>
        <v/>
      </c>
    </row>
    <row r="560" spans="11:11">
      <c r="K560" s="1375" t="str">
        <f t="shared" si="8"/>
        <v/>
      </c>
    </row>
    <row r="561" spans="11:11">
      <c r="K561" s="1375" t="str">
        <f t="shared" si="8"/>
        <v/>
      </c>
    </row>
    <row r="562" spans="11:11">
      <c r="K562" s="1375" t="str">
        <f t="shared" si="8"/>
        <v/>
      </c>
    </row>
    <row r="563" spans="11:11">
      <c r="K563" s="1375" t="str">
        <f t="shared" si="8"/>
        <v/>
      </c>
    </row>
    <row r="564" spans="11:11">
      <c r="K564" s="1375" t="str">
        <f t="shared" si="8"/>
        <v/>
      </c>
    </row>
    <row r="565" spans="11:11">
      <c r="K565" s="1375" t="str">
        <f t="shared" si="8"/>
        <v/>
      </c>
    </row>
    <row r="566" spans="11:11">
      <c r="K566" s="1375" t="str">
        <f t="shared" si="8"/>
        <v/>
      </c>
    </row>
    <row r="567" spans="11:11">
      <c r="K567" s="1375" t="str">
        <f t="shared" si="8"/>
        <v/>
      </c>
    </row>
    <row r="568" spans="11:11">
      <c r="K568" s="1375" t="str">
        <f t="shared" si="8"/>
        <v/>
      </c>
    </row>
    <row r="569" spans="11:11">
      <c r="K569" s="1375" t="str">
        <f t="shared" si="8"/>
        <v/>
      </c>
    </row>
    <row r="570" spans="11:11">
      <c r="K570" s="1375" t="str">
        <f t="shared" si="8"/>
        <v/>
      </c>
    </row>
    <row r="571" spans="11:11">
      <c r="K571" s="1375" t="str">
        <f t="shared" si="8"/>
        <v/>
      </c>
    </row>
    <row r="572" spans="11:11">
      <c r="K572" s="1375" t="str">
        <f t="shared" si="8"/>
        <v/>
      </c>
    </row>
    <row r="573" spans="11:11">
      <c r="K573" s="1375" t="str">
        <f t="shared" si="8"/>
        <v/>
      </c>
    </row>
    <row r="574" spans="11:11">
      <c r="K574" s="1375" t="str">
        <f t="shared" si="8"/>
        <v/>
      </c>
    </row>
    <row r="575" spans="11:11">
      <c r="K575" s="1375" t="str">
        <f t="shared" si="8"/>
        <v/>
      </c>
    </row>
    <row r="576" spans="11:11">
      <c r="K576" s="1375" t="str">
        <f t="shared" si="8"/>
        <v/>
      </c>
    </row>
    <row r="577" spans="11:11">
      <c r="K577" s="1375" t="str">
        <f t="shared" si="8"/>
        <v/>
      </c>
    </row>
    <row r="578" spans="11:11">
      <c r="K578" s="1375" t="str">
        <f t="shared" si="8"/>
        <v/>
      </c>
    </row>
    <row r="579" spans="11:11">
      <c r="K579" s="1375" t="str">
        <f t="shared" ref="K579:K642" si="9">LEFT(A579,10)</f>
        <v/>
      </c>
    </row>
    <row r="580" spans="11:11">
      <c r="K580" s="1375" t="str">
        <f t="shared" si="9"/>
        <v/>
      </c>
    </row>
    <row r="581" spans="11:11">
      <c r="K581" s="1375" t="str">
        <f t="shared" si="9"/>
        <v/>
      </c>
    </row>
    <row r="582" spans="11:11">
      <c r="K582" s="1375" t="str">
        <f t="shared" si="9"/>
        <v/>
      </c>
    </row>
    <row r="583" spans="11:11">
      <c r="K583" s="1375" t="str">
        <f t="shared" si="9"/>
        <v/>
      </c>
    </row>
    <row r="584" spans="11:11">
      <c r="K584" s="1375" t="str">
        <f t="shared" si="9"/>
        <v/>
      </c>
    </row>
    <row r="585" spans="11:11">
      <c r="K585" s="1375" t="str">
        <f t="shared" si="9"/>
        <v/>
      </c>
    </row>
    <row r="586" spans="11:11">
      <c r="K586" s="1375" t="str">
        <f t="shared" si="9"/>
        <v/>
      </c>
    </row>
    <row r="587" spans="11:11">
      <c r="K587" s="1375" t="str">
        <f t="shared" si="9"/>
        <v/>
      </c>
    </row>
    <row r="588" spans="11:11">
      <c r="K588" s="1375" t="str">
        <f t="shared" si="9"/>
        <v/>
      </c>
    </row>
    <row r="589" spans="11:11">
      <c r="K589" s="1375" t="str">
        <f t="shared" si="9"/>
        <v/>
      </c>
    </row>
    <row r="590" spans="11:11">
      <c r="K590" s="1375" t="str">
        <f t="shared" si="9"/>
        <v/>
      </c>
    </row>
    <row r="591" spans="11:11">
      <c r="K591" s="1375" t="str">
        <f t="shared" si="9"/>
        <v/>
      </c>
    </row>
    <row r="592" spans="11:11">
      <c r="K592" s="1375" t="str">
        <f t="shared" si="9"/>
        <v/>
      </c>
    </row>
    <row r="593" spans="11:11">
      <c r="K593" s="1375" t="str">
        <f t="shared" si="9"/>
        <v/>
      </c>
    </row>
    <row r="594" spans="11:11">
      <c r="K594" s="1375" t="str">
        <f t="shared" si="9"/>
        <v/>
      </c>
    </row>
    <row r="595" spans="11:11">
      <c r="K595" s="1375" t="str">
        <f t="shared" si="9"/>
        <v/>
      </c>
    </row>
    <row r="596" spans="11:11">
      <c r="K596" s="1375" t="str">
        <f t="shared" si="9"/>
        <v/>
      </c>
    </row>
    <row r="597" spans="11:11">
      <c r="K597" s="1375" t="str">
        <f t="shared" si="9"/>
        <v/>
      </c>
    </row>
    <row r="598" spans="11:11">
      <c r="K598" s="1375" t="str">
        <f t="shared" si="9"/>
        <v/>
      </c>
    </row>
    <row r="599" spans="11:11">
      <c r="K599" s="1375" t="str">
        <f t="shared" si="9"/>
        <v/>
      </c>
    </row>
    <row r="600" spans="11:11">
      <c r="K600" s="1375" t="str">
        <f t="shared" si="9"/>
        <v/>
      </c>
    </row>
    <row r="601" spans="11:11">
      <c r="K601" s="1375" t="str">
        <f t="shared" si="9"/>
        <v/>
      </c>
    </row>
    <row r="602" spans="11:11">
      <c r="K602" s="1375" t="str">
        <f t="shared" si="9"/>
        <v/>
      </c>
    </row>
    <row r="603" spans="11:11">
      <c r="K603" s="1375" t="str">
        <f t="shared" si="9"/>
        <v/>
      </c>
    </row>
    <row r="604" spans="11:11">
      <c r="K604" s="1375" t="str">
        <f t="shared" si="9"/>
        <v/>
      </c>
    </row>
    <row r="605" spans="11:11">
      <c r="K605" s="1375" t="str">
        <f t="shared" si="9"/>
        <v/>
      </c>
    </row>
    <row r="606" spans="11:11">
      <c r="K606" s="1375" t="str">
        <f t="shared" si="9"/>
        <v/>
      </c>
    </row>
    <row r="607" spans="11:11">
      <c r="K607" s="1375" t="str">
        <f t="shared" si="9"/>
        <v/>
      </c>
    </row>
    <row r="608" spans="11:11">
      <c r="K608" s="1375" t="str">
        <f t="shared" si="9"/>
        <v/>
      </c>
    </row>
    <row r="609" spans="11:11">
      <c r="K609" s="1375" t="str">
        <f t="shared" si="9"/>
        <v/>
      </c>
    </row>
    <row r="610" spans="11:11">
      <c r="K610" s="1375" t="str">
        <f t="shared" si="9"/>
        <v/>
      </c>
    </row>
    <row r="611" spans="11:11">
      <c r="K611" s="1375" t="str">
        <f t="shared" si="9"/>
        <v/>
      </c>
    </row>
    <row r="612" spans="11:11">
      <c r="K612" s="1375" t="str">
        <f t="shared" si="9"/>
        <v/>
      </c>
    </row>
    <row r="613" spans="11:11">
      <c r="K613" s="1375" t="str">
        <f t="shared" si="9"/>
        <v/>
      </c>
    </row>
    <row r="614" spans="11:11">
      <c r="K614" s="1375" t="str">
        <f t="shared" si="9"/>
        <v/>
      </c>
    </row>
    <row r="615" spans="11:11">
      <c r="K615" s="1375" t="str">
        <f t="shared" si="9"/>
        <v/>
      </c>
    </row>
    <row r="616" spans="11:11">
      <c r="K616" s="1375" t="str">
        <f t="shared" si="9"/>
        <v/>
      </c>
    </row>
    <row r="617" spans="11:11">
      <c r="K617" s="1375" t="str">
        <f t="shared" si="9"/>
        <v/>
      </c>
    </row>
    <row r="618" spans="11:11">
      <c r="K618" s="1375" t="str">
        <f t="shared" si="9"/>
        <v/>
      </c>
    </row>
    <row r="619" spans="11:11">
      <c r="K619" s="1375" t="str">
        <f t="shared" si="9"/>
        <v/>
      </c>
    </row>
    <row r="620" spans="11:11">
      <c r="K620" s="1375" t="str">
        <f t="shared" si="9"/>
        <v/>
      </c>
    </row>
    <row r="621" spans="11:11">
      <c r="K621" s="1375" t="str">
        <f t="shared" si="9"/>
        <v/>
      </c>
    </row>
    <row r="622" spans="11:11">
      <c r="K622" s="1375" t="str">
        <f t="shared" si="9"/>
        <v/>
      </c>
    </row>
    <row r="623" spans="11:11">
      <c r="K623" s="1375" t="str">
        <f t="shared" si="9"/>
        <v/>
      </c>
    </row>
    <row r="624" spans="11:11">
      <c r="K624" s="1375" t="str">
        <f t="shared" si="9"/>
        <v/>
      </c>
    </row>
    <row r="625" spans="11:11">
      <c r="K625" s="1375" t="str">
        <f t="shared" si="9"/>
        <v/>
      </c>
    </row>
    <row r="626" spans="11:11">
      <c r="K626" s="1375" t="str">
        <f t="shared" si="9"/>
        <v/>
      </c>
    </row>
    <row r="627" spans="11:11">
      <c r="K627" s="1375" t="str">
        <f t="shared" si="9"/>
        <v/>
      </c>
    </row>
    <row r="628" spans="11:11">
      <c r="K628" s="1375" t="str">
        <f t="shared" si="9"/>
        <v/>
      </c>
    </row>
    <row r="629" spans="11:11">
      <c r="K629" s="1375" t="str">
        <f t="shared" si="9"/>
        <v/>
      </c>
    </row>
    <row r="630" spans="11:11">
      <c r="K630" s="1375" t="str">
        <f t="shared" si="9"/>
        <v/>
      </c>
    </row>
    <row r="631" spans="11:11">
      <c r="K631" s="1375" t="str">
        <f t="shared" si="9"/>
        <v/>
      </c>
    </row>
    <row r="632" spans="11:11">
      <c r="K632" s="1375" t="str">
        <f t="shared" si="9"/>
        <v/>
      </c>
    </row>
    <row r="633" spans="11:11">
      <c r="K633" s="1375" t="str">
        <f t="shared" si="9"/>
        <v/>
      </c>
    </row>
    <row r="634" spans="11:11">
      <c r="K634" s="1375" t="str">
        <f t="shared" si="9"/>
        <v/>
      </c>
    </row>
    <row r="635" spans="11:11">
      <c r="K635" s="1375" t="str">
        <f t="shared" si="9"/>
        <v/>
      </c>
    </row>
    <row r="636" spans="11:11">
      <c r="K636" s="1375" t="str">
        <f t="shared" si="9"/>
        <v/>
      </c>
    </row>
    <row r="637" spans="11:11">
      <c r="K637" s="1375" t="str">
        <f t="shared" si="9"/>
        <v/>
      </c>
    </row>
    <row r="638" spans="11:11">
      <c r="K638" s="1375" t="str">
        <f t="shared" si="9"/>
        <v/>
      </c>
    </row>
    <row r="639" spans="11:11">
      <c r="K639" s="1375" t="str">
        <f t="shared" si="9"/>
        <v/>
      </c>
    </row>
    <row r="640" spans="11:11">
      <c r="K640" s="1375" t="str">
        <f t="shared" si="9"/>
        <v/>
      </c>
    </row>
    <row r="641" spans="11:11">
      <c r="K641" s="1375" t="str">
        <f t="shared" si="9"/>
        <v/>
      </c>
    </row>
    <row r="642" spans="11:11">
      <c r="K642" s="1375" t="str">
        <f t="shared" si="9"/>
        <v/>
      </c>
    </row>
    <row r="643" spans="11:11">
      <c r="K643" s="1375" t="str">
        <f t="shared" ref="K643:K706" si="10">LEFT(A643,10)</f>
        <v/>
      </c>
    </row>
    <row r="644" spans="11:11">
      <c r="K644" s="1375" t="str">
        <f t="shared" si="10"/>
        <v/>
      </c>
    </row>
    <row r="645" spans="11:11">
      <c r="K645" s="1375" t="str">
        <f t="shared" si="10"/>
        <v/>
      </c>
    </row>
    <row r="646" spans="11:11">
      <c r="K646" s="1375" t="str">
        <f t="shared" si="10"/>
        <v/>
      </c>
    </row>
    <row r="647" spans="11:11">
      <c r="K647" s="1375" t="str">
        <f t="shared" si="10"/>
        <v/>
      </c>
    </row>
    <row r="648" spans="11:11">
      <c r="K648" s="1375" t="str">
        <f t="shared" si="10"/>
        <v/>
      </c>
    </row>
    <row r="649" spans="11:11">
      <c r="K649" s="1375" t="str">
        <f t="shared" si="10"/>
        <v/>
      </c>
    </row>
    <row r="650" spans="11:11">
      <c r="K650" s="1375" t="str">
        <f t="shared" si="10"/>
        <v/>
      </c>
    </row>
    <row r="651" spans="11:11">
      <c r="K651" s="1375" t="str">
        <f t="shared" si="10"/>
        <v/>
      </c>
    </row>
    <row r="652" spans="11:11">
      <c r="K652" s="1375" t="str">
        <f t="shared" si="10"/>
        <v/>
      </c>
    </row>
    <row r="653" spans="11:11">
      <c r="K653" s="1375" t="str">
        <f t="shared" si="10"/>
        <v/>
      </c>
    </row>
    <row r="654" spans="11:11">
      <c r="K654" s="1375" t="str">
        <f t="shared" si="10"/>
        <v/>
      </c>
    </row>
    <row r="655" spans="11:11">
      <c r="K655" s="1375" t="str">
        <f t="shared" si="10"/>
        <v/>
      </c>
    </row>
    <row r="656" spans="11:11">
      <c r="K656" s="1375" t="str">
        <f t="shared" si="10"/>
        <v/>
      </c>
    </row>
    <row r="657" spans="11:11">
      <c r="K657" s="1375" t="str">
        <f t="shared" si="10"/>
        <v/>
      </c>
    </row>
    <row r="658" spans="11:11">
      <c r="K658" s="1375" t="str">
        <f t="shared" si="10"/>
        <v/>
      </c>
    </row>
    <row r="659" spans="11:11">
      <c r="K659" s="1375" t="str">
        <f t="shared" si="10"/>
        <v/>
      </c>
    </row>
    <row r="660" spans="11:11">
      <c r="K660" s="1375" t="str">
        <f t="shared" si="10"/>
        <v/>
      </c>
    </row>
    <row r="661" spans="11:11">
      <c r="K661" s="1375" t="str">
        <f t="shared" si="10"/>
        <v/>
      </c>
    </row>
    <row r="662" spans="11:11">
      <c r="K662" s="1375" t="str">
        <f t="shared" si="10"/>
        <v/>
      </c>
    </row>
    <row r="663" spans="11:11">
      <c r="K663" s="1375" t="str">
        <f t="shared" si="10"/>
        <v/>
      </c>
    </row>
    <row r="664" spans="11:11">
      <c r="K664" s="1375" t="str">
        <f t="shared" si="10"/>
        <v/>
      </c>
    </row>
    <row r="665" spans="11:11">
      <c r="K665" s="1375" t="str">
        <f t="shared" si="10"/>
        <v/>
      </c>
    </row>
    <row r="666" spans="11:11">
      <c r="K666" s="1375" t="str">
        <f t="shared" si="10"/>
        <v/>
      </c>
    </row>
    <row r="667" spans="11:11">
      <c r="K667" s="1375" t="str">
        <f t="shared" si="10"/>
        <v/>
      </c>
    </row>
    <row r="668" spans="11:11">
      <c r="K668" s="1375" t="str">
        <f t="shared" si="10"/>
        <v/>
      </c>
    </row>
    <row r="669" spans="11:11">
      <c r="K669" s="1375" t="str">
        <f t="shared" si="10"/>
        <v/>
      </c>
    </row>
    <row r="670" spans="11:11">
      <c r="K670" s="1375" t="str">
        <f t="shared" si="10"/>
        <v/>
      </c>
    </row>
    <row r="671" spans="11:11">
      <c r="K671" s="1375" t="str">
        <f t="shared" si="10"/>
        <v/>
      </c>
    </row>
    <row r="672" spans="11:11">
      <c r="K672" s="1375" t="str">
        <f t="shared" si="10"/>
        <v/>
      </c>
    </row>
    <row r="673" spans="11:11">
      <c r="K673" s="1375" t="str">
        <f t="shared" si="10"/>
        <v/>
      </c>
    </row>
    <row r="674" spans="11:11">
      <c r="K674" s="1375" t="str">
        <f t="shared" si="10"/>
        <v/>
      </c>
    </row>
    <row r="675" spans="11:11">
      <c r="K675" s="1375" t="str">
        <f t="shared" si="10"/>
        <v/>
      </c>
    </row>
    <row r="676" spans="11:11">
      <c r="K676" s="1375" t="str">
        <f t="shared" si="10"/>
        <v/>
      </c>
    </row>
    <row r="677" spans="11:11">
      <c r="K677" s="1375" t="str">
        <f t="shared" si="10"/>
        <v/>
      </c>
    </row>
    <row r="678" spans="11:11">
      <c r="K678" s="1375" t="str">
        <f t="shared" si="10"/>
        <v/>
      </c>
    </row>
    <row r="679" spans="11:11">
      <c r="K679" s="1375" t="str">
        <f t="shared" si="10"/>
        <v/>
      </c>
    </row>
    <row r="680" spans="11:11">
      <c r="K680" s="1375" t="str">
        <f t="shared" si="10"/>
        <v/>
      </c>
    </row>
    <row r="681" spans="11:11">
      <c r="K681" s="1375" t="str">
        <f t="shared" si="10"/>
        <v/>
      </c>
    </row>
    <row r="682" spans="11:11">
      <c r="K682" s="1375" t="str">
        <f t="shared" si="10"/>
        <v/>
      </c>
    </row>
    <row r="683" spans="11:11">
      <c r="K683" s="1375" t="str">
        <f t="shared" si="10"/>
        <v/>
      </c>
    </row>
    <row r="684" spans="11:11">
      <c r="K684" s="1375" t="str">
        <f t="shared" si="10"/>
        <v/>
      </c>
    </row>
    <row r="685" spans="11:11">
      <c r="K685" s="1375" t="str">
        <f t="shared" si="10"/>
        <v/>
      </c>
    </row>
    <row r="686" spans="11:11">
      <c r="K686" s="1375" t="str">
        <f t="shared" si="10"/>
        <v/>
      </c>
    </row>
    <row r="687" spans="11:11">
      <c r="K687" s="1375" t="str">
        <f t="shared" si="10"/>
        <v/>
      </c>
    </row>
    <row r="688" spans="11:11">
      <c r="K688" s="1375" t="str">
        <f t="shared" si="10"/>
        <v/>
      </c>
    </row>
    <row r="689" spans="11:11">
      <c r="K689" s="1375" t="str">
        <f t="shared" si="10"/>
        <v/>
      </c>
    </row>
    <row r="690" spans="11:11">
      <c r="K690" s="1375" t="str">
        <f t="shared" si="10"/>
        <v/>
      </c>
    </row>
    <row r="691" spans="11:11">
      <c r="K691" s="1375" t="str">
        <f t="shared" si="10"/>
        <v/>
      </c>
    </row>
    <row r="692" spans="11:11">
      <c r="K692" s="1375" t="str">
        <f t="shared" si="10"/>
        <v/>
      </c>
    </row>
    <row r="693" spans="11:11">
      <c r="K693" s="1375" t="str">
        <f t="shared" si="10"/>
        <v/>
      </c>
    </row>
    <row r="694" spans="11:11">
      <c r="K694" s="1375" t="str">
        <f t="shared" si="10"/>
        <v/>
      </c>
    </row>
    <row r="695" spans="11:11">
      <c r="K695" s="1375" t="str">
        <f t="shared" si="10"/>
        <v/>
      </c>
    </row>
    <row r="696" spans="11:11">
      <c r="K696" s="1375" t="str">
        <f t="shared" si="10"/>
        <v/>
      </c>
    </row>
    <row r="697" spans="11:11">
      <c r="K697" s="1375" t="str">
        <f t="shared" si="10"/>
        <v/>
      </c>
    </row>
    <row r="698" spans="11:11">
      <c r="K698" s="1375" t="str">
        <f t="shared" si="10"/>
        <v/>
      </c>
    </row>
    <row r="699" spans="11:11">
      <c r="K699" s="1375" t="str">
        <f t="shared" si="10"/>
        <v/>
      </c>
    </row>
    <row r="700" spans="11:11">
      <c r="K700" s="1375" t="str">
        <f t="shared" si="10"/>
        <v/>
      </c>
    </row>
    <row r="701" spans="11:11">
      <c r="K701" s="1375" t="str">
        <f t="shared" si="10"/>
        <v/>
      </c>
    </row>
    <row r="702" spans="11:11">
      <c r="K702" s="1375" t="str">
        <f t="shared" si="10"/>
        <v/>
      </c>
    </row>
    <row r="703" spans="11:11">
      <c r="K703" s="1375" t="str">
        <f t="shared" si="10"/>
        <v/>
      </c>
    </row>
    <row r="704" spans="11:11">
      <c r="K704" s="1375" t="str">
        <f t="shared" si="10"/>
        <v/>
      </c>
    </row>
    <row r="705" spans="11:11">
      <c r="K705" s="1375" t="str">
        <f t="shared" si="10"/>
        <v/>
      </c>
    </row>
    <row r="706" spans="11:11">
      <c r="K706" s="1375" t="str">
        <f t="shared" si="10"/>
        <v/>
      </c>
    </row>
    <row r="707" spans="11:11">
      <c r="K707" s="1375" t="str">
        <f t="shared" ref="K707:K770" si="11">LEFT(A707,10)</f>
        <v/>
      </c>
    </row>
    <row r="708" spans="11:11">
      <c r="K708" s="1375" t="str">
        <f t="shared" si="11"/>
        <v/>
      </c>
    </row>
    <row r="709" spans="11:11">
      <c r="K709" s="1375" t="str">
        <f t="shared" si="11"/>
        <v/>
      </c>
    </row>
    <row r="710" spans="11:11">
      <c r="K710" s="1375" t="str">
        <f t="shared" si="11"/>
        <v/>
      </c>
    </row>
    <row r="711" spans="11:11">
      <c r="K711" s="1375" t="str">
        <f t="shared" si="11"/>
        <v/>
      </c>
    </row>
    <row r="712" spans="11:11">
      <c r="K712" s="1375" t="str">
        <f t="shared" si="11"/>
        <v/>
      </c>
    </row>
    <row r="713" spans="11:11">
      <c r="K713" s="1375" t="str">
        <f t="shared" si="11"/>
        <v/>
      </c>
    </row>
    <row r="714" spans="11:11">
      <c r="K714" s="1375" t="str">
        <f t="shared" si="11"/>
        <v/>
      </c>
    </row>
    <row r="715" spans="11:11">
      <c r="K715" s="1375" t="str">
        <f t="shared" si="11"/>
        <v/>
      </c>
    </row>
    <row r="716" spans="11:11">
      <c r="K716" s="1375" t="str">
        <f t="shared" si="11"/>
        <v/>
      </c>
    </row>
    <row r="717" spans="11:11">
      <c r="K717" s="1375" t="str">
        <f t="shared" si="11"/>
        <v/>
      </c>
    </row>
    <row r="718" spans="11:11">
      <c r="K718" s="1375" t="str">
        <f t="shared" si="11"/>
        <v/>
      </c>
    </row>
    <row r="719" spans="11:11">
      <c r="K719" s="1375" t="str">
        <f t="shared" si="11"/>
        <v/>
      </c>
    </row>
    <row r="720" spans="11:11">
      <c r="K720" s="1375" t="str">
        <f t="shared" si="11"/>
        <v/>
      </c>
    </row>
    <row r="721" spans="11:11">
      <c r="K721" s="1375" t="str">
        <f t="shared" si="11"/>
        <v/>
      </c>
    </row>
    <row r="722" spans="11:11">
      <c r="K722" s="1375" t="str">
        <f t="shared" si="11"/>
        <v/>
      </c>
    </row>
    <row r="723" spans="11:11">
      <c r="K723" s="1375" t="str">
        <f t="shared" si="11"/>
        <v/>
      </c>
    </row>
    <row r="724" spans="11:11">
      <c r="K724" s="1375" t="str">
        <f t="shared" si="11"/>
        <v/>
      </c>
    </row>
    <row r="725" spans="11:11">
      <c r="K725" s="1375" t="str">
        <f t="shared" si="11"/>
        <v/>
      </c>
    </row>
    <row r="726" spans="11:11">
      <c r="K726" s="1375" t="str">
        <f t="shared" si="11"/>
        <v/>
      </c>
    </row>
    <row r="727" spans="11:11">
      <c r="K727" s="1375" t="str">
        <f t="shared" si="11"/>
        <v/>
      </c>
    </row>
    <row r="728" spans="11:11">
      <c r="K728" s="1375" t="str">
        <f t="shared" si="11"/>
        <v/>
      </c>
    </row>
    <row r="729" spans="11:11">
      <c r="K729" s="1375" t="str">
        <f t="shared" si="11"/>
        <v/>
      </c>
    </row>
    <row r="730" spans="11:11">
      <c r="K730" s="1375" t="str">
        <f t="shared" si="11"/>
        <v/>
      </c>
    </row>
    <row r="731" spans="11:11">
      <c r="K731" s="1375" t="str">
        <f t="shared" si="11"/>
        <v/>
      </c>
    </row>
    <row r="732" spans="11:11">
      <c r="K732" s="1375" t="str">
        <f t="shared" si="11"/>
        <v/>
      </c>
    </row>
    <row r="733" spans="11:11">
      <c r="K733" s="1375" t="str">
        <f t="shared" si="11"/>
        <v/>
      </c>
    </row>
    <row r="734" spans="11:11">
      <c r="K734" s="1375" t="str">
        <f t="shared" si="11"/>
        <v/>
      </c>
    </row>
    <row r="735" spans="11:11">
      <c r="K735" s="1375" t="str">
        <f t="shared" si="11"/>
        <v/>
      </c>
    </row>
    <row r="736" spans="11:11">
      <c r="K736" s="1375" t="str">
        <f t="shared" si="11"/>
        <v/>
      </c>
    </row>
    <row r="737" spans="11:11">
      <c r="K737" s="1375" t="str">
        <f t="shared" si="11"/>
        <v/>
      </c>
    </row>
    <row r="738" spans="11:11">
      <c r="K738" s="1375" t="str">
        <f t="shared" si="11"/>
        <v/>
      </c>
    </row>
    <row r="739" spans="11:11">
      <c r="K739" s="1375" t="str">
        <f t="shared" si="11"/>
        <v/>
      </c>
    </row>
    <row r="740" spans="11:11">
      <c r="K740" s="1375" t="str">
        <f t="shared" si="11"/>
        <v/>
      </c>
    </row>
    <row r="741" spans="11:11">
      <c r="K741" s="1375" t="str">
        <f t="shared" si="11"/>
        <v/>
      </c>
    </row>
    <row r="742" spans="11:11">
      <c r="K742" s="1375" t="str">
        <f t="shared" si="11"/>
        <v/>
      </c>
    </row>
    <row r="743" spans="11:11">
      <c r="K743" s="1375" t="str">
        <f t="shared" si="11"/>
        <v/>
      </c>
    </row>
    <row r="744" spans="11:11">
      <c r="K744" s="1375" t="str">
        <f t="shared" si="11"/>
        <v/>
      </c>
    </row>
    <row r="745" spans="11:11">
      <c r="K745" s="1375" t="str">
        <f t="shared" si="11"/>
        <v/>
      </c>
    </row>
    <row r="746" spans="11:11">
      <c r="K746" s="1375" t="str">
        <f t="shared" si="11"/>
        <v/>
      </c>
    </row>
    <row r="747" spans="11:11">
      <c r="K747" s="1375" t="str">
        <f t="shared" si="11"/>
        <v/>
      </c>
    </row>
    <row r="748" spans="11:11">
      <c r="K748" s="1375" t="str">
        <f t="shared" si="11"/>
        <v/>
      </c>
    </row>
    <row r="749" spans="11:11">
      <c r="K749" s="1375" t="str">
        <f t="shared" si="11"/>
        <v/>
      </c>
    </row>
    <row r="750" spans="11:11">
      <c r="K750" s="1375" t="str">
        <f t="shared" si="11"/>
        <v/>
      </c>
    </row>
    <row r="751" spans="11:11">
      <c r="K751" s="1375" t="str">
        <f t="shared" si="11"/>
        <v/>
      </c>
    </row>
    <row r="752" spans="11:11">
      <c r="K752" s="1375" t="str">
        <f t="shared" si="11"/>
        <v/>
      </c>
    </row>
    <row r="753" spans="11:11">
      <c r="K753" s="1375" t="str">
        <f t="shared" si="11"/>
        <v/>
      </c>
    </row>
    <row r="754" spans="11:11">
      <c r="K754" s="1375" t="str">
        <f t="shared" si="11"/>
        <v/>
      </c>
    </row>
    <row r="755" spans="11:11">
      <c r="K755" s="1375" t="str">
        <f t="shared" si="11"/>
        <v/>
      </c>
    </row>
    <row r="756" spans="11:11">
      <c r="K756" s="1375" t="str">
        <f t="shared" si="11"/>
        <v/>
      </c>
    </row>
    <row r="757" spans="11:11">
      <c r="K757" s="1375" t="str">
        <f t="shared" si="11"/>
        <v/>
      </c>
    </row>
    <row r="758" spans="11:11">
      <c r="K758" s="1375" t="str">
        <f t="shared" si="11"/>
        <v/>
      </c>
    </row>
    <row r="759" spans="11:11">
      <c r="K759" s="1375" t="str">
        <f t="shared" si="11"/>
        <v/>
      </c>
    </row>
    <row r="760" spans="11:11">
      <c r="K760" s="1375" t="str">
        <f t="shared" si="11"/>
        <v/>
      </c>
    </row>
    <row r="761" spans="11:11">
      <c r="K761" s="1375" t="str">
        <f t="shared" si="11"/>
        <v/>
      </c>
    </row>
    <row r="762" spans="11:11">
      <c r="K762" s="1375" t="str">
        <f t="shared" si="11"/>
        <v/>
      </c>
    </row>
    <row r="763" spans="11:11">
      <c r="K763" s="1375" t="str">
        <f t="shared" si="11"/>
        <v/>
      </c>
    </row>
    <row r="764" spans="11:11">
      <c r="K764" s="1375" t="str">
        <f t="shared" si="11"/>
        <v/>
      </c>
    </row>
    <row r="765" spans="11:11">
      <c r="K765" s="1375" t="str">
        <f t="shared" si="11"/>
        <v/>
      </c>
    </row>
    <row r="766" spans="11:11">
      <c r="K766" s="1375" t="str">
        <f t="shared" si="11"/>
        <v/>
      </c>
    </row>
    <row r="767" spans="11:11">
      <c r="K767" s="1375" t="str">
        <f t="shared" si="11"/>
        <v/>
      </c>
    </row>
    <row r="768" spans="11:11">
      <c r="K768" s="1375" t="str">
        <f t="shared" si="11"/>
        <v/>
      </c>
    </row>
    <row r="769" spans="11:11">
      <c r="K769" s="1375" t="str">
        <f t="shared" si="11"/>
        <v/>
      </c>
    </row>
    <row r="770" spans="11:11">
      <c r="K770" s="1375" t="str">
        <f t="shared" si="11"/>
        <v/>
      </c>
    </row>
    <row r="771" spans="11:11">
      <c r="K771" s="1375" t="str">
        <f t="shared" ref="K771:K834" si="12">LEFT(A771,10)</f>
        <v/>
      </c>
    </row>
    <row r="772" spans="11:11">
      <c r="K772" s="1375" t="str">
        <f t="shared" si="12"/>
        <v/>
      </c>
    </row>
    <row r="773" spans="11:11">
      <c r="K773" s="1375" t="str">
        <f t="shared" si="12"/>
        <v/>
      </c>
    </row>
    <row r="774" spans="11:11">
      <c r="K774" s="1375" t="str">
        <f t="shared" si="12"/>
        <v/>
      </c>
    </row>
    <row r="775" spans="11:11">
      <c r="K775" s="1375" t="str">
        <f t="shared" si="12"/>
        <v/>
      </c>
    </row>
    <row r="776" spans="11:11">
      <c r="K776" s="1375" t="str">
        <f t="shared" si="12"/>
        <v/>
      </c>
    </row>
    <row r="777" spans="11:11">
      <c r="K777" s="1375" t="str">
        <f t="shared" si="12"/>
        <v/>
      </c>
    </row>
    <row r="778" spans="11:11">
      <c r="K778" s="1375" t="str">
        <f t="shared" si="12"/>
        <v/>
      </c>
    </row>
    <row r="779" spans="11:11">
      <c r="K779" s="1375" t="str">
        <f t="shared" si="12"/>
        <v/>
      </c>
    </row>
    <row r="780" spans="11:11">
      <c r="K780" s="1375" t="str">
        <f t="shared" si="12"/>
        <v/>
      </c>
    </row>
    <row r="781" spans="11:11">
      <c r="K781" s="1375" t="str">
        <f t="shared" si="12"/>
        <v/>
      </c>
    </row>
    <row r="782" spans="11:11">
      <c r="K782" s="1375" t="str">
        <f t="shared" si="12"/>
        <v/>
      </c>
    </row>
    <row r="783" spans="11:11">
      <c r="K783" s="1375" t="str">
        <f t="shared" si="12"/>
        <v/>
      </c>
    </row>
    <row r="784" spans="11:11">
      <c r="K784" s="1375" t="str">
        <f t="shared" si="12"/>
        <v/>
      </c>
    </row>
    <row r="785" spans="11:11">
      <c r="K785" s="1375" t="str">
        <f t="shared" si="12"/>
        <v/>
      </c>
    </row>
    <row r="786" spans="11:11">
      <c r="K786" s="1375" t="str">
        <f t="shared" si="12"/>
        <v/>
      </c>
    </row>
    <row r="787" spans="11:11">
      <c r="K787" s="1375" t="str">
        <f t="shared" si="12"/>
        <v/>
      </c>
    </row>
    <row r="788" spans="11:11">
      <c r="K788" s="1375" t="str">
        <f t="shared" si="12"/>
        <v/>
      </c>
    </row>
    <row r="789" spans="11:11">
      <c r="K789" s="1375" t="str">
        <f t="shared" si="12"/>
        <v/>
      </c>
    </row>
    <row r="790" spans="11:11">
      <c r="K790" s="1375" t="str">
        <f t="shared" si="12"/>
        <v/>
      </c>
    </row>
    <row r="791" spans="11:11">
      <c r="K791" s="1375" t="str">
        <f t="shared" si="12"/>
        <v/>
      </c>
    </row>
    <row r="792" spans="11:11">
      <c r="K792" s="1375" t="str">
        <f t="shared" si="12"/>
        <v/>
      </c>
    </row>
    <row r="793" spans="11:11">
      <c r="K793" s="1375" t="str">
        <f t="shared" si="12"/>
        <v/>
      </c>
    </row>
    <row r="794" spans="11:11">
      <c r="K794" s="1375" t="str">
        <f t="shared" si="12"/>
        <v/>
      </c>
    </row>
    <row r="795" spans="11:11">
      <c r="K795" s="1375" t="str">
        <f t="shared" si="12"/>
        <v/>
      </c>
    </row>
    <row r="796" spans="11:11">
      <c r="K796" s="1375" t="str">
        <f t="shared" si="12"/>
        <v/>
      </c>
    </row>
    <row r="797" spans="11:11">
      <c r="K797" s="1375" t="str">
        <f t="shared" si="12"/>
        <v/>
      </c>
    </row>
    <row r="798" spans="11:11">
      <c r="K798" s="1375" t="str">
        <f t="shared" si="12"/>
        <v/>
      </c>
    </row>
    <row r="799" spans="11:11">
      <c r="K799" s="1375" t="str">
        <f t="shared" si="12"/>
        <v/>
      </c>
    </row>
    <row r="800" spans="11:11">
      <c r="K800" s="1375" t="str">
        <f t="shared" si="12"/>
        <v/>
      </c>
    </row>
    <row r="801" spans="11:11">
      <c r="K801" s="1375" t="str">
        <f t="shared" si="12"/>
        <v/>
      </c>
    </row>
    <row r="802" spans="11:11">
      <c r="K802" s="1375" t="str">
        <f t="shared" si="12"/>
        <v/>
      </c>
    </row>
    <row r="803" spans="11:11">
      <c r="K803" s="1375" t="str">
        <f t="shared" si="12"/>
        <v/>
      </c>
    </row>
    <row r="804" spans="11:11">
      <c r="K804" s="1375" t="str">
        <f t="shared" si="12"/>
        <v/>
      </c>
    </row>
    <row r="805" spans="11:11">
      <c r="K805" s="1375" t="str">
        <f t="shared" si="12"/>
        <v/>
      </c>
    </row>
    <row r="806" spans="11:11">
      <c r="K806" s="1375" t="str">
        <f t="shared" si="12"/>
        <v/>
      </c>
    </row>
    <row r="807" spans="11:11">
      <c r="K807" s="1375" t="str">
        <f t="shared" si="12"/>
        <v/>
      </c>
    </row>
    <row r="808" spans="11:11">
      <c r="K808" s="1375" t="str">
        <f t="shared" si="12"/>
        <v/>
      </c>
    </row>
    <row r="809" spans="11:11">
      <c r="K809" s="1375" t="str">
        <f t="shared" si="12"/>
        <v/>
      </c>
    </row>
    <row r="810" spans="11:11">
      <c r="K810" s="1375" t="str">
        <f t="shared" si="12"/>
        <v/>
      </c>
    </row>
    <row r="811" spans="11:11">
      <c r="K811" s="1375" t="str">
        <f t="shared" si="12"/>
        <v/>
      </c>
    </row>
    <row r="812" spans="11:11">
      <c r="K812" s="1375" t="str">
        <f t="shared" si="12"/>
        <v/>
      </c>
    </row>
    <row r="813" spans="11:11">
      <c r="K813" s="1375" t="str">
        <f t="shared" si="12"/>
        <v/>
      </c>
    </row>
    <row r="814" spans="11:11">
      <c r="K814" s="1375" t="str">
        <f t="shared" si="12"/>
        <v/>
      </c>
    </row>
    <row r="815" spans="11:11">
      <c r="K815" s="1375" t="str">
        <f t="shared" si="12"/>
        <v/>
      </c>
    </row>
    <row r="816" spans="11:11">
      <c r="K816" s="1375" t="str">
        <f t="shared" si="12"/>
        <v/>
      </c>
    </row>
    <row r="817" spans="11:11">
      <c r="K817" s="1375" t="str">
        <f t="shared" si="12"/>
        <v/>
      </c>
    </row>
    <row r="818" spans="11:11">
      <c r="K818" s="1375" t="str">
        <f t="shared" si="12"/>
        <v/>
      </c>
    </row>
    <row r="819" spans="11:11">
      <c r="K819" s="1375" t="str">
        <f t="shared" si="12"/>
        <v/>
      </c>
    </row>
    <row r="820" spans="11:11">
      <c r="K820" s="1375" t="str">
        <f t="shared" si="12"/>
        <v/>
      </c>
    </row>
    <row r="821" spans="11:11">
      <c r="K821" s="1375" t="str">
        <f t="shared" si="12"/>
        <v/>
      </c>
    </row>
    <row r="822" spans="11:11">
      <c r="K822" s="1375" t="str">
        <f t="shared" si="12"/>
        <v/>
      </c>
    </row>
    <row r="823" spans="11:11">
      <c r="K823" s="1375" t="str">
        <f t="shared" si="12"/>
        <v/>
      </c>
    </row>
    <row r="824" spans="11:11">
      <c r="K824" s="1375" t="str">
        <f t="shared" si="12"/>
        <v/>
      </c>
    </row>
    <row r="825" spans="11:11">
      <c r="K825" s="1375" t="str">
        <f t="shared" si="12"/>
        <v/>
      </c>
    </row>
    <row r="826" spans="11:11">
      <c r="K826" s="1375" t="str">
        <f t="shared" si="12"/>
        <v/>
      </c>
    </row>
    <row r="827" spans="11:11">
      <c r="K827" s="1375" t="str">
        <f t="shared" si="12"/>
        <v/>
      </c>
    </row>
    <row r="828" spans="11:11">
      <c r="K828" s="1375" t="str">
        <f t="shared" si="12"/>
        <v/>
      </c>
    </row>
    <row r="829" spans="11:11">
      <c r="K829" s="1375" t="str">
        <f t="shared" si="12"/>
        <v/>
      </c>
    </row>
    <row r="830" spans="11:11">
      <c r="K830" s="1375" t="str">
        <f t="shared" si="12"/>
        <v/>
      </c>
    </row>
    <row r="831" spans="11:11">
      <c r="K831" s="1375" t="str">
        <f t="shared" si="12"/>
        <v/>
      </c>
    </row>
    <row r="832" spans="11:11">
      <c r="K832" s="1375" t="str">
        <f t="shared" si="12"/>
        <v/>
      </c>
    </row>
    <row r="833" spans="11:11">
      <c r="K833" s="1375" t="str">
        <f t="shared" si="12"/>
        <v/>
      </c>
    </row>
    <row r="834" spans="11:11">
      <c r="K834" s="1375" t="str">
        <f t="shared" si="12"/>
        <v/>
      </c>
    </row>
    <row r="835" spans="11:11">
      <c r="K835" s="1375" t="str">
        <f t="shared" ref="K835:K898" si="13">LEFT(A835,10)</f>
        <v/>
      </c>
    </row>
    <row r="836" spans="11:11">
      <c r="K836" s="1375" t="str">
        <f t="shared" si="13"/>
        <v/>
      </c>
    </row>
    <row r="837" spans="11:11">
      <c r="K837" s="1375" t="str">
        <f t="shared" si="13"/>
        <v/>
      </c>
    </row>
    <row r="838" spans="11:11">
      <c r="K838" s="1375" t="str">
        <f t="shared" si="13"/>
        <v/>
      </c>
    </row>
    <row r="839" spans="11:11">
      <c r="K839" s="1375" t="str">
        <f t="shared" si="13"/>
        <v/>
      </c>
    </row>
    <row r="840" spans="11:11">
      <c r="K840" s="1375" t="str">
        <f t="shared" si="13"/>
        <v/>
      </c>
    </row>
    <row r="841" spans="11:11">
      <c r="K841" s="1375" t="str">
        <f t="shared" si="13"/>
        <v/>
      </c>
    </row>
    <row r="842" spans="11:11">
      <c r="K842" s="1375" t="str">
        <f t="shared" si="13"/>
        <v/>
      </c>
    </row>
    <row r="843" spans="11:11">
      <c r="K843" s="1375" t="str">
        <f t="shared" si="13"/>
        <v/>
      </c>
    </row>
    <row r="844" spans="11:11">
      <c r="K844" s="1375" t="str">
        <f t="shared" si="13"/>
        <v/>
      </c>
    </row>
    <row r="845" spans="11:11">
      <c r="K845" s="1375" t="str">
        <f t="shared" si="13"/>
        <v/>
      </c>
    </row>
    <row r="846" spans="11:11">
      <c r="K846" s="1375" t="str">
        <f t="shared" si="13"/>
        <v/>
      </c>
    </row>
    <row r="847" spans="11:11">
      <c r="K847" s="1375" t="str">
        <f t="shared" si="13"/>
        <v/>
      </c>
    </row>
    <row r="848" spans="11:11">
      <c r="K848" s="1375" t="str">
        <f t="shared" si="13"/>
        <v/>
      </c>
    </row>
    <row r="849" spans="11:11">
      <c r="K849" s="1375" t="str">
        <f t="shared" si="13"/>
        <v/>
      </c>
    </row>
    <row r="850" spans="11:11">
      <c r="K850" s="1375" t="str">
        <f t="shared" si="13"/>
        <v/>
      </c>
    </row>
    <row r="851" spans="11:11">
      <c r="K851" s="1375" t="str">
        <f t="shared" si="13"/>
        <v/>
      </c>
    </row>
    <row r="852" spans="11:11">
      <c r="K852" s="1375" t="str">
        <f t="shared" si="13"/>
        <v/>
      </c>
    </row>
    <row r="853" spans="11:11">
      <c r="K853" s="1375" t="str">
        <f t="shared" si="13"/>
        <v/>
      </c>
    </row>
    <row r="854" spans="11:11">
      <c r="K854" s="1375" t="str">
        <f t="shared" si="13"/>
        <v/>
      </c>
    </row>
    <row r="855" spans="11:11">
      <c r="K855" s="1375" t="str">
        <f t="shared" si="13"/>
        <v/>
      </c>
    </row>
    <row r="856" spans="11:11">
      <c r="K856" s="1375" t="str">
        <f t="shared" si="13"/>
        <v/>
      </c>
    </row>
    <row r="857" spans="11:11">
      <c r="K857" s="1375" t="str">
        <f t="shared" si="13"/>
        <v/>
      </c>
    </row>
    <row r="858" spans="11:11">
      <c r="K858" s="1375" t="str">
        <f t="shared" si="13"/>
        <v/>
      </c>
    </row>
    <row r="859" spans="11:11">
      <c r="K859" s="1375" t="str">
        <f t="shared" si="13"/>
        <v/>
      </c>
    </row>
    <row r="860" spans="11:11">
      <c r="K860" s="1375" t="str">
        <f t="shared" si="13"/>
        <v/>
      </c>
    </row>
    <row r="861" spans="11:11">
      <c r="K861" s="1375" t="str">
        <f t="shared" si="13"/>
        <v/>
      </c>
    </row>
    <row r="862" spans="11:11">
      <c r="K862" s="1375" t="str">
        <f t="shared" si="13"/>
        <v/>
      </c>
    </row>
    <row r="863" spans="11:11">
      <c r="K863" s="1375" t="str">
        <f t="shared" si="13"/>
        <v/>
      </c>
    </row>
    <row r="864" spans="11:11">
      <c r="K864" s="1375" t="str">
        <f t="shared" si="13"/>
        <v/>
      </c>
    </row>
    <row r="865" spans="11:11">
      <c r="K865" s="1375" t="str">
        <f t="shared" si="13"/>
        <v/>
      </c>
    </row>
    <row r="866" spans="11:11">
      <c r="K866" s="1375" t="str">
        <f t="shared" si="13"/>
        <v/>
      </c>
    </row>
    <row r="867" spans="11:11">
      <c r="K867" s="1375" t="str">
        <f t="shared" si="13"/>
        <v/>
      </c>
    </row>
    <row r="868" spans="11:11">
      <c r="K868" s="1375" t="str">
        <f t="shared" si="13"/>
        <v/>
      </c>
    </row>
    <row r="869" spans="11:11">
      <c r="K869" s="1375" t="str">
        <f t="shared" si="13"/>
        <v/>
      </c>
    </row>
    <row r="870" spans="11:11">
      <c r="K870" s="1375" t="str">
        <f t="shared" si="13"/>
        <v/>
      </c>
    </row>
    <row r="871" spans="11:11">
      <c r="K871" s="1375" t="str">
        <f t="shared" si="13"/>
        <v/>
      </c>
    </row>
    <row r="872" spans="11:11">
      <c r="K872" s="1375" t="str">
        <f t="shared" si="13"/>
        <v/>
      </c>
    </row>
    <row r="873" spans="11:11">
      <c r="K873" s="1375" t="str">
        <f t="shared" si="13"/>
        <v/>
      </c>
    </row>
    <row r="874" spans="11:11">
      <c r="K874" s="1375" t="str">
        <f t="shared" si="13"/>
        <v/>
      </c>
    </row>
    <row r="875" spans="11:11">
      <c r="K875" s="1375" t="str">
        <f t="shared" si="13"/>
        <v/>
      </c>
    </row>
    <row r="876" spans="11:11">
      <c r="K876" s="1375" t="str">
        <f t="shared" si="13"/>
        <v/>
      </c>
    </row>
    <row r="877" spans="11:11">
      <c r="K877" s="1375" t="str">
        <f t="shared" si="13"/>
        <v/>
      </c>
    </row>
    <row r="878" spans="11:11">
      <c r="K878" s="1375" t="str">
        <f t="shared" si="13"/>
        <v/>
      </c>
    </row>
    <row r="879" spans="11:11">
      <c r="K879" s="1375" t="str">
        <f t="shared" si="13"/>
        <v/>
      </c>
    </row>
    <row r="880" spans="11:11">
      <c r="K880" s="1375" t="str">
        <f t="shared" si="13"/>
        <v/>
      </c>
    </row>
    <row r="881" spans="11:11">
      <c r="K881" s="1375" t="str">
        <f t="shared" si="13"/>
        <v/>
      </c>
    </row>
    <row r="882" spans="11:11">
      <c r="K882" s="1375" t="str">
        <f t="shared" si="13"/>
        <v/>
      </c>
    </row>
    <row r="883" spans="11:11">
      <c r="K883" s="1375" t="str">
        <f t="shared" si="13"/>
        <v/>
      </c>
    </row>
    <row r="884" spans="11:11">
      <c r="K884" s="1375" t="str">
        <f t="shared" si="13"/>
        <v/>
      </c>
    </row>
    <row r="885" spans="11:11">
      <c r="K885" s="1375" t="str">
        <f t="shared" si="13"/>
        <v/>
      </c>
    </row>
    <row r="886" spans="11:11">
      <c r="K886" s="1375" t="str">
        <f t="shared" si="13"/>
        <v/>
      </c>
    </row>
    <row r="887" spans="11:11">
      <c r="K887" s="1375" t="str">
        <f t="shared" si="13"/>
        <v/>
      </c>
    </row>
    <row r="888" spans="11:11">
      <c r="K888" s="1375" t="str">
        <f t="shared" si="13"/>
        <v/>
      </c>
    </row>
    <row r="889" spans="11:11">
      <c r="K889" s="1375" t="str">
        <f t="shared" si="13"/>
        <v/>
      </c>
    </row>
    <row r="890" spans="11:11">
      <c r="K890" s="1375" t="str">
        <f t="shared" si="13"/>
        <v/>
      </c>
    </row>
    <row r="891" spans="11:11">
      <c r="K891" s="1375" t="str">
        <f t="shared" si="13"/>
        <v/>
      </c>
    </row>
    <row r="892" spans="11:11">
      <c r="K892" s="1375" t="str">
        <f t="shared" si="13"/>
        <v/>
      </c>
    </row>
    <row r="893" spans="11:11">
      <c r="K893" s="1375" t="str">
        <f t="shared" si="13"/>
        <v/>
      </c>
    </row>
    <row r="894" spans="11:11">
      <c r="K894" s="1375" t="str">
        <f t="shared" si="13"/>
        <v/>
      </c>
    </row>
    <row r="895" spans="11:11">
      <c r="K895" s="1375" t="str">
        <f t="shared" si="13"/>
        <v/>
      </c>
    </row>
    <row r="896" spans="11:11">
      <c r="K896" s="1375" t="str">
        <f t="shared" si="13"/>
        <v/>
      </c>
    </row>
    <row r="897" spans="11:11">
      <c r="K897" s="1375" t="str">
        <f t="shared" si="13"/>
        <v/>
      </c>
    </row>
    <row r="898" spans="11:11">
      <c r="K898" s="1375" t="str">
        <f t="shared" si="13"/>
        <v/>
      </c>
    </row>
    <row r="899" spans="11:11">
      <c r="K899" s="1375" t="str">
        <f t="shared" ref="K899:K962" si="14">LEFT(A899,10)</f>
        <v/>
      </c>
    </row>
    <row r="900" spans="11:11">
      <c r="K900" s="1375" t="str">
        <f t="shared" si="14"/>
        <v/>
      </c>
    </row>
    <row r="901" spans="11:11">
      <c r="K901" s="1375" t="str">
        <f t="shared" si="14"/>
        <v/>
      </c>
    </row>
    <row r="902" spans="11:11">
      <c r="K902" s="1375" t="str">
        <f t="shared" si="14"/>
        <v/>
      </c>
    </row>
    <row r="903" spans="11:11">
      <c r="K903" s="1375" t="str">
        <f t="shared" si="14"/>
        <v/>
      </c>
    </row>
    <row r="904" spans="11:11">
      <c r="K904" s="1375" t="str">
        <f t="shared" si="14"/>
        <v/>
      </c>
    </row>
    <row r="905" spans="11:11">
      <c r="K905" s="1375" t="str">
        <f t="shared" si="14"/>
        <v/>
      </c>
    </row>
    <row r="906" spans="11:11">
      <c r="K906" s="1375" t="str">
        <f t="shared" si="14"/>
        <v/>
      </c>
    </row>
    <row r="907" spans="11:11">
      <c r="K907" s="1375" t="str">
        <f t="shared" si="14"/>
        <v/>
      </c>
    </row>
    <row r="908" spans="11:11">
      <c r="K908" s="1375" t="str">
        <f t="shared" si="14"/>
        <v/>
      </c>
    </row>
    <row r="909" spans="11:11">
      <c r="K909" s="1375" t="str">
        <f t="shared" si="14"/>
        <v/>
      </c>
    </row>
    <row r="910" spans="11:11">
      <c r="K910" s="1375" t="str">
        <f t="shared" si="14"/>
        <v/>
      </c>
    </row>
    <row r="911" spans="11:11">
      <c r="K911" s="1375" t="str">
        <f t="shared" si="14"/>
        <v/>
      </c>
    </row>
    <row r="912" spans="11:11">
      <c r="K912" s="1375" t="str">
        <f t="shared" si="14"/>
        <v/>
      </c>
    </row>
    <row r="913" spans="11:11">
      <c r="K913" s="1375" t="str">
        <f t="shared" si="14"/>
        <v/>
      </c>
    </row>
    <row r="914" spans="11:11">
      <c r="K914" s="1375" t="str">
        <f t="shared" si="14"/>
        <v/>
      </c>
    </row>
    <row r="915" spans="11:11">
      <c r="K915" s="1375" t="str">
        <f t="shared" si="14"/>
        <v/>
      </c>
    </row>
    <row r="916" spans="11:11">
      <c r="K916" s="1375" t="str">
        <f t="shared" si="14"/>
        <v/>
      </c>
    </row>
    <row r="917" spans="11:11">
      <c r="K917" s="1375" t="str">
        <f t="shared" si="14"/>
        <v/>
      </c>
    </row>
    <row r="918" spans="11:11">
      <c r="K918" s="1375" t="str">
        <f t="shared" si="14"/>
        <v/>
      </c>
    </row>
    <row r="919" spans="11:11">
      <c r="K919" s="1375" t="str">
        <f t="shared" si="14"/>
        <v/>
      </c>
    </row>
    <row r="920" spans="11:11">
      <c r="K920" s="1375" t="str">
        <f t="shared" si="14"/>
        <v/>
      </c>
    </row>
    <row r="921" spans="11:11">
      <c r="K921" s="1375" t="str">
        <f t="shared" si="14"/>
        <v/>
      </c>
    </row>
    <row r="922" spans="11:11">
      <c r="K922" s="1375" t="str">
        <f t="shared" si="14"/>
        <v/>
      </c>
    </row>
    <row r="923" spans="11:11">
      <c r="K923" s="1375" t="str">
        <f t="shared" si="14"/>
        <v/>
      </c>
    </row>
    <row r="924" spans="11:11">
      <c r="K924" s="1375" t="str">
        <f t="shared" si="14"/>
        <v/>
      </c>
    </row>
    <row r="925" spans="11:11">
      <c r="K925" s="1375" t="str">
        <f t="shared" si="14"/>
        <v/>
      </c>
    </row>
    <row r="926" spans="11:11">
      <c r="K926" s="1375" t="str">
        <f t="shared" si="14"/>
        <v/>
      </c>
    </row>
    <row r="927" spans="11:11">
      <c r="K927" s="1375" t="str">
        <f t="shared" si="14"/>
        <v/>
      </c>
    </row>
    <row r="928" spans="11:11">
      <c r="K928" s="1375" t="str">
        <f t="shared" si="14"/>
        <v/>
      </c>
    </row>
    <row r="929" spans="11:11">
      <c r="K929" s="1375" t="str">
        <f t="shared" si="14"/>
        <v/>
      </c>
    </row>
    <row r="930" spans="11:11">
      <c r="K930" s="1375" t="str">
        <f t="shared" si="14"/>
        <v/>
      </c>
    </row>
    <row r="931" spans="11:11">
      <c r="K931" s="1375" t="str">
        <f t="shared" si="14"/>
        <v/>
      </c>
    </row>
    <row r="932" spans="11:11">
      <c r="K932" s="1375" t="str">
        <f t="shared" si="14"/>
        <v/>
      </c>
    </row>
    <row r="933" spans="11:11">
      <c r="K933" s="1375" t="str">
        <f t="shared" si="14"/>
        <v/>
      </c>
    </row>
    <row r="934" spans="11:11">
      <c r="K934" s="1375" t="str">
        <f t="shared" si="14"/>
        <v/>
      </c>
    </row>
    <row r="935" spans="11:11">
      <c r="K935" s="1375" t="str">
        <f t="shared" si="14"/>
        <v/>
      </c>
    </row>
    <row r="936" spans="11:11">
      <c r="K936" s="1375" t="str">
        <f t="shared" si="14"/>
        <v/>
      </c>
    </row>
    <row r="937" spans="11:11">
      <c r="K937" s="1375" t="str">
        <f t="shared" si="14"/>
        <v/>
      </c>
    </row>
    <row r="938" spans="11:11">
      <c r="K938" s="1375" t="str">
        <f t="shared" si="14"/>
        <v/>
      </c>
    </row>
    <row r="939" spans="11:11">
      <c r="K939" s="1375" t="str">
        <f t="shared" si="14"/>
        <v/>
      </c>
    </row>
    <row r="940" spans="11:11">
      <c r="K940" s="1375" t="str">
        <f t="shared" si="14"/>
        <v/>
      </c>
    </row>
    <row r="941" spans="11:11">
      <c r="K941" s="1375" t="str">
        <f t="shared" si="14"/>
        <v/>
      </c>
    </row>
    <row r="942" spans="11:11">
      <c r="K942" s="1375" t="str">
        <f t="shared" si="14"/>
        <v/>
      </c>
    </row>
    <row r="943" spans="11:11">
      <c r="K943" s="1375" t="str">
        <f t="shared" si="14"/>
        <v/>
      </c>
    </row>
    <row r="944" spans="11:11">
      <c r="K944" s="1375" t="str">
        <f t="shared" si="14"/>
        <v/>
      </c>
    </row>
    <row r="945" spans="11:11">
      <c r="K945" s="1375" t="str">
        <f t="shared" si="14"/>
        <v/>
      </c>
    </row>
    <row r="946" spans="11:11">
      <c r="K946" s="1375" t="str">
        <f t="shared" si="14"/>
        <v/>
      </c>
    </row>
    <row r="947" spans="11:11">
      <c r="K947" s="1375" t="str">
        <f t="shared" si="14"/>
        <v/>
      </c>
    </row>
    <row r="948" spans="11:11">
      <c r="K948" s="1375" t="str">
        <f t="shared" si="14"/>
        <v/>
      </c>
    </row>
    <row r="949" spans="11:11">
      <c r="K949" s="1375" t="str">
        <f t="shared" si="14"/>
        <v/>
      </c>
    </row>
    <row r="950" spans="11:11">
      <c r="K950" s="1375" t="str">
        <f t="shared" si="14"/>
        <v/>
      </c>
    </row>
    <row r="951" spans="11:11">
      <c r="K951" s="1375" t="str">
        <f t="shared" si="14"/>
        <v/>
      </c>
    </row>
    <row r="952" spans="11:11">
      <c r="K952" s="1375" t="str">
        <f t="shared" si="14"/>
        <v/>
      </c>
    </row>
    <row r="953" spans="11:11">
      <c r="K953" s="1375" t="str">
        <f t="shared" si="14"/>
        <v/>
      </c>
    </row>
    <row r="954" spans="11:11">
      <c r="K954" s="1375" t="str">
        <f t="shared" si="14"/>
        <v/>
      </c>
    </row>
    <row r="955" spans="11:11">
      <c r="K955" s="1375" t="str">
        <f t="shared" si="14"/>
        <v/>
      </c>
    </row>
    <row r="956" spans="11:11">
      <c r="K956" s="1375" t="str">
        <f t="shared" si="14"/>
        <v/>
      </c>
    </row>
    <row r="957" spans="11:11">
      <c r="K957" s="1375" t="str">
        <f t="shared" si="14"/>
        <v/>
      </c>
    </row>
    <row r="958" spans="11:11">
      <c r="K958" s="1375" t="str">
        <f t="shared" si="14"/>
        <v/>
      </c>
    </row>
    <row r="959" spans="11:11">
      <c r="K959" s="1375" t="str">
        <f t="shared" si="14"/>
        <v/>
      </c>
    </row>
    <row r="960" spans="11:11">
      <c r="K960" s="1375" t="str">
        <f t="shared" si="14"/>
        <v/>
      </c>
    </row>
    <row r="961" spans="11:11">
      <c r="K961" s="1375" t="str">
        <f t="shared" si="14"/>
        <v/>
      </c>
    </row>
    <row r="962" spans="11:11">
      <c r="K962" s="1375" t="str">
        <f t="shared" si="14"/>
        <v/>
      </c>
    </row>
    <row r="963" spans="11:11">
      <c r="K963" s="1375" t="str">
        <f t="shared" ref="K963:K1024" si="15">LEFT(A963,10)</f>
        <v/>
      </c>
    </row>
    <row r="964" spans="11:11">
      <c r="K964" s="1375" t="str">
        <f t="shared" si="15"/>
        <v/>
      </c>
    </row>
    <row r="965" spans="11:11">
      <c r="K965" s="1375" t="str">
        <f t="shared" si="15"/>
        <v/>
      </c>
    </row>
    <row r="966" spans="11:11">
      <c r="K966" s="1375" t="str">
        <f t="shared" si="15"/>
        <v/>
      </c>
    </row>
    <row r="967" spans="11:11">
      <c r="K967" s="1375" t="str">
        <f t="shared" si="15"/>
        <v/>
      </c>
    </row>
    <row r="968" spans="11:11">
      <c r="K968" s="1375" t="str">
        <f t="shared" si="15"/>
        <v/>
      </c>
    </row>
    <row r="969" spans="11:11">
      <c r="K969" s="1375" t="str">
        <f t="shared" si="15"/>
        <v/>
      </c>
    </row>
    <row r="970" spans="11:11">
      <c r="K970" s="1375" t="str">
        <f t="shared" si="15"/>
        <v/>
      </c>
    </row>
    <row r="971" spans="11:11">
      <c r="K971" s="1375" t="str">
        <f t="shared" si="15"/>
        <v/>
      </c>
    </row>
    <row r="972" spans="11:11">
      <c r="K972" s="1375" t="str">
        <f t="shared" si="15"/>
        <v/>
      </c>
    </row>
    <row r="973" spans="11:11">
      <c r="K973" s="1375" t="str">
        <f t="shared" si="15"/>
        <v/>
      </c>
    </row>
    <row r="974" spans="11:11">
      <c r="K974" s="1375" t="str">
        <f t="shared" si="15"/>
        <v/>
      </c>
    </row>
    <row r="975" spans="11:11">
      <c r="K975" s="1375" t="str">
        <f t="shared" si="15"/>
        <v/>
      </c>
    </row>
    <row r="976" spans="11:11">
      <c r="K976" s="1375" t="str">
        <f t="shared" si="15"/>
        <v/>
      </c>
    </row>
    <row r="977" spans="11:11">
      <c r="K977" s="1375" t="str">
        <f t="shared" si="15"/>
        <v/>
      </c>
    </row>
    <row r="978" spans="11:11">
      <c r="K978" s="1375" t="str">
        <f t="shared" si="15"/>
        <v/>
      </c>
    </row>
    <row r="979" spans="11:11">
      <c r="K979" s="1375" t="str">
        <f t="shared" si="15"/>
        <v/>
      </c>
    </row>
    <row r="980" spans="11:11">
      <c r="K980" s="1375" t="str">
        <f t="shared" si="15"/>
        <v/>
      </c>
    </row>
    <row r="981" spans="11:11">
      <c r="K981" s="1375" t="str">
        <f t="shared" si="15"/>
        <v/>
      </c>
    </row>
    <row r="982" spans="11:11">
      <c r="K982" s="1375" t="str">
        <f t="shared" si="15"/>
        <v/>
      </c>
    </row>
    <row r="983" spans="11:11">
      <c r="K983" s="1375" t="str">
        <f t="shared" si="15"/>
        <v/>
      </c>
    </row>
    <row r="984" spans="11:11">
      <c r="K984" s="1375" t="str">
        <f t="shared" si="15"/>
        <v/>
      </c>
    </row>
    <row r="985" spans="11:11">
      <c r="K985" s="1375" t="str">
        <f t="shared" si="15"/>
        <v/>
      </c>
    </row>
    <row r="986" spans="11:11">
      <c r="K986" s="1375" t="str">
        <f t="shared" si="15"/>
        <v/>
      </c>
    </row>
    <row r="987" spans="11:11">
      <c r="K987" s="1375" t="str">
        <f t="shared" si="15"/>
        <v/>
      </c>
    </row>
    <row r="988" spans="11:11">
      <c r="K988" s="1375" t="str">
        <f t="shared" si="15"/>
        <v/>
      </c>
    </row>
    <row r="989" spans="11:11">
      <c r="K989" s="1375" t="str">
        <f t="shared" si="15"/>
        <v/>
      </c>
    </row>
    <row r="990" spans="11:11">
      <c r="K990" s="1375" t="str">
        <f t="shared" si="15"/>
        <v/>
      </c>
    </row>
    <row r="991" spans="11:11">
      <c r="K991" s="1375" t="str">
        <f t="shared" si="15"/>
        <v/>
      </c>
    </row>
    <row r="992" spans="11:11">
      <c r="K992" s="1375" t="str">
        <f t="shared" si="15"/>
        <v/>
      </c>
    </row>
    <row r="993" spans="11:11">
      <c r="K993" s="1375" t="str">
        <f t="shared" si="15"/>
        <v/>
      </c>
    </row>
    <row r="994" spans="11:11">
      <c r="K994" s="1375" t="str">
        <f t="shared" si="15"/>
        <v/>
      </c>
    </row>
    <row r="995" spans="11:11">
      <c r="K995" s="1375" t="str">
        <f t="shared" si="15"/>
        <v/>
      </c>
    </row>
    <row r="996" spans="11:11">
      <c r="K996" s="1375" t="str">
        <f t="shared" si="15"/>
        <v/>
      </c>
    </row>
    <row r="997" spans="11:11">
      <c r="K997" s="1375" t="str">
        <f t="shared" si="15"/>
        <v/>
      </c>
    </row>
    <row r="998" spans="11:11">
      <c r="K998" s="1375" t="str">
        <f t="shared" si="15"/>
        <v/>
      </c>
    </row>
    <row r="999" spans="11:11">
      <c r="K999" s="1375" t="str">
        <f t="shared" si="15"/>
        <v/>
      </c>
    </row>
    <row r="1000" spans="11:11">
      <c r="K1000" s="1375" t="str">
        <f t="shared" si="15"/>
        <v/>
      </c>
    </row>
    <row r="1001" spans="11:11">
      <c r="K1001" s="1375" t="str">
        <f t="shared" si="15"/>
        <v/>
      </c>
    </row>
    <row r="1002" spans="11:11">
      <c r="K1002" s="1375" t="str">
        <f t="shared" si="15"/>
        <v/>
      </c>
    </row>
    <row r="1003" spans="11:11">
      <c r="K1003" s="1375" t="str">
        <f t="shared" si="15"/>
        <v/>
      </c>
    </row>
    <row r="1004" spans="11:11">
      <c r="K1004" s="1375" t="str">
        <f t="shared" si="15"/>
        <v/>
      </c>
    </row>
    <row r="1005" spans="11:11">
      <c r="K1005" s="1375" t="str">
        <f t="shared" si="15"/>
        <v/>
      </c>
    </row>
    <row r="1006" spans="11:11">
      <c r="K1006" s="1375" t="str">
        <f t="shared" si="15"/>
        <v/>
      </c>
    </row>
    <row r="1007" spans="11:11">
      <c r="K1007" s="1375" t="str">
        <f t="shared" si="15"/>
        <v/>
      </c>
    </row>
    <row r="1008" spans="11:11">
      <c r="K1008" s="1375" t="str">
        <f t="shared" si="15"/>
        <v/>
      </c>
    </row>
    <row r="1009" spans="11:11">
      <c r="K1009" s="1375" t="str">
        <f t="shared" si="15"/>
        <v/>
      </c>
    </row>
    <row r="1010" spans="11:11">
      <c r="K1010" s="1375" t="str">
        <f t="shared" si="15"/>
        <v/>
      </c>
    </row>
    <row r="1011" spans="11:11">
      <c r="K1011" s="1375" t="str">
        <f t="shared" si="15"/>
        <v/>
      </c>
    </row>
    <row r="1012" spans="11:11">
      <c r="K1012" s="1375" t="str">
        <f t="shared" si="15"/>
        <v/>
      </c>
    </row>
    <row r="1013" spans="11:11">
      <c r="K1013" s="1375" t="str">
        <f t="shared" si="15"/>
        <v/>
      </c>
    </row>
    <row r="1014" spans="11:11">
      <c r="K1014" s="1375" t="str">
        <f t="shared" si="15"/>
        <v/>
      </c>
    </row>
    <row r="1015" spans="11:11">
      <c r="K1015" s="1375" t="str">
        <f t="shared" si="15"/>
        <v/>
      </c>
    </row>
    <row r="1016" spans="11:11">
      <c r="K1016" s="1375" t="str">
        <f t="shared" si="15"/>
        <v/>
      </c>
    </row>
    <row r="1017" spans="11:11">
      <c r="K1017" s="1375" t="str">
        <f t="shared" si="15"/>
        <v/>
      </c>
    </row>
    <row r="1018" spans="11:11">
      <c r="K1018" s="1375" t="str">
        <f t="shared" si="15"/>
        <v/>
      </c>
    </row>
    <row r="1019" spans="11:11">
      <c r="K1019" s="1375" t="str">
        <f t="shared" si="15"/>
        <v/>
      </c>
    </row>
    <row r="1020" spans="11:11">
      <c r="K1020" s="1375" t="str">
        <f t="shared" si="15"/>
        <v/>
      </c>
    </row>
    <row r="1021" spans="11:11">
      <c r="K1021" s="1375" t="str">
        <f t="shared" si="15"/>
        <v/>
      </c>
    </row>
    <row r="1022" spans="11:11">
      <c r="K1022" s="1375" t="str">
        <f t="shared" si="15"/>
        <v/>
      </c>
    </row>
    <row r="1023" spans="11:11">
      <c r="K1023" s="1375" t="str">
        <f t="shared" si="15"/>
        <v/>
      </c>
    </row>
    <row r="1024" spans="11:11">
      <c r="K1024" s="1375" t="str">
        <f t="shared" si="15"/>
        <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J583"/>
  <sheetViews>
    <sheetView workbookViewId="0">
      <selection activeCell="I34" sqref="I34"/>
    </sheetView>
  </sheetViews>
  <sheetFormatPr defaultRowHeight="15"/>
  <cols>
    <col min="1" max="1" width="39.85546875" bestFit="1" customWidth="1"/>
    <col min="2" max="2" width="14.28515625" bestFit="1" customWidth="1"/>
    <col min="3" max="3" width="20.28515625" bestFit="1" customWidth="1"/>
    <col min="4" max="4" width="15" style="1886" bestFit="1" customWidth="1"/>
    <col min="5" max="5" width="17.42578125" style="1886" bestFit="1" customWidth="1"/>
    <col min="6" max="6" width="13.28515625" style="1886" bestFit="1" customWidth="1"/>
    <col min="7" max="7" width="12.5703125" style="1886" bestFit="1" customWidth="1"/>
    <col min="8" max="8" width="13.42578125" style="1886" bestFit="1" customWidth="1"/>
    <col min="9" max="9" width="13.42578125" bestFit="1" customWidth="1"/>
    <col min="10" max="12" width="24.7109375" bestFit="1" customWidth="1"/>
  </cols>
  <sheetData>
    <row r="1" spans="1:10">
      <c r="A1" s="65" t="s">
        <v>3012</v>
      </c>
      <c r="D1"/>
      <c r="E1" s="65" t="s">
        <v>2921</v>
      </c>
      <c r="F1"/>
      <c r="G1"/>
      <c r="H1"/>
    </row>
    <row r="2" spans="1:10">
      <c r="A2" s="65" t="s">
        <v>2917</v>
      </c>
      <c r="B2" s="65" t="s">
        <v>2918</v>
      </c>
      <c r="C2" s="65" t="s">
        <v>8</v>
      </c>
      <c r="D2" s="65" t="s">
        <v>16</v>
      </c>
      <c r="E2" s="1375" t="s">
        <v>1762</v>
      </c>
      <c r="F2" s="1375" t="s">
        <v>1763</v>
      </c>
      <c r="G2" s="1375" t="s">
        <v>1764</v>
      </c>
      <c r="H2" s="1375" t="s">
        <v>1765</v>
      </c>
    </row>
    <row r="3" spans="1:10">
      <c r="A3" s="1375" t="s">
        <v>694</v>
      </c>
      <c r="B3" s="1375" t="s">
        <v>2919</v>
      </c>
      <c r="C3" s="1375" t="s">
        <v>3013</v>
      </c>
      <c r="D3" s="1375">
        <v>3.95E-2</v>
      </c>
      <c r="E3" s="1922">
        <v>1.1849999999999999E-2</v>
      </c>
      <c r="F3" s="1922">
        <v>0</v>
      </c>
      <c r="G3" s="1922">
        <v>0</v>
      </c>
      <c r="H3" s="1922">
        <v>2.7650000000000001E-2</v>
      </c>
      <c r="J3" t="str">
        <f>A3&amp;C3</f>
        <v>Avista Utilities1997</v>
      </c>
    </row>
    <row r="4" spans="1:10">
      <c r="A4" s="1375" t="s">
        <v>694</v>
      </c>
      <c r="B4" s="1375" t="s">
        <v>2919</v>
      </c>
      <c r="C4" s="1375" t="s">
        <v>3014</v>
      </c>
      <c r="D4" s="1375">
        <v>3.95E-2</v>
      </c>
      <c r="E4" s="1922">
        <v>1.1849999999999999E-2</v>
      </c>
      <c r="F4" s="1922">
        <v>0</v>
      </c>
      <c r="G4" s="1922">
        <v>0</v>
      </c>
      <c r="H4" s="1922">
        <v>2.7650000000000001E-2</v>
      </c>
      <c r="I4" s="1375"/>
      <c r="J4" s="1375" t="str">
        <f t="shared" ref="J4:J67" si="0">A4&amp;C4</f>
        <v>Avista Utilities1998</v>
      </c>
    </row>
    <row r="5" spans="1:10">
      <c r="A5" s="1375" t="s">
        <v>694</v>
      </c>
      <c r="B5" s="1375" t="s">
        <v>2919</v>
      </c>
      <c r="C5" s="1375" t="s">
        <v>3015</v>
      </c>
      <c r="D5" s="1375">
        <v>3.95E-2</v>
      </c>
      <c r="E5" s="1922">
        <v>1.1849999999999999E-2</v>
      </c>
      <c r="F5" s="1922">
        <v>0</v>
      </c>
      <c r="G5" s="1922">
        <v>0</v>
      </c>
      <c r="H5" s="1922">
        <v>2.7650000000000001E-2</v>
      </c>
      <c r="I5" s="1375"/>
      <c r="J5" s="1375" t="str">
        <f t="shared" si="0"/>
        <v>Avista Utilities1999</v>
      </c>
    </row>
    <row r="6" spans="1:10">
      <c r="A6" s="1375" t="s">
        <v>694</v>
      </c>
      <c r="B6" s="1375" t="s">
        <v>2919</v>
      </c>
      <c r="C6" s="1375" t="s">
        <v>3016</v>
      </c>
      <c r="D6" s="1375">
        <v>3.95E-2</v>
      </c>
      <c r="E6" s="1922">
        <v>1.1849999999999999E-2</v>
      </c>
      <c r="F6" s="1922">
        <v>0</v>
      </c>
      <c r="G6" s="1922">
        <v>0</v>
      </c>
      <c r="H6" s="1922">
        <v>2.7650000000000001E-2</v>
      </c>
      <c r="I6" s="1375"/>
      <c r="J6" s="1375" t="str">
        <f t="shared" si="0"/>
        <v>Avista Utilities2000</v>
      </c>
    </row>
    <row r="7" spans="1:10">
      <c r="A7" s="1375" t="s">
        <v>694</v>
      </c>
      <c r="B7" s="1375" t="s">
        <v>2919</v>
      </c>
      <c r="C7" s="1375" t="s">
        <v>3017</v>
      </c>
      <c r="D7" s="1375">
        <v>3.95E-2</v>
      </c>
      <c r="E7" s="1922">
        <v>1.1849999999999999E-2</v>
      </c>
      <c r="F7" s="1922">
        <v>0</v>
      </c>
      <c r="G7" s="1922">
        <v>0</v>
      </c>
      <c r="H7" s="1922">
        <v>2.7650000000000001E-2</v>
      </c>
      <c r="I7" s="1375"/>
      <c r="J7" s="1375" t="str">
        <f t="shared" si="0"/>
        <v>Avista Utilities2001</v>
      </c>
    </row>
    <row r="8" spans="1:10">
      <c r="A8" s="1375" t="s">
        <v>694</v>
      </c>
      <c r="B8" s="1375" t="s">
        <v>2919</v>
      </c>
      <c r="C8" s="1375" t="s">
        <v>3018</v>
      </c>
      <c r="D8" s="1375">
        <v>3.95E-2</v>
      </c>
      <c r="E8" s="1922">
        <v>1.1849999999999999E-2</v>
      </c>
      <c r="F8" s="1922">
        <v>0</v>
      </c>
      <c r="G8" s="1922">
        <v>0</v>
      </c>
      <c r="H8" s="1922">
        <v>2.7650000000000001E-2</v>
      </c>
      <c r="I8" s="1375"/>
      <c r="J8" s="1375" t="str">
        <f t="shared" si="0"/>
        <v>Avista Utilities2002</v>
      </c>
    </row>
    <row r="9" spans="1:10">
      <c r="A9" s="1375" t="s">
        <v>694</v>
      </c>
      <c r="B9" s="1375" t="s">
        <v>2919</v>
      </c>
      <c r="C9" s="1375" t="s">
        <v>3019</v>
      </c>
      <c r="D9" s="1375">
        <v>3.95E-2</v>
      </c>
      <c r="E9" s="1922">
        <v>1.1849999999999999E-2</v>
      </c>
      <c r="F9" s="1922">
        <v>0</v>
      </c>
      <c r="G9" s="1922">
        <v>0</v>
      </c>
      <c r="H9" s="1922">
        <v>2.7650000000000001E-2</v>
      </c>
      <c r="I9" s="1375"/>
      <c r="J9" s="1375" t="str">
        <f t="shared" si="0"/>
        <v>Avista Utilities2003</v>
      </c>
    </row>
    <row r="10" spans="1:10">
      <c r="A10" s="1375" t="s">
        <v>694</v>
      </c>
      <c r="B10" s="1375" t="s">
        <v>2919</v>
      </c>
      <c r="C10" s="1375" t="s">
        <v>3020</v>
      </c>
      <c r="D10" s="1375">
        <v>3.95E-2</v>
      </c>
      <c r="E10" s="1922">
        <v>1.1849999999999999E-2</v>
      </c>
      <c r="F10" s="1922">
        <v>0</v>
      </c>
      <c r="G10" s="1922">
        <v>0</v>
      </c>
      <c r="H10" s="1922">
        <v>2.7650000000000001E-2</v>
      </c>
      <c r="I10" s="1375"/>
      <c r="J10" s="1375" t="str">
        <f t="shared" si="0"/>
        <v>Avista Utilities2004</v>
      </c>
    </row>
    <row r="11" spans="1:10">
      <c r="A11" s="1375" t="s">
        <v>694</v>
      </c>
      <c r="B11" s="1375" t="s">
        <v>2919</v>
      </c>
      <c r="C11" s="1375" t="s">
        <v>3021</v>
      </c>
      <c r="D11" s="1375">
        <v>3.95E-2</v>
      </c>
      <c r="E11" s="1922">
        <v>1.1849999999999999E-2</v>
      </c>
      <c r="F11" s="1922">
        <v>0</v>
      </c>
      <c r="G11" s="1922">
        <v>0</v>
      </c>
      <c r="H11" s="1922">
        <v>2.7650000000000001E-2</v>
      </c>
      <c r="I11" s="1375"/>
      <c r="J11" s="1375" t="str">
        <f t="shared" si="0"/>
        <v>Avista Utilities2005</v>
      </c>
    </row>
    <row r="12" spans="1:10">
      <c r="A12" s="1375" t="s">
        <v>694</v>
      </c>
      <c r="B12" s="1375" t="s">
        <v>2919</v>
      </c>
      <c r="C12" s="1375" t="s">
        <v>3022</v>
      </c>
      <c r="D12" s="1375">
        <v>3.95E-2</v>
      </c>
      <c r="E12" s="1922">
        <v>1.1849999999999999E-2</v>
      </c>
      <c r="F12" s="1922">
        <v>0</v>
      </c>
      <c r="G12" s="1922">
        <v>0</v>
      </c>
      <c r="H12" s="1922">
        <v>2.7650000000000001E-2</v>
      </c>
      <c r="I12" s="1375"/>
      <c r="J12" s="1375" t="str">
        <f t="shared" si="0"/>
        <v>Avista Utilities2006</v>
      </c>
    </row>
    <row r="13" spans="1:10">
      <c r="A13" s="1375" t="s">
        <v>694</v>
      </c>
      <c r="B13" s="1375" t="s">
        <v>2919</v>
      </c>
      <c r="C13" s="1375" t="s">
        <v>3023</v>
      </c>
      <c r="D13" s="1375">
        <v>3.95E-2</v>
      </c>
      <c r="E13" s="1922">
        <v>1.1849999999999999E-2</v>
      </c>
      <c r="F13" s="1922">
        <v>0</v>
      </c>
      <c r="G13" s="1922">
        <v>0</v>
      </c>
      <c r="H13" s="1922">
        <v>2.7650000000000001E-2</v>
      </c>
      <c r="I13" s="1375"/>
      <c r="J13" s="1375" t="str">
        <f t="shared" si="0"/>
        <v>Avista Utilities2007</v>
      </c>
    </row>
    <row r="14" spans="1:10">
      <c r="A14" s="1375" t="s">
        <v>694</v>
      </c>
      <c r="B14" s="1375" t="s">
        <v>2919</v>
      </c>
      <c r="C14" s="1375" t="s">
        <v>3024</v>
      </c>
      <c r="D14" s="1375">
        <v>3.95E-2</v>
      </c>
      <c r="E14" s="1922">
        <v>1.1849999999999999E-2</v>
      </c>
      <c r="F14" s="1922">
        <v>0</v>
      </c>
      <c r="G14" s="1922">
        <v>0</v>
      </c>
      <c r="H14" s="1922">
        <v>2.7650000000000001E-2</v>
      </c>
      <c r="I14" s="1375"/>
      <c r="J14" s="1375" t="str">
        <f t="shared" si="0"/>
        <v>Avista Utilities2008</v>
      </c>
    </row>
    <row r="15" spans="1:10">
      <c r="A15" s="1375" t="s">
        <v>694</v>
      </c>
      <c r="B15" s="1375" t="s">
        <v>2919</v>
      </c>
      <c r="C15" s="1375" t="s">
        <v>3025</v>
      </c>
      <c r="D15" s="1375">
        <v>3.95E-2</v>
      </c>
      <c r="E15" s="1922">
        <v>1.1849999999999999E-2</v>
      </c>
      <c r="F15" s="1922">
        <v>0</v>
      </c>
      <c r="G15" s="1922">
        <v>0</v>
      </c>
      <c r="H15" s="1922">
        <v>2.7650000000000001E-2</v>
      </c>
      <c r="I15" s="1375"/>
      <c r="J15" s="1375" t="str">
        <f t="shared" si="0"/>
        <v>Avista Utilities2009</v>
      </c>
    </row>
    <row r="16" spans="1:10">
      <c r="A16" s="1375" t="s">
        <v>694</v>
      </c>
      <c r="B16" s="1375" t="s">
        <v>2919</v>
      </c>
      <c r="C16" s="1375" t="s">
        <v>3026</v>
      </c>
      <c r="D16" s="1375">
        <v>5.62E-2</v>
      </c>
      <c r="E16" s="1922">
        <v>1.686E-2</v>
      </c>
      <c r="F16" s="1922">
        <v>0</v>
      </c>
      <c r="G16" s="1922">
        <v>0</v>
      </c>
      <c r="H16" s="1922">
        <v>3.934E-2</v>
      </c>
      <c r="I16" s="1375"/>
      <c r="J16" s="1375" t="str">
        <f t="shared" si="0"/>
        <v>Avista Utilities2010</v>
      </c>
    </row>
    <row r="17" spans="1:10">
      <c r="A17" s="1375" t="s">
        <v>694</v>
      </c>
      <c r="B17" s="1375" t="s">
        <v>2919</v>
      </c>
      <c r="C17" s="1375" t="s">
        <v>3027</v>
      </c>
      <c r="D17" s="1375">
        <v>5.62E-2</v>
      </c>
      <c r="E17" s="1922">
        <v>1.686E-2</v>
      </c>
      <c r="F17" s="1922">
        <v>0</v>
      </c>
      <c r="G17" s="1922">
        <v>0</v>
      </c>
      <c r="H17" s="1922">
        <v>3.934E-2</v>
      </c>
      <c r="I17" s="1375"/>
      <c r="J17" s="1375" t="str">
        <f t="shared" si="0"/>
        <v>Avista Utilities2011</v>
      </c>
    </row>
    <row r="18" spans="1:10">
      <c r="A18" s="1375" t="s">
        <v>694</v>
      </c>
      <c r="B18" s="1375" t="s">
        <v>2919</v>
      </c>
      <c r="C18" s="1375" t="s">
        <v>3028</v>
      </c>
      <c r="D18" s="1375">
        <v>5.5599999999999997E-2</v>
      </c>
      <c r="E18" s="1922">
        <v>1.668E-2</v>
      </c>
      <c r="F18" s="1922">
        <v>0</v>
      </c>
      <c r="G18" s="1922">
        <v>0</v>
      </c>
      <c r="H18" s="1922">
        <v>3.8920000000000003E-2</v>
      </c>
      <c r="I18" s="1375"/>
      <c r="J18" s="1375" t="str">
        <f t="shared" si="0"/>
        <v>Avista Utilities2012</v>
      </c>
    </row>
    <row r="19" spans="1:10">
      <c r="A19" s="1375" t="s">
        <v>694</v>
      </c>
      <c r="B19" s="1375" t="s">
        <v>2919</v>
      </c>
      <c r="C19" s="1375" t="s">
        <v>3029</v>
      </c>
      <c r="D19" s="1375">
        <v>5.5599999999999997E-2</v>
      </c>
      <c r="E19" s="1922">
        <v>1.668E-2</v>
      </c>
      <c r="F19" s="1922">
        <v>0</v>
      </c>
      <c r="G19" s="1922">
        <v>0</v>
      </c>
      <c r="H19" s="1922">
        <v>3.8920000000000003E-2</v>
      </c>
      <c r="I19" s="1375"/>
      <c r="J19" s="1375" t="str">
        <f t="shared" si="0"/>
        <v>Avista Utilities2013</v>
      </c>
    </row>
    <row r="20" spans="1:10">
      <c r="A20" s="1375" t="s">
        <v>694</v>
      </c>
      <c r="B20" s="1375" t="s">
        <v>2919</v>
      </c>
      <c r="C20" s="1375" t="s">
        <v>3030</v>
      </c>
      <c r="D20" s="1375">
        <v>5.5599999999999997E-2</v>
      </c>
      <c r="E20" s="1922">
        <v>1.668E-2</v>
      </c>
      <c r="F20" s="1922">
        <v>0</v>
      </c>
      <c r="G20" s="1922">
        <v>0</v>
      </c>
      <c r="H20" s="1922">
        <v>3.8920000000000003E-2</v>
      </c>
      <c r="I20" s="1375"/>
      <c r="J20" s="1375" t="str">
        <f t="shared" si="0"/>
        <v>Avista Utilities2014</v>
      </c>
    </row>
    <row r="21" spans="1:10">
      <c r="A21" s="1375" t="s">
        <v>694</v>
      </c>
      <c r="B21" s="1375" t="s">
        <v>2919</v>
      </c>
      <c r="C21" s="1375" t="s">
        <v>3031</v>
      </c>
      <c r="D21" s="1375">
        <v>5.7500000000000002E-2</v>
      </c>
      <c r="E21" s="1922">
        <v>1.7250000000000001E-2</v>
      </c>
      <c r="F21" s="1922">
        <v>0</v>
      </c>
      <c r="G21" s="1922">
        <v>0</v>
      </c>
      <c r="H21" s="1922">
        <v>4.0250000000000001E-2</v>
      </c>
      <c r="I21" s="1375"/>
      <c r="J21" s="1375" t="str">
        <f t="shared" si="0"/>
        <v>Avista Utilities2015</v>
      </c>
    </row>
    <row r="22" spans="1:10">
      <c r="A22" s="1375" t="s">
        <v>694</v>
      </c>
      <c r="B22" s="1375" t="s">
        <v>2919</v>
      </c>
      <c r="C22" s="1375" t="s">
        <v>3032</v>
      </c>
      <c r="D22" s="1375">
        <v>5.7500000000000002E-2</v>
      </c>
      <c r="E22" s="1922">
        <v>1.7250000000000001E-2</v>
      </c>
      <c r="F22" s="1922">
        <v>0</v>
      </c>
      <c r="G22" s="1922">
        <v>0</v>
      </c>
      <c r="H22" s="1922">
        <v>4.0250000000000001E-2</v>
      </c>
      <c r="I22" s="1375"/>
      <c r="J22" s="1375" t="str">
        <f t="shared" si="0"/>
        <v>Avista Utilities2016</v>
      </c>
    </row>
    <row r="23" spans="1:10">
      <c r="A23" s="1375" t="s">
        <v>694</v>
      </c>
      <c r="B23" s="1375" t="s">
        <v>2919</v>
      </c>
      <c r="C23" s="1375" t="s">
        <v>3033</v>
      </c>
      <c r="D23" s="1375">
        <v>5.7700000000000001E-2</v>
      </c>
      <c r="E23" s="1922">
        <v>1.7309999999999999E-2</v>
      </c>
      <c r="F23" s="1922">
        <v>0</v>
      </c>
      <c r="G23" s="1922">
        <v>0</v>
      </c>
      <c r="H23" s="1922">
        <v>4.0390000000000002E-2</v>
      </c>
      <c r="I23" s="1375"/>
      <c r="J23" s="1375" t="str">
        <f t="shared" si="0"/>
        <v>Avista Utilities2017</v>
      </c>
    </row>
    <row r="24" spans="1:10">
      <c r="A24" s="1375" t="s">
        <v>694</v>
      </c>
      <c r="B24" s="1375" t="s">
        <v>2919</v>
      </c>
      <c r="C24" s="1375" t="s">
        <v>277</v>
      </c>
      <c r="D24" s="1375">
        <v>5.7700000000000001E-2</v>
      </c>
      <c r="E24" s="1922">
        <v>1.7309999999999999E-2</v>
      </c>
      <c r="F24" s="1922">
        <v>0</v>
      </c>
      <c r="G24" s="1922">
        <v>0</v>
      </c>
      <c r="H24" s="1922">
        <v>4.0390000000000002E-2</v>
      </c>
      <c r="I24" s="1375"/>
      <c r="J24" s="1375" t="str">
        <f t="shared" si="0"/>
        <v>Avista Utilities2018</v>
      </c>
    </row>
    <row r="25" spans="1:10">
      <c r="A25" s="1375" t="s">
        <v>694</v>
      </c>
      <c r="B25" s="1375" t="s">
        <v>2919</v>
      </c>
      <c r="C25" s="1375" t="s">
        <v>278</v>
      </c>
      <c r="D25" s="1375">
        <v>5.7700000000000001E-2</v>
      </c>
      <c r="E25" s="1922">
        <v>1.7309999999999999E-2</v>
      </c>
      <c r="F25" s="1922">
        <v>0</v>
      </c>
      <c r="G25" s="1922">
        <v>0</v>
      </c>
      <c r="H25" s="1922">
        <v>4.0390000000000002E-2</v>
      </c>
      <c r="I25" s="1375"/>
      <c r="J25" s="1375" t="str">
        <f t="shared" si="0"/>
        <v>Avista Utilities2019</v>
      </c>
    </row>
    <row r="26" spans="1:10">
      <c r="A26" s="1375" t="s">
        <v>694</v>
      </c>
      <c r="B26" s="1375" t="s">
        <v>2919</v>
      </c>
      <c r="C26" s="1375" t="s">
        <v>3034</v>
      </c>
      <c r="D26" s="1375">
        <v>5.6498E-2</v>
      </c>
      <c r="E26" s="1922">
        <v>1.6948999999999999E-2</v>
      </c>
      <c r="F26" s="1922">
        <v>0</v>
      </c>
      <c r="G26" s="1922">
        <v>0</v>
      </c>
      <c r="H26" s="1922">
        <v>3.9549000000000001E-2</v>
      </c>
      <c r="I26" s="1375"/>
      <c r="J26" s="1375" t="str">
        <f t="shared" si="0"/>
        <v>Avista Utilities2020</v>
      </c>
    </row>
    <row r="27" spans="1:10">
      <c r="A27" s="1375" t="s">
        <v>694</v>
      </c>
      <c r="B27" s="1375" t="s">
        <v>2919</v>
      </c>
      <c r="C27" s="1375" t="s">
        <v>3035</v>
      </c>
      <c r="D27" s="1375">
        <v>5.6498E-2</v>
      </c>
      <c r="E27" s="1922">
        <v>1.6948999999999999E-2</v>
      </c>
      <c r="F27" s="1922">
        <v>0</v>
      </c>
      <c r="G27" s="1922">
        <v>0</v>
      </c>
      <c r="H27" s="1922">
        <v>3.9549000000000001E-2</v>
      </c>
      <c r="I27" s="1375"/>
      <c r="J27" s="1375" t="str">
        <f t="shared" si="0"/>
        <v>Avista Utilities2021</v>
      </c>
    </row>
    <row r="28" spans="1:10">
      <c r="A28" s="1375" t="s">
        <v>694</v>
      </c>
      <c r="B28" s="1375" t="s">
        <v>2919</v>
      </c>
      <c r="C28" s="1375" t="s">
        <v>1760</v>
      </c>
      <c r="D28" s="1375">
        <v>5.6498E-2</v>
      </c>
      <c r="E28" s="1922">
        <v>1.6948999999999999E-2</v>
      </c>
      <c r="F28" s="1922">
        <v>0</v>
      </c>
      <c r="G28" s="1922">
        <v>0</v>
      </c>
      <c r="H28" s="1922">
        <v>3.9549000000000001E-2</v>
      </c>
      <c r="I28" s="1375"/>
      <c r="J28" s="1375" t="str">
        <f t="shared" si="0"/>
        <v>Avista Utilities2022</v>
      </c>
    </row>
    <row r="29" spans="1:10">
      <c r="A29" s="1375" t="s">
        <v>694</v>
      </c>
      <c r="B29" s="1375" t="s">
        <v>2919</v>
      </c>
      <c r="C29" s="1375" t="s">
        <v>1761</v>
      </c>
      <c r="D29" s="1375">
        <v>5.6498E-2</v>
      </c>
      <c r="E29" s="1922">
        <v>1.6948999999999999E-2</v>
      </c>
      <c r="F29" s="1922">
        <v>0</v>
      </c>
      <c r="G29" s="1922">
        <v>0</v>
      </c>
      <c r="H29" s="1922">
        <v>3.9549000000000001E-2</v>
      </c>
      <c r="I29" s="1375"/>
      <c r="J29" s="1375" t="str">
        <f t="shared" si="0"/>
        <v>Avista Utilities2023</v>
      </c>
    </row>
    <row r="30" spans="1:10">
      <c r="A30" s="1375" t="s">
        <v>694</v>
      </c>
      <c r="B30" s="1375" t="s">
        <v>2919</v>
      </c>
      <c r="C30" s="1375" t="s">
        <v>2922</v>
      </c>
      <c r="D30" s="1375">
        <v>5.6498E-2</v>
      </c>
      <c r="E30" s="1922">
        <v>1.6948999999999999E-2</v>
      </c>
      <c r="F30" s="1922">
        <v>0</v>
      </c>
      <c r="G30" s="1922">
        <v>0</v>
      </c>
      <c r="H30" s="1922">
        <v>3.9549000000000001E-2</v>
      </c>
      <c r="I30" s="1375"/>
      <c r="J30" s="1375" t="str">
        <f t="shared" si="0"/>
        <v>Avista Utilities2024</v>
      </c>
    </row>
    <row r="31" spans="1:10">
      <c r="A31" s="1375" t="s">
        <v>694</v>
      </c>
      <c r="B31" s="1375" t="s">
        <v>2919</v>
      </c>
      <c r="C31" s="1375" t="s">
        <v>2944</v>
      </c>
      <c r="D31" s="1375">
        <v>5.6498E-2</v>
      </c>
      <c r="E31" s="1922">
        <v>1.6948999999999999E-2</v>
      </c>
      <c r="F31" s="1922">
        <v>0</v>
      </c>
      <c r="G31" s="1922">
        <v>0</v>
      </c>
      <c r="H31" s="1922">
        <v>3.9549000000000001E-2</v>
      </c>
      <c r="I31" s="1375"/>
      <c r="J31" s="1375" t="str">
        <f t="shared" si="0"/>
        <v>Avista Utilities2025</v>
      </c>
    </row>
    <row r="32" spans="1:10">
      <c r="A32" s="1375" t="s">
        <v>696</v>
      </c>
      <c r="B32" s="1375" t="s">
        <v>2919</v>
      </c>
      <c r="C32" s="1375" t="s">
        <v>3013</v>
      </c>
      <c r="D32" s="1375">
        <v>0.48699999999999999</v>
      </c>
      <c r="E32" s="1922">
        <v>4.87E-2</v>
      </c>
      <c r="F32" s="1922">
        <v>5.357E-2</v>
      </c>
      <c r="G32" s="1922">
        <v>0.16558</v>
      </c>
      <c r="H32" s="1922">
        <v>0.21915000000000001</v>
      </c>
      <c r="I32" s="1375"/>
      <c r="J32" s="1375" t="str">
        <f t="shared" si="0"/>
        <v>Bonneville Power Administration1997</v>
      </c>
    </row>
    <row r="33" spans="1:10">
      <c r="A33" s="1375" t="s">
        <v>696</v>
      </c>
      <c r="B33" s="1375" t="s">
        <v>2919</v>
      </c>
      <c r="C33" s="1375" t="s">
        <v>3014</v>
      </c>
      <c r="D33" s="1375">
        <v>0.48699999999999999</v>
      </c>
      <c r="E33" s="1922">
        <v>4.87E-2</v>
      </c>
      <c r="F33" s="1922">
        <v>5.357E-2</v>
      </c>
      <c r="G33" s="1922">
        <v>0.16558</v>
      </c>
      <c r="H33" s="1922">
        <v>0.21915000000000001</v>
      </c>
      <c r="I33" s="1375"/>
      <c r="J33" s="1375" t="str">
        <f t="shared" si="0"/>
        <v>Bonneville Power Administration1998</v>
      </c>
    </row>
    <row r="34" spans="1:10">
      <c r="A34" s="1375" t="s">
        <v>696</v>
      </c>
      <c r="B34" s="1375" t="s">
        <v>2919</v>
      </c>
      <c r="C34" s="1375" t="s">
        <v>3015</v>
      </c>
      <c r="D34" s="1375">
        <v>0.48699999999999999</v>
      </c>
      <c r="E34" s="1922">
        <v>4.87E-2</v>
      </c>
      <c r="F34" s="1922">
        <v>5.357E-2</v>
      </c>
      <c r="G34" s="1922">
        <v>0.16558</v>
      </c>
      <c r="H34" s="1922">
        <v>0.21915000000000001</v>
      </c>
      <c r="I34" s="1375"/>
      <c r="J34" s="1375" t="str">
        <f t="shared" si="0"/>
        <v>Bonneville Power Administration1999</v>
      </c>
    </row>
    <row r="35" spans="1:10">
      <c r="A35" s="1375" t="s">
        <v>696</v>
      </c>
      <c r="B35" s="1375" t="s">
        <v>2919</v>
      </c>
      <c r="C35" s="1375" t="s">
        <v>3016</v>
      </c>
      <c r="D35" s="1375">
        <v>0.48699999999999999</v>
      </c>
      <c r="E35" s="1922">
        <v>4.87E-2</v>
      </c>
      <c r="F35" s="1922">
        <v>5.357E-2</v>
      </c>
      <c r="G35" s="1922">
        <v>0.16558</v>
      </c>
      <c r="H35" s="1922">
        <v>0.21915000000000001</v>
      </c>
      <c r="I35" s="1375"/>
      <c r="J35" s="1375" t="str">
        <f t="shared" si="0"/>
        <v>Bonneville Power Administration2000</v>
      </c>
    </row>
    <row r="36" spans="1:10">
      <c r="A36" s="1375" t="s">
        <v>696</v>
      </c>
      <c r="B36" s="1375" t="s">
        <v>2919</v>
      </c>
      <c r="C36" s="1375" t="s">
        <v>3017</v>
      </c>
      <c r="D36" s="1375">
        <v>0.48699999999999999</v>
      </c>
      <c r="E36" s="1922">
        <v>4.87E-2</v>
      </c>
      <c r="F36" s="1922">
        <v>5.357E-2</v>
      </c>
      <c r="G36" s="1922">
        <v>0.16558</v>
      </c>
      <c r="H36" s="1922">
        <v>0.21915000000000001</v>
      </c>
      <c r="I36" s="1375"/>
      <c r="J36" s="1375" t="str">
        <f t="shared" si="0"/>
        <v>Bonneville Power Administration2001</v>
      </c>
    </row>
    <row r="37" spans="1:10">
      <c r="A37" s="1375" t="s">
        <v>696</v>
      </c>
      <c r="B37" s="1375" t="s">
        <v>2919</v>
      </c>
      <c r="C37" s="1375" t="s">
        <v>3018</v>
      </c>
      <c r="D37" s="1375">
        <v>0.48699999999999999</v>
      </c>
      <c r="E37" s="1922">
        <v>4.87E-2</v>
      </c>
      <c r="F37" s="1922">
        <v>5.357E-2</v>
      </c>
      <c r="G37" s="1922">
        <v>0.16558</v>
      </c>
      <c r="H37" s="1922">
        <v>0.21915000000000001</v>
      </c>
      <c r="I37" s="1375"/>
      <c r="J37" s="1375" t="str">
        <f t="shared" si="0"/>
        <v>Bonneville Power Administration2002</v>
      </c>
    </row>
    <row r="38" spans="1:10">
      <c r="A38" s="1375" t="s">
        <v>696</v>
      </c>
      <c r="B38" s="1375" t="s">
        <v>2919</v>
      </c>
      <c r="C38" s="1375" t="s">
        <v>3019</v>
      </c>
      <c r="D38" s="1375">
        <v>0.48699999999999999</v>
      </c>
      <c r="E38" s="1922">
        <v>4.87E-2</v>
      </c>
      <c r="F38" s="1922">
        <v>5.357E-2</v>
      </c>
      <c r="G38" s="1922">
        <v>0.16558</v>
      </c>
      <c r="H38" s="1922">
        <v>0.21915000000000001</v>
      </c>
      <c r="I38" s="1375"/>
      <c r="J38" s="1375" t="str">
        <f t="shared" si="0"/>
        <v>Bonneville Power Administration2003</v>
      </c>
    </row>
    <row r="39" spans="1:10">
      <c r="A39" s="1375" t="s">
        <v>696</v>
      </c>
      <c r="B39" s="1375" t="s">
        <v>2919</v>
      </c>
      <c r="C39" s="1375" t="s">
        <v>3020</v>
      </c>
      <c r="D39" s="1375">
        <v>0.48699999999999999</v>
      </c>
      <c r="E39" s="1922">
        <v>4.87E-2</v>
      </c>
      <c r="F39" s="1922">
        <v>5.357E-2</v>
      </c>
      <c r="G39" s="1922">
        <v>0.16558</v>
      </c>
      <c r="H39" s="1922">
        <v>0.21915000000000001</v>
      </c>
      <c r="I39" s="1375"/>
      <c r="J39" s="1375" t="str">
        <f t="shared" si="0"/>
        <v>Bonneville Power Administration2004</v>
      </c>
    </row>
    <row r="40" spans="1:10">
      <c r="A40" s="1375" t="s">
        <v>696</v>
      </c>
      <c r="B40" s="1375" t="s">
        <v>2919</v>
      </c>
      <c r="C40" s="1375" t="s">
        <v>3021</v>
      </c>
      <c r="D40" s="1375">
        <v>0.48699999999999999</v>
      </c>
      <c r="E40" s="1922">
        <v>4.87E-2</v>
      </c>
      <c r="F40" s="1922">
        <v>5.357E-2</v>
      </c>
      <c r="G40" s="1922">
        <v>0.16558</v>
      </c>
      <c r="H40" s="1922">
        <v>0.21915000000000001</v>
      </c>
      <c r="I40" s="1375"/>
      <c r="J40" s="1375" t="str">
        <f t="shared" si="0"/>
        <v>Bonneville Power Administration2005</v>
      </c>
    </row>
    <row r="41" spans="1:10">
      <c r="A41" s="1375" t="s">
        <v>696</v>
      </c>
      <c r="B41" s="1375" t="s">
        <v>2919</v>
      </c>
      <c r="C41" s="1375" t="s">
        <v>3022</v>
      </c>
      <c r="D41" s="1375">
        <v>0.48699999999999999</v>
      </c>
      <c r="E41" s="1922">
        <v>4.87E-2</v>
      </c>
      <c r="F41" s="1922">
        <v>5.357E-2</v>
      </c>
      <c r="G41" s="1922">
        <v>0.16558</v>
      </c>
      <c r="H41" s="1922">
        <v>0.21915000000000001</v>
      </c>
      <c r="I41" s="1375"/>
      <c r="J41" s="1375" t="str">
        <f t="shared" si="0"/>
        <v>Bonneville Power Administration2006</v>
      </c>
    </row>
    <row r="42" spans="1:10">
      <c r="A42" s="1375" t="s">
        <v>696</v>
      </c>
      <c r="B42" s="1375" t="s">
        <v>2919</v>
      </c>
      <c r="C42" s="1375" t="s">
        <v>3023</v>
      </c>
      <c r="D42" s="1375">
        <v>0.48699999999999999</v>
      </c>
      <c r="E42" s="1922">
        <v>4.87E-2</v>
      </c>
      <c r="F42" s="1922">
        <v>5.357E-2</v>
      </c>
      <c r="G42" s="1922">
        <v>0.16558</v>
      </c>
      <c r="H42" s="1922">
        <v>0.21915000000000001</v>
      </c>
      <c r="I42" s="1375"/>
      <c r="J42" s="1375" t="str">
        <f t="shared" si="0"/>
        <v>Bonneville Power Administration2007</v>
      </c>
    </row>
    <row r="43" spans="1:10">
      <c r="A43" s="1375" t="s">
        <v>696</v>
      </c>
      <c r="B43" s="1375" t="s">
        <v>2919</v>
      </c>
      <c r="C43" s="1375" t="s">
        <v>3024</v>
      </c>
      <c r="D43" s="1375">
        <v>0.48699999999999999</v>
      </c>
      <c r="E43" s="1922">
        <v>4.87E-2</v>
      </c>
      <c r="F43" s="1922">
        <v>5.357E-2</v>
      </c>
      <c r="G43" s="1922">
        <v>0.16558</v>
      </c>
      <c r="H43" s="1922">
        <v>0.21915000000000001</v>
      </c>
      <c r="I43" s="1375"/>
      <c r="J43" s="1375" t="str">
        <f t="shared" si="0"/>
        <v>Bonneville Power Administration2008</v>
      </c>
    </row>
    <row r="44" spans="1:10">
      <c r="A44" s="1375" t="s">
        <v>696</v>
      </c>
      <c r="B44" s="1375" t="s">
        <v>2919</v>
      </c>
      <c r="C44" s="1375" t="s">
        <v>3025</v>
      </c>
      <c r="D44" s="1375">
        <v>0.48699999999999999</v>
      </c>
      <c r="E44" s="1922">
        <v>4.87E-2</v>
      </c>
      <c r="F44" s="1922">
        <v>5.357E-2</v>
      </c>
      <c r="G44" s="1922">
        <v>0.16558</v>
      </c>
      <c r="H44" s="1922">
        <v>0.21915000000000001</v>
      </c>
      <c r="I44" s="1375"/>
      <c r="J44" s="1375" t="str">
        <f t="shared" si="0"/>
        <v>Bonneville Power Administration2009</v>
      </c>
    </row>
    <row r="45" spans="1:10">
      <c r="A45" s="1375" t="s">
        <v>696</v>
      </c>
      <c r="B45" s="1375" t="s">
        <v>2919</v>
      </c>
      <c r="C45" s="1375" t="s">
        <v>3026</v>
      </c>
      <c r="D45" s="1375">
        <v>0.3604</v>
      </c>
      <c r="E45" s="1922">
        <v>3.6040000000000003E-2</v>
      </c>
      <c r="F45" s="1922">
        <v>3.9643999999999999E-2</v>
      </c>
      <c r="G45" s="1922">
        <v>0.12253600000000001</v>
      </c>
      <c r="H45" s="1922">
        <v>0.16217999999999999</v>
      </c>
      <c r="I45" s="1375"/>
      <c r="J45" s="1375" t="str">
        <f t="shared" si="0"/>
        <v>Bonneville Power Administration2010</v>
      </c>
    </row>
    <row r="46" spans="1:10">
      <c r="A46" s="1375" t="s">
        <v>696</v>
      </c>
      <c r="B46" s="1375" t="s">
        <v>2919</v>
      </c>
      <c r="C46" s="1375" t="s">
        <v>3027</v>
      </c>
      <c r="D46" s="1375">
        <v>0.3604</v>
      </c>
      <c r="E46" s="1922">
        <v>3.6040000000000003E-2</v>
      </c>
      <c r="F46" s="1922">
        <v>3.9643999999999999E-2</v>
      </c>
      <c r="G46" s="1922">
        <v>0.12253600000000001</v>
      </c>
      <c r="H46" s="1922">
        <v>0.16217999999999999</v>
      </c>
      <c r="I46" s="1375"/>
      <c r="J46" s="1375" t="str">
        <f t="shared" si="0"/>
        <v>Bonneville Power Administration2011</v>
      </c>
    </row>
    <row r="47" spans="1:10">
      <c r="A47" s="1375" t="s">
        <v>696</v>
      </c>
      <c r="B47" s="1375" t="s">
        <v>2919</v>
      </c>
      <c r="C47" s="1375" t="s">
        <v>3028</v>
      </c>
      <c r="D47" s="1375">
        <v>0.35709999999999997</v>
      </c>
      <c r="E47" s="1922">
        <v>3.5709999999999999E-2</v>
      </c>
      <c r="F47" s="1922">
        <v>3.9281000000000003E-2</v>
      </c>
      <c r="G47" s="1922">
        <v>0.12141399999999999</v>
      </c>
      <c r="H47" s="1922">
        <v>0.160695</v>
      </c>
      <c r="I47" s="1375"/>
      <c r="J47" s="1375" t="str">
        <f t="shared" si="0"/>
        <v>Bonneville Power Administration2012</v>
      </c>
    </row>
    <row r="48" spans="1:10">
      <c r="A48" s="1375" t="s">
        <v>696</v>
      </c>
      <c r="B48" s="1375" t="s">
        <v>2919</v>
      </c>
      <c r="C48" s="1375" t="s">
        <v>3029</v>
      </c>
      <c r="D48" s="1375">
        <v>0.35709999999999997</v>
      </c>
      <c r="E48" s="1922">
        <v>3.5709999999999999E-2</v>
      </c>
      <c r="F48" s="1922">
        <v>3.9281000000000003E-2</v>
      </c>
      <c r="G48" s="1922">
        <v>0.12141399999999999</v>
      </c>
      <c r="H48" s="1922">
        <v>0.160695</v>
      </c>
      <c r="I48" s="1375"/>
      <c r="J48" s="1375" t="str">
        <f t="shared" si="0"/>
        <v>Bonneville Power Administration2013</v>
      </c>
    </row>
    <row r="49" spans="1:10">
      <c r="A49" s="1375" t="s">
        <v>696</v>
      </c>
      <c r="B49" s="1375" t="s">
        <v>2919</v>
      </c>
      <c r="C49" s="1375" t="s">
        <v>3030</v>
      </c>
      <c r="D49" s="1375">
        <v>0.35709999999999997</v>
      </c>
      <c r="E49" s="1922">
        <v>3.5709999999999999E-2</v>
      </c>
      <c r="F49" s="1922">
        <v>3.9281000000000003E-2</v>
      </c>
      <c r="G49" s="1922">
        <v>0.12141399999999999</v>
      </c>
      <c r="H49" s="1922">
        <v>0.160695</v>
      </c>
      <c r="I49" s="1375"/>
      <c r="J49" s="1375" t="str">
        <f t="shared" si="0"/>
        <v>Bonneville Power Administration2014</v>
      </c>
    </row>
    <row r="50" spans="1:10">
      <c r="A50" s="1375" t="s">
        <v>696</v>
      </c>
      <c r="B50" s="1375" t="s">
        <v>2919</v>
      </c>
      <c r="C50" s="1375" t="s">
        <v>3031</v>
      </c>
      <c r="D50" s="1375">
        <v>0.36070000000000002</v>
      </c>
      <c r="E50" s="1922">
        <v>3.6069999999999998E-2</v>
      </c>
      <c r="F50" s="1922">
        <v>3.9676999999999997E-2</v>
      </c>
      <c r="G50" s="1922">
        <v>0.122638</v>
      </c>
      <c r="H50" s="1922">
        <v>0.16231499999999999</v>
      </c>
      <c r="I50" s="1375"/>
      <c r="J50" s="1375" t="str">
        <f t="shared" si="0"/>
        <v>Bonneville Power Administration2015</v>
      </c>
    </row>
    <row r="51" spans="1:10">
      <c r="A51" s="1375" t="s">
        <v>696</v>
      </c>
      <c r="B51" s="1375" t="s">
        <v>2919</v>
      </c>
      <c r="C51" s="1375" t="s">
        <v>3032</v>
      </c>
      <c r="D51" s="1375">
        <v>0.36070000000000002</v>
      </c>
      <c r="E51" s="1922">
        <v>3.6069999999999998E-2</v>
      </c>
      <c r="F51" s="1922">
        <v>3.9676999999999997E-2</v>
      </c>
      <c r="G51" s="1922">
        <v>0.122638</v>
      </c>
      <c r="H51" s="1922">
        <v>0.16231499999999999</v>
      </c>
      <c r="I51" s="1375"/>
      <c r="J51" s="1375" t="str">
        <f t="shared" si="0"/>
        <v>Bonneville Power Administration2016</v>
      </c>
    </row>
    <row r="52" spans="1:10">
      <c r="A52" s="1375" t="s">
        <v>696</v>
      </c>
      <c r="B52" s="1375" t="s">
        <v>2919</v>
      </c>
      <c r="C52" s="1375" t="s">
        <v>3033</v>
      </c>
      <c r="D52" s="1375">
        <v>0.36209999999999998</v>
      </c>
      <c r="E52" s="1922">
        <v>3.6209999999999999E-2</v>
      </c>
      <c r="F52" s="1922">
        <v>3.9830999999999998E-2</v>
      </c>
      <c r="G52" s="1922">
        <v>0.123114</v>
      </c>
      <c r="H52" s="1922">
        <v>0.16294500000000001</v>
      </c>
      <c r="I52" s="1375"/>
      <c r="J52" s="1375" t="str">
        <f t="shared" si="0"/>
        <v>Bonneville Power Administration2017</v>
      </c>
    </row>
    <row r="53" spans="1:10">
      <c r="A53" s="1375" t="s">
        <v>696</v>
      </c>
      <c r="B53" s="1375" t="s">
        <v>2919</v>
      </c>
      <c r="C53" s="1375" t="s">
        <v>277</v>
      </c>
      <c r="D53" s="1375">
        <v>0.36209999999999998</v>
      </c>
      <c r="E53" s="1922">
        <v>3.6209999999999999E-2</v>
      </c>
      <c r="F53" s="1922">
        <v>3.9830999999999998E-2</v>
      </c>
      <c r="G53" s="1922">
        <v>0.123114</v>
      </c>
      <c r="H53" s="1922">
        <v>0.16294500000000001</v>
      </c>
      <c r="I53" s="1375"/>
      <c r="J53" s="1375" t="str">
        <f t="shared" si="0"/>
        <v>Bonneville Power Administration2018</v>
      </c>
    </row>
    <row r="54" spans="1:10">
      <c r="A54" s="1375" t="s">
        <v>696</v>
      </c>
      <c r="B54" s="1375" t="s">
        <v>2919</v>
      </c>
      <c r="C54" s="1375" t="s">
        <v>278</v>
      </c>
      <c r="D54" s="1375">
        <v>0.36209999999999998</v>
      </c>
      <c r="E54" s="1922">
        <v>3.6209999999999999E-2</v>
      </c>
      <c r="F54" s="1922">
        <v>3.9830999999999998E-2</v>
      </c>
      <c r="G54" s="1922">
        <v>0.123114</v>
      </c>
      <c r="H54" s="1922">
        <v>0.16294500000000001</v>
      </c>
      <c r="I54" s="1375"/>
      <c r="J54" s="1375" t="str">
        <f t="shared" si="0"/>
        <v>Bonneville Power Administration2019</v>
      </c>
    </row>
    <row r="55" spans="1:10">
      <c r="A55" s="1375" t="s">
        <v>696</v>
      </c>
      <c r="B55" s="1375" t="s">
        <v>2919</v>
      </c>
      <c r="C55" s="1375" t="s">
        <v>3034</v>
      </c>
      <c r="D55" s="1375">
        <v>0.369556</v>
      </c>
      <c r="E55" s="1922">
        <v>3.6956000000000003E-2</v>
      </c>
      <c r="F55" s="1922">
        <v>4.0651E-2</v>
      </c>
      <c r="G55" s="1922">
        <v>0.12564900000000001</v>
      </c>
      <c r="H55" s="1922">
        <v>0.1663</v>
      </c>
      <c r="I55" s="1375"/>
      <c r="J55" s="1375" t="str">
        <f t="shared" si="0"/>
        <v>Bonneville Power Administration2020</v>
      </c>
    </row>
    <row r="56" spans="1:10">
      <c r="A56" s="1375" t="s">
        <v>696</v>
      </c>
      <c r="B56" s="1375" t="s">
        <v>2919</v>
      </c>
      <c r="C56" s="1375" t="s">
        <v>3035</v>
      </c>
      <c r="D56" s="1375">
        <v>0.369556</v>
      </c>
      <c r="E56" s="1922">
        <v>3.6956000000000003E-2</v>
      </c>
      <c r="F56" s="1922">
        <v>4.0651E-2</v>
      </c>
      <c r="G56" s="1922">
        <v>0.12564900000000001</v>
      </c>
      <c r="H56" s="1922">
        <v>0.1663</v>
      </c>
      <c r="I56" s="1375"/>
      <c r="J56" s="1375" t="str">
        <f t="shared" si="0"/>
        <v>Bonneville Power Administration2021</v>
      </c>
    </row>
    <row r="57" spans="1:10">
      <c r="A57" s="1375" t="s">
        <v>696</v>
      </c>
      <c r="B57" s="1375" t="s">
        <v>2919</v>
      </c>
      <c r="C57" s="1375" t="s">
        <v>1760</v>
      </c>
      <c r="D57" s="1375">
        <v>0.369556</v>
      </c>
      <c r="E57" s="1922">
        <v>3.6956000000000003E-2</v>
      </c>
      <c r="F57" s="1922">
        <v>4.0651E-2</v>
      </c>
      <c r="G57" s="1922">
        <v>0.12564900000000001</v>
      </c>
      <c r="H57" s="1922">
        <v>0.1663</v>
      </c>
      <c r="I57" s="1375"/>
      <c r="J57" s="1375" t="str">
        <f t="shared" si="0"/>
        <v>Bonneville Power Administration2022</v>
      </c>
    </row>
    <row r="58" spans="1:10">
      <c r="A58" s="1375" t="s">
        <v>696</v>
      </c>
      <c r="B58" s="1375" t="s">
        <v>2919</v>
      </c>
      <c r="C58" s="1375" t="s">
        <v>1761</v>
      </c>
      <c r="D58" s="1375">
        <v>0.369556</v>
      </c>
      <c r="E58" s="1922">
        <v>3.6956000000000003E-2</v>
      </c>
      <c r="F58" s="1922">
        <v>4.0651E-2</v>
      </c>
      <c r="G58" s="1922">
        <v>0.12564900000000001</v>
      </c>
      <c r="H58" s="1922">
        <v>0.1663</v>
      </c>
      <c r="I58" s="1375"/>
      <c r="J58" s="1375" t="str">
        <f t="shared" si="0"/>
        <v>Bonneville Power Administration2023</v>
      </c>
    </row>
    <row r="59" spans="1:10">
      <c r="A59" s="1375" t="s">
        <v>696</v>
      </c>
      <c r="B59" s="1375" t="s">
        <v>2919</v>
      </c>
      <c r="C59" s="1375" t="s">
        <v>2922</v>
      </c>
      <c r="D59" s="1375">
        <v>0.369556</v>
      </c>
      <c r="E59" s="1922">
        <v>3.6956000000000003E-2</v>
      </c>
      <c r="F59" s="1922">
        <v>4.0651E-2</v>
      </c>
      <c r="G59" s="1922">
        <v>0.12564900000000001</v>
      </c>
      <c r="H59" s="1922">
        <v>0.1663</v>
      </c>
      <c r="I59" s="1375"/>
      <c r="J59" s="1375" t="str">
        <f t="shared" si="0"/>
        <v>Bonneville Power Administration2024</v>
      </c>
    </row>
    <row r="60" spans="1:10">
      <c r="A60" s="1375" t="s">
        <v>696</v>
      </c>
      <c r="B60" s="1375" t="s">
        <v>2919</v>
      </c>
      <c r="C60" s="1375" t="s">
        <v>2944</v>
      </c>
      <c r="D60" s="1375">
        <v>0.369556</v>
      </c>
      <c r="E60" s="1922">
        <v>3.6956000000000003E-2</v>
      </c>
      <c r="F60" s="1922">
        <v>4.0651E-2</v>
      </c>
      <c r="G60" s="1922">
        <v>0.12564900000000001</v>
      </c>
      <c r="H60" s="1922">
        <v>0.1663</v>
      </c>
      <c r="I60" s="1375"/>
      <c r="J60" s="1375" t="str">
        <f t="shared" si="0"/>
        <v>Bonneville Power Administration2025</v>
      </c>
    </row>
    <row r="61" spans="1:10">
      <c r="A61" s="1375" t="s">
        <v>702</v>
      </c>
      <c r="B61" s="1375" t="s">
        <v>2919</v>
      </c>
      <c r="C61" s="1375" t="s">
        <v>3013</v>
      </c>
      <c r="D61" s="1375">
        <v>0</v>
      </c>
      <c r="E61" s="1922">
        <v>0</v>
      </c>
      <c r="F61" s="1922">
        <v>0</v>
      </c>
      <c r="G61" s="1922">
        <v>0</v>
      </c>
      <c r="H61" s="1922">
        <v>0</v>
      </c>
      <c r="I61" s="1375"/>
      <c r="J61" s="1375" t="str">
        <f t="shared" si="0"/>
        <v>Chelan County PUD1997</v>
      </c>
    </row>
    <row r="62" spans="1:10">
      <c r="A62" s="1375" t="s">
        <v>702</v>
      </c>
      <c r="B62" s="1375" t="s">
        <v>2919</v>
      </c>
      <c r="C62" s="1375" t="s">
        <v>3014</v>
      </c>
      <c r="D62" s="1375">
        <v>0</v>
      </c>
      <c r="E62" s="1922">
        <v>0</v>
      </c>
      <c r="F62" s="1922">
        <v>0</v>
      </c>
      <c r="G62" s="1922">
        <v>0</v>
      </c>
      <c r="H62" s="1922">
        <v>0</v>
      </c>
      <c r="I62" s="1375"/>
      <c r="J62" s="1375" t="str">
        <f t="shared" si="0"/>
        <v>Chelan County PUD1998</v>
      </c>
    </row>
    <row r="63" spans="1:10">
      <c r="A63" s="1375" t="s">
        <v>702</v>
      </c>
      <c r="B63" s="1375" t="s">
        <v>2919</v>
      </c>
      <c r="C63" s="1375" t="s">
        <v>3015</v>
      </c>
      <c r="D63" s="1375">
        <v>0</v>
      </c>
      <c r="E63" s="1922">
        <v>0</v>
      </c>
      <c r="F63" s="1922">
        <v>0</v>
      </c>
      <c r="G63" s="1922">
        <v>0</v>
      </c>
      <c r="H63" s="1922">
        <v>0</v>
      </c>
      <c r="I63" s="1375"/>
      <c r="J63" s="1375" t="str">
        <f t="shared" si="0"/>
        <v>Chelan County PUD1999</v>
      </c>
    </row>
    <row r="64" spans="1:10">
      <c r="A64" s="1375" t="s">
        <v>702</v>
      </c>
      <c r="B64" s="1375" t="s">
        <v>2919</v>
      </c>
      <c r="C64" s="1375" t="s">
        <v>3016</v>
      </c>
      <c r="D64" s="1375">
        <v>0</v>
      </c>
      <c r="E64" s="1922">
        <v>0</v>
      </c>
      <c r="F64" s="1922">
        <v>0</v>
      </c>
      <c r="G64" s="1922">
        <v>0</v>
      </c>
      <c r="H64" s="1922">
        <v>0</v>
      </c>
      <c r="I64" s="1375"/>
      <c r="J64" s="1375" t="str">
        <f t="shared" si="0"/>
        <v>Chelan County PUD2000</v>
      </c>
    </row>
    <row r="65" spans="1:10">
      <c r="A65" s="1375" t="s">
        <v>702</v>
      </c>
      <c r="B65" s="1375" t="s">
        <v>2919</v>
      </c>
      <c r="C65" s="1375" t="s">
        <v>3017</v>
      </c>
      <c r="D65" s="1375">
        <v>0</v>
      </c>
      <c r="E65" s="1922">
        <v>0</v>
      </c>
      <c r="F65" s="1922">
        <v>0</v>
      </c>
      <c r="G65" s="1922">
        <v>0</v>
      </c>
      <c r="H65" s="1922">
        <v>0</v>
      </c>
      <c r="I65" s="1375"/>
      <c r="J65" s="1375" t="str">
        <f t="shared" si="0"/>
        <v>Chelan County PUD2001</v>
      </c>
    </row>
    <row r="66" spans="1:10">
      <c r="A66" s="1375" t="s">
        <v>702</v>
      </c>
      <c r="B66" s="1375" t="s">
        <v>2919</v>
      </c>
      <c r="C66" s="1375" t="s">
        <v>3018</v>
      </c>
      <c r="D66" s="1375">
        <v>0</v>
      </c>
      <c r="E66" s="1922">
        <v>0</v>
      </c>
      <c r="F66" s="1922">
        <v>0</v>
      </c>
      <c r="G66" s="1922">
        <v>0</v>
      </c>
      <c r="H66" s="1922">
        <v>0</v>
      </c>
      <c r="I66" s="1375"/>
      <c r="J66" s="1375" t="str">
        <f t="shared" si="0"/>
        <v>Chelan County PUD2002</v>
      </c>
    </row>
    <row r="67" spans="1:10">
      <c r="A67" s="1375" t="s">
        <v>702</v>
      </c>
      <c r="B67" s="1375" t="s">
        <v>2919</v>
      </c>
      <c r="C67" s="1375" t="s">
        <v>3019</v>
      </c>
      <c r="D67" s="1375">
        <v>0</v>
      </c>
      <c r="E67" s="1922">
        <v>0</v>
      </c>
      <c r="F67" s="1922">
        <v>0</v>
      </c>
      <c r="G67" s="1922">
        <v>0</v>
      </c>
      <c r="H67" s="1922">
        <v>0</v>
      </c>
      <c r="I67" s="1375"/>
      <c r="J67" s="1375" t="str">
        <f t="shared" si="0"/>
        <v>Chelan County PUD2003</v>
      </c>
    </row>
    <row r="68" spans="1:10">
      <c r="A68" s="1375" t="s">
        <v>702</v>
      </c>
      <c r="B68" s="1375" t="s">
        <v>2919</v>
      </c>
      <c r="C68" s="1375" t="s">
        <v>3020</v>
      </c>
      <c r="D68" s="1375">
        <v>0</v>
      </c>
      <c r="E68" s="1922">
        <v>0</v>
      </c>
      <c r="F68" s="1922">
        <v>0</v>
      </c>
      <c r="G68" s="1922">
        <v>0</v>
      </c>
      <c r="H68" s="1922">
        <v>0</v>
      </c>
      <c r="I68" s="1375"/>
      <c r="J68" s="1375" t="str">
        <f t="shared" ref="J68:J131" si="1">A68&amp;C68</f>
        <v>Chelan County PUD2004</v>
      </c>
    </row>
    <row r="69" spans="1:10">
      <c r="A69" s="1375" t="s">
        <v>702</v>
      </c>
      <c r="B69" s="1375" t="s">
        <v>2919</v>
      </c>
      <c r="C69" s="1375" t="s">
        <v>3021</v>
      </c>
      <c r="D69" s="1375">
        <v>0</v>
      </c>
      <c r="E69" s="1922">
        <v>0</v>
      </c>
      <c r="F69" s="1922">
        <v>0</v>
      </c>
      <c r="G69" s="1922">
        <v>0</v>
      </c>
      <c r="H69" s="1922">
        <v>0</v>
      </c>
      <c r="I69" s="1375"/>
      <c r="J69" s="1375" t="str">
        <f t="shared" si="1"/>
        <v>Chelan County PUD2005</v>
      </c>
    </row>
    <row r="70" spans="1:10">
      <c r="A70" s="1375" t="s">
        <v>702</v>
      </c>
      <c r="B70" s="1375" t="s">
        <v>2919</v>
      </c>
      <c r="C70" s="1375" t="s">
        <v>3022</v>
      </c>
      <c r="D70" s="1375">
        <v>0</v>
      </c>
      <c r="E70" s="1922">
        <v>0</v>
      </c>
      <c r="F70" s="1922">
        <v>0</v>
      </c>
      <c r="G70" s="1922">
        <v>0</v>
      </c>
      <c r="H70" s="1922">
        <v>0</v>
      </c>
      <c r="I70" s="1375"/>
      <c r="J70" s="1375" t="str">
        <f t="shared" si="1"/>
        <v>Chelan County PUD2006</v>
      </c>
    </row>
    <row r="71" spans="1:10">
      <c r="A71" s="1375" t="s">
        <v>702</v>
      </c>
      <c r="B71" s="1375" t="s">
        <v>2919</v>
      </c>
      <c r="C71" s="1375" t="s">
        <v>3023</v>
      </c>
      <c r="D71" s="1375">
        <v>0</v>
      </c>
      <c r="E71" s="1922">
        <v>0</v>
      </c>
      <c r="F71" s="1922">
        <v>0</v>
      </c>
      <c r="G71" s="1922">
        <v>0</v>
      </c>
      <c r="H71" s="1922">
        <v>0</v>
      </c>
      <c r="I71" s="1375"/>
      <c r="J71" s="1375" t="str">
        <f t="shared" si="1"/>
        <v>Chelan County PUD2007</v>
      </c>
    </row>
    <row r="72" spans="1:10">
      <c r="A72" s="1375" t="s">
        <v>702</v>
      </c>
      <c r="B72" s="1375" t="s">
        <v>2919</v>
      </c>
      <c r="C72" s="1375" t="s">
        <v>3024</v>
      </c>
      <c r="D72" s="1375">
        <v>0</v>
      </c>
      <c r="E72" s="1922">
        <v>0</v>
      </c>
      <c r="F72" s="1922">
        <v>0</v>
      </c>
      <c r="G72" s="1922">
        <v>0</v>
      </c>
      <c r="H72" s="1922">
        <v>0</v>
      </c>
      <c r="I72" s="1375"/>
      <c r="J72" s="1375" t="str">
        <f t="shared" si="1"/>
        <v>Chelan County PUD2008</v>
      </c>
    </row>
    <row r="73" spans="1:10">
      <c r="A73" s="1375" t="s">
        <v>702</v>
      </c>
      <c r="B73" s="1375" t="s">
        <v>2919</v>
      </c>
      <c r="C73" s="1375" t="s">
        <v>3025</v>
      </c>
      <c r="D73" s="1375">
        <v>0</v>
      </c>
      <c r="E73" s="1922">
        <v>0</v>
      </c>
      <c r="F73" s="1922">
        <v>0</v>
      </c>
      <c r="G73" s="1922">
        <v>0</v>
      </c>
      <c r="H73" s="1922">
        <v>0</v>
      </c>
      <c r="I73" s="1375"/>
      <c r="J73" s="1375" t="str">
        <f t="shared" si="1"/>
        <v>Chelan County PUD2009</v>
      </c>
    </row>
    <row r="74" spans="1:10">
      <c r="A74" s="1375" t="s">
        <v>702</v>
      </c>
      <c r="B74" s="1375" t="s">
        <v>2919</v>
      </c>
      <c r="C74" s="1375" t="s">
        <v>3026</v>
      </c>
      <c r="D74" s="1375">
        <v>0</v>
      </c>
      <c r="E74" s="1922">
        <v>0</v>
      </c>
      <c r="F74" s="1922">
        <v>0</v>
      </c>
      <c r="G74" s="1922">
        <v>0</v>
      </c>
      <c r="H74" s="1922">
        <v>0</v>
      </c>
      <c r="I74" s="1375"/>
      <c r="J74" s="1375" t="str">
        <f t="shared" si="1"/>
        <v>Chelan County PUD2010</v>
      </c>
    </row>
    <row r="75" spans="1:10">
      <c r="A75" s="1375" t="s">
        <v>702</v>
      </c>
      <c r="B75" s="1375" t="s">
        <v>2919</v>
      </c>
      <c r="C75" s="1375" t="s">
        <v>3027</v>
      </c>
      <c r="D75" s="1375">
        <v>0</v>
      </c>
      <c r="E75" s="1922">
        <v>0</v>
      </c>
      <c r="F75" s="1922">
        <v>0</v>
      </c>
      <c r="G75" s="1922">
        <v>0</v>
      </c>
      <c r="H75" s="1922">
        <v>0</v>
      </c>
      <c r="I75" s="1375"/>
      <c r="J75" s="1375" t="str">
        <f t="shared" si="1"/>
        <v>Chelan County PUD2011</v>
      </c>
    </row>
    <row r="76" spans="1:10">
      <c r="A76" s="1375" t="s">
        <v>702</v>
      </c>
      <c r="B76" s="1375" t="s">
        <v>2919</v>
      </c>
      <c r="C76" s="1375" t="s">
        <v>3028</v>
      </c>
      <c r="D76" s="1375">
        <v>9.1999999999999998E-3</v>
      </c>
      <c r="E76" s="1922">
        <v>0</v>
      </c>
      <c r="F76" s="1922">
        <v>0</v>
      </c>
      <c r="G76" s="1922">
        <v>0</v>
      </c>
      <c r="H76" s="1922">
        <v>9.1999999999999998E-3</v>
      </c>
      <c r="I76" s="1375"/>
      <c r="J76" s="1375" t="str">
        <f t="shared" si="1"/>
        <v>Chelan County PUD2012</v>
      </c>
    </row>
    <row r="77" spans="1:10">
      <c r="A77" s="1375" t="s">
        <v>702</v>
      </c>
      <c r="B77" s="1375" t="s">
        <v>2919</v>
      </c>
      <c r="C77" s="1375" t="s">
        <v>3029</v>
      </c>
      <c r="D77" s="1375">
        <v>9.1999999999999998E-3</v>
      </c>
      <c r="E77" s="1922">
        <v>0</v>
      </c>
      <c r="F77" s="1922">
        <v>0</v>
      </c>
      <c r="G77" s="1922">
        <v>0</v>
      </c>
      <c r="H77" s="1922">
        <v>9.1999999999999998E-3</v>
      </c>
      <c r="I77" s="1375"/>
      <c r="J77" s="1375" t="str">
        <f t="shared" si="1"/>
        <v>Chelan County PUD2013</v>
      </c>
    </row>
    <row r="78" spans="1:10">
      <c r="A78" s="1375" t="s">
        <v>702</v>
      </c>
      <c r="B78" s="1375" t="s">
        <v>2919</v>
      </c>
      <c r="C78" s="1375" t="s">
        <v>3030</v>
      </c>
      <c r="D78" s="1375">
        <v>9.1999999999999998E-3</v>
      </c>
      <c r="E78" s="1922">
        <v>0</v>
      </c>
      <c r="F78" s="1922">
        <v>0</v>
      </c>
      <c r="G78" s="1922">
        <v>0</v>
      </c>
      <c r="H78" s="1922">
        <v>9.1999999999999998E-3</v>
      </c>
      <c r="I78" s="1375"/>
      <c r="J78" s="1375" t="str">
        <f t="shared" si="1"/>
        <v>Chelan County PUD2014</v>
      </c>
    </row>
    <row r="79" spans="1:10">
      <c r="A79" s="1375" t="s">
        <v>702</v>
      </c>
      <c r="B79" s="1375" t="s">
        <v>2919</v>
      </c>
      <c r="C79" s="1375" t="s">
        <v>3031</v>
      </c>
      <c r="D79" s="1375">
        <v>9.7000000000000003E-3</v>
      </c>
      <c r="E79" s="1922">
        <v>0</v>
      </c>
      <c r="F79" s="1922">
        <v>0</v>
      </c>
      <c r="G79" s="1922">
        <v>0</v>
      </c>
      <c r="H79" s="1922">
        <v>9.7000000000000003E-3</v>
      </c>
      <c r="I79" s="1375"/>
      <c r="J79" s="1375" t="str">
        <f t="shared" si="1"/>
        <v>Chelan County PUD2015</v>
      </c>
    </row>
    <row r="80" spans="1:10">
      <c r="A80" s="1375" t="s">
        <v>702</v>
      </c>
      <c r="B80" s="1375" t="s">
        <v>2919</v>
      </c>
      <c r="C80" s="1375" t="s">
        <v>3032</v>
      </c>
      <c r="D80" s="1375">
        <v>9.7000000000000003E-3</v>
      </c>
      <c r="E80" s="1922">
        <v>0</v>
      </c>
      <c r="F80" s="1922">
        <v>0</v>
      </c>
      <c r="G80" s="1922">
        <v>0</v>
      </c>
      <c r="H80" s="1922">
        <v>9.7000000000000003E-3</v>
      </c>
      <c r="I80" s="1375"/>
      <c r="J80" s="1375" t="str">
        <f t="shared" si="1"/>
        <v>Chelan County PUD2016</v>
      </c>
    </row>
    <row r="81" spans="1:10">
      <c r="A81" s="1375" t="s">
        <v>702</v>
      </c>
      <c r="B81" s="1375" t="s">
        <v>2919</v>
      </c>
      <c r="C81" s="1375" t="s">
        <v>3033</v>
      </c>
      <c r="D81" s="1375">
        <v>9.7000000000000003E-3</v>
      </c>
      <c r="E81" s="1922">
        <v>0</v>
      </c>
      <c r="F81" s="1922">
        <v>0</v>
      </c>
      <c r="G81" s="1922">
        <v>0</v>
      </c>
      <c r="H81" s="1922">
        <v>9.7000000000000003E-3</v>
      </c>
      <c r="I81" s="1375"/>
      <c r="J81" s="1375" t="str">
        <f t="shared" si="1"/>
        <v>Chelan County PUD2017</v>
      </c>
    </row>
    <row r="82" spans="1:10">
      <c r="A82" s="1375" t="s">
        <v>702</v>
      </c>
      <c r="B82" s="1375" t="s">
        <v>2919</v>
      </c>
      <c r="C82" s="1375" t="s">
        <v>277</v>
      </c>
      <c r="D82" s="1375">
        <v>9.7000000000000003E-3</v>
      </c>
      <c r="E82" s="1922">
        <v>0</v>
      </c>
      <c r="F82" s="1922">
        <v>0</v>
      </c>
      <c r="G82" s="1922">
        <v>0</v>
      </c>
      <c r="H82" s="1922">
        <v>9.7000000000000003E-3</v>
      </c>
      <c r="I82" s="1375"/>
      <c r="J82" s="1375" t="str">
        <f t="shared" si="1"/>
        <v>Chelan County PUD2018</v>
      </c>
    </row>
    <row r="83" spans="1:10">
      <c r="A83" s="1375" t="s">
        <v>702</v>
      </c>
      <c r="B83" s="1375" t="s">
        <v>2919</v>
      </c>
      <c r="C83" s="1375" t="s">
        <v>278</v>
      </c>
      <c r="D83" s="1375">
        <v>9.7000000000000003E-3</v>
      </c>
      <c r="E83" s="1922">
        <v>0</v>
      </c>
      <c r="F83" s="1922">
        <v>0</v>
      </c>
      <c r="G83" s="1922">
        <v>0</v>
      </c>
      <c r="H83" s="1922">
        <v>9.7000000000000003E-3</v>
      </c>
      <c r="I83" s="1375"/>
      <c r="J83" s="1375" t="str">
        <f t="shared" si="1"/>
        <v>Chelan County PUD2019</v>
      </c>
    </row>
    <row r="84" spans="1:10">
      <c r="A84" s="1375" t="s">
        <v>702</v>
      </c>
      <c r="B84" s="1375" t="s">
        <v>2919</v>
      </c>
      <c r="C84" s="1375" t="s">
        <v>3034</v>
      </c>
      <c r="D84" s="1375">
        <v>9.9380000000000007E-3</v>
      </c>
      <c r="E84" s="1922">
        <v>0</v>
      </c>
      <c r="F84" s="1922">
        <v>0</v>
      </c>
      <c r="G84" s="1922">
        <v>0</v>
      </c>
      <c r="H84" s="1922">
        <v>9.9380000000000007E-3</v>
      </c>
      <c r="I84" s="1375"/>
      <c r="J84" s="1375" t="str">
        <f t="shared" si="1"/>
        <v>Chelan County PUD2020</v>
      </c>
    </row>
    <row r="85" spans="1:10">
      <c r="A85" s="1375" t="s">
        <v>702</v>
      </c>
      <c r="B85" s="1375" t="s">
        <v>2919</v>
      </c>
      <c r="C85" s="1375" t="s">
        <v>3035</v>
      </c>
      <c r="D85" s="1375">
        <v>9.9380000000000007E-3</v>
      </c>
      <c r="E85" s="1922">
        <v>0</v>
      </c>
      <c r="F85" s="1922">
        <v>0</v>
      </c>
      <c r="G85" s="1922">
        <v>0</v>
      </c>
      <c r="H85" s="1922">
        <v>9.9380000000000007E-3</v>
      </c>
      <c r="I85" s="1375"/>
      <c r="J85" s="1375" t="str">
        <f t="shared" si="1"/>
        <v>Chelan County PUD2021</v>
      </c>
    </row>
    <row r="86" spans="1:10">
      <c r="A86" s="1375" t="s">
        <v>702</v>
      </c>
      <c r="B86" s="1375" t="s">
        <v>2919</v>
      </c>
      <c r="C86" s="1375" t="s">
        <v>1760</v>
      </c>
      <c r="D86" s="1375">
        <v>9.9380000000000007E-3</v>
      </c>
      <c r="E86" s="1922">
        <v>0</v>
      </c>
      <c r="F86" s="1922">
        <v>0</v>
      </c>
      <c r="G86" s="1922">
        <v>0</v>
      </c>
      <c r="H86" s="1922">
        <v>9.9380000000000007E-3</v>
      </c>
      <c r="I86" s="1375"/>
      <c r="J86" s="1375" t="str">
        <f t="shared" si="1"/>
        <v>Chelan County PUD2022</v>
      </c>
    </row>
    <row r="87" spans="1:10">
      <c r="A87" s="1375" t="s">
        <v>702</v>
      </c>
      <c r="B87" s="1375" t="s">
        <v>2919</v>
      </c>
      <c r="C87" s="1375" t="s">
        <v>1761</v>
      </c>
      <c r="D87" s="1375">
        <v>9.9380000000000007E-3</v>
      </c>
      <c r="E87" s="1922">
        <v>0</v>
      </c>
      <c r="F87" s="1922">
        <v>0</v>
      </c>
      <c r="G87" s="1922">
        <v>0</v>
      </c>
      <c r="H87" s="1922">
        <v>9.9380000000000007E-3</v>
      </c>
      <c r="I87" s="1375"/>
      <c r="J87" s="1375" t="str">
        <f t="shared" si="1"/>
        <v>Chelan County PUD2023</v>
      </c>
    </row>
    <row r="88" spans="1:10">
      <c r="A88" s="1375" t="s">
        <v>702</v>
      </c>
      <c r="B88" s="1375" t="s">
        <v>2919</v>
      </c>
      <c r="C88" s="1375" t="s">
        <v>2922</v>
      </c>
      <c r="D88" s="1375">
        <v>9.9380000000000007E-3</v>
      </c>
      <c r="E88" s="1922">
        <v>0</v>
      </c>
      <c r="F88" s="1922">
        <v>0</v>
      </c>
      <c r="G88" s="1922">
        <v>0</v>
      </c>
      <c r="H88" s="1922">
        <v>9.9380000000000007E-3</v>
      </c>
      <c r="I88" s="1375"/>
      <c r="J88" s="1375" t="str">
        <f t="shared" si="1"/>
        <v>Chelan County PUD2024</v>
      </c>
    </row>
    <row r="89" spans="1:10">
      <c r="A89" s="1375" t="s">
        <v>702</v>
      </c>
      <c r="B89" s="1375" t="s">
        <v>2919</v>
      </c>
      <c r="C89" s="1375" t="s">
        <v>2944</v>
      </c>
      <c r="D89" s="1375">
        <v>9.9380000000000007E-3</v>
      </c>
      <c r="E89" s="1922">
        <v>0</v>
      </c>
      <c r="F89" s="1922">
        <v>0</v>
      </c>
      <c r="G89" s="1922">
        <v>0</v>
      </c>
      <c r="H89" s="1922">
        <v>9.9380000000000007E-3</v>
      </c>
      <c r="I89" s="1375"/>
      <c r="J89" s="1375" t="str">
        <f t="shared" si="1"/>
        <v>Chelan County PUD2025</v>
      </c>
    </row>
    <row r="90" spans="1:10">
      <c r="A90" s="1375" t="s">
        <v>705</v>
      </c>
      <c r="B90" s="1375" t="s">
        <v>2919</v>
      </c>
      <c r="C90" s="1375" t="s">
        <v>3013</v>
      </c>
      <c r="D90" s="1375">
        <v>1.2699999999999999E-2</v>
      </c>
      <c r="E90" s="1922">
        <v>0</v>
      </c>
      <c r="F90" s="1922">
        <v>0</v>
      </c>
      <c r="G90" s="1922">
        <v>0</v>
      </c>
      <c r="H90" s="1922">
        <v>1.2699999999999999E-2</v>
      </c>
      <c r="I90" s="1375"/>
      <c r="J90" s="1375" t="str">
        <f t="shared" si="1"/>
        <v>Clark Public Utilities1997</v>
      </c>
    </row>
    <row r="91" spans="1:10">
      <c r="A91" s="1375" t="s">
        <v>705</v>
      </c>
      <c r="B91" s="1375" t="s">
        <v>2919</v>
      </c>
      <c r="C91" s="1375" t="s">
        <v>3014</v>
      </c>
      <c r="D91" s="1375">
        <v>1.2699999999999999E-2</v>
      </c>
      <c r="E91" s="1922">
        <v>0</v>
      </c>
      <c r="F91" s="1922">
        <v>0</v>
      </c>
      <c r="G91" s="1922">
        <v>0</v>
      </c>
      <c r="H91" s="1922">
        <v>1.2699999999999999E-2</v>
      </c>
      <c r="I91" s="1375"/>
      <c r="J91" s="1375" t="str">
        <f t="shared" si="1"/>
        <v>Clark Public Utilities1998</v>
      </c>
    </row>
    <row r="92" spans="1:10">
      <c r="A92" s="1375" t="s">
        <v>705</v>
      </c>
      <c r="B92" s="1375" t="s">
        <v>2919</v>
      </c>
      <c r="C92" s="1375" t="s">
        <v>3015</v>
      </c>
      <c r="D92" s="1375">
        <v>1.2699999999999999E-2</v>
      </c>
      <c r="E92" s="1922">
        <v>0</v>
      </c>
      <c r="F92" s="1922">
        <v>0</v>
      </c>
      <c r="G92" s="1922">
        <v>0</v>
      </c>
      <c r="H92" s="1922">
        <v>1.2699999999999999E-2</v>
      </c>
      <c r="I92" s="1375"/>
      <c r="J92" s="1375" t="str">
        <f t="shared" si="1"/>
        <v>Clark Public Utilities1999</v>
      </c>
    </row>
    <row r="93" spans="1:10">
      <c r="A93" s="1375" t="s">
        <v>705</v>
      </c>
      <c r="B93" s="1375" t="s">
        <v>2919</v>
      </c>
      <c r="C93" s="1375" t="s">
        <v>3016</v>
      </c>
      <c r="D93" s="1375">
        <v>1.2699999999999999E-2</v>
      </c>
      <c r="E93" s="1922">
        <v>0</v>
      </c>
      <c r="F93" s="1922">
        <v>0</v>
      </c>
      <c r="G93" s="1922">
        <v>0</v>
      </c>
      <c r="H93" s="1922">
        <v>1.2699999999999999E-2</v>
      </c>
      <c r="I93" s="1375"/>
      <c r="J93" s="1375" t="str">
        <f t="shared" si="1"/>
        <v>Clark Public Utilities2000</v>
      </c>
    </row>
    <row r="94" spans="1:10">
      <c r="A94" s="1375" t="s">
        <v>705</v>
      </c>
      <c r="B94" s="1375" t="s">
        <v>2919</v>
      </c>
      <c r="C94" s="1375" t="s">
        <v>3017</v>
      </c>
      <c r="D94" s="1375">
        <v>1.2699999999999999E-2</v>
      </c>
      <c r="E94" s="1922">
        <v>0</v>
      </c>
      <c r="F94" s="1922">
        <v>0</v>
      </c>
      <c r="G94" s="1922">
        <v>0</v>
      </c>
      <c r="H94" s="1922">
        <v>1.2699999999999999E-2</v>
      </c>
      <c r="I94" s="1375"/>
      <c r="J94" s="1375" t="str">
        <f t="shared" si="1"/>
        <v>Clark Public Utilities2001</v>
      </c>
    </row>
    <row r="95" spans="1:10">
      <c r="A95" s="1375" t="s">
        <v>705</v>
      </c>
      <c r="B95" s="1375" t="s">
        <v>2919</v>
      </c>
      <c r="C95" s="1375" t="s">
        <v>3018</v>
      </c>
      <c r="D95" s="1375">
        <v>1.2699999999999999E-2</v>
      </c>
      <c r="E95" s="1922">
        <v>0</v>
      </c>
      <c r="F95" s="1922">
        <v>0</v>
      </c>
      <c r="G95" s="1922">
        <v>0</v>
      </c>
      <c r="H95" s="1922">
        <v>1.2699999999999999E-2</v>
      </c>
      <c r="I95" s="1375"/>
      <c r="J95" s="1375" t="str">
        <f t="shared" si="1"/>
        <v>Clark Public Utilities2002</v>
      </c>
    </row>
    <row r="96" spans="1:10">
      <c r="A96" s="1375" t="s">
        <v>705</v>
      </c>
      <c r="B96" s="1375" t="s">
        <v>2919</v>
      </c>
      <c r="C96" s="1375" t="s">
        <v>3019</v>
      </c>
      <c r="D96" s="1375">
        <v>1.2699999999999999E-2</v>
      </c>
      <c r="E96" s="1922">
        <v>0</v>
      </c>
      <c r="F96" s="1922">
        <v>0</v>
      </c>
      <c r="G96" s="1922">
        <v>0</v>
      </c>
      <c r="H96" s="1922">
        <v>1.2699999999999999E-2</v>
      </c>
      <c r="I96" s="1375"/>
      <c r="J96" s="1375" t="str">
        <f t="shared" si="1"/>
        <v>Clark Public Utilities2003</v>
      </c>
    </row>
    <row r="97" spans="1:10">
      <c r="A97" s="1375" t="s">
        <v>705</v>
      </c>
      <c r="B97" s="1375" t="s">
        <v>2919</v>
      </c>
      <c r="C97" s="1375" t="s">
        <v>3020</v>
      </c>
      <c r="D97" s="1375">
        <v>1.2699999999999999E-2</v>
      </c>
      <c r="E97" s="1922">
        <v>0</v>
      </c>
      <c r="F97" s="1922">
        <v>0</v>
      </c>
      <c r="G97" s="1922">
        <v>0</v>
      </c>
      <c r="H97" s="1922">
        <v>1.2699999999999999E-2</v>
      </c>
      <c r="I97" s="1375"/>
      <c r="J97" s="1375" t="str">
        <f t="shared" si="1"/>
        <v>Clark Public Utilities2004</v>
      </c>
    </row>
    <row r="98" spans="1:10">
      <c r="A98" s="1375" t="s">
        <v>705</v>
      </c>
      <c r="B98" s="1375" t="s">
        <v>2919</v>
      </c>
      <c r="C98" s="1375" t="s">
        <v>3021</v>
      </c>
      <c r="D98" s="1375">
        <v>1.2699999999999999E-2</v>
      </c>
      <c r="E98" s="1922">
        <v>0</v>
      </c>
      <c r="F98" s="1922">
        <v>0</v>
      </c>
      <c r="G98" s="1922">
        <v>0</v>
      </c>
      <c r="H98" s="1922">
        <v>1.2699999999999999E-2</v>
      </c>
      <c r="I98" s="1375"/>
      <c r="J98" s="1375" t="str">
        <f t="shared" si="1"/>
        <v>Clark Public Utilities2005</v>
      </c>
    </row>
    <row r="99" spans="1:10">
      <c r="A99" s="1375" t="s">
        <v>705</v>
      </c>
      <c r="B99" s="1375" t="s">
        <v>2919</v>
      </c>
      <c r="C99" s="1375" t="s">
        <v>3022</v>
      </c>
      <c r="D99" s="1375">
        <v>1.2699999999999999E-2</v>
      </c>
      <c r="E99" s="1922">
        <v>0</v>
      </c>
      <c r="F99" s="1922">
        <v>0</v>
      </c>
      <c r="G99" s="1922">
        <v>0</v>
      </c>
      <c r="H99" s="1922">
        <v>1.2699999999999999E-2</v>
      </c>
      <c r="I99" s="1375"/>
      <c r="J99" s="1375" t="str">
        <f t="shared" si="1"/>
        <v>Clark Public Utilities2006</v>
      </c>
    </row>
    <row r="100" spans="1:10">
      <c r="A100" s="1375" t="s">
        <v>705</v>
      </c>
      <c r="B100" s="1375" t="s">
        <v>2919</v>
      </c>
      <c r="C100" s="1375" t="s">
        <v>3023</v>
      </c>
      <c r="D100" s="1375">
        <v>1.2699999999999999E-2</v>
      </c>
      <c r="E100" s="1922">
        <v>0</v>
      </c>
      <c r="F100" s="1922">
        <v>0</v>
      </c>
      <c r="G100" s="1922">
        <v>0</v>
      </c>
      <c r="H100" s="1922">
        <v>1.2699999999999999E-2</v>
      </c>
      <c r="I100" s="1375"/>
      <c r="J100" s="1375" t="str">
        <f t="shared" si="1"/>
        <v>Clark Public Utilities2007</v>
      </c>
    </row>
    <row r="101" spans="1:10">
      <c r="A101" s="1375" t="s">
        <v>705</v>
      </c>
      <c r="B101" s="1375" t="s">
        <v>2919</v>
      </c>
      <c r="C101" s="1375" t="s">
        <v>3024</v>
      </c>
      <c r="D101" s="1375">
        <v>1.2699999999999999E-2</v>
      </c>
      <c r="E101" s="1922">
        <v>0</v>
      </c>
      <c r="F101" s="1922">
        <v>0</v>
      </c>
      <c r="G101" s="1922">
        <v>0</v>
      </c>
      <c r="H101" s="1922">
        <v>1.2699999999999999E-2</v>
      </c>
      <c r="I101" s="1375"/>
      <c r="J101" s="1375" t="str">
        <f t="shared" si="1"/>
        <v>Clark Public Utilities2008</v>
      </c>
    </row>
    <row r="102" spans="1:10">
      <c r="A102" s="1375" t="s">
        <v>705</v>
      </c>
      <c r="B102" s="1375" t="s">
        <v>2919</v>
      </c>
      <c r="C102" s="1375" t="s">
        <v>3025</v>
      </c>
      <c r="D102" s="1375">
        <v>1.2699999999999999E-2</v>
      </c>
      <c r="E102" s="1922">
        <v>0</v>
      </c>
      <c r="F102" s="1922">
        <v>0</v>
      </c>
      <c r="G102" s="1922">
        <v>0</v>
      </c>
      <c r="H102" s="1922">
        <v>1.2699999999999999E-2</v>
      </c>
      <c r="I102" s="1375"/>
      <c r="J102" s="1375" t="str">
        <f t="shared" si="1"/>
        <v>Clark Public Utilities2009</v>
      </c>
    </row>
    <row r="103" spans="1:10">
      <c r="A103" s="1375" t="s">
        <v>705</v>
      </c>
      <c r="B103" s="1375" t="s">
        <v>2919</v>
      </c>
      <c r="C103" s="1375" t="s">
        <v>3026</v>
      </c>
      <c r="D103" s="1375">
        <v>1.38E-2</v>
      </c>
      <c r="E103" s="1922">
        <v>0</v>
      </c>
      <c r="F103" s="1922">
        <v>0</v>
      </c>
      <c r="G103" s="1922">
        <v>0</v>
      </c>
      <c r="H103" s="1922">
        <v>1.38E-2</v>
      </c>
      <c r="I103" s="1375"/>
      <c r="J103" s="1375" t="str">
        <f t="shared" si="1"/>
        <v>Clark Public Utilities2010</v>
      </c>
    </row>
    <row r="104" spans="1:10">
      <c r="A104" s="1375" t="s">
        <v>705</v>
      </c>
      <c r="B104" s="1375" t="s">
        <v>2919</v>
      </c>
      <c r="C104" s="1375" t="s">
        <v>3027</v>
      </c>
      <c r="D104" s="1375">
        <v>1.38E-2</v>
      </c>
      <c r="E104" s="1922">
        <v>0</v>
      </c>
      <c r="F104" s="1922">
        <v>0</v>
      </c>
      <c r="G104" s="1922">
        <v>0</v>
      </c>
      <c r="H104" s="1922">
        <v>1.38E-2</v>
      </c>
      <c r="I104" s="1375"/>
      <c r="J104" s="1375" t="str">
        <f t="shared" si="1"/>
        <v>Clark Public Utilities2011</v>
      </c>
    </row>
    <row r="105" spans="1:10">
      <c r="A105" s="1375" t="s">
        <v>705</v>
      </c>
      <c r="B105" s="1375" t="s">
        <v>2919</v>
      </c>
      <c r="C105" s="1375" t="s">
        <v>3028</v>
      </c>
      <c r="D105" s="1375">
        <v>1.37E-2</v>
      </c>
      <c r="E105" s="1922">
        <v>0</v>
      </c>
      <c r="F105" s="1922">
        <v>0</v>
      </c>
      <c r="G105" s="1922">
        <v>0</v>
      </c>
      <c r="H105" s="1922">
        <v>1.37E-2</v>
      </c>
      <c r="I105" s="1375"/>
      <c r="J105" s="1375" t="str">
        <f t="shared" si="1"/>
        <v>Clark Public Utilities2012</v>
      </c>
    </row>
    <row r="106" spans="1:10">
      <c r="A106" s="1375" t="s">
        <v>705</v>
      </c>
      <c r="B106" s="1375" t="s">
        <v>2919</v>
      </c>
      <c r="C106" s="1375" t="s">
        <v>3029</v>
      </c>
      <c r="D106" s="1375">
        <v>1.37E-2</v>
      </c>
      <c r="E106" s="1922">
        <v>0</v>
      </c>
      <c r="F106" s="1922">
        <v>0</v>
      </c>
      <c r="G106" s="1922">
        <v>0</v>
      </c>
      <c r="H106" s="1922">
        <v>1.37E-2</v>
      </c>
      <c r="I106" s="1375"/>
      <c r="J106" s="1375" t="str">
        <f t="shared" si="1"/>
        <v>Clark Public Utilities2013</v>
      </c>
    </row>
    <row r="107" spans="1:10">
      <c r="A107" s="1375" t="s">
        <v>705</v>
      </c>
      <c r="B107" s="1375" t="s">
        <v>2919</v>
      </c>
      <c r="C107" s="1375" t="s">
        <v>3030</v>
      </c>
      <c r="D107" s="1375">
        <v>1.37E-2</v>
      </c>
      <c r="E107" s="1922">
        <v>0</v>
      </c>
      <c r="F107" s="1922">
        <v>0</v>
      </c>
      <c r="G107" s="1922">
        <v>0</v>
      </c>
      <c r="H107" s="1922">
        <v>1.37E-2</v>
      </c>
      <c r="I107" s="1375"/>
      <c r="J107" s="1375" t="str">
        <f t="shared" si="1"/>
        <v>Clark Public Utilities2014</v>
      </c>
    </row>
    <row r="108" spans="1:10">
      <c r="A108" s="1375" t="s">
        <v>705</v>
      </c>
      <c r="B108" s="1375" t="s">
        <v>2919</v>
      </c>
      <c r="C108" s="1375" t="s">
        <v>3031</v>
      </c>
      <c r="D108" s="1375">
        <v>1.3100000000000001E-2</v>
      </c>
      <c r="E108" s="1922">
        <v>0</v>
      </c>
      <c r="F108" s="1922">
        <v>0</v>
      </c>
      <c r="G108" s="1922">
        <v>0</v>
      </c>
      <c r="H108" s="1922">
        <v>1.3100000000000001E-2</v>
      </c>
      <c r="I108" s="1375"/>
      <c r="J108" s="1375" t="str">
        <f t="shared" si="1"/>
        <v>Clark Public Utilities2015</v>
      </c>
    </row>
    <row r="109" spans="1:10">
      <c r="A109" s="1375" t="s">
        <v>705</v>
      </c>
      <c r="B109" s="1375" t="s">
        <v>2919</v>
      </c>
      <c r="C109" s="1375" t="s">
        <v>3032</v>
      </c>
      <c r="D109" s="1375">
        <v>1.3100000000000001E-2</v>
      </c>
      <c r="E109" s="1922">
        <v>0</v>
      </c>
      <c r="F109" s="1922">
        <v>0</v>
      </c>
      <c r="G109" s="1922">
        <v>0</v>
      </c>
      <c r="H109" s="1922">
        <v>1.3100000000000001E-2</v>
      </c>
      <c r="I109" s="1375"/>
      <c r="J109" s="1375" t="str">
        <f t="shared" si="1"/>
        <v>Clark Public Utilities2016</v>
      </c>
    </row>
    <row r="110" spans="1:10">
      <c r="A110" s="1375" t="s">
        <v>705</v>
      </c>
      <c r="B110" s="1375" t="s">
        <v>2919</v>
      </c>
      <c r="C110" s="1375" t="s">
        <v>3033</v>
      </c>
      <c r="D110" s="1375">
        <v>1.32E-2</v>
      </c>
      <c r="E110" s="1922">
        <v>0</v>
      </c>
      <c r="F110" s="1922">
        <v>0</v>
      </c>
      <c r="G110" s="1922">
        <v>0</v>
      </c>
      <c r="H110" s="1922">
        <v>1.32E-2</v>
      </c>
      <c r="I110" s="1375"/>
      <c r="J110" s="1375" t="str">
        <f t="shared" si="1"/>
        <v>Clark Public Utilities2017</v>
      </c>
    </row>
    <row r="111" spans="1:10">
      <c r="A111" s="1375" t="s">
        <v>705</v>
      </c>
      <c r="B111" s="1375" t="s">
        <v>2919</v>
      </c>
      <c r="C111" s="1375" t="s">
        <v>277</v>
      </c>
      <c r="D111" s="1375">
        <v>1.32E-2</v>
      </c>
      <c r="E111" s="1922">
        <v>0</v>
      </c>
      <c r="F111" s="1922">
        <v>0</v>
      </c>
      <c r="G111" s="1922">
        <v>0</v>
      </c>
      <c r="H111" s="1922">
        <v>1.32E-2</v>
      </c>
      <c r="I111" s="1375"/>
      <c r="J111" s="1375" t="str">
        <f t="shared" si="1"/>
        <v>Clark Public Utilities2018</v>
      </c>
    </row>
    <row r="112" spans="1:10">
      <c r="A112" s="1375" t="s">
        <v>705</v>
      </c>
      <c r="B112" s="1375" t="s">
        <v>2919</v>
      </c>
      <c r="C112" s="1375" t="s">
        <v>278</v>
      </c>
      <c r="D112" s="1375">
        <v>1.32E-2</v>
      </c>
      <c r="E112" s="1922">
        <v>0</v>
      </c>
      <c r="F112" s="1922">
        <v>0</v>
      </c>
      <c r="G112" s="1922">
        <v>0</v>
      </c>
      <c r="H112" s="1922">
        <v>1.32E-2</v>
      </c>
      <c r="I112" s="1375"/>
      <c r="J112" s="1375" t="str">
        <f t="shared" si="1"/>
        <v>Clark Public Utilities2019</v>
      </c>
    </row>
    <row r="113" spans="1:10">
      <c r="A113" s="1375" t="s">
        <v>705</v>
      </c>
      <c r="B113" s="1375" t="s">
        <v>2919</v>
      </c>
      <c r="C113" s="1375" t="s">
        <v>3034</v>
      </c>
      <c r="D113" s="1375">
        <v>1.2529999999999999E-2</v>
      </c>
      <c r="E113" s="1922">
        <v>0</v>
      </c>
      <c r="F113" s="1922">
        <v>0</v>
      </c>
      <c r="G113" s="1922">
        <v>0</v>
      </c>
      <c r="H113" s="1922">
        <v>1.2529999999999999E-2</v>
      </c>
      <c r="I113" s="1375"/>
      <c r="J113" s="1375" t="str">
        <f t="shared" si="1"/>
        <v>Clark Public Utilities2020</v>
      </c>
    </row>
    <row r="114" spans="1:10">
      <c r="A114" s="1375" t="s">
        <v>705</v>
      </c>
      <c r="B114" s="1375" t="s">
        <v>2919</v>
      </c>
      <c r="C114" s="1375" t="s">
        <v>3035</v>
      </c>
      <c r="D114" s="1375">
        <v>1.2529999999999999E-2</v>
      </c>
      <c r="E114" s="1922">
        <v>0</v>
      </c>
      <c r="F114" s="1922">
        <v>0</v>
      </c>
      <c r="G114" s="1922">
        <v>0</v>
      </c>
      <c r="H114" s="1922">
        <v>1.2529999999999999E-2</v>
      </c>
      <c r="I114" s="1375"/>
      <c r="J114" s="1375" t="str">
        <f t="shared" si="1"/>
        <v>Clark Public Utilities2021</v>
      </c>
    </row>
    <row r="115" spans="1:10">
      <c r="A115" s="1375" t="s">
        <v>705</v>
      </c>
      <c r="B115" s="1375" t="s">
        <v>2919</v>
      </c>
      <c r="C115" s="1375" t="s">
        <v>1760</v>
      </c>
      <c r="D115" s="1375">
        <v>1.2529999999999999E-2</v>
      </c>
      <c r="E115" s="1922">
        <v>0</v>
      </c>
      <c r="F115" s="1922">
        <v>0</v>
      </c>
      <c r="G115" s="1922">
        <v>0</v>
      </c>
      <c r="H115" s="1922">
        <v>1.2529999999999999E-2</v>
      </c>
      <c r="I115" s="1375"/>
      <c r="J115" s="1375" t="str">
        <f t="shared" si="1"/>
        <v>Clark Public Utilities2022</v>
      </c>
    </row>
    <row r="116" spans="1:10">
      <c r="A116" s="1375" t="s">
        <v>705</v>
      </c>
      <c r="B116" s="1375" t="s">
        <v>2919</v>
      </c>
      <c r="C116" s="1375" t="s">
        <v>1761</v>
      </c>
      <c r="D116" s="1375">
        <v>1.2529999999999999E-2</v>
      </c>
      <c r="E116" s="1922">
        <v>0</v>
      </c>
      <c r="F116" s="1922">
        <v>0</v>
      </c>
      <c r="G116" s="1922">
        <v>0</v>
      </c>
      <c r="H116" s="1922">
        <v>1.2529999999999999E-2</v>
      </c>
      <c r="I116" s="1375"/>
      <c r="J116" s="1375" t="str">
        <f t="shared" si="1"/>
        <v>Clark Public Utilities2023</v>
      </c>
    </row>
    <row r="117" spans="1:10">
      <c r="A117" s="1375" t="s">
        <v>705</v>
      </c>
      <c r="B117" s="1375" t="s">
        <v>2919</v>
      </c>
      <c r="C117" s="1375" t="s">
        <v>2922</v>
      </c>
      <c r="D117" s="1375">
        <v>1.2529999999999999E-2</v>
      </c>
      <c r="E117" s="1922">
        <v>0</v>
      </c>
      <c r="F117" s="1922">
        <v>0</v>
      </c>
      <c r="G117" s="1922">
        <v>0</v>
      </c>
      <c r="H117" s="1922">
        <v>1.2529999999999999E-2</v>
      </c>
      <c r="I117" s="1375"/>
      <c r="J117" s="1375" t="str">
        <f t="shared" si="1"/>
        <v>Clark Public Utilities2024</v>
      </c>
    </row>
    <row r="118" spans="1:10">
      <c r="A118" s="1375" t="s">
        <v>705</v>
      </c>
      <c r="B118" s="1375" t="s">
        <v>2919</v>
      </c>
      <c r="C118" s="1375" t="s">
        <v>2944</v>
      </c>
      <c r="D118" s="1375">
        <v>1.2529999999999999E-2</v>
      </c>
      <c r="E118" s="1922">
        <v>0</v>
      </c>
      <c r="F118" s="1922">
        <v>0</v>
      </c>
      <c r="G118" s="1922">
        <v>0</v>
      </c>
      <c r="H118" s="1922">
        <v>1.2529999999999999E-2</v>
      </c>
      <c r="I118" s="1375"/>
      <c r="J118" s="1375" t="str">
        <f t="shared" si="1"/>
        <v>Clark Public Utilities2025</v>
      </c>
    </row>
    <row r="119" spans="1:10">
      <c r="A119" s="1375" t="s">
        <v>711</v>
      </c>
      <c r="B119" s="1375" t="s">
        <v>2919</v>
      </c>
      <c r="C119" s="1375" t="s">
        <v>3013</v>
      </c>
      <c r="D119" s="1375">
        <v>0.16400000000000001</v>
      </c>
      <c r="E119" s="1922">
        <v>0</v>
      </c>
      <c r="F119" s="1922">
        <v>0</v>
      </c>
      <c r="G119" s="1922">
        <v>0.16400000000000001</v>
      </c>
      <c r="H119" s="1922">
        <v>0</v>
      </c>
      <c r="I119" s="1375"/>
      <c r="J119" s="1375" t="str">
        <f t="shared" si="1"/>
        <v>Energy Trust of Oregon1997</v>
      </c>
    </row>
    <row r="120" spans="1:10">
      <c r="A120" s="1375" t="s">
        <v>711</v>
      </c>
      <c r="B120" s="1375" t="s">
        <v>2919</v>
      </c>
      <c r="C120" s="1375" t="s">
        <v>3014</v>
      </c>
      <c r="D120" s="1375">
        <v>0.16400000000000001</v>
      </c>
      <c r="E120" s="1922">
        <v>0</v>
      </c>
      <c r="F120" s="1922">
        <v>0</v>
      </c>
      <c r="G120" s="1922">
        <v>0.16400000000000001</v>
      </c>
      <c r="H120" s="1922">
        <v>0</v>
      </c>
      <c r="I120" s="1375"/>
      <c r="J120" s="1375" t="str">
        <f t="shared" si="1"/>
        <v>Energy Trust of Oregon1998</v>
      </c>
    </row>
    <row r="121" spans="1:10">
      <c r="A121" s="1375" t="s">
        <v>711</v>
      </c>
      <c r="B121" s="1375" t="s">
        <v>2919</v>
      </c>
      <c r="C121" s="1375" t="s">
        <v>3015</v>
      </c>
      <c r="D121" s="1375">
        <v>0.16400000000000001</v>
      </c>
      <c r="E121" s="1922">
        <v>0</v>
      </c>
      <c r="F121" s="1922">
        <v>0</v>
      </c>
      <c r="G121" s="1922">
        <v>0.16400000000000001</v>
      </c>
      <c r="H121" s="1922">
        <v>0</v>
      </c>
      <c r="I121" s="1375"/>
      <c r="J121" s="1375" t="str">
        <f t="shared" si="1"/>
        <v>Energy Trust of Oregon1999</v>
      </c>
    </row>
    <row r="122" spans="1:10">
      <c r="A122" s="1375" t="s">
        <v>711</v>
      </c>
      <c r="B122" s="1375" t="s">
        <v>2919</v>
      </c>
      <c r="C122" s="1375" t="s">
        <v>3016</v>
      </c>
      <c r="D122" s="1375">
        <v>0.16400000000000001</v>
      </c>
      <c r="E122" s="1922">
        <v>0</v>
      </c>
      <c r="F122" s="1922">
        <v>0</v>
      </c>
      <c r="G122" s="1922">
        <v>0.16400000000000001</v>
      </c>
      <c r="H122" s="1922">
        <v>0</v>
      </c>
      <c r="I122" s="1375"/>
      <c r="J122" s="1375" t="str">
        <f t="shared" si="1"/>
        <v>Energy Trust of Oregon2000</v>
      </c>
    </row>
    <row r="123" spans="1:10">
      <c r="A123" s="1375" t="s">
        <v>711</v>
      </c>
      <c r="B123" s="1375" t="s">
        <v>2919</v>
      </c>
      <c r="C123" s="1375" t="s">
        <v>3017</v>
      </c>
      <c r="D123" s="1375">
        <v>0.16400000000000001</v>
      </c>
      <c r="E123" s="1922">
        <v>0</v>
      </c>
      <c r="F123" s="1922">
        <v>0</v>
      </c>
      <c r="G123" s="1922">
        <v>0.16400000000000001</v>
      </c>
      <c r="H123" s="1922">
        <v>0</v>
      </c>
      <c r="I123" s="1375"/>
      <c r="J123" s="1375" t="str">
        <f t="shared" si="1"/>
        <v>Energy Trust of Oregon2001</v>
      </c>
    </row>
    <row r="124" spans="1:10">
      <c r="A124" s="1375" t="s">
        <v>711</v>
      </c>
      <c r="B124" s="1375" t="s">
        <v>2919</v>
      </c>
      <c r="C124" s="1375" t="s">
        <v>3018</v>
      </c>
      <c r="D124" s="1375">
        <v>0.16400000000000001</v>
      </c>
      <c r="E124" s="1922">
        <v>0</v>
      </c>
      <c r="F124" s="1922">
        <v>0</v>
      </c>
      <c r="G124" s="1922">
        <v>0.16400000000000001</v>
      </c>
      <c r="H124" s="1922">
        <v>0</v>
      </c>
      <c r="I124" s="1375"/>
      <c r="J124" s="1375" t="str">
        <f t="shared" si="1"/>
        <v>Energy Trust of Oregon2002</v>
      </c>
    </row>
    <row r="125" spans="1:10">
      <c r="A125" s="1375" t="s">
        <v>711</v>
      </c>
      <c r="B125" s="1375" t="s">
        <v>2919</v>
      </c>
      <c r="C125" s="1375" t="s">
        <v>3019</v>
      </c>
      <c r="D125" s="1375">
        <v>0.16400000000000001</v>
      </c>
      <c r="E125" s="1922">
        <v>0</v>
      </c>
      <c r="F125" s="1922">
        <v>0</v>
      </c>
      <c r="G125" s="1922">
        <v>0.16400000000000001</v>
      </c>
      <c r="H125" s="1922">
        <v>0</v>
      </c>
      <c r="I125" s="1375"/>
      <c r="J125" s="1375" t="str">
        <f t="shared" si="1"/>
        <v>Energy Trust of Oregon2003</v>
      </c>
    </row>
    <row r="126" spans="1:10">
      <c r="A126" s="1375" t="s">
        <v>711</v>
      </c>
      <c r="B126" s="1375" t="s">
        <v>2919</v>
      </c>
      <c r="C126" s="1375" t="s">
        <v>3020</v>
      </c>
      <c r="D126" s="1375">
        <v>0.16400000000000001</v>
      </c>
      <c r="E126" s="1922">
        <v>0</v>
      </c>
      <c r="F126" s="1922">
        <v>0</v>
      </c>
      <c r="G126" s="1922">
        <v>0.16400000000000001</v>
      </c>
      <c r="H126" s="1922">
        <v>0</v>
      </c>
      <c r="I126" s="1375"/>
      <c r="J126" s="1375" t="str">
        <f t="shared" si="1"/>
        <v>Energy Trust of Oregon2004</v>
      </c>
    </row>
    <row r="127" spans="1:10">
      <c r="A127" s="1375" t="s">
        <v>711</v>
      </c>
      <c r="B127" s="1375" t="s">
        <v>2919</v>
      </c>
      <c r="C127" s="1375" t="s">
        <v>3021</v>
      </c>
      <c r="D127" s="1375">
        <v>0.16400000000000001</v>
      </c>
      <c r="E127" s="1922">
        <v>0</v>
      </c>
      <c r="F127" s="1922">
        <v>0</v>
      </c>
      <c r="G127" s="1922">
        <v>0.16400000000000001</v>
      </c>
      <c r="H127" s="1922">
        <v>0</v>
      </c>
      <c r="I127" s="1375"/>
      <c r="J127" s="1375" t="str">
        <f t="shared" si="1"/>
        <v>Energy Trust of Oregon2005</v>
      </c>
    </row>
    <row r="128" spans="1:10">
      <c r="A128" s="1375" t="s">
        <v>711</v>
      </c>
      <c r="B128" s="1375" t="s">
        <v>2919</v>
      </c>
      <c r="C128" s="1375" t="s">
        <v>3022</v>
      </c>
      <c r="D128" s="1375">
        <v>0.16400000000000001</v>
      </c>
      <c r="E128" s="1922">
        <v>0</v>
      </c>
      <c r="F128" s="1922">
        <v>0</v>
      </c>
      <c r="G128" s="1922">
        <v>0.16400000000000001</v>
      </c>
      <c r="H128" s="1922">
        <v>0</v>
      </c>
      <c r="I128" s="1375"/>
      <c r="J128" s="1375" t="str">
        <f t="shared" si="1"/>
        <v>Energy Trust of Oregon2006</v>
      </c>
    </row>
    <row r="129" spans="1:10">
      <c r="A129" s="1375" t="s">
        <v>711</v>
      </c>
      <c r="B129" s="1375" t="s">
        <v>2919</v>
      </c>
      <c r="C129" s="1375" t="s">
        <v>3023</v>
      </c>
      <c r="D129" s="1375">
        <v>0.16400000000000001</v>
      </c>
      <c r="E129" s="1922">
        <v>0</v>
      </c>
      <c r="F129" s="1922">
        <v>0</v>
      </c>
      <c r="G129" s="1922">
        <v>0.16400000000000001</v>
      </c>
      <c r="H129" s="1922">
        <v>0</v>
      </c>
      <c r="I129" s="1375"/>
      <c r="J129" s="1375" t="str">
        <f t="shared" si="1"/>
        <v>Energy Trust of Oregon2007</v>
      </c>
    </row>
    <row r="130" spans="1:10">
      <c r="A130" s="1375" t="s">
        <v>711</v>
      </c>
      <c r="B130" s="1375" t="s">
        <v>2919</v>
      </c>
      <c r="C130" s="1375" t="s">
        <v>3024</v>
      </c>
      <c r="D130" s="1375">
        <v>0.16400000000000001</v>
      </c>
      <c r="E130" s="1922">
        <v>0</v>
      </c>
      <c r="F130" s="1922">
        <v>0</v>
      </c>
      <c r="G130" s="1922">
        <v>0.16400000000000001</v>
      </c>
      <c r="H130" s="1922">
        <v>0</v>
      </c>
      <c r="I130" s="1375"/>
      <c r="J130" s="1375" t="str">
        <f t="shared" si="1"/>
        <v>Energy Trust of Oregon2008</v>
      </c>
    </row>
    <row r="131" spans="1:10">
      <c r="A131" s="1375" t="s">
        <v>711</v>
      </c>
      <c r="B131" s="1375" t="s">
        <v>2919</v>
      </c>
      <c r="C131" s="1375" t="s">
        <v>3025</v>
      </c>
      <c r="D131" s="1375">
        <v>0.16400000000000001</v>
      </c>
      <c r="E131" s="1922">
        <v>0</v>
      </c>
      <c r="F131" s="1922">
        <v>0</v>
      </c>
      <c r="G131" s="1922">
        <v>0.16400000000000001</v>
      </c>
      <c r="H131" s="1922">
        <v>0</v>
      </c>
      <c r="I131" s="1375"/>
      <c r="J131" s="1375" t="str">
        <f t="shared" si="1"/>
        <v>Energy Trust of Oregon2009</v>
      </c>
    </row>
    <row r="132" spans="1:10">
      <c r="A132" s="1375" t="s">
        <v>711</v>
      </c>
      <c r="B132" s="1375" t="s">
        <v>2919</v>
      </c>
      <c r="C132" s="1375" t="s">
        <v>3026</v>
      </c>
      <c r="D132" s="1375">
        <v>0.2084</v>
      </c>
      <c r="E132" s="1922">
        <v>0</v>
      </c>
      <c r="F132" s="1922">
        <v>0</v>
      </c>
      <c r="G132" s="1922">
        <v>0.2084</v>
      </c>
      <c r="H132" s="1922">
        <v>0</v>
      </c>
      <c r="I132" s="1375"/>
      <c r="J132" s="1375" t="str">
        <f t="shared" ref="J132:J195" si="2">A132&amp;C132</f>
        <v>Energy Trust of Oregon2010</v>
      </c>
    </row>
    <row r="133" spans="1:10">
      <c r="A133" s="1375" t="s">
        <v>711</v>
      </c>
      <c r="B133" s="1375" t="s">
        <v>2919</v>
      </c>
      <c r="C133" s="1375" t="s">
        <v>3027</v>
      </c>
      <c r="D133" s="1375">
        <v>0.2084</v>
      </c>
      <c r="E133" s="1922">
        <v>0</v>
      </c>
      <c r="F133" s="1922">
        <v>0</v>
      </c>
      <c r="G133" s="1922">
        <v>0.2084</v>
      </c>
      <c r="H133" s="1922">
        <v>0</v>
      </c>
      <c r="I133" s="1375"/>
      <c r="J133" s="1375" t="str">
        <f t="shared" si="2"/>
        <v>Energy Trust of Oregon2011</v>
      </c>
    </row>
    <row r="134" spans="1:10">
      <c r="A134" s="1375" t="s">
        <v>711</v>
      </c>
      <c r="B134" s="1375" t="s">
        <v>2919</v>
      </c>
      <c r="C134" s="1375" t="s">
        <v>3028</v>
      </c>
      <c r="D134" s="1375">
        <v>0.20649999999999999</v>
      </c>
      <c r="E134" s="1922">
        <v>0</v>
      </c>
      <c r="F134" s="1922">
        <v>0</v>
      </c>
      <c r="G134" s="1922">
        <v>0.20649999999999999</v>
      </c>
      <c r="H134" s="1922">
        <v>0</v>
      </c>
      <c r="I134" s="1375"/>
      <c r="J134" s="1375" t="str">
        <f t="shared" si="2"/>
        <v>Energy Trust of Oregon2012</v>
      </c>
    </row>
    <row r="135" spans="1:10">
      <c r="A135" s="1375" t="s">
        <v>711</v>
      </c>
      <c r="B135" s="1375" t="s">
        <v>2919</v>
      </c>
      <c r="C135" s="1375" t="s">
        <v>3029</v>
      </c>
      <c r="D135" s="1375">
        <v>0.20649999999999999</v>
      </c>
      <c r="E135" s="1922">
        <v>0</v>
      </c>
      <c r="F135" s="1922">
        <v>0</v>
      </c>
      <c r="G135" s="1922">
        <v>0.20649999999999999</v>
      </c>
      <c r="H135" s="1922">
        <v>0</v>
      </c>
      <c r="I135" s="1375"/>
      <c r="J135" s="1375" t="str">
        <f t="shared" si="2"/>
        <v>Energy Trust of Oregon2013</v>
      </c>
    </row>
    <row r="136" spans="1:10">
      <c r="A136" s="1375" t="s">
        <v>711</v>
      </c>
      <c r="B136" s="1375" t="s">
        <v>2919</v>
      </c>
      <c r="C136" s="1375" t="s">
        <v>3030</v>
      </c>
      <c r="D136" s="1375">
        <v>0.20649999999999999</v>
      </c>
      <c r="E136" s="1922">
        <v>0</v>
      </c>
      <c r="F136" s="1922">
        <v>0</v>
      </c>
      <c r="G136" s="1922">
        <v>0.20649999999999999</v>
      </c>
      <c r="H136" s="1922">
        <v>0</v>
      </c>
      <c r="I136" s="1375"/>
      <c r="J136" s="1375" t="str">
        <f t="shared" si="2"/>
        <v>Energy Trust of Oregon2014</v>
      </c>
    </row>
    <row r="137" spans="1:10">
      <c r="A137" s="1375" t="s">
        <v>711</v>
      </c>
      <c r="B137" s="1375" t="s">
        <v>2919</v>
      </c>
      <c r="C137" s="1375" t="s">
        <v>3031</v>
      </c>
      <c r="D137" s="1375">
        <v>0.1996</v>
      </c>
      <c r="E137" s="1922">
        <v>0</v>
      </c>
      <c r="F137" s="1922">
        <v>0</v>
      </c>
      <c r="G137" s="1922">
        <v>0.1996</v>
      </c>
      <c r="H137" s="1922">
        <v>0</v>
      </c>
      <c r="I137" s="1375"/>
      <c r="J137" s="1375" t="str">
        <f t="shared" si="2"/>
        <v>Energy Trust of Oregon2015</v>
      </c>
    </row>
    <row r="138" spans="1:10">
      <c r="A138" s="1375" t="s">
        <v>711</v>
      </c>
      <c r="B138" s="1375" t="s">
        <v>2919</v>
      </c>
      <c r="C138" s="1375" t="s">
        <v>3032</v>
      </c>
      <c r="D138" s="1375">
        <v>0.1996</v>
      </c>
      <c r="E138" s="1922">
        <v>0</v>
      </c>
      <c r="F138" s="1922">
        <v>0</v>
      </c>
      <c r="G138" s="1922">
        <v>0.1996</v>
      </c>
      <c r="H138" s="1922">
        <v>0</v>
      </c>
      <c r="I138" s="1375"/>
      <c r="J138" s="1375" t="str">
        <f t="shared" si="2"/>
        <v>Energy Trust of Oregon2016</v>
      </c>
    </row>
    <row r="139" spans="1:10">
      <c r="A139" s="1375" t="s">
        <v>711</v>
      </c>
      <c r="B139" s="1375" t="s">
        <v>2919</v>
      </c>
      <c r="C139" s="1375" t="s">
        <v>3033</v>
      </c>
      <c r="D139" s="1375">
        <v>0.20039999999999999</v>
      </c>
      <c r="E139" s="1922">
        <v>0</v>
      </c>
      <c r="F139" s="1922">
        <v>0</v>
      </c>
      <c r="G139" s="1922">
        <v>0.20039999999999999</v>
      </c>
      <c r="H139" s="1922">
        <v>0</v>
      </c>
      <c r="I139" s="1375"/>
      <c r="J139" s="1375" t="str">
        <f t="shared" si="2"/>
        <v>Energy Trust of Oregon2017</v>
      </c>
    </row>
    <row r="140" spans="1:10">
      <c r="A140" s="1375" t="s">
        <v>711</v>
      </c>
      <c r="B140" s="1375" t="s">
        <v>2919</v>
      </c>
      <c r="C140" s="1375" t="s">
        <v>277</v>
      </c>
      <c r="D140" s="1375">
        <v>0.20039999999999999</v>
      </c>
      <c r="E140" s="1922">
        <v>0</v>
      </c>
      <c r="F140" s="1922">
        <v>0</v>
      </c>
      <c r="G140" s="1922">
        <v>0.20039999999999999</v>
      </c>
      <c r="H140" s="1922">
        <v>0</v>
      </c>
      <c r="I140" s="1375"/>
      <c r="J140" s="1375" t="str">
        <f t="shared" si="2"/>
        <v>Energy Trust of Oregon2018</v>
      </c>
    </row>
    <row r="141" spans="1:10">
      <c r="A141" s="1375" t="s">
        <v>711</v>
      </c>
      <c r="B141" s="1375" t="s">
        <v>2919</v>
      </c>
      <c r="C141" s="1375" t="s">
        <v>278</v>
      </c>
      <c r="D141" s="1375">
        <v>0.20039999999999999</v>
      </c>
      <c r="E141" s="1922">
        <v>0</v>
      </c>
      <c r="F141" s="1922">
        <v>0</v>
      </c>
      <c r="G141" s="1922">
        <v>0.20039999999999999</v>
      </c>
      <c r="H141" s="1922">
        <v>0</v>
      </c>
      <c r="I141" s="1375"/>
      <c r="J141" s="1375" t="str">
        <f t="shared" si="2"/>
        <v>Energy Trust of Oregon2019</v>
      </c>
    </row>
    <row r="142" spans="1:10">
      <c r="A142" s="1375" t="s">
        <v>711</v>
      </c>
      <c r="B142" s="1375" t="s">
        <v>2919</v>
      </c>
      <c r="C142" s="1375" t="s">
        <v>3034</v>
      </c>
      <c r="D142" s="1375">
        <v>0.20172799999999999</v>
      </c>
      <c r="E142" s="1922">
        <v>0</v>
      </c>
      <c r="F142" s="1922">
        <v>0</v>
      </c>
      <c r="G142" s="1922">
        <v>0.20172799999999999</v>
      </c>
      <c r="H142" s="1922">
        <v>0</v>
      </c>
      <c r="I142" s="1375"/>
      <c r="J142" s="1375" t="str">
        <f t="shared" si="2"/>
        <v>Energy Trust of Oregon2020</v>
      </c>
    </row>
    <row r="143" spans="1:10">
      <c r="A143" s="1375" t="s">
        <v>711</v>
      </c>
      <c r="B143" s="1375" t="s">
        <v>2919</v>
      </c>
      <c r="C143" s="1375" t="s">
        <v>3035</v>
      </c>
      <c r="D143" s="1375">
        <v>0.20172799999999999</v>
      </c>
      <c r="E143" s="1922">
        <v>0</v>
      </c>
      <c r="F143" s="1922">
        <v>0</v>
      </c>
      <c r="G143" s="1922">
        <v>0.20172799999999999</v>
      </c>
      <c r="H143" s="1922">
        <v>0</v>
      </c>
      <c r="I143" s="1375"/>
      <c r="J143" s="1375" t="str">
        <f t="shared" si="2"/>
        <v>Energy Trust of Oregon2021</v>
      </c>
    </row>
    <row r="144" spans="1:10">
      <c r="A144" s="1375" t="s">
        <v>711</v>
      </c>
      <c r="B144" s="1375" t="s">
        <v>2919</v>
      </c>
      <c r="C144" s="1375" t="s">
        <v>1760</v>
      </c>
      <c r="D144" s="1375">
        <v>0.20172799999999999</v>
      </c>
      <c r="E144" s="1922">
        <v>0</v>
      </c>
      <c r="F144" s="1922">
        <v>0</v>
      </c>
      <c r="G144" s="1922">
        <v>0.20172799999999999</v>
      </c>
      <c r="H144" s="1922">
        <v>0</v>
      </c>
      <c r="I144" s="1375"/>
      <c r="J144" s="1375" t="str">
        <f t="shared" si="2"/>
        <v>Energy Trust of Oregon2022</v>
      </c>
    </row>
    <row r="145" spans="1:10">
      <c r="A145" s="1375" t="s">
        <v>711</v>
      </c>
      <c r="B145" s="1375" t="s">
        <v>2919</v>
      </c>
      <c r="C145" s="1375" t="s">
        <v>1761</v>
      </c>
      <c r="D145" s="1375">
        <v>0.20172799999999999</v>
      </c>
      <c r="E145" s="1922">
        <v>0</v>
      </c>
      <c r="F145" s="1922">
        <v>0</v>
      </c>
      <c r="G145" s="1922">
        <v>0.20172799999999999</v>
      </c>
      <c r="H145" s="1922">
        <v>0</v>
      </c>
      <c r="I145" s="1375"/>
      <c r="J145" s="1375" t="str">
        <f t="shared" si="2"/>
        <v>Energy Trust of Oregon2023</v>
      </c>
    </row>
    <row r="146" spans="1:10">
      <c r="A146" s="1375" t="s">
        <v>711</v>
      </c>
      <c r="B146" s="1375" t="s">
        <v>2919</v>
      </c>
      <c r="C146" s="1375" t="s">
        <v>2922</v>
      </c>
      <c r="D146" s="1375">
        <v>0.20172799999999999</v>
      </c>
      <c r="E146" s="1922">
        <v>0</v>
      </c>
      <c r="F146" s="1922">
        <v>0</v>
      </c>
      <c r="G146" s="1922">
        <v>0.20172799999999999</v>
      </c>
      <c r="H146" s="1922">
        <v>0</v>
      </c>
      <c r="I146" s="1375"/>
      <c r="J146" s="1375" t="str">
        <f t="shared" si="2"/>
        <v>Energy Trust of Oregon2024</v>
      </c>
    </row>
    <row r="147" spans="1:10">
      <c r="A147" s="1375" t="s">
        <v>711</v>
      </c>
      <c r="B147" s="1375" t="s">
        <v>2919</v>
      </c>
      <c r="C147" s="1375" t="s">
        <v>2944</v>
      </c>
      <c r="D147" s="1375">
        <v>0.20172799999999999</v>
      </c>
      <c r="E147" s="1922">
        <v>0</v>
      </c>
      <c r="F147" s="1922">
        <v>0</v>
      </c>
      <c r="G147" s="1922">
        <v>0.20172799999999999</v>
      </c>
      <c r="H147" s="1922">
        <v>0</v>
      </c>
      <c r="I147" s="1375"/>
      <c r="J147" s="1375" t="str">
        <f t="shared" si="2"/>
        <v>Energy Trust of Oregon2025</v>
      </c>
    </row>
    <row r="148" spans="1:10">
      <c r="A148" s="1375" t="s">
        <v>713</v>
      </c>
      <c r="B148" s="1375" t="s">
        <v>2920</v>
      </c>
      <c r="C148" s="1375" t="s">
        <v>3013</v>
      </c>
      <c r="D148" s="1375">
        <v>5.7999999999999996E-3</v>
      </c>
      <c r="E148" s="1922">
        <v>0</v>
      </c>
      <c r="F148" s="1922">
        <v>0</v>
      </c>
      <c r="G148" s="1922">
        <v>5.7999999999999996E-3</v>
      </c>
      <c r="H148" s="1922">
        <v>0</v>
      </c>
      <c r="I148" s="1375"/>
      <c r="J148" s="1375" t="str">
        <f t="shared" si="2"/>
        <v>Eugene Water &amp; Electric Board1997</v>
      </c>
    </row>
    <row r="149" spans="1:10">
      <c r="A149" s="1375" t="s">
        <v>713</v>
      </c>
      <c r="B149" s="1375" t="s">
        <v>2920</v>
      </c>
      <c r="C149" s="1375" t="s">
        <v>3014</v>
      </c>
      <c r="D149" s="1375">
        <v>5.7999999999999996E-3</v>
      </c>
      <c r="E149" s="1922">
        <v>0</v>
      </c>
      <c r="F149" s="1922">
        <v>0</v>
      </c>
      <c r="G149" s="1922">
        <v>5.7999999999999996E-3</v>
      </c>
      <c r="H149" s="1922">
        <v>0</v>
      </c>
      <c r="I149" s="1375"/>
      <c r="J149" s="1375" t="str">
        <f t="shared" si="2"/>
        <v>Eugene Water &amp; Electric Board1998</v>
      </c>
    </row>
    <row r="150" spans="1:10">
      <c r="A150" s="1375" t="s">
        <v>713</v>
      </c>
      <c r="B150" s="1375" t="s">
        <v>2920</v>
      </c>
      <c r="C150" s="1375" t="s">
        <v>3015</v>
      </c>
      <c r="D150" s="1375">
        <v>5.7999999999999996E-3</v>
      </c>
      <c r="E150" s="1922">
        <v>0</v>
      </c>
      <c r="F150" s="1922">
        <v>0</v>
      </c>
      <c r="G150" s="1922">
        <v>5.7999999999999996E-3</v>
      </c>
      <c r="H150" s="1922">
        <v>0</v>
      </c>
      <c r="I150" s="1375"/>
      <c r="J150" s="1375" t="str">
        <f t="shared" si="2"/>
        <v>Eugene Water &amp; Electric Board1999</v>
      </c>
    </row>
    <row r="151" spans="1:10">
      <c r="A151" s="1375" t="s">
        <v>713</v>
      </c>
      <c r="B151" s="1375" t="s">
        <v>2920</v>
      </c>
      <c r="C151" s="1375" t="s">
        <v>3016</v>
      </c>
      <c r="D151" s="1375">
        <v>5.7999999999999996E-3</v>
      </c>
      <c r="E151" s="1922">
        <v>0</v>
      </c>
      <c r="F151" s="1922">
        <v>0</v>
      </c>
      <c r="G151" s="1922">
        <v>5.7999999999999996E-3</v>
      </c>
      <c r="H151" s="1922">
        <v>0</v>
      </c>
      <c r="I151" s="1375"/>
      <c r="J151" s="1375" t="str">
        <f t="shared" si="2"/>
        <v>Eugene Water &amp; Electric Board2000</v>
      </c>
    </row>
    <row r="152" spans="1:10">
      <c r="A152" s="1375" t="s">
        <v>713</v>
      </c>
      <c r="B152" s="1375" t="s">
        <v>2920</v>
      </c>
      <c r="C152" s="1375" t="s">
        <v>3017</v>
      </c>
      <c r="D152" s="1375">
        <v>5.7999999999999996E-3</v>
      </c>
      <c r="E152" s="1922">
        <v>0</v>
      </c>
      <c r="F152" s="1922">
        <v>0</v>
      </c>
      <c r="G152" s="1922">
        <v>5.7999999999999996E-3</v>
      </c>
      <c r="H152" s="1922">
        <v>0</v>
      </c>
      <c r="I152" s="1375"/>
      <c r="J152" s="1375" t="str">
        <f t="shared" si="2"/>
        <v>Eugene Water &amp; Electric Board2001</v>
      </c>
    </row>
    <row r="153" spans="1:10">
      <c r="A153" s="1375" t="s">
        <v>713</v>
      </c>
      <c r="B153" s="1375" t="s">
        <v>2920</v>
      </c>
      <c r="C153" s="1375" t="s">
        <v>3018</v>
      </c>
      <c r="D153" s="1375">
        <v>5.7999999999999996E-3</v>
      </c>
      <c r="E153" s="1922">
        <v>0</v>
      </c>
      <c r="F153" s="1922">
        <v>0</v>
      </c>
      <c r="G153" s="1922">
        <v>5.7999999999999996E-3</v>
      </c>
      <c r="H153" s="1922">
        <v>0</v>
      </c>
      <c r="I153" s="1375"/>
      <c r="J153" s="1375" t="str">
        <f t="shared" si="2"/>
        <v>Eugene Water &amp; Electric Board2002</v>
      </c>
    </row>
    <row r="154" spans="1:10">
      <c r="A154" s="1375" t="s">
        <v>713</v>
      </c>
      <c r="B154" s="1375" t="s">
        <v>2920</v>
      </c>
      <c r="C154" s="1375" t="s">
        <v>3019</v>
      </c>
      <c r="D154" s="1375">
        <v>5.7999999999999996E-3</v>
      </c>
      <c r="E154" s="1922">
        <v>0</v>
      </c>
      <c r="F154" s="1922">
        <v>0</v>
      </c>
      <c r="G154" s="1922">
        <v>5.7999999999999996E-3</v>
      </c>
      <c r="H154" s="1922">
        <v>0</v>
      </c>
      <c r="I154" s="1375"/>
      <c r="J154" s="1375" t="str">
        <f t="shared" si="2"/>
        <v>Eugene Water &amp; Electric Board2003</v>
      </c>
    </row>
    <row r="155" spans="1:10">
      <c r="A155" s="1375" t="s">
        <v>713</v>
      </c>
      <c r="B155" s="1375" t="s">
        <v>2920</v>
      </c>
      <c r="C155" s="1375" t="s">
        <v>3020</v>
      </c>
      <c r="D155" s="1375">
        <v>5.7999999999999996E-3</v>
      </c>
      <c r="E155" s="1922">
        <v>0</v>
      </c>
      <c r="F155" s="1922">
        <v>0</v>
      </c>
      <c r="G155" s="1922">
        <v>5.7999999999999996E-3</v>
      </c>
      <c r="H155" s="1922">
        <v>0</v>
      </c>
      <c r="I155" s="1375"/>
      <c r="J155" s="1375" t="str">
        <f t="shared" si="2"/>
        <v>Eugene Water &amp; Electric Board2004</v>
      </c>
    </row>
    <row r="156" spans="1:10">
      <c r="A156" s="1375" t="s">
        <v>713</v>
      </c>
      <c r="B156" s="1375" t="s">
        <v>2920</v>
      </c>
      <c r="C156" s="1375" t="s">
        <v>3021</v>
      </c>
      <c r="D156" s="1375">
        <v>5.7999999999999996E-3</v>
      </c>
      <c r="E156" s="1922">
        <v>0</v>
      </c>
      <c r="F156" s="1922">
        <v>0</v>
      </c>
      <c r="G156" s="1922">
        <v>5.7999999999999996E-3</v>
      </c>
      <c r="H156" s="1922">
        <v>0</v>
      </c>
      <c r="I156" s="1375"/>
      <c r="J156" s="1375" t="str">
        <f t="shared" si="2"/>
        <v>Eugene Water &amp; Electric Board2005</v>
      </c>
    </row>
    <row r="157" spans="1:10">
      <c r="A157" s="1375" t="s">
        <v>713</v>
      </c>
      <c r="B157" s="1375" t="s">
        <v>2920</v>
      </c>
      <c r="C157" s="1375" t="s">
        <v>3022</v>
      </c>
      <c r="D157" s="1375">
        <v>5.7999999999999996E-3</v>
      </c>
      <c r="E157" s="1922">
        <v>0</v>
      </c>
      <c r="F157" s="1922">
        <v>0</v>
      </c>
      <c r="G157" s="1922">
        <v>5.7999999999999996E-3</v>
      </c>
      <c r="H157" s="1922">
        <v>0</v>
      </c>
      <c r="I157" s="1375"/>
      <c r="J157" s="1375" t="str">
        <f t="shared" si="2"/>
        <v>Eugene Water &amp; Electric Board2006</v>
      </c>
    </row>
    <row r="158" spans="1:10">
      <c r="A158" s="1375" t="s">
        <v>713</v>
      </c>
      <c r="B158" s="1375" t="s">
        <v>2920</v>
      </c>
      <c r="C158" s="1375" t="s">
        <v>3023</v>
      </c>
      <c r="D158" s="1375">
        <v>5.7999999999999996E-3</v>
      </c>
      <c r="E158" s="1922">
        <v>0</v>
      </c>
      <c r="F158" s="1922">
        <v>0</v>
      </c>
      <c r="G158" s="1922">
        <v>5.7999999999999996E-3</v>
      </c>
      <c r="H158" s="1922">
        <v>0</v>
      </c>
      <c r="I158" s="1375"/>
      <c r="J158" s="1375" t="str">
        <f t="shared" si="2"/>
        <v>Eugene Water &amp; Electric Board2007</v>
      </c>
    </row>
    <row r="159" spans="1:10">
      <c r="A159" s="1375" t="s">
        <v>713</v>
      </c>
      <c r="B159" s="1375" t="s">
        <v>2920</v>
      </c>
      <c r="C159" s="1375" t="s">
        <v>3024</v>
      </c>
      <c r="D159" s="1375">
        <v>5.7999999999999996E-3</v>
      </c>
      <c r="E159" s="1922">
        <v>0</v>
      </c>
      <c r="F159" s="1922">
        <v>0</v>
      </c>
      <c r="G159" s="1922">
        <v>5.7999999999999996E-3</v>
      </c>
      <c r="H159" s="1922">
        <v>0</v>
      </c>
      <c r="I159" s="1375"/>
      <c r="J159" s="1375" t="str">
        <f t="shared" si="2"/>
        <v>Eugene Water &amp; Electric Board2008</v>
      </c>
    </row>
    <row r="160" spans="1:10">
      <c r="A160" s="1375" t="s">
        <v>713</v>
      </c>
      <c r="B160" s="1375" t="s">
        <v>2920</v>
      </c>
      <c r="C160" s="1375" t="s">
        <v>3025</v>
      </c>
      <c r="D160" s="1375">
        <v>5.7999999999999996E-3</v>
      </c>
      <c r="E160" s="1922">
        <v>0</v>
      </c>
      <c r="F160" s="1922">
        <v>0</v>
      </c>
      <c r="G160" s="1922">
        <v>5.7999999999999996E-3</v>
      </c>
      <c r="H160" s="1922">
        <v>0</v>
      </c>
      <c r="I160" s="1375"/>
      <c r="J160" s="1375" t="str">
        <f t="shared" si="2"/>
        <v>Eugene Water &amp; Electric Board2009</v>
      </c>
    </row>
    <row r="161" spans="1:10">
      <c r="A161" s="1375" t="s">
        <v>713</v>
      </c>
      <c r="B161" s="1375" t="s">
        <v>2920</v>
      </c>
      <c r="C161" s="1375" t="s">
        <v>3026</v>
      </c>
      <c r="D161" s="1375">
        <v>5.3E-3</v>
      </c>
      <c r="E161" s="1922">
        <v>0</v>
      </c>
      <c r="F161" s="1922">
        <v>0</v>
      </c>
      <c r="G161" s="1922">
        <v>5.3E-3</v>
      </c>
      <c r="H161" s="1922">
        <v>0</v>
      </c>
      <c r="I161" s="1375"/>
      <c r="J161" s="1375" t="str">
        <f t="shared" si="2"/>
        <v>Eugene Water &amp; Electric Board2010</v>
      </c>
    </row>
    <row r="162" spans="1:10">
      <c r="A162" s="1375" t="s">
        <v>713</v>
      </c>
      <c r="B162" s="1375" t="s">
        <v>2920</v>
      </c>
      <c r="C162" s="1375" t="s">
        <v>3027</v>
      </c>
      <c r="D162" s="1375">
        <v>5.3E-3</v>
      </c>
      <c r="E162" s="1922">
        <v>0</v>
      </c>
      <c r="F162" s="1922">
        <v>0</v>
      </c>
      <c r="G162" s="1922">
        <v>5.3E-3</v>
      </c>
      <c r="H162" s="1922">
        <v>0</v>
      </c>
      <c r="I162" s="1375"/>
      <c r="J162" s="1375" t="str">
        <f t="shared" si="2"/>
        <v>Eugene Water &amp; Electric Board2011</v>
      </c>
    </row>
    <row r="163" spans="1:10">
      <c r="A163" s="1375" t="s">
        <v>713</v>
      </c>
      <c r="B163" s="1375" t="s">
        <v>2920</v>
      </c>
      <c r="C163" s="1375" t="s">
        <v>3028</v>
      </c>
      <c r="D163" s="1375">
        <v>5.1999999999999998E-3</v>
      </c>
      <c r="E163" s="1922">
        <v>0</v>
      </c>
      <c r="F163" s="1922">
        <v>0</v>
      </c>
      <c r="G163" s="1922">
        <v>5.1999999999999998E-3</v>
      </c>
      <c r="H163" s="1922">
        <v>0</v>
      </c>
      <c r="I163" s="1375"/>
      <c r="J163" s="1375" t="str">
        <f t="shared" si="2"/>
        <v>Eugene Water &amp; Electric Board2012</v>
      </c>
    </row>
    <row r="164" spans="1:10">
      <c r="A164" s="1375" t="s">
        <v>713</v>
      </c>
      <c r="B164" s="1375" t="s">
        <v>2920</v>
      </c>
      <c r="C164" s="1375" t="s">
        <v>3029</v>
      </c>
      <c r="D164" s="1375">
        <v>5.1999999999999998E-3</v>
      </c>
      <c r="E164" s="1922">
        <v>0</v>
      </c>
      <c r="F164" s="1922">
        <v>0</v>
      </c>
      <c r="G164" s="1922">
        <v>5.1999999999999998E-3</v>
      </c>
      <c r="H164" s="1922">
        <v>0</v>
      </c>
      <c r="I164" s="1375"/>
      <c r="J164" s="1375" t="str">
        <f t="shared" si="2"/>
        <v>Eugene Water &amp; Electric Board2013</v>
      </c>
    </row>
    <row r="165" spans="1:10">
      <c r="A165" s="1375" t="s">
        <v>713</v>
      </c>
      <c r="B165" s="1375" t="s">
        <v>2920</v>
      </c>
      <c r="C165" s="1375" t="s">
        <v>3030</v>
      </c>
      <c r="D165" s="1375">
        <v>5.1999999999999998E-3</v>
      </c>
      <c r="E165" s="1922">
        <v>0</v>
      </c>
      <c r="F165" s="1922">
        <v>0</v>
      </c>
      <c r="G165" s="1922">
        <v>5.1999999999999998E-3</v>
      </c>
      <c r="H165" s="1922">
        <v>0</v>
      </c>
      <c r="I165" s="1375"/>
      <c r="J165" s="1375" t="str">
        <f t="shared" si="2"/>
        <v>Eugene Water &amp; Electric Board2014</v>
      </c>
    </row>
    <row r="166" spans="1:10">
      <c r="A166" s="1375" t="s">
        <v>713</v>
      </c>
      <c r="B166" s="1375" t="s">
        <v>2920</v>
      </c>
      <c r="C166" s="1375" t="s">
        <v>3031</v>
      </c>
      <c r="D166" s="1375">
        <v>0</v>
      </c>
      <c r="E166" s="1922">
        <v>0</v>
      </c>
      <c r="F166" s="1922">
        <v>0</v>
      </c>
      <c r="G166" s="1922">
        <v>0</v>
      </c>
      <c r="H166" s="1922">
        <v>0</v>
      </c>
      <c r="I166" s="1375"/>
      <c r="J166" s="1375" t="str">
        <f t="shared" si="2"/>
        <v>Eugene Water &amp; Electric Board2015</v>
      </c>
    </row>
    <row r="167" spans="1:10">
      <c r="A167" s="1375" t="s">
        <v>713</v>
      </c>
      <c r="B167" s="1375" t="s">
        <v>2920</v>
      </c>
      <c r="C167" s="1375" t="s">
        <v>3032</v>
      </c>
      <c r="D167" s="1375">
        <v>0</v>
      </c>
      <c r="E167" s="1922">
        <v>0</v>
      </c>
      <c r="F167" s="1922">
        <v>0</v>
      </c>
      <c r="G167" s="1922">
        <v>0</v>
      </c>
      <c r="H167" s="1922">
        <v>0</v>
      </c>
      <c r="I167" s="1375"/>
      <c r="J167" s="1375" t="str">
        <f t="shared" si="2"/>
        <v>Eugene Water &amp; Electric Board2016</v>
      </c>
    </row>
    <row r="168" spans="1:10">
      <c r="A168" s="1375" t="s">
        <v>713</v>
      </c>
      <c r="B168" s="1375" t="s">
        <v>2920</v>
      </c>
      <c r="C168" s="1375" t="s">
        <v>3033</v>
      </c>
      <c r="D168" s="1375">
        <v>0</v>
      </c>
      <c r="E168" s="1922">
        <v>0</v>
      </c>
      <c r="F168" s="1922">
        <v>0</v>
      </c>
      <c r="G168" s="1922">
        <v>0</v>
      </c>
      <c r="H168" s="1922">
        <v>0</v>
      </c>
      <c r="I168" s="1375"/>
      <c r="J168" s="1375" t="str">
        <f t="shared" si="2"/>
        <v>Eugene Water &amp; Electric Board2017</v>
      </c>
    </row>
    <row r="169" spans="1:10">
      <c r="A169" s="1375" t="s">
        <v>713</v>
      </c>
      <c r="B169" s="1375" t="s">
        <v>2920</v>
      </c>
      <c r="C169" s="1375" t="s">
        <v>277</v>
      </c>
      <c r="D169" s="1375">
        <v>0</v>
      </c>
      <c r="E169" s="1922">
        <v>0</v>
      </c>
      <c r="F169" s="1922">
        <v>0</v>
      </c>
      <c r="G169" s="1922">
        <v>0</v>
      </c>
      <c r="H169" s="1922">
        <v>0</v>
      </c>
      <c r="I169" s="1375"/>
      <c r="J169" s="1375" t="str">
        <f t="shared" si="2"/>
        <v>Eugene Water &amp; Electric Board2018</v>
      </c>
    </row>
    <row r="170" spans="1:10">
      <c r="A170" s="1375" t="s">
        <v>713</v>
      </c>
      <c r="B170" s="1375" t="s">
        <v>2920</v>
      </c>
      <c r="C170" s="1375" t="s">
        <v>278</v>
      </c>
      <c r="D170" s="1375">
        <v>0</v>
      </c>
      <c r="E170" s="1922">
        <v>0</v>
      </c>
      <c r="F170" s="1922">
        <v>0</v>
      </c>
      <c r="G170" s="1922">
        <v>0</v>
      </c>
      <c r="H170" s="1922">
        <v>0</v>
      </c>
      <c r="I170" s="1375"/>
      <c r="J170" s="1375" t="str">
        <f t="shared" si="2"/>
        <v>Eugene Water &amp; Electric Board2019</v>
      </c>
    </row>
    <row r="171" spans="1:10">
      <c r="A171" s="1375" t="s">
        <v>713</v>
      </c>
      <c r="B171" s="1375" t="s">
        <v>2920</v>
      </c>
      <c r="C171" s="1375" t="s">
        <v>3034</v>
      </c>
      <c r="D171" s="1375">
        <v>0</v>
      </c>
      <c r="E171" s="1922">
        <v>0</v>
      </c>
      <c r="F171" s="1922">
        <v>0</v>
      </c>
      <c r="G171" s="1922">
        <v>0</v>
      </c>
      <c r="H171" s="1922">
        <v>0</v>
      </c>
      <c r="I171" s="1375"/>
      <c r="J171" s="1375" t="str">
        <f t="shared" si="2"/>
        <v>Eugene Water &amp; Electric Board2020</v>
      </c>
    </row>
    <row r="172" spans="1:10">
      <c r="A172" s="1375" t="s">
        <v>713</v>
      </c>
      <c r="B172" s="1375" t="s">
        <v>2920</v>
      </c>
      <c r="C172" s="1375" t="s">
        <v>3035</v>
      </c>
      <c r="D172" s="1375">
        <v>0</v>
      </c>
      <c r="E172" s="1922">
        <v>0</v>
      </c>
      <c r="F172" s="1922">
        <v>0</v>
      </c>
      <c r="G172" s="1922">
        <v>0</v>
      </c>
      <c r="H172" s="1922">
        <v>0</v>
      </c>
      <c r="I172" s="1375"/>
      <c r="J172" s="1375" t="str">
        <f t="shared" si="2"/>
        <v>Eugene Water &amp; Electric Board2021</v>
      </c>
    </row>
    <row r="173" spans="1:10">
      <c r="A173" s="1375" t="s">
        <v>713</v>
      </c>
      <c r="B173" s="1375" t="s">
        <v>2920</v>
      </c>
      <c r="C173" s="1375" t="s">
        <v>1760</v>
      </c>
      <c r="D173" s="1375">
        <v>0</v>
      </c>
      <c r="E173" s="1922">
        <v>0</v>
      </c>
      <c r="F173" s="1922">
        <v>0</v>
      </c>
      <c r="G173" s="1922">
        <v>0</v>
      </c>
      <c r="H173" s="1922">
        <v>0</v>
      </c>
      <c r="I173" s="1375"/>
      <c r="J173" s="1375" t="str">
        <f t="shared" si="2"/>
        <v>Eugene Water &amp; Electric Board2022</v>
      </c>
    </row>
    <row r="174" spans="1:10">
      <c r="A174" s="1375" t="s">
        <v>713</v>
      </c>
      <c r="B174" s="1375" t="s">
        <v>2920</v>
      </c>
      <c r="C174" s="1375" t="s">
        <v>1761</v>
      </c>
      <c r="D174" s="1375">
        <v>0</v>
      </c>
      <c r="E174" s="1922">
        <v>0</v>
      </c>
      <c r="F174" s="1922">
        <v>0</v>
      </c>
      <c r="G174" s="1922">
        <v>0</v>
      </c>
      <c r="H174" s="1922">
        <v>0</v>
      </c>
      <c r="I174" s="1375"/>
      <c r="J174" s="1375" t="str">
        <f t="shared" si="2"/>
        <v>Eugene Water &amp; Electric Board2023</v>
      </c>
    </row>
    <row r="175" spans="1:10">
      <c r="A175" s="1375" t="s">
        <v>713</v>
      </c>
      <c r="B175" s="1375" t="s">
        <v>2920</v>
      </c>
      <c r="C175" s="1375" t="s">
        <v>2922</v>
      </c>
      <c r="D175" s="1375">
        <v>0</v>
      </c>
      <c r="E175" s="1922">
        <v>0</v>
      </c>
      <c r="F175" s="1922">
        <v>0</v>
      </c>
      <c r="G175" s="1922">
        <v>0</v>
      </c>
      <c r="H175" s="1922">
        <v>0</v>
      </c>
      <c r="I175" s="1375"/>
      <c r="J175" s="1375" t="str">
        <f t="shared" si="2"/>
        <v>Eugene Water &amp; Electric Board2024</v>
      </c>
    </row>
    <row r="176" spans="1:10">
      <c r="A176" s="1375" t="s">
        <v>713</v>
      </c>
      <c r="B176" s="1375" t="s">
        <v>2920</v>
      </c>
      <c r="C176" s="1375" t="s">
        <v>2944</v>
      </c>
      <c r="D176" s="1375">
        <v>0</v>
      </c>
      <c r="E176" s="1922">
        <v>0</v>
      </c>
      <c r="F176" s="1922">
        <v>0</v>
      </c>
      <c r="G176" s="1922">
        <v>0</v>
      </c>
      <c r="H176" s="1922">
        <v>0</v>
      </c>
      <c r="I176" s="1375"/>
      <c r="J176" s="1375" t="str">
        <f t="shared" si="2"/>
        <v>Eugene Water &amp; Electric Board2025</v>
      </c>
    </row>
    <row r="177" spans="1:10">
      <c r="A177" s="1375" t="s">
        <v>716</v>
      </c>
      <c r="B177" s="1375" t="s">
        <v>2919</v>
      </c>
      <c r="C177" s="1375" t="s">
        <v>3013</v>
      </c>
      <c r="D177" s="1375">
        <v>6.4199999999999993E-2</v>
      </c>
      <c r="E177" s="1922">
        <v>6.4199999999999993E-2</v>
      </c>
      <c r="F177" s="1922">
        <v>0</v>
      </c>
      <c r="G177" s="1922">
        <v>0</v>
      </c>
      <c r="H177" s="1922">
        <v>0</v>
      </c>
      <c r="I177" s="1375"/>
      <c r="J177" s="1375" t="str">
        <f t="shared" si="2"/>
        <v>Idaho Power Company1997</v>
      </c>
    </row>
    <row r="178" spans="1:10">
      <c r="A178" s="1375" t="s">
        <v>716</v>
      </c>
      <c r="B178" s="1375" t="s">
        <v>2919</v>
      </c>
      <c r="C178" s="1375" t="s">
        <v>3014</v>
      </c>
      <c r="D178" s="1375">
        <v>6.4199999999999993E-2</v>
      </c>
      <c r="E178" s="1922">
        <v>6.4199999999999993E-2</v>
      </c>
      <c r="F178" s="1922">
        <v>0</v>
      </c>
      <c r="G178" s="1922">
        <v>0</v>
      </c>
      <c r="H178" s="1922">
        <v>0</v>
      </c>
      <c r="I178" s="1375"/>
      <c r="J178" s="1375" t="str">
        <f t="shared" si="2"/>
        <v>Idaho Power Company1998</v>
      </c>
    </row>
    <row r="179" spans="1:10">
      <c r="A179" s="1375" t="s">
        <v>716</v>
      </c>
      <c r="B179" s="1375" t="s">
        <v>2919</v>
      </c>
      <c r="C179" s="1375" t="s">
        <v>3015</v>
      </c>
      <c r="D179" s="1375">
        <v>6.4199999999999993E-2</v>
      </c>
      <c r="E179" s="1922">
        <v>6.4199999999999993E-2</v>
      </c>
      <c r="F179" s="1922">
        <v>0</v>
      </c>
      <c r="G179" s="1922">
        <v>0</v>
      </c>
      <c r="H179" s="1922">
        <v>0</v>
      </c>
      <c r="I179" s="1375"/>
      <c r="J179" s="1375" t="str">
        <f t="shared" si="2"/>
        <v>Idaho Power Company1999</v>
      </c>
    </row>
    <row r="180" spans="1:10">
      <c r="A180" s="1375" t="s">
        <v>716</v>
      </c>
      <c r="B180" s="1375" t="s">
        <v>2919</v>
      </c>
      <c r="C180" s="1375" t="s">
        <v>3016</v>
      </c>
      <c r="D180" s="1375">
        <v>6.4199999999999993E-2</v>
      </c>
      <c r="E180" s="1922">
        <v>6.4199999999999993E-2</v>
      </c>
      <c r="F180" s="1922">
        <v>0</v>
      </c>
      <c r="G180" s="1922">
        <v>0</v>
      </c>
      <c r="H180" s="1922">
        <v>0</v>
      </c>
      <c r="I180" s="1375"/>
      <c r="J180" s="1375" t="str">
        <f t="shared" si="2"/>
        <v>Idaho Power Company2000</v>
      </c>
    </row>
    <row r="181" spans="1:10">
      <c r="A181" s="1375" t="s">
        <v>716</v>
      </c>
      <c r="B181" s="1375" t="s">
        <v>2919</v>
      </c>
      <c r="C181" s="1375" t="s">
        <v>3017</v>
      </c>
      <c r="D181" s="1375">
        <v>6.4199999999999993E-2</v>
      </c>
      <c r="E181" s="1922">
        <v>6.4199999999999993E-2</v>
      </c>
      <c r="F181" s="1922">
        <v>0</v>
      </c>
      <c r="G181" s="1922">
        <v>0</v>
      </c>
      <c r="H181" s="1922">
        <v>0</v>
      </c>
      <c r="I181" s="1375"/>
      <c r="J181" s="1375" t="str">
        <f t="shared" si="2"/>
        <v>Idaho Power Company2001</v>
      </c>
    </row>
    <row r="182" spans="1:10">
      <c r="A182" s="1375" t="s">
        <v>716</v>
      </c>
      <c r="B182" s="1375" t="s">
        <v>2919</v>
      </c>
      <c r="C182" s="1375" t="s">
        <v>3018</v>
      </c>
      <c r="D182" s="1375">
        <v>6.4199999999999993E-2</v>
      </c>
      <c r="E182" s="1922">
        <v>6.4199999999999993E-2</v>
      </c>
      <c r="F182" s="1922">
        <v>0</v>
      </c>
      <c r="G182" s="1922">
        <v>0</v>
      </c>
      <c r="H182" s="1922">
        <v>0</v>
      </c>
      <c r="I182" s="1375"/>
      <c r="J182" s="1375" t="str">
        <f t="shared" si="2"/>
        <v>Idaho Power Company2002</v>
      </c>
    </row>
    <row r="183" spans="1:10">
      <c r="A183" s="1375" t="s">
        <v>716</v>
      </c>
      <c r="B183" s="1375" t="s">
        <v>2919</v>
      </c>
      <c r="C183" s="1375" t="s">
        <v>3019</v>
      </c>
      <c r="D183" s="1375">
        <v>6.4199999999999993E-2</v>
      </c>
      <c r="E183" s="1922">
        <v>6.4199999999999993E-2</v>
      </c>
      <c r="F183" s="1922">
        <v>0</v>
      </c>
      <c r="G183" s="1922">
        <v>0</v>
      </c>
      <c r="H183" s="1922">
        <v>0</v>
      </c>
      <c r="I183" s="1375"/>
      <c r="J183" s="1375" t="str">
        <f t="shared" si="2"/>
        <v>Idaho Power Company2003</v>
      </c>
    </row>
    <row r="184" spans="1:10">
      <c r="A184" s="1375" t="s">
        <v>716</v>
      </c>
      <c r="B184" s="1375" t="s">
        <v>2919</v>
      </c>
      <c r="C184" s="1375" t="s">
        <v>3020</v>
      </c>
      <c r="D184" s="1375">
        <v>6.4199999999999993E-2</v>
      </c>
      <c r="E184" s="1922">
        <v>6.4199999999999993E-2</v>
      </c>
      <c r="F184" s="1922">
        <v>0</v>
      </c>
      <c r="G184" s="1922">
        <v>0</v>
      </c>
      <c r="H184" s="1922">
        <v>0</v>
      </c>
      <c r="I184" s="1375"/>
      <c r="J184" s="1375" t="str">
        <f t="shared" si="2"/>
        <v>Idaho Power Company2004</v>
      </c>
    </row>
    <row r="185" spans="1:10">
      <c r="A185" s="1375" t="s">
        <v>716</v>
      </c>
      <c r="B185" s="1375" t="s">
        <v>2919</v>
      </c>
      <c r="C185" s="1375" t="s">
        <v>3021</v>
      </c>
      <c r="D185" s="1375">
        <v>6.4199999999999993E-2</v>
      </c>
      <c r="E185" s="1922">
        <v>6.4199999999999993E-2</v>
      </c>
      <c r="F185" s="1922">
        <v>0</v>
      </c>
      <c r="G185" s="1922">
        <v>0</v>
      </c>
      <c r="H185" s="1922">
        <v>0</v>
      </c>
      <c r="I185" s="1375"/>
      <c r="J185" s="1375" t="str">
        <f t="shared" si="2"/>
        <v>Idaho Power Company2005</v>
      </c>
    </row>
    <row r="186" spans="1:10">
      <c r="A186" s="1375" t="s">
        <v>716</v>
      </c>
      <c r="B186" s="1375" t="s">
        <v>2919</v>
      </c>
      <c r="C186" s="1375" t="s">
        <v>3022</v>
      </c>
      <c r="D186" s="1375">
        <v>6.4199999999999993E-2</v>
      </c>
      <c r="E186" s="1922">
        <v>6.4199999999999993E-2</v>
      </c>
      <c r="F186" s="1922">
        <v>0</v>
      </c>
      <c r="G186" s="1922">
        <v>0</v>
      </c>
      <c r="H186" s="1922">
        <v>0</v>
      </c>
      <c r="I186" s="1375"/>
      <c r="J186" s="1375" t="str">
        <f t="shared" si="2"/>
        <v>Idaho Power Company2006</v>
      </c>
    </row>
    <row r="187" spans="1:10">
      <c r="A187" s="1375" t="s">
        <v>716</v>
      </c>
      <c r="B187" s="1375" t="s">
        <v>2919</v>
      </c>
      <c r="C187" s="1375" t="s">
        <v>3023</v>
      </c>
      <c r="D187" s="1375">
        <v>6.4199999999999993E-2</v>
      </c>
      <c r="E187" s="1922">
        <v>6.4199999999999993E-2</v>
      </c>
      <c r="F187" s="1922">
        <v>0</v>
      </c>
      <c r="G187" s="1922">
        <v>0</v>
      </c>
      <c r="H187" s="1922">
        <v>0</v>
      </c>
      <c r="I187" s="1375"/>
      <c r="J187" s="1375" t="str">
        <f t="shared" si="2"/>
        <v>Idaho Power Company2007</v>
      </c>
    </row>
    <row r="188" spans="1:10">
      <c r="A188" s="1375" t="s">
        <v>716</v>
      </c>
      <c r="B188" s="1375" t="s">
        <v>2919</v>
      </c>
      <c r="C188" s="1375" t="s">
        <v>3024</v>
      </c>
      <c r="D188" s="1375">
        <v>6.4199999999999993E-2</v>
      </c>
      <c r="E188" s="1922">
        <v>6.4199999999999993E-2</v>
      </c>
      <c r="F188" s="1922">
        <v>0</v>
      </c>
      <c r="G188" s="1922">
        <v>0</v>
      </c>
      <c r="H188" s="1922">
        <v>0</v>
      </c>
      <c r="I188" s="1375"/>
      <c r="J188" s="1375" t="str">
        <f t="shared" si="2"/>
        <v>Idaho Power Company2008</v>
      </c>
    </row>
    <row r="189" spans="1:10">
      <c r="A189" s="1375" t="s">
        <v>716</v>
      </c>
      <c r="B189" s="1375" t="s">
        <v>2919</v>
      </c>
      <c r="C189" s="1375" t="s">
        <v>3025</v>
      </c>
      <c r="D189" s="1375">
        <v>6.4199999999999993E-2</v>
      </c>
      <c r="E189" s="1922">
        <v>6.4199999999999993E-2</v>
      </c>
      <c r="F189" s="1922">
        <v>0</v>
      </c>
      <c r="G189" s="1922">
        <v>0</v>
      </c>
      <c r="H189" s="1922">
        <v>0</v>
      </c>
      <c r="I189" s="1375"/>
      <c r="J189" s="1375" t="str">
        <f t="shared" si="2"/>
        <v>Idaho Power Company2009</v>
      </c>
    </row>
    <row r="190" spans="1:10">
      <c r="A190" s="1375" t="s">
        <v>716</v>
      </c>
      <c r="B190" s="1375" t="s">
        <v>2919</v>
      </c>
      <c r="C190" s="1375" t="s">
        <v>3026</v>
      </c>
      <c r="D190" s="1375">
        <v>8.7499999999999994E-2</v>
      </c>
      <c r="E190" s="1922">
        <v>8.7499999999999994E-2</v>
      </c>
      <c r="F190" s="1922">
        <v>0</v>
      </c>
      <c r="G190" s="1922">
        <v>0</v>
      </c>
      <c r="H190" s="1922">
        <v>0</v>
      </c>
      <c r="I190" s="1375"/>
      <c r="J190" s="1375" t="str">
        <f t="shared" si="2"/>
        <v>Idaho Power Company2010</v>
      </c>
    </row>
    <row r="191" spans="1:10">
      <c r="A191" s="1375" t="s">
        <v>716</v>
      </c>
      <c r="B191" s="1375" t="s">
        <v>2919</v>
      </c>
      <c r="C191" s="1375" t="s">
        <v>3027</v>
      </c>
      <c r="D191" s="1375">
        <v>8.7499999999999994E-2</v>
      </c>
      <c r="E191" s="1922">
        <v>8.7499999999999994E-2</v>
      </c>
      <c r="F191" s="1922">
        <v>0</v>
      </c>
      <c r="G191" s="1922">
        <v>0</v>
      </c>
      <c r="H191" s="1922">
        <v>0</v>
      </c>
      <c r="I191" s="1375"/>
      <c r="J191" s="1375" t="str">
        <f t="shared" si="2"/>
        <v>Idaho Power Company2011</v>
      </c>
    </row>
    <row r="192" spans="1:10">
      <c r="A192" s="1375" t="s">
        <v>716</v>
      </c>
      <c r="B192" s="1375" t="s">
        <v>2919</v>
      </c>
      <c r="C192" s="1375" t="s">
        <v>3028</v>
      </c>
      <c r="D192" s="1375">
        <v>8.6699999999999999E-2</v>
      </c>
      <c r="E192" s="1922">
        <v>8.6699999999999999E-2</v>
      </c>
      <c r="F192" s="1922">
        <v>0</v>
      </c>
      <c r="G192" s="1922">
        <v>0</v>
      </c>
      <c r="H192" s="1922">
        <v>0</v>
      </c>
      <c r="I192" s="1375"/>
      <c r="J192" s="1375" t="str">
        <f t="shared" si="2"/>
        <v>Idaho Power Company2012</v>
      </c>
    </row>
    <row r="193" spans="1:10">
      <c r="A193" s="1375" t="s">
        <v>716</v>
      </c>
      <c r="B193" s="1375" t="s">
        <v>2919</v>
      </c>
      <c r="C193" s="1375" t="s">
        <v>3029</v>
      </c>
      <c r="D193" s="1375">
        <v>8.6699999999999999E-2</v>
      </c>
      <c r="E193" s="1922">
        <v>8.6699999999999999E-2</v>
      </c>
      <c r="F193" s="1922">
        <v>0</v>
      </c>
      <c r="G193" s="1922">
        <v>0</v>
      </c>
      <c r="H193" s="1922">
        <v>0</v>
      </c>
      <c r="I193" s="1375"/>
      <c r="J193" s="1375" t="str">
        <f t="shared" si="2"/>
        <v>Idaho Power Company2013</v>
      </c>
    </row>
    <row r="194" spans="1:10">
      <c r="A194" s="1375" t="s">
        <v>716</v>
      </c>
      <c r="B194" s="1375" t="s">
        <v>2919</v>
      </c>
      <c r="C194" s="1375" t="s">
        <v>3030</v>
      </c>
      <c r="D194" s="1375">
        <v>8.6699999999999999E-2</v>
      </c>
      <c r="E194" s="1922">
        <v>8.6699999999999999E-2</v>
      </c>
      <c r="F194" s="1922">
        <v>0</v>
      </c>
      <c r="G194" s="1922">
        <v>0</v>
      </c>
      <c r="H194" s="1922">
        <v>0</v>
      </c>
      <c r="I194" s="1375"/>
      <c r="J194" s="1375" t="str">
        <f t="shared" si="2"/>
        <v>Idaho Power Company2014</v>
      </c>
    </row>
    <row r="195" spans="1:10">
      <c r="A195" s="1375" t="s">
        <v>716</v>
      </c>
      <c r="B195" s="1375" t="s">
        <v>2919</v>
      </c>
      <c r="C195" s="1375" t="s">
        <v>3031</v>
      </c>
      <c r="D195" s="1375">
        <v>7.9799999999999996E-2</v>
      </c>
      <c r="E195" s="1922">
        <v>7.9799999999999996E-2</v>
      </c>
      <c r="F195" s="1922">
        <v>0</v>
      </c>
      <c r="G195" s="1922">
        <v>0</v>
      </c>
      <c r="H195" s="1922">
        <v>0</v>
      </c>
      <c r="I195" s="1375"/>
      <c r="J195" s="1375" t="str">
        <f t="shared" si="2"/>
        <v>Idaho Power Company2015</v>
      </c>
    </row>
    <row r="196" spans="1:10">
      <c r="A196" s="1375" t="s">
        <v>716</v>
      </c>
      <c r="B196" s="1375" t="s">
        <v>2919</v>
      </c>
      <c r="C196" s="1375" t="s">
        <v>3032</v>
      </c>
      <c r="D196" s="1375">
        <v>7.9799999999999996E-2</v>
      </c>
      <c r="E196" s="1922">
        <v>7.9799999999999996E-2</v>
      </c>
      <c r="F196" s="1922">
        <v>0</v>
      </c>
      <c r="G196" s="1922">
        <v>0</v>
      </c>
      <c r="H196" s="1922">
        <v>0</v>
      </c>
      <c r="I196" s="1375"/>
      <c r="J196" s="1375" t="str">
        <f t="shared" ref="J196:J259" si="3">A196&amp;C196</f>
        <v>Idaho Power Company2016</v>
      </c>
    </row>
    <row r="197" spans="1:10">
      <c r="A197" s="1375" t="s">
        <v>716</v>
      </c>
      <c r="B197" s="1375" t="s">
        <v>2919</v>
      </c>
      <c r="C197" s="1375" t="s">
        <v>3033</v>
      </c>
      <c r="D197" s="1375">
        <v>8.0100000000000005E-2</v>
      </c>
      <c r="E197" s="1922">
        <v>8.0100000000000005E-2</v>
      </c>
      <c r="F197" s="1922">
        <v>0</v>
      </c>
      <c r="G197" s="1922">
        <v>0</v>
      </c>
      <c r="H197" s="1922">
        <v>0</v>
      </c>
      <c r="I197" s="1375"/>
      <c r="J197" s="1375" t="str">
        <f t="shared" si="3"/>
        <v>Idaho Power Company2017</v>
      </c>
    </row>
    <row r="198" spans="1:10">
      <c r="A198" s="1375" t="s">
        <v>716</v>
      </c>
      <c r="B198" s="1375" t="s">
        <v>2919</v>
      </c>
      <c r="C198" s="1375" t="s">
        <v>277</v>
      </c>
      <c r="D198" s="1375">
        <v>8.0100000000000005E-2</v>
      </c>
      <c r="E198" s="1922">
        <v>8.0100000000000005E-2</v>
      </c>
      <c r="F198" s="1922">
        <v>0</v>
      </c>
      <c r="G198" s="1922">
        <v>0</v>
      </c>
      <c r="H198" s="1922">
        <v>0</v>
      </c>
      <c r="I198" s="1375"/>
      <c r="J198" s="1375" t="str">
        <f t="shared" si="3"/>
        <v>Idaho Power Company2018</v>
      </c>
    </row>
    <row r="199" spans="1:10">
      <c r="A199" s="1375" t="s">
        <v>716</v>
      </c>
      <c r="B199" s="1375" t="s">
        <v>2919</v>
      </c>
      <c r="C199" s="1375" t="s">
        <v>278</v>
      </c>
      <c r="D199" s="1375">
        <v>8.0100000000000005E-2</v>
      </c>
      <c r="E199" s="1922">
        <v>8.0100000000000005E-2</v>
      </c>
      <c r="F199" s="1922">
        <v>0</v>
      </c>
      <c r="G199" s="1922">
        <v>0</v>
      </c>
      <c r="H199" s="1922">
        <v>0</v>
      </c>
      <c r="I199" s="1375"/>
      <c r="J199" s="1375" t="str">
        <f t="shared" si="3"/>
        <v>Idaho Power Company2019</v>
      </c>
    </row>
    <row r="200" spans="1:10">
      <c r="A200" s="1375" t="s">
        <v>716</v>
      </c>
      <c r="B200" s="1375" t="s">
        <v>2919</v>
      </c>
      <c r="C200" s="1375" t="s">
        <v>3034</v>
      </c>
      <c r="D200" s="1375">
        <v>9.2317999999999997E-2</v>
      </c>
      <c r="E200" s="1922">
        <v>9.2317999999999997E-2</v>
      </c>
      <c r="F200" s="1922">
        <v>0</v>
      </c>
      <c r="G200" s="1922">
        <v>0</v>
      </c>
      <c r="H200" s="1922">
        <v>0</v>
      </c>
      <c r="I200" s="1375"/>
      <c r="J200" s="1375" t="str">
        <f t="shared" si="3"/>
        <v>Idaho Power Company2020</v>
      </c>
    </row>
    <row r="201" spans="1:10">
      <c r="A201" s="1375" t="s">
        <v>716</v>
      </c>
      <c r="B201" s="1375" t="s">
        <v>2919</v>
      </c>
      <c r="C201" s="1375" t="s">
        <v>3035</v>
      </c>
      <c r="D201" s="1375">
        <v>9.2317999999999997E-2</v>
      </c>
      <c r="E201" s="1922">
        <v>9.2317999999999997E-2</v>
      </c>
      <c r="F201" s="1922">
        <v>0</v>
      </c>
      <c r="G201" s="1922">
        <v>0</v>
      </c>
      <c r="H201" s="1922">
        <v>0</v>
      </c>
      <c r="I201" s="1375"/>
      <c r="J201" s="1375" t="str">
        <f t="shared" si="3"/>
        <v>Idaho Power Company2021</v>
      </c>
    </row>
    <row r="202" spans="1:10">
      <c r="A202" s="1375" t="s">
        <v>716</v>
      </c>
      <c r="B202" s="1375" t="s">
        <v>2919</v>
      </c>
      <c r="C202" s="1375" t="s">
        <v>1760</v>
      </c>
      <c r="D202" s="1375">
        <v>9.2317999999999997E-2</v>
      </c>
      <c r="E202" s="1922">
        <v>9.2317999999999997E-2</v>
      </c>
      <c r="F202" s="1922">
        <v>0</v>
      </c>
      <c r="G202" s="1922">
        <v>0</v>
      </c>
      <c r="H202" s="1922">
        <v>0</v>
      </c>
      <c r="I202" s="1375"/>
      <c r="J202" s="1375" t="str">
        <f t="shared" si="3"/>
        <v>Idaho Power Company2022</v>
      </c>
    </row>
    <row r="203" spans="1:10">
      <c r="A203" s="1375" t="s">
        <v>716</v>
      </c>
      <c r="B203" s="1375" t="s">
        <v>2919</v>
      </c>
      <c r="C203" s="1375" t="s">
        <v>1761</v>
      </c>
      <c r="D203" s="1375">
        <v>9.2317999999999997E-2</v>
      </c>
      <c r="E203" s="1922">
        <v>9.2317999999999997E-2</v>
      </c>
      <c r="F203" s="1922">
        <v>0</v>
      </c>
      <c r="G203" s="1922">
        <v>0</v>
      </c>
      <c r="H203" s="1922">
        <v>0</v>
      </c>
      <c r="I203" s="1375"/>
      <c r="J203" s="1375" t="str">
        <f t="shared" si="3"/>
        <v>Idaho Power Company2023</v>
      </c>
    </row>
    <row r="204" spans="1:10">
      <c r="A204" s="1375" t="s">
        <v>716</v>
      </c>
      <c r="B204" s="1375" t="s">
        <v>2919</v>
      </c>
      <c r="C204" s="1375" t="s">
        <v>2922</v>
      </c>
      <c r="D204" s="1375">
        <v>9.2317999999999997E-2</v>
      </c>
      <c r="E204" s="1922">
        <v>9.2317999999999997E-2</v>
      </c>
      <c r="F204" s="1922">
        <v>0</v>
      </c>
      <c r="G204" s="1922">
        <v>0</v>
      </c>
      <c r="H204" s="1922">
        <v>0</v>
      </c>
      <c r="I204" s="1375"/>
      <c r="J204" s="1375" t="str">
        <f t="shared" si="3"/>
        <v>Idaho Power Company2024</v>
      </c>
    </row>
    <row r="205" spans="1:10">
      <c r="A205" s="1375" t="s">
        <v>716</v>
      </c>
      <c r="B205" s="1375" t="s">
        <v>2919</v>
      </c>
      <c r="C205" s="1375" t="s">
        <v>2944</v>
      </c>
      <c r="D205" s="1375">
        <v>9.2317999999999997E-2</v>
      </c>
      <c r="E205" s="1922">
        <v>9.2317999999999997E-2</v>
      </c>
      <c r="F205" s="1922">
        <v>0</v>
      </c>
      <c r="G205" s="1922">
        <v>0</v>
      </c>
      <c r="H205" s="1922">
        <v>0</v>
      </c>
      <c r="I205" s="1375"/>
      <c r="J205" s="1375" t="str">
        <f t="shared" si="3"/>
        <v>Idaho Power Company2025</v>
      </c>
    </row>
    <row r="206" spans="1:10">
      <c r="A206" s="1375" t="s">
        <v>717</v>
      </c>
      <c r="B206" s="1375" t="s">
        <v>2919</v>
      </c>
      <c r="C206" s="1375" t="s">
        <v>3013</v>
      </c>
      <c r="D206" s="1375">
        <v>2.69E-2</v>
      </c>
      <c r="E206" s="1922">
        <v>0</v>
      </c>
      <c r="F206" s="1922">
        <v>2.69E-2</v>
      </c>
      <c r="G206" s="1922">
        <v>0</v>
      </c>
      <c r="H206" s="1922">
        <v>0</v>
      </c>
      <c r="I206" s="1375"/>
      <c r="J206" s="1375" t="str">
        <f t="shared" si="3"/>
        <v>NorthWestern Energy1997</v>
      </c>
    </row>
    <row r="207" spans="1:10">
      <c r="A207" s="1375" t="s">
        <v>717</v>
      </c>
      <c r="B207" s="1375" t="s">
        <v>2919</v>
      </c>
      <c r="C207" s="1375" t="s">
        <v>3014</v>
      </c>
      <c r="D207" s="1375">
        <v>2.69E-2</v>
      </c>
      <c r="E207" s="1922">
        <v>0</v>
      </c>
      <c r="F207" s="1922">
        <v>2.69E-2</v>
      </c>
      <c r="G207" s="1922">
        <v>0</v>
      </c>
      <c r="H207" s="1922">
        <v>0</v>
      </c>
      <c r="I207" s="1375"/>
      <c r="J207" s="1375" t="str">
        <f t="shared" si="3"/>
        <v>NorthWestern Energy1998</v>
      </c>
    </row>
    <row r="208" spans="1:10">
      <c r="A208" s="1375" t="s">
        <v>717</v>
      </c>
      <c r="B208" s="1375" t="s">
        <v>2919</v>
      </c>
      <c r="C208" s="1375" t="s">
        <v>3015</v>
      </c>
      <c r="D208" s="1375">
        <v>2.69E-2</v>
      </c>
      <c r="E208" s="1922">
        <v>0</v>
      </c>
      <c r="F208" s="1922">
        <v>2.69E-2</v>
      </c>
      <c r="G208" s="1922">
        <v>0</v>
      </c>
      <c r="H208" s="1922">
        <v>0</v>
      </c>
      <c r="I208" s="1375"/>
      <c r="J208" s="1375" t="str">
        <f t="shared" si="3"/>
        <v>NorthWestern Energy1999</v>
      </c>
    </row>
    <row r="209" spans="1:10">
      <c r="A209" s="1375" t="s">
        <v>717</v>
      </c>
      <c r="B209" s="1375" t="s">
        <v>2919</v>
      </c>
      <c r="C209" s="1375" t="s">
        <v>3016</v>
      </c>
      <c r="D209" s="1375">
        <v>2.69E-2</v>
      </c>
      <c r="E209" s="1922">
        <v>0</v>
      </c>
      <c r="F209" s="1922">
        <v>2.69E-2</v>
      </c>
      <c r="G209" s="1922">
        <v>0</v>
      </c>
      <c r="H209" s="1922">
        <v>0</v>
      </c>
      <c r="I209" s="1375"/>
      <c r="J209" s="1375" t="str">
        <f t="shared" si="3"/>
        <v>NorthWestern Energy2000</v>
      </c>
    </row>
    <row r="210" spans="1:10">
      <c r="A210" s="1375" t="s">
        <v>717</v>
      </c>
      <c r="B210" s="1375" t="s">
        <v>2919</v>
      </c>
      <c r="C210" s="1375" t="s">
        <v>3017</v>
      </c>
      <c r="D210" s="1375">
        <v>2.69E-2</v>
      </c>
      <c r="E210" s="1922">
        <v>0</v>
      </c>
      <c r="F210" s="1922">
        <v>2.69E-2</v>
      </c>
      <c r="G210" s="1922">
        <v>0</v>
      </c>
      <c r="H210" s="1922">
        <v>0</v>
      </c>
      <c r="I210" s="1375"/>
      <c r="J210" s="1375" t="str">
        <f t="shared" si="3"/>
        <v>NorthWestern Energy2001</v>
      </c>
    </row>
    <row r="211" spans="1:10">
      <c r="A211" s="1375" t="s">
        <v>717</v>
      </c>
      <c r="B211" s="1375" t="s">
        <v>2919</v>
      </c>
      <c r="C211" s="1375" t="s">
        <v>3018</v>
      </c>
      <c r="D211" s="1375">
        <v>2.69E-2</v>
      </c>
      <c r="E211" s="1922">
        <v>0</v>
      </c>
      <c r="F211" s="1922">
        <v>2.69E-2</v>
      </c>
      <c r="G211" s="1922">
        <v>0</v>
      </c>
      <c r="H211" s="1922">
        <v>0</v>
      </c>
      <c r="I211" s="1375"/>
      <c r="J211" s="1375" t="str">
        <f t="shared" si="3"/>
        <v>NorthWestern Energy2002</v>
      </c>
    </row>
    <row r="212" spans="1:10">
      <c r="A212" s="1375" t="s">
        <v>717</v>
      </c>
      <c r="B212" s="1375" t="s">
        <v>2919</v>
      </c>
      <c r="C212" s="1375" t="s">
        <v>3019</v>
      </c>
      <c r="D212" s="1375">
        <v>2.69E-2</v>
      </c>
      <c r="E212" s="1922">
        <v>0</v>
      </c>
      <c r="F212" s="1922">
        <v>2.69E-2</v>
      </c>
      <c r="G212" s="1922">
        <v>0</v>
      </c>
      <c r="H212" s="1922">
        <v>0</v>
      </c>
      <c r="I212" s="1375"/>
      <c r="J212" s="1375" t="str">
        <f t="shared" si="3"/>
        <v>NorthWestern Energy2003</v>
      </c>
    </row>
    <row r="213" spans="1:10">
      <c r="A213" s="1375" t="s">
        <v>717</v>
      </c>
      <c r="B213" s="1375" t="s">
        <v>2919</v>
      </c>
      <c r="C213" s="1375" t="s">
        <v>3020</v>
      </c>
      <c r="D213" s="1375">
        <v>2.69E-2</v>
      </c>
      <c r="E213" s="1922">
        <v>0</v>
      </c>
      <c r="F213" s="1922">
        <v>2.69E-2</v>
      </c>
      <c r="G213" s="1922">
        <v>0</v>
      </c>
      <c r="H213" s="1922">
        <v>0</v>
      </c>
      <c r="I213" s="1375"/>
      <c r="J213" s="1375" t="str">
        <f t="shared" si="3"/>
        <v>NorthWestern Energy2004</v>
      </c>
    </row>
    <row r="214" spans="1:10">
      <c r="A214" s="1375" t="s">
        <v>717</v>
      </c>
      <c r="B214" s="1375" t="s">
        <v>2919</v>
      </c>
      <c r="C214" s="1375" t="s">
        <v>3021</v>
      </c>
      <c r="D214" s="1375">
        <v>2.69E-2</v>
      </c>
      <c r="E214" s="1922">
        <v>0</v>
      </c>
      <c r="F214" s="1922">
        <v>2.69E-2</v>
      </c>
      <c r="G214" s="1922">
        <v>0</v>
      </c>
      <c r="H214" s="1922">
        <v>0</v>
      </c>
      <c r="I214" s="1375"/>
      <c r="J214" s="1375" t="str">
        <f t="shared" si="3"/>
        <v>NorthWestern Energy2005</v>
      </c>
    </row>
    <row r="215" spans="1:10">
      <c r="A215" s="1375" t="s">
        <v>717</v>
      </c>
      <c r="B215" s="1375" t="s">
        <v>2919</v>
      </c>
      <c r="C215" s="1375" t="s">
        <v>3022</v>
      </c>
      <c r="D215" s="1375">
        <v>2.69E-2</v>
      </c>
      <c r="E215" s="1922">
        <v>0</v>
      </c>
      <c r="F215" s="1922">
        <v>2.69E-2</v>
      </c>
      <c r="G215" s="1922">
        <v>0</v>
      </c>
      <c r="H215" s="1922">
        <v>0</v>
      </c>
      <c r="I215" s="1375"/>
      <c r="J215" s="1375" t="str">
        <f t="shared" si="3"/>
        <v>NorthWestern Energy2006</v>
      </c>
    </row>
    <row r="216" spans="1:10">
      <c r="A216" s="1375" t="s">
        <v>717</v>
      </c>
      <c r="B216" s="1375" t="s">
        <v>2919</v>
      </c>
      <c r="C216" s="1375" t="s">
        <v>3023</v>
      </c>
      <c r="D216" s="1375">
        <v>2.69E-2</v>
      </c>
      <c r="E216" s="1922">
        <v>0</v>
      </c>
      <c r="F216" s="1922">
        <v>2.69E-2</v>
      </c>
      <c r="G216" s="1922">
        <v>0</v>
      </c>
      <c r="H216" s="1922">
        <v>0</v>
      </c>
      <c r="I216" s="1375"/>
      <c r="J216" s="1375" t="str">
        <f t="shared" si="3"/>
        <v>NorthWestern Energy2007</v>
      </c>
    </row>
    <row r="217" spans="1:10">
      <c r="A217" s="1375" t="s">
        <v>717</v>
      </c>
      <c r="B217" s="1375" t="s">
        <v>2919</v>
      </c>
      <c r="C217" s="1375" t="s">
        <v>3024</v>
      </c>
      <c r="D217" s="1375">
        <v>2.69E-2</v>
      </c>
      <c r="E217" s="1922">
        <v>0</v>
      </c>
      <c r="F217" s="1922">
        <v>2.69E-2</v>
      </c>
      <c r="G217" s="1922">
        <v>0</v>
      </c>
      <c r="H217" s="1922">
        <v>0</v>
      </c>
      <c r="I217" s="1375"/>
      <c r="J217" s="1375" t="str">
        <f t="shared" si="3"/>
        <v>NorthWestern Energy2008</v>
      </c>
    </row>
    <row r="218" spans="1:10">
      <c r="A218" s="1375" t="s">
        <v>717</v>
      </c>
      <c r="B218" s="1375" t="s">
        <v>2919</v>
      </c>
      <c r="C218" s="1375" t="s">
        <v>3025</v>
      </c>
      <c r="D218" s="1375">
        <v>2.69E-2</v>
      </c>
      <c r="E218" s="1922">
        <v>0</v>
      </c>
      <c r="F218" s="1922">
        <v>2.69E-2</v>
      </c>
      <c r="G218" s="1922">
        <v>0</v>
      </c>
      <c r="H218" s="1922">
        <v>0</v>
      </c>
      <c r="I218" s="1375"/>
      <c r="J218" s="1375" t="str">
        <f t="shared" si="3"/>
        <v>NorthWestern Energy2009</v>
      </c>
    </row>
    <row r="219" spans="1:10">
      <c r="A219" s="1375" t="s">
        <v>717</v>
      </c>
      <c r="B219" s="1375" t="s">
        <v>2919</v>
      </c>
      <c r="C219" s="1375" t="s">
        <v>3026</v>
      </c>
      <c r="D219" s="1375">
        <v>3.8699999999999998E-2</v>
      </c>
      <c r="E219" s="1922">
        <v>0</v>
      </c>
      <c r="F219" s="1922">
        <v>3.8699999999999998E-2</v>
      </c>
      <c r="G219" s="1922">
        <v>0</v>
      </c>
      <c r="H219" s="1922">
        <v>0</v>
      </c>
      <c r="I219" s="1375"/>
      <c r="J219" s="1375" t="str">
        <f t="shared" si="3"/>
        <v>NorthWestern Energy2010</v>
      </c>
    </row>
    <row r="220" spans="1:10">
      <c r="A220" s="1375" t="s">
        <v>717</v>
      </c>
      <c r="B220" s="1375" t="s">
        <v>2919</v>
      </c>
      <c r="C220" s="1375" t="s">
        <v>3027</v>
      </c>
      <c r="D220" s="1375">
        <v>3.8699999999999998E-2</v>
      </c>
      <c r="E220" s="1922">
        <v>0</v>
      </c>
      <c r="F220" s="1922">
        <v>3.8699999999999998E-2</v>
      </c>
      <c r="G220" s="1922">
        <v>0</v>
      </c>
      <c r="H220" s="1922">
        <v>0</v>
      </c>
      <c r="I220" s="1375"/>
      <c r="J220" s="1375" t="str">
        <f t="shared" si="3"/>
        <v>NorthWestern Energy2011</v>
      </c>
    </row>
    <row r="221" spans="1:10">
      <c r="A221" s="1375" t="s">
        <v>717</v>
      </c>
      <c r="B221" s="1375" t="s">
        <v>2919</v>
      </c>
      <c r="C221" s="1375" t="s">
        <v>3028</v>
      </c>
      <c r="D221" s="1375">
        <v>3.8399999999999997E-2</v>
      </c>
      <c r="E221" s="1922">
        <v>0</v>
      </c>
      <c r="F221" s="1922">
        <v>3.8399999999999997E-2</v>
      </c>
      <c r="G221" s="1922">
        <v>0</v>
      </c>
      <c r="H221" s="1922">
        <v>0</v>
      </c>
      <c r="I221" s="1375"/>
      <c r="J221" s="1375" t="str">
        <f t="shared" si="3"/>
        <v>NorthWestern Energy2012</v>
      </c>
    </row>
    <row r="222" spans="1:10">
      <c r="A222" s="1375" t="s">
        <v>717</v>
      </c>
      <c r="B222" s="1375" t="s">
        <v>2919</v>
      </c>
      <c r="C222" s="1375" t="s">
        <v>3029</v>
      </c>
      <c r="D222" s="1375">
        <v>3.8399999999999997E-2</v>
      </c>
      <c r="E222" s="1922">
        <v>0</v>
      </c>
      <c r="F222" s="1922">
        <v>3.8399999999999997E-2</v>
      </c>
      <c r="G222" s="1922">
        <v>0</v>
      </c>
      <c r="H222" s="1922">
        <v>0</v>
      </c>
      <c r="I222" s="1375"/>
      <c r="J222" s="1375" t="str">
        <f t="shared" si="3"/>
        <v>NorthWestern Energy2013</v>
      </c>
    </row>
    <row r="223" spans="1:10">
      <c r="A223" s="1375" t="s">
        <v>717</v>
      </c>
      <c r="B223" s="1375" t="s">
        <v>2919</v>
      </c>
      <c r="C223" s="1375" t="s">
        <v>3030</v>
      </c>
      <c r="D223" s="1375">
        <v>3.8399999999999997E-2</v>
      </c>
      <c r="E223" s="1922">
        <v>0</v>
      </c>
      <c r="F223" s="1922">
        <v>3.8399999999999997E-2</v>
      </c>
      <c r="G223" s="1922">
        <v>0</v>
      </c>
      <c r="H223" s="1922">
        <v>0</v>
      </c>
      <c r="I223" s="1375"/>
      <c r="J223" s="1375" t="str">
        <f t="shared" si="3"/>
        <v>NorthWestern Energy2014</v>
      </c>
    </row>
    <row r="224" spans="1:10">
      <c r="A224" s="1375" t="s">
        <v>717</v>
      </c>
      <c r="B224" s="1375" t="s">
        <v>2919</v>
      </c>
      <c r="C224" s="1375" t="s">
        <v>3031</v>
      </c>
      <c r="D224" s="1375">
        <v>3.8600000000000002E-2</v>
      </c>
      <c r="E224" s="1922">
        <v>0</v>
      </c>
      <c r="F224" s="1922">
        <v>3.8600000000000002E-2</v>
      </c>
      <c r="G224" s="1922">
        <v>0</v>
      </c>
      <c r="H224" s="1922">
        <v>0</v>
      </c>
      <c r="I224" s="1375"/>
      <c r="J224" s="1375" t="str">
        <f t="shared" si="3"/>
        <v>NorthWestern Energy2015</v>
      </c>
    </row>
    <row r="225" spans="1:10">
      <c r="A225" s="1375" t="s">
        <v>717</v>
      </c>
      <c r="B225" s="1375" t="s">
        <v>2919</v>
      </c>
      <c r="C225" s="1375" t="s">
        <v>3032</v>
      </c>
      <c r="D225" s="1375">
        <v>3.8600000000000002E-2</v>
      </c>
      <c r="E225" s="1922">
        <v>0</v>
      </c>
      <c r="F225" s="1922">
        <v>3.8600000000000002E-2</v>
      </c>
      <c r="G225" s="1922">
        <v>0</v>
      </c>
      <c r="H225" s="1922">
        <v>0</v>
      </c>
      <c r="I225" s="1375"/>
      <c r="J225" s="1375" t="str">
        <f t="shared" si="3"/>
        <v>NorthWestern Energy2016</v>
      </c>
    </row>
    <row r="226" spans="1:10">
      <c r="A226" s="1375" t="s">
        <v>717</v>
      </c>
      <c r="B226" s="1375" t="s">
        <v>2919</v>
      </c>
      <c r="C226" s="1375" t="s">
        <v>3033</v>
      </c>
      <c r="D226" s="1375">
        <v>3.8699999999999998E-2</v>
      </c>
      <c r="E226" s="1922">
        <v>0</v>
      </c>
      <c r="F226" s="1922">
        <v>3.8699999999999998E-2</v>
      </c>
      <c r="G226" s="1922">
        <v>0</v>
      </c>
      <c r="H226" s="1922">
        <v>0</v>
      </c>
      <c r="I226" s="1375"/>
      <c r="J226" s="1375" t="str">
        <f t="shared" si="3"/>
        <v>NorthWestern Energy2017</v>
      </c>
    </row>
    <row r="227" spans="1:10">
      <c r="A227" s="1375" t="s">
        <v>717</v>
      </c>
      <c r="B227" s="1375" t="s">
        <v>2919</v>
      </c>
      <c r="C227" s="1375" t="s">
        <v>277</v>
      </c>
      <c r="D227" s="1375">
        <v>3.8699999999999998E-2</v>
      </c>
      <c r="E227" s="1922">
        <v>0</v>
      </c>
      <c r="F227" s="1922">
        <v>3.8699999999999998E-2</v>
      </c>
      <c r="G227" s="1922">
        <v>0</v>
      </c>
      <c r="H227" s="1922">
        <v>0</v>
      </c>
      <c r="I227" s="1375"/>
      <c r="J227" s="1375" t="str">
        <f t="shared" si="3"/>
        <v>NorthWestern Energy2018</v>
      </c>
    </row>
    <row r="228" spans="1:10">
      <c r="A228" s="1375" t="s">
        <v>717</v>
      </c>
      <c r="B228" s="1375" t="s">
        <v>2919</v>
      </c>
      <c r="C228" s="1375" t="s">
        <v>278</v>
      </c>
      <c r="D228" s="1375">
        <v>3.8699999999999998E-2</v>
      </c>
      <c r="E228" s="1922">
        <v>0</v>
      </c>
      <c r="F228" s="1922">
        <v>3.8699999999999998E-2</v>
      </c>
      <c r="G228" s="1922">
        <v>0</v>
      </c>
      <c r="H228" s="1922">
        <v>0</v>
      </c>
      <c r="I228" s="1375"/>
      <c r="J228" s="1375" t="str">
        <f t="shared" si="3"/>
        <v>NorthWestern Energy2019</v>
      </c>
    </row>
    <row r="229" spans="1:10">
      <c r="A229" s="1375" t="s">
        <v>717</v>
      </c>
      <c r="B229" s="1375" t="s">
        <v>2919</v>
      </c>
      <c r="C229" s="1375" t="s">
        <v>3034</v>
      </c>
      <c r="D229" s="1375">
        <v>4.0902000000000001E-2</v>
      </c>
      <c r="E229" s="1922">
        <v>0</v>
      </c>
      <c r="F229" s="1922">
        <v>4.0902000000000001E-2</v>
      </c>
      <c r="G229" s="1922">
        <v>0</v>
      </c>
      <c r="H229" s="1922">
        <v>0</v>
      </c>
      <c r="I229" s="1375"/>
      <c r="J229" s="1375" t="str">
        <f t="shared" si="3"/>
        <v>NorthWestern Energy2020</v>
      </c>
    </row>
    <row r="230" spans="1:10">
      <c r="A230" s="1375" t="s">
        <v>717</v>
      </c>
      <c r="B230" s="1375" t="s">
        <v>2919</v>
      </c>
      <c r="C230" s="1375" t="s">
        <v>3035</v>
      </c>
      <c r="D230" s="1375">
        <v>4.0902000000000001E-2</v>
      </c>
      <c r="E230" s="1922">
        <v>0</v>
      </c>
      <c r="F230" s="1922">
        <v>4.0902000000000001E-2</v>
      </c>
      <c r="G230" s="1922">
        <v>0</v>
      </c>
      <c r="H230" s="1922">
        <v>0</v>
      </c>
      <c r="I230" s="1375"/>
      <c r="J230" s="1375" t="str">
        <f t="shared" si="3"/>
        <v>NorthWestern Energy2021</v>
      </c>
    </row>
    <row r="231" spans="1:10">
      <c r="A231" s="1375" t="s">
        <v>717</v>
      </c>
      <c r="B231" s="1375" t="s">
        <v>2919</v>
      </c>
      <c r="C231" s="1375" t="s">
        <v>1760</v>
      </c>
      <c r="D231" s="1375">
        <v>4.0902000000000001E-2</v>
      </c>
      <c r="E231" s="1922">
        <v>0</v>
      </c>
      <c r="F231" s="1922">
        <v>4.0902000000000001E-2</v>
      </c>
      <c r="G231" s="1922">
        <v>0</v>
      </c>
      <c r="H231" s="1922">
        <v>0</v>
      </c>
      <c r="I231" s="1375"/>
      <c r="J231" s="1375" t="str">
        <f t="shared" si="3"/>
        <v>NorthWestern Energy2022</v>
      </c>
    </row>
    <row r="232" spans="1:10">
      <c r="A232" s="1375" t="s">
        <v>717</v>
      </c>
      <c r="B232" s="1375" t="s">
        <v>2919</v>
      </c>
      <c r="C232" s="1375" t="s">
        <v>1761</v>
      </c>
      <c r="D232" s="1375">
        <v>4.0902000000000001E-2</v>
      </c>
      <c r="E232" s="1922">
        <v>0</v>
      </c>
      <c r="F232" s="1922">
        <v>4.0902000000000001E-2</v>
      </c>
      <c r="G232" s="1922">
        <v>0</v>
      </c>
      <c r="H232" s="1922">
        <v>0</v>
      </c>
      <c r="I232" s="1375"/>
      <c r="J232" s="1375" t="str">
        <f t="shared" si="3"/>
        <v>NorthWestern Energy2023</v>
      </c>
    </row>
    <row r="233" spans="1:10">
      <c r="A233" s="1375" t="s">
        <v>717</v>
      </c>
      <c r="B233" s="1375" t="s">
        <v>2919</v>
      </c>
      <c r="C233" s="1375" t="s">
        <v>2922</v>
      </c>
      <c r="D233" s="1375">
        <v>4.0902000000000001E-2</v>
      </c>
      <c r="E233" s="1922">
        <v>0</v>
      </c>
      <c r="F233" s="1922">
        <v>4.0902000000000001E-2</v>
      </c>
      <c r="G233" s="1922">
        <v>0</v>
      </c>
      <c r="H233" s="1922">
        <v>0</v>
      </c>
      <c r="I233" s="1375"/>
      <c r="J233" s="1375" t="str">
        <f t="shared" si="3"/>
        <v>NorthWestern Energy2024</v>
      </c>
    </row>
    <row r="234" spans="1:10">
      <c r="A234" s="1375" t="s">
        <v>717</v>
      </c>
      <c r="B234" s="1375" t="s">
        <v>2919</v>
      </c>
      <c r="C234" s="1375" t="s">
        <v>2944</v>
      </c>
      <c r="D234" s="1375">
        <v>4.0902000000000001E-2</v>
      </c>
      <c r="E234" s="1922">
        <v>0</v>
      </c>
      <c r="F234" s="1922">
        <v>4.0902000000000001E-2</v>
      </c>
      <c r="G234" s="1922">
        <v>0</v>
      </c>
      <c r="H234" s="1922">
        <v>0</v>
      </c>
      <c r="I234" s="1375"/>
      <c r="J234" s="1375" t="str">
        <f t="shared" si="3"/>
        <v>NorthWestern Energy2025</v>
      </c>
    </row>
    <row r="235" spans="1:10">
      <c r="A235" s="1375" t="s">
        <v>718</v>
      </c>
      <c r="B235" s="1375" t="s">
        <v>2919</v>
      </c>
      <c r="C235" s="1375" t="s">
        <v>3013</v>
      </c>
      <c r="D235" s="1375">
        <v>2.5600000000000001E-2</v>
      </c>
      <c r="E235" s="1922">
        <v>0</v>
      </c>
      <c r="F235" s="1922">
        <v>0</v>
      </c>
      <c r="G235" s="1922">
        <v>0</v>
      </c>
      <c r="H235" s="1922">
        <v>2.5600000000000001E-2</v>
      </c>
      <c r="I235" s="1375"/>
      <c r="J235" s="1375" t="str">
        <f t="shared" si="3"/>
        <v>Pacific Power1997</v>
      </c>
    </row>
    <row r="236" spans="1:10">
      <c r="A236" s="1375" t="s">
        <v>718</v>
      </c>
      <c r="B236" s="1375" t="s">
        <v>2919</v>
      </c>
      <c r="C236" s="1375" t="s">
        <v>3014</v>
      </c>
      <c r="D236" s="1375">
        <v>2.5600000000000001E-2</v>
      </c>
      <c r="E236" s="1922">
        <v>0</v>
      </c>
      <c r="F236" s="1922">
        <v>0</v>
      </c>
      <c r="G236" s="1922">
        <v>0</v>
      </c>
      <c r="H236" s="1922">
        <v>2.5600000000000001E-2</v>
      </c>
      <c r="I236" s="1375"/>
      <c r="J236" s="1375" t="str">
        <f t="shared" si="3"/>
        <v>Pacific Power1998</v>
      </c>
    </row>
    <row r="237" spans="1:10">
      <c r="A237" s="1375" t="s">
        <v>718</v>
      </c>
      <c r="B237" s="1375" t="s">
        <v>2919</v>
      </c>
      <c r="C237" s="1375" t="s">
        <v>3015</v>
      </c>
      <c r="D237" s="1375">
        <v>2.5600000000000001E-2</v>
      </c>
      <c r="E237" s="1922">
        <v>0</v>
      </c>
      <c r="F237" s="1922">
        <v>0</v>
      </c>
      <c r="G237" s="1922">
        <v>0</v>
      </c>
      <c r="H237" s="1922">
        <v>2.5600000000000001E-2</v>
      </c>
      <c r="I237" s="1375"/>
      <c r="J237" s="1375" t="str">
        <f t="shared" si="3"/>
        <v>Pacific Power1999</v>
      </c>
    </row>
    <row r="238" spans="1:10">
      <c r="A238" s="1375" t="s">
        <v>718</v>
      </c>
      <c r="B238" s="1375" t="s">
        <v>2919</v>
      </c>
      <c r="C238" s="1375" t="s">
        <v>3016</v>
      </c>
      <c r="D238" s="1375">
        <v>2.5600000000000001E-2</v>
      </c>
      <c r="E238" s="1922">
        <v>0</v>
      </c>
      <c r="F238" s="1922">
        <v>0</v>
      </c>
      <c r="G238" s="1922">
        <v>0</v>
      </c>
      <c r="H238" s="1922">
        <v>2.5600000000000001E-2</v>
      </c>
      <c r="I238" s="1375"/>
      <c r="J238" s="1375" t="str">
        <f t="shared" si="3"/>
        <v>Pacific Power2000</v>
      </c>
    </row>
    <row r="239" spans="1:10">
      <c r="A239" s="1375" t="s">
        <v>718</v>
      </c>
      <c r="B239" s="1375" t="s">
        <v>2919</v>
      </c>
      <c r="C239" s="1375" t="s">
        <v>3017</v>
      </c>
      <c r="D239" s="1375">
        <v>2.5600000000000001E-2</v>
      </c>
      <c r="E239" s="1922">
        <v>0</v>
      </c>
      <c r="F239" s="1922">
        <v>0</v>
      </c>
      <c r="G239" s="1922">
        <v>0</v>
      </c>
      <c r="H239" s="1922">
        <v>2.5600000000000001E-2</v>
      </c>
      <c r="I239" s="1375"/>
      <c r="J239" s="1375" t="str">
        <f t="shared" si="3"/>
        <v>Pacific Power2001</v>
      </c>
    </row>
    <row r="240" spans="1:10">
      <c r="A240" s="1375" t="s">
        <v>718</v>
      </c>
      <c r="B240" s="1375" t="s">
        <v>2919</v>
      </c>
      <c r="C240" s="1375" t="s">
        <v>3018</v>
      </c>
      <c r="D240" s="1375">
        <v>2.5600000000000001E-2</v>
      </c>
      <c r="E240" s="1922">
        <v>0</v>
      </c>
      <c r="F240" s="1922">
        <v>0</v>
      </c>
      <c r="G240" s="1922">
        <v>0</v>
      </c>
      <c r="H240" s="1922">
        <v>2.5600000000000001E-2</v>
      </c>
      <c r="I240" s="1375"/>
      <c r="J240" s="1375" t="str">
        <f t="shared" si="3"/>
        <v>Pacific Power2002</v>
      </c>
    </row>
    <row r="241" spans="1:10">
      <c r="A241" s="1375" t="s">
        <v>718</v>
      </c>
      <c r="B241" s="1375" t="s">
        <v>2919</v>
      </c>
      <c r="C241" s="1375" t="s">
        <v>3019</v>
      </c>
      <c r="D241" s="1375">
        <v>2.5600000000000001E-2</v>
      </c>
      <c r="E241" s="1922">
        <v>0</v>
      </c>
      <c r="F241" s="1922">
        <v>0</v>
      </c>
      <c r="G241" s="1922">
        <v>0</v>
      </c>
      <c r="H241" s="1922">
        <v>2.5600000000000001E-2</v>
      </c>
      <c r="I241" s="1375"/>
      <c r="J241" s="1375" t="str">
        <f t="shared" si="3"/>
        <v>Pacific Power2003</v>
      </c>
    </row>
    <row r="242" spans="1:10">
      <c r="A242" s="1375" t="s">
        <v>718</v>
      </c>
      <c r="B242" s="1375" t="s">
        <v>2919</v>
      </c>
      <c r="C242" s="1375" t="s">
        <v>3020</v>
      </c>
      <c r="D242" s="1375">
        <v>2.5600000000000001E-2</v>
      </c>
      <c r="E242" s="1922">
        <v>0</v>
      </c>
      <c r="F242" s="1922">
        <v>0</v>
      </c>
      <c r="G242" s="1922">
        <v>0</v>
      </c>
      <c r="H242" s="1922">
        <v>2.5600000000000001E-2</v>
      </c>
      <c r="I242" s="1375"/>
      <c r="J242" s="1375" t="str">
        <f t="shared" si="3"/>
        <v>Pacific Power2004</v>
      </c>
    </row>
    <row r="243" spans="1:10">
      <c r="A243" s="1375" t="s">
        <v>718</v>
      </c>
      <c r="B243" s="1375" t="s">
        <v>2919</v>
      </c>
      <c r="C243" s="1375" t="s">
        <v>3021</v>
      </c>
      <c r="D243" s="1375">
        <v>2.5600000000000001E-2</v>
      </c>
      <c r="E243" s="1922">
        <v>0</v>
      </c>
      <c r="F243" s="1922">
        <v>0</v>
      </c>
      <c r="G243" s="1922">
        <v>0</v>
      </c>
      <c r="H243" s="1922">
        <v>2.5600000000000001E-2</v>
      </c>
      <c r="I243" s="1375"/>
      <c r="J243" s="1375" t="str">
        <f t="shared" si="3"/>
        <v>Pacific Power2005</v>
      </c>
    </row>
    <row r="244" spans="1:10">
      <c r="A244" s="1375" t="s">
        <v>718</v>
      </c>
      <c r="B244" s="1375" t="s">
        <v>2919</v>
      </c>
      <c r="C244" s="1375" t="s">
        <v>3022</v>
      </c>
      <c r="D244" s="1375">
        <v>2.5600000000000001E-2</v>
      </c>
      <c r="E244" s="1922">
        <v>0</v>
      </c>
      <c r="F244" s="1922">
        <v>0</v>
      </c>
      <c r="G244" s="1922">
        <v>0</v>
      </c>
      <c r="H244" s="1922">
        <v>2.5600000000000001E-2</v>
      </c>
      <c r="I244" s="1375"/>
      <c r="J244" s="1375" t="str">
        <f t="shared" si="3"/>
        <v>Pacific Power2006</v>
      </c>
    </row>
    <row r="245" spans="1:10">
      <c r="A245" s="1375" t="s">
        <v>718</v>
      </c>
      <c r="B245" s="1375" t="s">
        <v>2919</v>
      </c>
      <c r="C245" s="1375" t="s">
        <v>3023</v>
      </c>
      <c r="D245" s="1375">
        <v>2.5600000000000001E-2</v>
      </c>
      <c r="E245" s="1922">
        <v>0</v>
      </c>
      <c r="F245" s="1922">
        <v>0</v>
      </c>
      <c r="G245" s="1922">
        <v>0</v>
      </c>
      <c r="H245" s="1922">
        <v>2.5600000000000001E-2</v>
      </c>
      <c r="I245" s="1375"/>
      <c r="J245" s="1375" t="str">
        <f t="shared" si="3"/>
        <v>Pacific Power2007</v>
      </c>
    </row>
    <row r="246" spans="1:10">
      <c r="A246" s="1375" t="s">
        <v>718</v>
      </c>
      <c r="B246" s="1375" t="s">
        <v>2919</v>
      </c>
      <c r="C246" s="1375" t="s">
        <v>3024</v>
      </c>
      <c r="D246" s="1375">
        <v>2.5600000000000001E-2</v>
      </c>
      <c r="E246" s="1922">
        <v>0</v>
      </c>
      <c r="F246" s="1922">
        <v>0</v>
      </c>
      <c r="G246" s="1922">
        <v>0</v>
      </c>
      <c r="H246" s="1922">
        <v>2.5600000000000001E-2</v>
      </c>
      <c r="I246" s="1375"/>
      <c r="J246" s="1375" t="str">
        <f t="shared" si="3"/>
        <v>Pacific Power2008</v>
      </c>
    </row>
    <row r="247" spans="1:10">
      <c r="A247" s="1375" t="s">
        <v>718</v>
      </c>
      <c r="B247" s="1375" t="s">
        <v>2919</v>
      </c>
      <c r="C247" s="1375" t="s">
        <v>3025</v>
      </c>
      <c r="D247" s="1375">
        <v>2.5600000000000001E-2</v>
      </c>
      <c r="E247" s="1922">
        <v>0</v>
      </c>
      <c r="F247" s="1922">
        <v>0</v>
      </c>
      <c r="G247" s="1922">
        <v>0</v>
      </c>
      <c r="H247" s="1922">
        <v>2.5600000000000001E-2</v>
      </c>
      <c r="I247" s="1375"/>
      <c r="J247" s="1375" t="str">
        <f t="shared" si="3"/>
        <v>Pacific Power2009</v>
      </c>
    </row>
    <row r="248" spans="1:10">
      <c r="A248" s="1375" t="s">
        <v>718</v>
      </c>
      <c r="B248" s="1375" t="s">
        <v>2919</v>
      </c>
      <c r="C248" s="1375" t="s">
        <v>3026</v>
      </c>
      <c r="D248" s="1375">
        <v>3.04E-2</v>
      </c>
      <c r="E248" s="1922">
        <v>0</v>
      </c>
      <c r="F248" s="1922">
        <v>0</v>
      </c>
      <c r="G248" s="1922">
        <v>0</v>
      </c>
      <c r="H248" s="1922">
        <v>3.04E-2</v>
      </c>
      <c r="I248" s="1375"/>
      <c r="J248" s="1375" t="str">
        <f t="shared" si="3"/>
        <v>Pacific Power2010</v>
      </c>
    </row>
    <row r="249" spans="1:10">
      <c r="A249" s="1375" t="s">
        <v>718</v>
      </c>
      <c r="B249" s="1375" t="s">
        <v>2919</v>
      </c>
      <c r="C249" s="1375" t="s">
        <v>3027</v>
      </c>
      <c r="D249" s="1375">
        <v>3.04E-2</v>
      </c>
      <c r="E249" s="1922">
        <v>0</v>
      </c>
      <c r="F249" s="1922">
        <v>0</v>
      </c>
      <c r="G249" s="1922">
        <v>0</v>
      </c>
      <c r="H249" s="1922">
        <v>3.04E-2</v>
      </c>
      <c r="I249" s="1375"/>
      <c r="J249" s="1375" t="str">
        <f t="shared" si="3"/>
        <v>Pacific Power2011</v>
      </c>
    </row>
    <row r="250" spans="1:10">
      <c r="A250" s="1375" t="s">
        <v>718</v>
      </c>
      <c r="B250" s="1375" t="s">
        <v>2919</v>
      </c>
      <c r="C250" s="1375" t="s">
        <v>3028</v>
      </c>
      <c r="D250" s="1375">
        <v>3.0099999999999998E-2</v>
      </c>
      <c r="E250" s="1922">
        <v>0</v>
      </c>
      <c r="F250" s="1922">
        <v>0</v>
      </c>
      <c r="G250" s="1922">
        <v>0</v>
      </c>
      <c r="H250" s="1922">
        <v>3.0099999999999998E-2</v>
      </c>
      <c r="I250" s="1375"/>
      <c r="J250" s="1375" t="str">
        <f t="shared" si="3"/>
        <v>Pacific Power2012</v>
      </c>
    </row>
    <row r="251" spans="1:10">
      <c r="A251" s="1375" t="s">
        <v>718</v>
      </c>
      <c r="B251" s="1375" t="s">
        <v>2919</v>
      </c>
      <c r="C251" s="1375" t="s">
        <v>3029</v>
      </c>
      <c r="D251" s="1375">
        <v>3.0099999999999998E-2</v>
      </c>
      <c r="E251" s="1922">
        <v>0</v>
      </c>
      <c r="F251" s="1922">
        <v>0</v>
      </c>
      <c r="G251" s="1922">
        <v>0</v>
      </c>
      <c r="H251" s="1922">
        <v>3.0099999999999998E-2</v>
      </c>
      <c r="I251" s="1375"/>
      <c r="J251" s="1375" t="str">
        <f t="shared" si="3"/>
        <v>Pacific Power2013</v>
      </c>
    </row>
    <row r="252" spans="1:10">
      <c r="A252" s="1375" t="s">
        <v>718</v>
      </c>
      <c r="B252" s="1375" t="s">
        <v>2919</v>
      </c>
      <c r="C252" s="1375" t="s">
        <v>3030</v>
      </c>
      <c r="D252" s="1375">
        <v>3.0099999999999998E-2</v>
      </c>
      <c r="E252" s="1922">
        <v>0</v>
      </c>
      <c r="F252" s="1922">
        <v>0</v>
      </c>
      <c r="G252" s="1922">
        <v>0</v>
      </c>
      <c r="H252" s="1922">
        <v>3.0099999999999998E-2</v>
      </c>
      <c r="I252" s="1375"/>
      <c r="J252" s="1375" t="str">
        <f t="shared" si="3"/>
        <v>Pacific Power2014</v>
      </c>
    </row>
    <row r="253" spans="1:10">
      <c r="A253" s="1375" t="s">
        <v>718</v>
      </c>
      <c r="B253" s="1375" t="s">
        <v>2919</v>
      </c>
      <c r="C253" s="1375" t="s">
        <v>3031</v>
      </c>
      <c r="D253" s="1375">
        <v>2.5399999999999999E-2</v>
      </c>
      <c r="E253" s="1922">
        <v>0</v>
      </c>
      <c r="F253" s="1922">
        <v>0</v>
      </c>
      <c r="G253" s="1922">
        <v>0</v>
      </c>
      <c r="H253" s="1922">
        <v>2.5399999999999999E-2</v>
      </c>
      <c r="I253" s="1375"/>
      <c r="J253" s="1375" t="str">
        <f t="shared" si="3"/>
        <v>Pacific Power2015</v>
      </c>
    </row>
    <row r="254" spans="1:10">
      <c r="A254" s="1375" t="s">
        <v>718</v>
      </c>
      <c r="B254" s="1375" t="s">
        <v>2919</v>
      </c>
      <c r="C254" s="1375" t="s">
        <v>3032</v>
      </c>
      <c r="D254" s="1375">
        <v>2.5399999999999999E-2</v>
      </c>
      <c r="E254" s="1922">
        <v>0</v>
      </c>
      <c r="F254" s="1922">
        <v>0</v>
      </c>
      <c r="G254" s="1922">
        <v>0</v>
      </c>
      <c r="H254" s="1922">
        <v>2.5399999999999999E-2</v>
      </c>
      <c r="I254" s="1375"/>
      <c r="J254" s="1375" t="str">
        <f t="shared" si="3"/>
        <v>Pacific Power2016</v>
      </c>
    </row>
    <row r="255" spans="1:10">
      <c r="A255" s="1375" t="s">
        <v>718</v>
      </c>
      <c r="B255" s="1375" t="s">
        <v>2919</v>
      </c>
      <c r="C255" s="1375" t="s">
        <v>3033</v>
      </c>
      <c r="D255" s="1375">
        <v>2.5499999999999998E-2</v>
      </c>
      <c r="E255" s="1922">
        <v>0</v>
      </c>
      <c r="F255" s="1922">
        <v>0</v>
      </c>
      <c r="G255" s="1922">
        <v>0</v>
      </c>
      <c r="H255" s="1922">
        <v>2.5499999999999998E-2</v>
      </c>
      <c r="I255" s="1375"/>
      <c r="J255" s="1375" t="str">
        <f t="shared" si="3"/>
        <v>Pacific Power2017</v>
      </c>
    </row>
    <row r="256" spans="1:10">
      <c r="A256" s="1375" t="s">
        <v>718</v>
      </c>
      <c r="B256" s="1375" t="s">
        <v>2919</v>
      </c>
      <c r="C256" s="1375" t="s">
        <v>277</v>
      </c>
      <c r="D256" s="1375">
        <v>2.5499999999999998E-2</v>
      </c>
      <c r="E256" s="1922">
        <v>0</v>
      </c>
      <c r="F256" s="1922">
        <v>0</v>
      </c>
      <c r="G256" s="1922">
        <v>0</v>
      </c>
      <c r="H256" s="1922">
        <v>2.5499999999999998E-2</v>
      </c>
      <c r="I256" s="1375"/>
      <c r="J256" s="1375" t="str">
        <f t="shared" si="3"/>
        <v>Pacific Power2018</v>
      </c>
    </row>
    <row r="257" spans="1:10">
      <c r="A257" s="1375" t="s">
        <v>718</v>
      </c>
      <c r="B257" s="1375" t="s">
        <v>2919</v>
      </c>
      <c r="C257" s="1375" t="s">
        <v>278</v>
      </c>
      <c r="D257" s="1375">
        <v>2.5499999999999998E-2</v>
      </c>
      <c r="E257" s="1922">
        <v>0</v>
      </c>
      <c r="F257" s="1922">
        <v>0</v>
      </c>
      <c r="G257" s="1922">
        <v>0</v>
      </c>
      <c r="H257" s="1922">
        <v>2.5499999999999998E-2</v>
      </c>
      <c r="I257" s="1375"/>
      <c r="J257" s="1375" t="str">
        <f t="shared" si="3"/>
        <v>Pacific Power2019</v>
      </c>
    </row>
    <row r="258" spans="1:10">
      <c r="A258" s="1375" t="s">
        <v>718</v>
      </c>
      <c r="B258" s="1375" t="s">
        <v>2919</v>
      </c>
      <c r="C258" s="1375" t="s">
        <v>3034</v>
      </c>
      <c r="D258" s="1375">
        <v>2.5529E-2</v>
      </c>
      <c r="E258" s="1922">
        <v>0</v>
      </c>
      <c r="F258" s="1922">
        <v>0</v>
      </c>
      <c r="G258" s="1922">
        <v>0</v>
      </c>
      <c r="H258" s="1922">
        <v>2.5529E-2</v>
      </c>
      <c r="I258" s="1375"/>
      <c r="J258" s="1375" t="str">
        <f t="shared" si="3"/>
        <v>Pacific Power2020</v>
      </c>
    </row>
    <row r="259" spans="1:10">
      <c r="A259" s="1375" t="s">
        <v>718</v>
      </c>
      <c r="B259" s="1375" t="s">
        <v>2919</v>
      </c>
      <c r="C259" s="1375" t="s">
        <v>3035</v>
      </c>
      <c r="D259" s="1375">
        <v>2.5529E-2</v>
      </c>
      <c r="E259" s="1922">
        <v>0</v>
      </c>
      <c r="F259" s="1922">
        <v>0</v>
      </c>
      <c r="G259" s="1922">
        <v>0</v>
      </c>
      <c r="H259" s="1922">
        <v>2.5529E-2</v>
      </c>
      <c r="I259" s="1375"/>
      <c r="J259" s="1375" t="str">
        <f t="shared" si="3"/>
        <v>Pacific Power2021</v>
      </c>
    </row>
    <row r="260" spans="1:10">
      <c r="A260" s="1375" t="s">
        <v>718</v>
      </c>
      <c r="B260" s="1375" t="s">
        <v>2919</v>
      </c>
      <c r="C260" s="1375" t="s">
        <v>1760</v>
      </c>
      <c r="D260" s="1375">
        <v>2.5529E-2</v>
      </c>
      <c r="E260" s="1922">
        <v>0</v>
      </c>
      <c r="F260" s="1922">
        <v>0</v>
      </c>
      <c r="G260" s="1922">
        <v>0</v>
      </c>
      <c r="H260" s="1922">
        <v>2.5529E-2</v>
      </c>
      <c r="I260" s="1375"/>
      <c r="J260" s="1375" t="str">
        <f t="shared" ref="J260:J323" si="4">A260&amp;C260</f>
        <v>Pacific Power2022</v>
      </c>
    </row>
    <row r="261" spans="1:10">
      <c r="A261" s="1375" t="s">
        <v>718</v>
      </c>
      <c r="B261" s="1375" t="s">
        <v>2919</v>
      </c>
      <c r="C261" s="1375" t="s">
        <v>1761</v>
      </c>
      <c r="D261" s="1375">
        <v>2.5529E-2</v>
      </c>
      <c r="E261" s="1922">
        <v>0</v>
      </c>
      <c r="F261" s="1922">
        <v>0</v>
      </c>
      <c r="G261" s="1922">
        <v>0</v>
      </c>
      <c r="H261" s="1922">
        <v>2.5529E-2</v>
      </c>
      <c r="I261" s="1375"/>
      <c r="J261" s="1375" t="str">
        <f t="shared" si="4"/>
        <v>Pacific Power2023</v>
      </c>
    </row>
    <row r="262" spans="1:10">
      <c r="A262" s="1375" t="s">
        <v>718</v>
      </c>
      <c r="B262" s="1375" t="s">
        <v>2919</v>
      </c>
      <c r="C262" s="1375" t="s">
        <v>2922</v>
      </c>
      <c r="D262" s="1375">
        <v>2.5529E-2</v>
      </c>
      <c r="E262" s="1922">
        <v>0</v>
      </c>
      <c r="F262" s="1922">
        <v>0</v>
      </c>
      <c r="G262" s="1922">
        <v>0</v>
      </c>
      <c r="H262" s="1922">
        <v>2.5529E-2</v>
      </c>
      <c r="I262" s="1375"/>
      <c r="J262" s="1375" t="str">
        <f t="shared" si="4"/>
        <v>Pacific Power2024</v>
      </c>
    </row>
    <row r="263" spans="1:10">
      <c r="A263" s="1375" t="s">
        <v>718</v>
      </c>
      <c r="B263" s="1375" t="s">
        <v>2919</v>
      </c>
      <c r="C263" s="1375" t="s">
        <v>2944</v>
      </c>
      <c r="D263" s="1375">
        <v>2.5529E-2</v>
      </c>
      <c r="E263" s="1922">
        <v>0</v>
      </c>
      <c r="F263" s="1922">
        <v>0</v>
      </c>
      <c r="G263" s="1922">
        <v>0</v>
      </c>
      <c r="H263" s="1922">
        <v>2.5529E-2</v>
      </c>
      <c r="I263" s="1375"/>
      <c r="J263" s="1375" t="str">
        <f t="shared" si="4"/>
        <v>Pacific Power2025</v>
      </c>
    </row>
    <row r="264" spans="1:10">
      <c r="A264" s="1375" t="s">
        <v>707</v>
      </c>
      <c r="B264" s="1375" t="s">
        <v>2919</v>
      </c>
      <c r="C264" s="1375" t="s">
        <v>3013</v>
      </c>
      <c r="D264" s="1375">
        <v>2.5999999999999999E-3</v>
      </c>
      <c r="E264" s="1922">
        <v>0</v>
      </c>
      <c r="F264" s="1922">
        <v>0</v>
      </c>
      <c r="G264" s="1922">
        <v>0</v>
      </c>
      <c r="H264" s="1922">
        <v>2.5999999999999999E-3</v>
      </c>
      <c r="I264" s="1375"/>
      <c r="J264" s="1375" t="str">
        <f t="shared" si="4"/>
        <v>Cowlitz County PUD1997</v>
      </c>
    </row>
    <row r="265" spans="1:10">
      <c r="A265" s="1375" t="s">
        <v>707</v>
      </c>
      <c r="B265" s="1375" t="s">
        <v>2919</v>
      </c>
      <c r="C265" s="1375" t="s">
        <v>3014</v>
      </c>
      <c r="D265" s="1375">
        <v>2.5999999999999999E-3</v>
      </c>
      <c r="E265" s="1922">
        <v>0</v>
      </c>
      <c r="F265" s="1922">
        <v>0</v>
      </c>
      <c r="G265" s="1922">
        <v>0</v>
      </c>
      <c r="H265" s="1922">
        <v>2.5999999999999999E-3</v>
      </c>
      <c r="I265" s="1375"/>
      <c r="J265" s="1375" t="str">
        <f t="shared" si="4"/>
        <v>Cowlitz County PUD1998</v>
      </c>
    </row>
    <row r="266" spans="1:10">
      <c r="A266" s="1375" t="s">
        <v>707</v>
      </c>
      <c r="B266" s="1375" t="s">
        <v>2919</v>
      </c>
      <c r="C266" s="1375" t="s">
        <v>3015</v>
      </c>
      <c r="D266" s="1375">
        <v>2.5999999999999999E-3</v>
      </c>
      <c r="E266" s="1922">
        <v>0</v>
      </c>
      <c r="F266" s="1922">
        <v>0</v>
      </c>
      <c r="G266" s="1922">
        <v>0</v>
      </c>
      <c r="H266" s="1922">
        <v>2.5999999999999999E-3</v>
      </c>
      <c r="I266" s="1375"/>
      <c r="J266" s="1375" t="str">
        <f t="shared" si="4"/>
        <v>Cowlitz County PUD1999</v>
      </c>
    </row>
    <row r="267" spans="1:10">
      <c r="A267" s="1375" t="s">
        <v>707</v>
      </c>
      <c r="B267" s="1375" t="s">
        <v>2919</v>
      </c>
      <c r="C267" s="1375" t="s">
        <v>3016</v>
      </c>
      <c r="D267" s="1375">
        <v>2.5999999999999999E-3</v>
      </c>
      <c r="E267" s="1922">
        <v>0</v>
      </c>
      <c r="F267" s="1922">
        <v>0</v>
      </c>
      <c r="G267" s="1922">
        <v>0</v>
      </c>
      <c r="H267" s="1922">
        <v>2.5999999999999999E-3</v>
      </c>
      <c r="I267" s="1375"/>
      <c r="J267" s="1375" t="str">
        <f t="shared" si="4"/>
        <v>Cowlitz County PUD2000</v>
      </c>
    </row>
    <row r="268" spans="1:10">
      <c r="A268" s="1375" t="s">
        <v>707</v>
      </c>
      <c r="B268" s="1375" t="s">
        <v>2919</v>
      </c>
      <c r="C268" s="1375" t="s">
        <v>3017</v>
      </c>
      <c r="D268" s="1375">
        <v>2.5999999999999999E-3</v>
      </c>
      <c r="E268" s="1922">
        <v>0</v>
      </c>
      <c r="F268" s="1922">
        <v>0</v>
      </c>
      <c r="G268" s="1922">
        <v>0</v>
      </c>
      <c r="H268" s="1922">
        <v>2.5999999999999999E-3</v>
      </c>
      <c r="I268" s="1375"/>
      <c r="J268" s="1375" t="str">
        <f t="shared" si="4"/>
        <v>Cowlitz County PUD2001</v>
      </c>
    </row>
    <row r="269" spans="1:10">
      <c r="A269" s="1375" t="s">
        <v>707</v>
      </c>
      <c r="B269" s="1375" t="s">
        <v>2919</v>
      </c>
      <c r="C269" s="1375" t="s">
        <v>3018</v>
      </c>
      <c r="D269" s="1375">
        <v>2.5999999999999999E-3</v>
      </c>
      <c r="E269" s="1922">
        <v>0</v>
      </c>
      <c r="F269" s="1922">
        <v>0</v>
      </c>
      <c r="G269" s="1922">
        <v>0</v>
      </c>
      <c r="H269" s="1922">
        <v>2.5999999999999999E-3</v>
      </c>
      <c r="I269" s="1375"/>
      <c r="J269" s="1375" t="str">
        <f t="shared" si="4"/>
        <v>Cowlitz County PUD2002</v>
      </c>
    </row>
    <row r="270" spans="1:10">
      <c r="A270" s="1375" t="s">
        <v>707</v>
      </c>
      <c r="B270" s="1375" t="s">
        <v>2919</v>
      </c>
      <c r="C270" s="1375" t="s">
        <v>3019</v>
      </c>
      <c r="D270" s="1375">
        <v>2.5999999999999999E-3</v>
      </c>
      <c r="E270" s="1922">
        <v>0</v>
      </c>
      <c r="F270" s="1922">
        <v>0</v>
      </c>
      <c r="G270" s="1922">
        <v>0</v>
      </c>
      <c r="H270" s="1922">
        <v>2.5999999999999999E-3</v>
      </c>
      <c r="I270" s="1375"/>
      <c r="J270" s="1375" t="str">
        <f t="shared" si="4"/>
        <v>Cowlitz County PUD2003</v>
      </c>
    </row>
    <row r="271" spans="1:10">
      <c r="A271" s="1375" t="s">
        <v>707</v>
      </c>
      <c r="B271" s="1375" t="s">
        <v>2919</v>
      </c>
      <c r="C271" s="1375" t="s">
        <v>3020</v>
      </c>
      <c r="D271" s="1375">
        <v>2.5999999999999999E-3</v>
      </c>
      <c r="E271" s="1922">
        <v>0</v>
      </c>
      <c r="F271" s="1922">
        <v>0</v>
      </c>
      <c r="G271" s="1922">
        <v>0</v>
      </c>
      <c r="H271" s="1922">
        <v>2.5999999999999999E-3</v>
      </c>
      <c r="I271" s="1375"/>
      <c r="J271" s="1375" t="str">
        <f t="shared" si="4"/>
        <v>Cowlitz County PUD2004</v>
      </c>
    </row>
    <row r="272" spans="1:10">
      <c r="A272" s="1375" t="s">
        <v>707</v>
      </c>
      <c r="B272" s="1375" t="s">
        <v>2919</v>
      </c>
      <c r="C272" s="1375" t="s">
        <v>3021</v>
      </c>
      <c r="D272" s="1375">
        <v>2.5999999999999999E-3</v>
      </c>
      <c r="E272" s="1922">
        <v>0</v>
      </c>
      <c r="F272" s="1922">
        <v>0</v>
      </c>
      <c r="G272" s="1922">
        <v>0</v>
      </c>
      <c r="H272" s="1922">
        <v>2.5999999999999999E-3</v>
      </c>
      <c r="I272" s="1375"/>
      <c r="J272" s="1375" t="str">
        <f t="shared" si="4"/>
        <v>Cowlitz County PUD2005</v>
      </c>
    </row>
    <row r="273" spans="1:10">
      <c r="A273" s="1375" t="s">
        <v>707</v>
      </c>
      <c r="B273" s="1375" t="s">
        <v>2919</v>
      </c>
      <c r="C273" s="1375" t="s">
        <v>3022</v>
      </c>
      <c r="D273" s="1375">
        <v>2.5999999999999999E-3</v>
      </c>
      <c r="E273" s="1922">
        <v>0</v>
      </c>
      <c r="F273" s="1922">
        <v>0</v>
      </c>
      <c r="G273" s="1922">
        <v>0</v>
      </c>
      <c r="H273" s="1922">
        <v>2.5999999999999999E-3</v>
      </c>
      <c r="I273" s="1375"/>
      <c r="J273" s="1375" t="str">
        <f t="shared" si="4"/>
        <v>Cowlitz County PUD2006</v>
      </c>
    </row>
    <row r="274" spans="1:10">
      <c r="A274" s="1375" t="s">
        <v>707</v>
      </c>
      <c r="B274" s="1375" t="s">
        <v>2919</v>
      </c>
      <c r="C274" s="1375" t="s">
        <v>3023</v>
      </c>
      <c r="D274" s="1375">
        <v>2.5999999999999999E-3</v>
      </c>
      <c r="E274" s="1922">
        <v>0</v>
      </c>
      <c r="F274" s="1922">
        <v>0</v>
      </c>
      <c r="G274" s="1922">
        <v>0</v>
      </c>
      <c r="H274" s="1922">
        <v>2.5999999999999999E-3</v>
      </c>
      <c r="I274" s="1375"/>
      <c r="J274" s="1375" t="str">
        <f t="shared" si="4"/>
        <v>Cowlitz County PUD2007</v>
      </c>
    </row>
    <row r="275" spans="1:10">
      <c r="A275" s="1375" t="s">
        <v>707</v>
      </c>
      <c r="B275" s="1375" t="s">
        <v>2919</v>
      </c>
      <c r="C275" s="1375" t="s">
        <v>3024</v>
      </c>
      <c r="D275" s="1375">
        <v>2.5999999999999999E-3</v>
      </c>
      <c r="E275" s="1922">
        <v>0</v>
      </c>
      <c r="F275" s="1922">
        <v>0</v>
      </c>
      <c r="G275" s="1922">
        <v>0</v>
      </c>
      <c r="H275" s="1922">
        <v>2.5999999999999999E-3</v>
      </c>
      <c r="I275" s="1375"/>
      <c r="J275" s="1375" t="str">
        <f t="shared" si="4"/>
        <v>Cowlitz County PUD2008</v>
      </c>
    </row>
    <row r="276" spans="1:10">
      <c r="A276" s="1375" t="s">
        <v>707</v>
      </c>
      <c r="B276" s="1375" t="s">
        <v>2919</v>
      </c>
      <c r="C276" s="1375" t="s">
        <v>3025</v>
      </c>
      <c r="D276" s="1375">
        <v>2.5999999999999999E-3</v>
      </c>
      <c r="E276" s="1922">
        <v>0</v>
      </c>
      <c r="F276" s="1922">
        <v>0</v>
      </c>
      <c r="G276" s="1922">
        <v>0</v>
      </c>
      <c r="H276" s="1922">
        <v>2.5999999999999999E-3</v>
      </c>
      <c r="I276" s="1375"/>
      <c r="J276" s="1375" t="str">
        <f t="shared" si="4"/>
        <v>Cowlitz County PUD2009</v>
      </c>
    </row>
    <row r="277" spans="1:10">
      <c r="A277" s="1375" t="s">
        <v>707</v>
      </c>
      <c r="B277" s="1375" t="s">
        <v>2919</v>
      </c>
      <c r="C277" s="1375" t="s">
        <v>3026</v>
      </c>
      <c r="D277" s="1375">
        <v>2.8999999999999998E-3</v>
      </c>
      <c r="E277" s="1922">
        <v>0</v>
      </c>
      <c r="F277" s="1922">
        <v>0</v>
      </c>
      <c r="G277" s="1922">
        <v>0</v>
      </c>
      <c r="H277" s="1922">
        <v>2.8999999999999998E-3</v>
      </c>
      <c r="I277" s="1375"/>
      <c r="J277" s="1375" t="str">
        <f t="shared" si="4"/>
        <v>Cowlitz County PUD2010</v>
      </c>
    </row>
    <row r="278" spans="1:10">
      <c r="A278" s="1375" t="s">
        <v>707</v>
      </c>
      <c r="B278" s="1375" t="s">
        <v>2919</v>
      </c>
      <c r="C278" s="1375" t="s">
        <v>3027</v>
      </c>
      <c r="D278" s="1375">
        <v>2.8999999999999998E-3</v>
      </c>
      <c r="E278" s="1922">
        <v>0</v>
      </c>
      <c r="F278" s="1922">
        <v>0</v>
      </c>
      <c r="G278" s="1922">
        <v>0</v>
      </c>
      <c r="H278" s="1922">
        <v>2.8999999999999998E-3</v>
      </c>
      <c r="I278" s="1375"/>
      <c r="J278" s="1375" t="str">
        <f t="shared" si="4"/>
        <v>Cowlitz County PUD2011</v>
      </c>
    </row>
    <row r="279" spans="1:10">
      <c r="A279" s="1375" t="s">
        <v>707</v>
      </c>
      <c r="B279" s="1375" t="s">
        <v>2919</v>
      </c>
      <c r="C279" s="1375" t="s">
        <v>3028</v>
      </c>
      <c r="D279" s="1375">
        <v>2.8999999999999998E-3</v>
      </c>
      <c r="E279" s="1922">
        <v>0</v>
      </c>
      <c r="F279" s="1922">
        <v>0</v>
      </c>
      <c r="G279" s="1922">
        <v>0</v>
      </c>
      <c r="H279" s="1922">
        <v>2.8999999999999998E-3</v>
      </c>
      <c r="I279" s="1375"/>
      <c r="J279" s="1375" t="str">
        <f t="shared" si="4"/>
        <v>Cowlitz County PUD2012</v>
      </c>
    </row>
    <row r="280" spans="1:10">
      <c r="A280" s="1375" t="s">
        <v>707</v>
      </c>
      <c r="B280" s="1375" t="s">
        <v>2919</v>
      </c>
      <c r="C280" s="1375" t="s">
        <v>3029</v>
      </c>
      <c r="D280" s="1375">
        <v>2.8999999999999998E-3</v>
      </c>
      <c r="E280" s="1922">
        <v>0</v>
      </c>
      <c r="F280" s="1922">
        <v>0</v>
      </c>
      <c r="G280" s="1922">
        <v>0</v>
      </c>
      <c r="H280" s="1922">
        <v>2.8999999999999998E-3</v>
      </c>
      <c r="I280" s="1375"/>
      <c r="J280" s="1375" t="str">
        <f t="shared" si="4"/>
        <v>Cowlitz County PUD2013</v>
      </c>
    </row>
    <row r="281" spans="1:10">
      <c r="A281" s="1375" t="s">
        <v>707</v>
      </c>
      <c r="B281" s="1375" t="s">
        <v>2919</v>
      </c>
      <c r="C281" s="1375" t="s">
        <v>3030</v>
      </c>
      <c r="D281" s="1375">
        <v>2.8999999999999998E-3</v>
      </c>
      <c r="E281" s="1922">
        <v>0</v>
      </c>
      <c r="F281" s="1922">
        <v>0</v>
      </c>
      <c r="G281" s="1922">
        <v>0</v>
      </c>
      <c r="H281" s="1922">
        <v>2.8999999999999998E-3</v>
      </c>
      <c r="I281" s="1375"/>
      <c r="J281" s="1375" t="str">
        <f t="shared" si="4"/>
        <v>Cowlitz County PUD2014</v>
      </c>
    </row>
    <row r="282" spans="1:10">
      <c r="A282" s="1375" t="s">
        <v>707</v>
      </c>
      <c r="B282" s="1375" t="s">
        <v>2919</v>
      </c>
      <c r="C282" s="1375" t="s">
        <v>3031</v>
      </c>
      <c r="D282" s="1375">
        <v>3.8E-3</v>
      </c>
      <c r="E282" s="1922">
        <v>0</v>
      </c>
      <c r="F282" s="1922">
        <v>0</v>
      </c>
      <c r="G282" s="1922">
        <v>0</v>
      </c>
      <c r="H282" s="1922">
        <v>3.8E-3</v>
      </c>
      <c r="I282" s="1375"/>
      <c r="J282" s="1375" t="str">
        <f t="shared" si="4"/>
        <v>Cowlitz County PUD2015</v>
      </c>
    </row>
    <row r="283" spans="1:10">
      <c r="A283" s="1375" t="s">
        <v>707</v>
      </c>
      <c r="B283" s="1375" t="s">
        <v>2919</v>
      </c>
      <c r="C283" s="1375" t="s">
        <v>3032</v>
      </c>
      <c r="D283" s="1375">
        <v>3.8E-3</v>
      </c>
      <c r="E283" s="1922">
        <v>0</v>
      </c>
      <c r="F283" s="1922">
        <v>0</v>
      </c>
      <c r="G283" s="1922">
        <v>0</v>
      </c>
      <c r="H283" s="1922">
        <v>3.8E-3</v>
      </c>
      <c r="I283" s="1375"/>
      <c r="J283" s="1375" t="str">
        <f t="shared" si="4"/>
        <v>Cowlitz County PUD2016</v>
      </c>
    </row>
    <row r="284" spans="1:10">
      <c r="A284" s="1375" t="s">
        <v>707</v>
      </c>
      <c r="B284" s="1375" t="s">
        <v>2919</v>
      </c>
      <c r="C284" s="1375" t="s">
        <v>3033</v>
      </c>
      <c r="D284" s="1375">
        <v>0</v>
      </c>
      <c r="E284" s="1922">
        <v>0</v>
      </c>
      <c r="F284" s="1922">
        <v>0</v>
      </c>
      <c r="G284" s="1922">
        <v>0</v>
      </c>
      <c r="H284" s="1922">
        <v>0</v>
      </c>
      <c r="I284" s="1375"/>
      <c r="J284" s="1375" t="str">
        <f t="shared" si="4"/>
        <v>Cowlitz County PUD2017</v>
      </c>
    </row>
    <row r="285" spans="1:10">
      <c r="A285" s="1375" t="s">
        <v>707</v>
      </c>
      <c r="B285" s="1375" t="s">
        <v>2919</v>
      </c>
      <c r="C285" s="1375" t="s">
        <v>277</v>
      </c>
      <c r="D285" s="1375">
        <v>0</v>
      </c>
      <c r="E285" s="1922">
        <v>0</v>
      </c>
      <c r="F285" s="1922">
        <v>0</v>
      </c>
      <c r="G285" s="1922">
        <v>0</v>
      </c>
      <c r="H285" s="1922">
        <v>0</v>
      </c>
      <c r="I285" s="1375"/>
      <c r="J285" s="1375" t="str">
        <f t="shared" si="4"/>
        <v>Cowlitz County PUD2018</v>
      </c>
    </row>
    <row r="286" spans="1:10">
      <c r="A286" s="1375" t="s">
        <v>707</v>
      </c>
      <c r="B286" s="1375" t="s">
        <v>2919</v>
      </c>
      <c r="C286" s="1375" t="s">
        <v>278</v>
      </c>
      <c r="D286" s="1375">
        <v>0</v>
      </c>
      <c r="E286" s="1922">
        <v>0</v>
      </c>
      <c r="F286" s="1922">
        <v>0</v>
      </c>
      <c r="G286" s="1922">
        <v>0</v>
      </c>
      <c r="H286" s="1922">
        <v>0</v>
      </c>
      <c r="I286" s="1375"/>
      <c r="J286" s="1375" t="str">
        <f t="shared" si="4"/>
        <v>Cowlitz County PUD2019</v>
      </c>
    </row>
    <row r="287" spans="1:10">
      <c r="A287" s="1375" t="s">
        <v>707</v>
      </c>
      <c r="B287" s="1375" t="s">
        <v>2919</v>
      </c>
      <c r="C287" s="1375" t="s">
        <v>3034</v>
      </c>
      <c r="D287" s="1375">
        <v>0</v>
      </c>
      <c r="E287" s="1922">
        <v>0</v>
      </c>
      <c r="F287" s="1922">
        <v>0</v>
      </c>
      <c r="G287" s="1922">
        <v>0</v>
      </c>
      <c r="H287" s="1922">
        <v>0</v>
      </c>
      <c r="I287" s="1375"/>
      <c r="J287" s="1375" t="str">
        <f t="shared" si="4"/>
        <v>Cowlitz County PUD2020</v>
      </c>
    </row>
    <row r="288" spans="1:10">
      <c r="A288" s="1375" t="s">
        <v>707</v>
      </c>
      <c r="B288" s="1375" t="s">
        <v>2919</v>
      </c>
      <c r="C288" s="1375" t="s">
        <v>3035</v>
      </c>
      <c r="D288" s="1375">
        <v>0</v>
      </c>
      <c r="E288" s="1922">
        <v>0</v>
      </c>
      <c r="F288" s="1922">
        <v>0</v>
      </c>
      <c r="G288" s="1922">
        <v>0</v>
      </c>
      <c r="H288" s="1922">
        <v>0</v>
      </c>
      <c r="I288" s="1375"/>
      <c r="J288" s="1375" t="str">
        <f t="shared" si="4"/>
        <v>Cowlitz County PUD2021</v>
      </c>
    </row>
    <row r="289" spans="1:10">
      <c r="A289" s="1375" t="s">
        <v>707</v>
      </c>
      <c r="B289" s="1375" t="s">
        <v>2919</v>
      </c>
      <c r="C289" s="1375" t="s">
        <v>1760</v>
      </c>
      <c r="D289" s="1375">
        <v>0</v>
      </c>
      <c r="E289" s="1922">
        <v>0</v>
      </c>
      <c r="F289" s="1922">
        <v>0</v>
      </c>
      <c r="G289" s="1922">
        <v>0</v>
      </c>
      <c r="H289" s="1922">
        <v>0</v>
      </c>
      <c r="I289" s="1375"/>
      <c r="J289" s="1375" t="str">
        <f t="shared" si="4"/>
        <v>Cowlitz County PUD2022</v>
      </c>
    </row>
    <row r="290" spans="1:10">
      <c r="A290" s="1375" t="s">
        <v>707</v>
      </c>
      <c r="B290" s="1375" t="s">
        <v>2919</v>
      </c>
      <c r="C290" s="1375" t="s">
        <v>1761</v>
      </c>
      <c r="D290" s="1375">
        <v>0</v>
      </c>
      <c r="E290" s="1922">
        <v>0</v>
      </c>
      <c r="F290" s="1922">
        <v>0</v>
      </c>
      <c r="G290" s="1922">
        <v>0</v>
      </c>
      <c r="H290" s="1922">
        <v>0</v>
      </c>
      <c r="I290" s="1375"/>
      <c r="J290" s="1375" t="str">
        <f t="shared" si="4"/>
        <v>Cowlitz County PUD2023</v>
      </c>
    </row>
    <row r="291" spans="1:10">
      <c r="A291" s="1375" t="s">
        <v>707</v>
      </c>
      <c r="B291" s="1375" t="s">
        <v>2919</v>
      </c>
      <c r="C291" s="1375" t="s">
        <v>2922</v>
      </c>
      <c r="D291" s="1375">
        <v>0</v>
      </c>
      <c r="E291" s="1922">
        <v>0</v>
      </c>
      <c r="F291" s="1922">
        <v>0</v>
      </c>
      <c r="G291" s="1922">
        <v>0</v>
      </c>
      <c r="H291" s="1922">
        <v>0</v>
      </c>
      <c r="I291" s="1375"/>
      <c r="J291" s="1375" t="str">
        <f t="shared" si="4"/>
        <v>Cowlitz County PUD2024</v>
      </c>
    </row>
    <row r="292" spans="1:10">
      <c r="A292" s="1375" t="s">
        <v>707</v>
      </c>
      <c r="B292" s="1375" t="s">
        <v>2919</v>
      </c>
      <c r="C292" s="1375" t="s">
        <v>2944</v>
      </c>
      <c r="D292" s="1375">
        <v>0</v>
      </c>
      <c r="E292" s="1922">
        <v>0</v>
      </c>
      <c r="F292" s="1922">
        <v>0</v>
      </c>
      <c r="G292" s="1922">
        <v>0</v>
      </c>
      <c r="H292" s="1922">
        <v>0</v>
      </c>
      <c r="I292" s="1375"/>
      <c r="J292" s="1375" t="str">
        <f t="shared" si="4"/>
        <v>Cowlitz County PUD2025</v>
      </c>
    </row>
    <row r="293" spans="1:10">
      <c r="A293" s="1375" t="s">
        <v>715</v>
      </c>
      <c r="B293" s="1375" t="s">
        <v>2919</v>
      </c>
      <c r="C293" s="1375" t="s">
        <v>3013</v>
      </c>
      <c r="D293" s="1375">
        <v>8.8999999999999999E-3</v>
      </c>
      <c r="E293" s="1922">
        <v>0</v>
      </c>
      <c r="F293" s="1922">
        <v>0</v>
      </c>
      <c r="G293" s="1922">
        <v>0</v>
      </c>
      <c r="H293" s="1922">
        <v>8.8999999999999999E-3</v>
      </c>
      <c r="I293" s="1375"/>
      <c r="J293" s="1375" t="str">
        <f t="shared" si="4"/>
        <v>Grant County PUD1997</v>
      </c>
    </row>
    <row r="294" spans="1:10">
      <c r="A294" s="1375" t="s">
        <v>715</v>
      </c>
      <c r="B294" s="1375" t="s">
        <v>2919</v>
      </c>
      <c r="C294" s="1375" t="s">
        <v>3014</v>
      </c>
      <c r="D294" s="1375">
        <v>8.8999999999999999E-3</v>
      </c>
      <c r="E294" s="1922">
        <v>0</v>
      </c>
      <c r="F294" s="1922">
        <v>0</v>
      </c>
      <c r="G294" s="1922">
        <v>0</v>
      </c>
      <c r="H294" s="1922">
        <v>8.8999999999999999E-3</v>
      </c>
      <c r="I294" s="1375"/>
      <c r="J294" s="1375" t="str">
        <f t="shared" si="4"/>
        <v>Grant County PUD1998</v>
      </c>
    </row>
    <row r="295" spans="1:10">
      <c r="A295" s="1375" t="s">
        <v>715</v>
      </c>
      <c r="B295" s="1375" t="s">
        <v>2919</v>
      </c>
      <c r="C295" s="1375" t="s">
        <v>3015</v>
      </c>
      <c r="D295" s="1375">
        <v>8.8999999999999999E-3</v>
      </c>
      <c r="E295" s="1922">
        <v>0</v>
      </c>
      <c r="F295" s="1922">
        <v>0</v>
      </c>
      <c r="G295" s="1922">
        <v>0</v>
      </c>
      <c r="H295" s="1922">
        <v>8.8999999999999999E-3</v>
      </c>
      <c r="I295" s="1375"/>
      <c r="J295" s="1375" t="str">
        <f t="shared" si="4"/>
        <v>Grant County PUD1999</v>
      </c>
    </row>
    <row r="296" spans="1:10">
      <c r="A296" s="1375" t="s">
        <v>715</v>
      </c>
      <c r="B296" s="1375" t="s">
        <v>2919</v>
      </c>
      <c r="C296" s="1375" t="s">
        <v>3016</v>
      </c>
      <c r="D296" s="1375">
        <v>8.8999999999999999E-3</v>
      </c>
      <c r="E296" s="1922">
        <v>0</v>
      </c>
      <c r="F296" s="1922">
        <v>0</v>
      </c>
      <c r="G296" s="1922">
        <v>0</v>
      </c>
      <c r="H296" s="1922">
        <v>8.8999999999999999E-3</v>
      </c>
      <c r="I296" s="1375"/>
      <c r="J296" s="1375" t="str">
        <f t="shared" si="4"/>
        <v>Grant County PUD2000</v>
      </c>
    </row>
    <row r="297" spans="1:10">
      <c r="A297" s="1375" t="s">
        <v>715</v>
      </c>
      <c r="B297" s="1375" t="s">
        <v>2919</v>
      </c>
      <c r="C297" s="1375" t="s">
        <v>3017</v>
      </c>
      <c r="D297" s="1375">
        <v>8.8999999999999999E-3</v>
      </c>
      <c r="E297" s="1922">
        <v>0</v>
      </c>
      <c r="F297" s="1922">
        <v>0</v>
      </c>
      <c r="G297" s="1922">
        <v>0</v>
      </c>
      <c r="H297" s="1922">
        <v>8.8999999999999999E-3</v>
      </c>
      <c r="I297" s="1375"/>
      <c r="J297" s="1375" t="str">
        <f t="shared" si="4"/>
        <v>Grant County PUD2001</v>
      </c>
    </row>
    <row r="298" spans="1:10">
      <c r="A298" s="1375" t="s">
        <v>715</v>
      </c>
      <c r="B298" s="1375" t="s">
        <v>2919</v>
      </c>
      <c r="C298" s="1375" t="s">
        <v>3018</v>
      </c>
      <c r="D298" s="1375">
        <v>8.8999999999999999E-3</v>
      </c>
      <c r="E298" s="1922">
        <v>0</v>
      </c>
      <c r="F298" s="1922">
        <v>0</v>
      </c>
      <c r="G298" s="1922">
        <v>0</v>
      </c>
      <c r="H298" s="1922">
        <v>8.8999999999999999E-3</v>
      </c>
      <c r="I298" s="1375"/>
      <c r="J298" s="1375" t="str">
        <f t="shared" si="4"/>
        <v>Grant County PUD2002</v>
      </c>
    </row>
    <row r="299" spans="1:10">
      <c r="A299" s="1375" t="s">
        <v>715</v>
      </c>
      <c r="B299" s="1375" t="s">
        <v>2919</v>
      </c>
      <c r="C299" s="1375" t="s">
        <v>3019</v>
      </c>
      <c r="D299" s="1375">
        <v>8.8999999999999999E-3</v>
      </c>
      <c r="E299" s="1922">
        <v>0</v>
      </c>
      <c r="F299" s="1922">
        <v>0</v>
      </c>
      <c r="G299" s="1922">
        <v>0</v>
      </c>
      <c r="H299" s="1922">
        <v>8.8999999999999999E-3</v>
      </c>
      <c r="I299" s="1375"/>
      <c r="J299" s="1375" t="str">
        <f t="shared" si="4"/>
        <v>Grant County PUD2003</v>
      </c>
    </row>
    <row r="300" spans="1:10">
      <c r="A300" s="1375" t="s">
        <v>715</v>
      </c>
      <c r="B300" s="1375" t="s">
        <v>2919</v>
      </c>
      <c r="C300" s="1375" t="s">
        <v>3020</v>
      </c>
      <c r="D300" s="1375">
        <v>8.8999999999999999E-3</v>
      </c>
      <c r="E300" s="1922">
        <v>0</v>
      </c>
      <c r="F300" s="1922">
        <v>0</v>
      </c>
      <c r="G300" s="1922">
        <v>0</v>
      </c>
      <c r="H300" s="1922">
        <v>8.8999999999999999E-3</v>
      </c>
      <c r="I300" s="1375"/>
      <c r="J300" s="1375" t="str">
        <f t="shared" si="4"/>
        <v>Grant County PUD2004</v>
      </c>
    </row>
    <row r="301" spans="1:10">
      <c r="A301" s="1375" t="s">
        <v>715</v>
      </c>
      <c r="B301" s="1375" t="s">
        <v>2919</v>
      </c>
      <c r="C301" s="1375" t="s">
        <v>3021</v>
      </c>
      <c r="D301" s="1375">
        <v>8.8999999999999999E-3</v>
      </c>
      <c r="E301" s="1922">
        <v>0</v>
      </c>
      <c r="F301" s="1922">
        <v>0</v>
      </c>
      <c r="G301" s="1922">
        <v>0</v>
      </c>
      <c r="H301" s="1922">
        <v>8.8999999999999999E-3</v>
      </c>
      <c r="I301" s="1375"/>
      <c r="J301" s="1375" t="str">
        <f t="shared" si="4"/>
        <v>Grant County PUD2005</v>
      </c>
    </row>
    <row r="302" spans="1:10">
      <c r="A302" s="1375" t="s">
        <v>715</v>
      </c>
      <c r="B302" s="1375" t="s">
        <v>2919</v>
      </c>
      <c r="C302" s="1375" t="s">
        <v>3022</v>
      </c>
      <c r="D302" s="1375">
        <v>8.8999999999999999E-3</v>
      </c>
      <c r="E302" s="1922">
        <v>0</v>
      </c>
      <c r="F302" s="1922">
        <v>0</v>
      </c>
      <c r="G302" s="1922">
        <v>0</v>
      </c>
      <c r="H302" s="1922">
        <v>8.8999999999999999E-3</v>
      </c>
      <c r="I302" s="1375"/>
      <c r="J302" s="1375" t="str">
        <f t="shared" si="4"/>
        <v>Grant County PUD2006</v>
      </c>
    </row>
    <row r="303" spans="1:10">
      <c r="A303" s="1375" t="s">
        <v>715</v>
      </c>
      <c r="B303" s="1375" t="s">
        <v>2919</v>
      </c>
      <c r="C303" s="1375" t="s">
        <v>3023</v>
      </c>
      <c r="D303" s="1375">
        <v>8.8999999999999999E-3</v>
      </c>
      <c r="E303" s="1922">
        <v>0</v>
      </c>
      <c r="F303" s="1922">
        <v>0</v>
      </c>
      <c r="G303" s="1922">
        <v>0</v>
      </c>
      <c r="H303" s="1922">
        <v>8.8999999999999999E-3</v>
      </c>
      <c r="I303" s="1375"/>
      <c r="J303" s="1375" t="str">
        <f t="shared" si="4"/>
        <v>Grant County PUD2007</v>
      </c>
    </row>
    <row r="304" spans="1:10">
      <c r="A304" s="1375" t="s">
        <v>715</v>
      </c>
      <c r="B304" s="1375" t="s">
        <v>2919</v>
      </c>
      <c r="C304" s="1375" t="s">
        <v>3024</v>
      </c>
      <c r="D304" s="1375">
        <v>8.8999999999999999E-3</v>
      </c>
      <c r="E304" s="1922">
        <v>0</v>
      </c>
      <c r="F304" s="1922">
        <v>0</v>
      </c>
      <c r="G304" s="1922">
        <v>0</v>
      </c>
      <c r="H304" s="1922">
        <v>8.8999999999999999E-3</v>
      </c>
      <c r="I304" s="1375"/>
      <c r="J304" s="1375" t="str">
        <f t="shared" si="4"/>
        <v>Grant County PUD2008</v>
      </c>
    </row>
    <row r="305" spans="1:10">
      <c r="A305" s="1375" t="s">
        <v>715</v>
      </c>
      <c r="B305" s="1375" t="s">
        <v>2919</v>
      </c>
      <c r="C305" s="1375" t="s">
        <v>3025</v>
      </c>
      <c r="D305" s="1375">
        <v>8.8999999999999999E-3</v>
      </c>
      <c r="E305" s="1922">
        <v>0</v>
      </c>
      <c r="F305" s="1922">
        <v>0</v>
      </c>
      <c r="G305" s="1922">
        <v>0</v>
      </c>
      <c r="H305" s="1922">
        <v>8.8999999999999999E-3</v>
      </c>
      <c r="I305" s="1375"/>
      <c r="J305" s="1375" t="str">
        <f t="shared" si="4"/>
        <v>Grant County PUD2009</v>
      </c>
    </row>
    <row r="306" spans="1:10">
      <c r="A306" s="1375" t="s">
        <v>715</v>
      </c>
      <c r="B306" s="1375" t="s">
        <v>2919</v>
      </c>
      <c r="C306" s="1375" t="s">
        <v>3026</v>
      </c>
      <c r="D306" s="1375">
        <v>0</v>
      </c>
      <c r="E306" s="1922">
        <v>0</v>
      </c>
      <c r="F306" s="1922">
        <v>0</v>
      </c>
      <c r="G306" s="1922">
        <v>0</v>
      </c>
      <c r="H306" s="1922">
        <v>0</v>
      </c>
      <c r="I306" s="1375"/>
      <c r="J306" s="1375" t="str">
        <f t="shared" si="4"/>
        <v>Grant County PUD2010</v>
      </c>
    </row>
    <row r="307" spans="1:10">
      <c r="A307" s="1375" t="s">
        <v>715</v>
      </c>
      <c r="B307" s="1375" t="s">
        <v>2919</v>
      </c>
      <c r="C307" s="1375" t="s">
        <v>3027</v>
      </c>
      <c r="D307" s="1375">
        <v>0</v>
      </c>
      <c r="E307" s="1922">
        <v>0</v>
      </c>
      <c r="F307" s="1922">
        <v>0</v>
      </c>
      <c r="G307" s="1922">
        <v>0</v>
      </c>
      <c r="H307" s="1922">
        <v>0</v>
      </c>
      <c r="I307" s="1375"/>
      <c r="J307" s="1375" t="str">
        <f t="shared" si="4"/>
        <v>Grant County PUD2011</v>
      </c>
    </row>
    <row r="308" spans="1:10">
      <c r="A308" s="1375" t="s">
        <v>715</v>
      </c>
      <c r="B308" s="1375" t="s">
        <v>2919</v>
      </c>
      <c r="C308" s="1375" t="s">
        <v>3028</v>
      </c>
      <c r="D308" s="1375">
        <v>0</v>
      </c>
      <c r="E308" s="1922">
        <v>0</v>
      </c>
      <c r="F308" s="1922">
        <v>0</v>
      </c>
      <c r="G308" s="1922">
        <v>0</v>
      </c>
      <c r="H308" s="1922">
        <v>0</v>
      </c>
      <c r="I308" s="1375"/>
      <c r="J308" s="1375" t="str">
        <f t="shared" si="4"/>
        <v>Grant County PUD2012</v>
      </c>
    </row>
    <row r="309" spans="1:10">
      <c r="A309" s="1375" t="s">
        <v>715</v>
      </c>
      <c r="B309" s="1375" t="s">
        <v>2919</v>
      </c>
      <c r="C309" s="1375" t="s">
        <v>3029</v>
      </c>
      <c r="D309" s="1375">
        <v>0</v>
      </c>
      <c r="E309" s="1922">
        <v>0</v>
      </c>
      <c r="F309" s="1922">
        <v>0</v>
      </c>
      <c r="G309" s="1922">
        <v>0</v>
      </c>
      <c r="H309" s="1922">
        <v>0</v>
      </c>
      <c r="I309" s="1375"/>
      <c r="J309" s="1375" t="str">
        <f t="shared" si="4"/>
        <v>Grant County PUD2013</v>
      </c>
    </row>
    <row r="310" spans="1:10">
      <c r="A310" s="1375" t="s">
        <v>715</v>
      </c>
      <c r="B310" s="1375" t="s">
        <v>2919</v>
      </c>
      <c r="C310" s="1375" t="s">
        <v>3030</v>
      </c>
      <c r="D310" s="1375">
        <v>0</v>
      </c>
      <c r="E310" s="1922">
        <v>0</v>
      </c>
      <c r="F310" s="1922">
        <v>0</v>
      </c>
      <c r="G310" s="1922">
        <v>0</v>
      </c>
      <c r="H310" s="1922">
        <v>0</v>
      </c>
      <c r="I310" s="1375"/>
      <c r="J310" s="1375" t="str">
        <f t="shared" si="4"/>
        <v>Grant County PUD2014</v>
      </c>
    </row>
    <row r="311" spans="1:10">
      <c r="A311" s="1375" t="s">
        <v>715</v>
      </c>
      <c r="B311" s="1375" t="s">
        <v>2919</v>
      </c>
      <c r="C311" s="1375" t="s">
        <v>3031</v>
      </c>
      <c r="D311" s="1375">
        <v>1.6199999999999999E-2</v>
      </c>
      <c r="E311" s="1922">
        <v>0</v>
      </c>
      <c r="F311" s="1922">
        <v>0</v>
      </c>
      <c r="G311" s="1922">
        <v>0</v>
      </c>
      <c r="H311" s="1922">
        <v>1.6199999999999999E-2</v>
      </c>
      <c r="I311" s="1375"/>
      <c r="J311" s="1375" t="str">
        <f t="shared" si="4"/>
        <v>Grant County PUD2015</v>
      </c>
    </row>
    <row r="312" spans="1:10">
      <c r="A312" s="1375" t="s">
        <v>715</v>
      </c>
      <c r="B312" s="1375" t="s">
        <v>2919</v>
      </c>
      <c r="C312" s="1375" t="s">
        <v>3032</v>
      </c>
      <c r="D312" s="1375">
        <v>1.6199999999999999E-2</v>
      </c>
      <c r="E312" s="1922">
        <v>0</v>
      </c>
      <c r="F312" s="1922">
        <v>0</v>
      </c>
      <c r="G312" s="1922">
        <v>0</v>
      </c>
      <c r="H312" s="1922">
        <v>1.6199999999999999E-2</v>
      </c>
      <c r="I312" s="1375"/>
      <c r="J312" s="1375" t="str">
        <f t="shared" si="4"/>
        <v>Grant County PUD2016</v>
      </c>
    </row>
    <row r="313" spans="1:10">
      <c r="A313" s="1375" t="s">
        <v>715</v>
      </c>
      <c r="B313" s="1375" t="s">
        <v>2919</v>
      </c>
      <c r="C313" s="1375" t="s">
        <v>3033</v>
      </c>
      <c r="D313" s="1375">
        <v>1.6299999999999999E-2</v>
      </c>
      <c r="E313" s="1922">
        <v>0</v>
      </c>
      <c r="F313" s="1922">
        <v>0</v>
      </c>
      <c r="G313" s="1922">
        <v>0</v>
      </c>
      <c r="H313" s="1922">
        <v>1.6299999999999999E-2</v>
      </c>
      <c r="I313" s="1375"/>
      <c r="J313" s="1375" t="str">
        <f t="shared" si="4"/>
        <v>Grant County PUD2017</v>
      </c>
    </row>
    <row r="314" spans="1:10">
      <c r="A314" s="1375" t="s">
        <v>715</v>
      </c>
      <c r="B314" s="1375" t="s">
        <v>2919</v>
      </c>
      <c r="C314" s="1375" t="s">
        <v>277</v>
      </c>
      <c r="D314" s="1375">
        <v>1.6299999999999999E-2</v>
      </c>
      <c r="E314" s="1922">
        <v>0</v>
      </c>
      <c r="F314" s="1922">
        <v>0</v>
      </c>
      <c r="G314" s="1922">
        <v>0</v>
      </c>
      <c r="H314" s="1922">
        <v>1.6299999999999999E-2</v>
      </c>
      <c r="I314" s="1375"/>
      <c r="J314" s="1375" t="str">
        <f t="shared" si="4"/>
        <v>Grant County PUD2018</v>
      </c>
    </row>
    <row r="315" spans="1:10">
      <c r="A315" s="1375" t="s">
        <v>715</v>
      </c>
      <c r="B315" s="1375" t="s">
        <v>2919</v>
      </c>
      <c r="C315" s="1375" t="s">
        <v>278</v>
      </c>
      <c r="D315" s="1375">
        <v>1.6299999999999999E-2</v>
      </c>
      <c r="E315" s="1922">
        <v>0</v>
      </c>
      <c r="F315" s="1922">
        <v>0</v>
      </c>
      <c r="G315" s="1922">
        <v>0</v>
      </c>
      <c r="H315" s="1922">
        <v>1.6299999999999999E-2</v>
      </c>
      <c r="I315" s="1375"/>
      <c r="J315" s="1375" t="str">
        <f t="shared" si="4"/>
        <v>Grant County PUD2019</v>
      </c>
    </row>
    <row r="316" spans="1:10">
      <c r="A316" s="1375" t="s">
        <v>715</v>
      </c>
      <c r="B316" s="1375" t="s">
        <v>2919</v>
      </c>
      <c r="C316" s="1375" t="s">
        <v>3034</v>
      </c>
      <c r="D316" s="1375">
        <v>0</v>
      </c>
      <c r="E316" s="1922">
        <v>0</v>
      </c>
      <c r="F316" s="1922">
        <v>0</v>
      </c>
      <c r="G316" s="1922">
        <v>0</v>
      </c>
      <c r="H316" s="1922">
        <v>0</v>
      </c>
      <c r="I316" s="1375"/>
      <c r="J316" s="1375" t="str">
        <f t="shared" si="4"/>
        <v>Grant County PUD2020</v>
      </c>
    </row>
    <row r="317" spans="1:10">
      <c r="A317" s="1375" t="s">
        <v>715</v>
      </c>
      <c r="B317" s="1375" t="s">
        <v>2919</v>
      </c>
      <c r="C317" s="1375" t="s">
        <v>3035</v>
      </c>
      <c r="D317" s="1375">
        <v>0</v>
      </c>
      <c r="E317" s="1922">
        <v>0</v>
      </c>
      <c r="F317" s="1922">
        <v>0</v>
      </c>
      <c r="G317" s="1922">
        <v>0</v>
      </c>
      <c r="H317" s="1922">
        <v>0</v>
      </c>
      <c r="I317" s="1375"/>
      <c r="J317" s="1375" t="str">
        <f t="shared" si="4"/>
        <v>Grant County PUD2021</v>
      </c>
    </row>
    <row r="318" spans="1:10">
      <c r="A318" s="1375" t="s">
        <v>715</v>
      </c>
      <c r="B318" s="1375" t="s">
        <v>2919</v>
      </c>
      <c r="C318" s="1375" t="s">
        <v>1760</v>
      </c>
      <c r="D318" s="1375">
        <v>0</v>
      </c>
      <c r="E318" s="1922">
        <v>0</v>
      </c>
      <c r="F318" s="1922">
        <v>0</v>
      </c>
      <c r="G318" s="1922">
        <v>0</v>
      </c>
      <c r="H318" s="1922">
        <v>0</v>
      </c>
      <c r="I318" s="1375"/>
      <c r="J318" s="1375" t="str">
        <f t="shared" si="4"/>
        <v>Grant County PUD2022</v>
      </c>
    </row>
    <row r="319" spans="1:10">
      <c r="A319" s="1375" t="s">
        <v>715</v>
      </c>
      <c r="B319" s="1375" t="s">
        <v>2919</v>
      </c>
      <c r="C319" s="1375" t="s">
        <v>1761</v>
      </c>
      <c r="D319" s="1375">
        <v>0</v>
      </c>
      <c r="E319" s="1922">
        <v>0</v>
      </c>
      <c r="F319" s="1922">
        <v>0</v>
      </c>
      <c r="G319" s="1922">
        <v>0</v>
      </c>
      <c r="H319" s="1922">
        <v>0</v>
      </c>
      <c r="I319" s="1375"/>
      <c r="J319" s="1375" t="str">
        <f t="shared" si="4"/>
        <v>Grant County PUD2023</v>
      </c>
    </row>
    <row r="320" spans="1:10">
      <c r="A320" s="1375" t="s">
        <v>715</v>
      </c>
      <c r="B320" s="1375" t="s">
        <v>2919</v>
      </c>
      <c r="C320" s="1375" t="s">
        <v>2922</v>
      </c>
      <c r="D320" s="1375">
        <v>0</v>
      </c>
      <c r="E320" s="1922">
        <v>0</v>
      </c>
      <c r="F320" s="1922">
        <v>0</v>
      </c>
      <c r="G320" s="1922">
        <v>0</v>
      </c>
      <c r="H320" s="1922">
        <v>0</v>
      </c>
      <c r="I320" s="1375"/>
      <c r="J320" s="1375" t="str">
        <f t="shared" si="4"/>
        <v>Grant County PUD2024</v>
      </c>
    </row>
    <row r="321" spans="1:10">
      <c r="A321" s="1375" t="s">
        <v>715</v>
      </c>
      <c r="B321" s="1375" t="s">
        <v>2919</v>
      </c>
      <c r="C321" s="1375" t="s">
        <v>2944</v>
      </c>
      <c r="D321" s="1375">
        <v>0</v>
      </c>
      <c r="E321" s="1922">
        <v>0</v>
      </c>
      <c r="F321" s="1922">
        <v>0</v>
      </c>
      <c r="G321" s="1922">
        <v>0</v>
      </c>
      <c r="H321" s="1922">
        <v>0</v>
      </c>
      <c r="I321" s="1375"/>
      <c r="J321" s="1375" t="str">
        <f t="shared" si="4"/>
        <v>Grant County PUD2025</v>
      </c>
    </row>
    <row r="322" spans="1:10">
      <c r="A322" s="1375" t="s">
        <v>723</v>
      </c>
      <c r="B322" s="1375" t="s">
        <v>2919</v>
      </c>
      <c r="C322" s="1375" t="s">
        <v>3013</v>
      </c>
      <c r="D322" s="1375">
        <v>8.6E-3</v>
      </c>
      <c r="E322" s="1922">
        <v>0</v>
      </c>
      <c r="F322" s="1922">
        <v>0</v>
      </c>
      <c r="G322" s="1922">
        <v>0</v>
      </c>
      <c r="H322" s="1922">
        <v>8.6E-3</v>
      </c>
      <c r="I322" s="1375"/>
      <c r="J322" s="1375" t="str">
        <f t="shared" si="4"/>
        <v>Tacoma Power1997</v>
      </c>
    </row>
    <row r="323" spans="1:10">
      <c r="A323" s="1375" t="s">
        <v>723</v>
      </c>
      <c r="B323" s="1375" t="s">
        <v>2919</v>
      </c>
      <c r="C323" s="1375" t="s">
        <v>3014</v>
      </c>
      <c r="D323" s="1375">
        <v>8.6E-3</v>
      </c>
      <c r="E323" s="1922">
        <v>0</v>
      </c>
      <c r="F323" s="1922">
        <v>0</v>
      </c>
      <c r="G323" s="1922">
        <v>0</v>
      </c>
      <c r="H323" s="1922">
        <v>8.6E-3</v>
      </c>
      <c r="I323" s="1375"/>
      <c r="J323" s="1375" t="str">
        <f t="shared" si="4"/>
        <v>Tacoma Power1998</v>
      </c>
    </row>
    <row r="324" spans="1:10">
      <c r="A324" s="1375" t="s">
        <v>723</v>
      </c>
      <c r="B324" s="1375" t="s">
        <v>2919</v>
      </c>
      <c r="C324" s="1375" t="s">
        <v>3015</v>
      </c>
      <c r="D324" s="1375">
        <v>8.6E-3</v>
      </c>
      <c r="E324" s="1922">
        <v>0</v>
      </c>
      <c r="F324" s="1922">
        <v>0</v>
      </c>
      <c r="G324" s="1922">
        <v>0</v>
      </c>
      <c r="H324" s="1922">
        <v>8.6E-3</v>
      </c>
      <c r="I324" s="1375"/>
      <c r="J324" s="1375" t="str">
        <f t="shared" ref="J324:J387" si="5">A324&amp;C324</f>
        <v>Tacoma Power1999</v>
      </c>
    </row>
    <row r="325" spans="1:10">
      <c r="A325" s="1375" t="s">
        <v>723</v>
      </c>
      <c r="B325" s="1375" t="s">
        <v>2919</v>
      </c>
      <c r="C325" s="1375" t="s">
        <v>3016</v>
      </c>
      <c r="D325" s="1375">
        <v>8.6E-3</v>
      </c>
      <c r="E325" s="1922">
        <v>0</v>
      </c>
      <c r="F325" s="1922">
        <v>0</v>
      </c>
      <c r="G325" s="1922">
        <v>0</v>
      </c>
      <c r="H325" s="1922">
        <v>8.6E-3</v>
      </c>
      <c r="I325" s="1375"/>
      <c r="J325" s="1375" t="str">
        <f t="shared" si="5"/>
        <v>Tacoma Power2000</v>
      </c>
    </row>
    <row r="326" spans="1:10">
      <c r="A326" s="1375" t="s">
        <v>723</v>
      </c>
      <c r="B326" s="1375" t="s">
        <v>2919</v>
      </c>
      <c r="C326" s="1375" t="s">
        <v>3017</v>
      </c>
      <c r="D326" s="1375">
        <v>8.6E-3</v>
      </c>
      <c r="E326" s="1922">
        <v>0</v>
      </c>
      <c r="F326" s="1922">
        <v>0</v>
      </c>
      <c r="G326" s="1922">
        <v>0</v>
      </c>
      <c r="H326" s="1922">
        <v>8.6E-3</v>
      </c>
      <c r="I326" s="1375"/>
      <c r="J326" s="1375" t="str">
        <f t="shared" si="5"/>
        <v>Tacoma Power2001</v>
      </c>
    </row>
    <row r="327" spans="1:10">
      <c r="A327" s="1375" t="s">
        <v>723</v>
      </c>
      <c r="B327" s="1375" t="s">
        <v>2919</v>
      </c>
      <c r="C327" s="1375" t="s">
        <v>3018</v>
      </c>
      <c r="D327" s="1375">
        <v>8.6E-3</v>
      </c>
      <c r="E327" s="1922">
        <v>0</v>
      </c>
      <c r="F327" s="1922">
        <v>0</v>
      </c>
      <c r="G327" s="1922">
        <v>0</v>
      </c>
      <c r="H327" s="1922">
        <v>8.6E-3</v>
      </c>
      <c r="I327" s="1375"/>
      <c r="J327" s="1375" t="str">
        <f t="shared" si="5"/>
        <v>Tacoma Power2002</v>
      </c>
    </row>
    <row r="328" spans="1:10">
      <c r="A328" s="1375" t="s">
        <v>723</v>
      </c>
      <c r="B328" s="1375" t="s">
        <v>2919</v>
      </c>
      <c r="C328" s="1375" t="s">
        <v>3019</v>
      </c>
      <c r="D328" s="1375">
        <v>8.6E-3</v>
      </c>
      <c r="E328" s="1922">
        <v>0</v>
      </c>
      <c r="F328" s="1922">
        <v>0</v>
      </c>
      <c r="G328" s="1922">
        <v>0</v>
      </c>
      <c r="H328" s="1922">
        <v>8.6E-3</v>
      </c>
      <c r="I328" s="1375"/>
      <c r="J328" s="1375" t="str">
        <f t="shared" si="5"/>
        <v>Tacoma Power2003</v>
      </c>
    </row>
    <row r="329" spans="1:10">
      <c r="A329" s="1375" t="s">
        <v>723</v>
      </c>
      <c r="B329" s="1375" t="s">
        <v>2919</v>
      </c>
      <c r="C329" s="1375" t="s">
        <v>3020</v>
      </c>
      <c r="D329" s="1375">
        <v>8.6E-3</v>
      </c>
      <c r="E329" s="1922">
        <v>0</v>
      </c>
      <c r="F329" s="1922">
        <v>0</v>
      </c>
      <c r="G329" s="1922">
        <v>0</v>
      </c>
      <c r="H329" s="1922">
        <v>8.6E-3</v>
      </c>
      <c r="I329" s="1375"/>
      <c r="J329" s="1375" t="str">
        <f t="shared" si="5"/>
        <v>Tacoma Power2004</v>
      </c>
    </row>
    <row r="330" spans="1:10">
      <c r="A330" s="1375" t="s">
        <v>723</v>
      </c>
      <c r="B330" s="1375" t="s">
        <v>2919</v>
      </c>
      <c r="C330" s="1375" t="s">
        <v>3021</v>
      </c>
      <c r="D330" s="1375">
        <v>8.6E-3</v>
      </c>
      <c r="E330" s="1922">
        <v>0</v>
      </c>
      <c r="F330" s="1922">
        <v>0</v>
      </c>
      <c r="G330" s="1922">
        <v>0</v>
      </c>
      <c r="H330" s="1922">
        <v>8.6E-3</v>
      </c>
      <c r="I330" s="1375"/>
      <c r="J330" s="1375" t="str">
        <f t="shared" si="5"/>
        <v>Tacoma Power2005</v>
      </c>
    </row>
    <row r="331" spans="1:10">
      <c r="A331" s="1375" t="s">
        <v>723</v>
      </c>
      <c r="B331" s="1375" t="s">
        <v>2919</v>
      </c>
      <c r="C331" s="1375" t="s">
        <v>3022</v>
      </c>
      <c r="D331" s="1375">
        <v>8.6E-3</v>
      </c>
      <c r="E331" s="1922">
        <v>0</v>
      </c>
      <c r="F331" s="1922">
        <v>0</v>
      </c>
      <c r="G331" s="1922">
        <v>0</v>
      </c>
      <c r="H331" s="1922">
        <v>8.6E-3</v>
      </c>
      <c r="I331" s="1375"/>
      <c r="J331" s="1375" t="str">
        <f t="shared" si="5"/>
        <v>Tacoma Power2006</v>
      </c>
    </row>
    <row r="332" spans="1:10">
      <c r="A332" s="1375" t="s">
        <v>723</v>
      </c>
      <c r="B332" s="1375" t="s">
        <v>2919</v>
      </c>
      <c r="C332" s="1375" t="s">
        <v>3023</v>
      </c>
      <c r="D332" s="1375">
        <v>8.6E-3</v>
      </c>
      <c r="E332" s="1922">
        <v>0</v>
      </c>
      <c r="F332" s="1922">
        <v>0</v>
      </c>
      <c r="G332" s="1922">
        <v>0</v>
      </c>
      <c r="H332" s="1922">
        <v>8.6E-3</v>
      </c>
      <c r="I332" s="1375"/>
      <c r="J332" s="1375" t="str">
        <f t="shared" si="5"/>
        <v>Tacoma Power2007</v>
      </c>
    </row>
    <row r="333" spans="1:10">
      <c r="A333" s="1375" t="s">
        <v>723</v>
      </c>
      <c r="B333" s="1375" t="s">
        <v>2919</v>
      </c>
      <c r="C333" s="1375" t="s">
        <v>3024</v>
      </c>
      <c r="D333" s="1375">
        <v>8.6E-3</v>
      </c>
      <c r="E333" s="1922">
        <v>0</v>
      </c>
      <c r="F333" s="1922">
        <v>0</v>
      </c>
      <c r="G333" s="1922">
        <v>0</v>
      </c>
      <c r="H333" s="1922">
        <v>8.6E-3</v>
      </c>
      <c r="I333" s="1375"/>
      <c r="J333" s="1375" t="str">
        <f t="shared" si="5"/>
        <v>Tacoma Power2008</v>
      </c>
    </row>
    <row r="334" spans="1:10">
      <c r="A334" s="1375" t="s">
        <v>723</v>
      </c>
      <c r="B334" s="1375" t="s">
        <v>2919</v>
      </c>
      <c r="C334" s="1375" t="s">
        <v>3025</v>
      </c>
      <c r="D334" s="1375">
        <v>8.6E-3</v>
      </c>
      <c r="E334" s="1922">
        <v>0</v>
      </c>
      <c r="F334" s="1922">
        <v>0</v>
      </c>
      <c r="G334" s="1922">
        <v>0</v>
      </c>
      <c r="H334" s="1922">
        <v>8.6E-3</v>
      </c>
      <c r="I334" s="1375"/>
      <c r="J334" s="1375" t="str">
        <f t="shared" si="5"/>
        <v>Tacoma Power2009</v>
      </c>
    </row>
    <row r="335" spans="1:10">
      <c r="A335" s="1375" t="s">
        <v>723</v>
      </c>
      <c r="B335" s="1375" t="s">
        <v>2919</v>
      </c>
      <c r="C335" s="1375" t="s">
        <v>3026</v>
      </c>
      <c r="D335" s="1375">
        <v>1.14E-2</v>
      </c>
      <c r="E335" s="1922">
        <v>0</v>
      </c>
      <c r="F335" s="1922">
        <v>0</v>
      </c>
      <c r="G335" s="1922">
        <v>0</v>
      </c>
      <c r="H335" s="1922">
        <v>1.14E-2</v>
      </c>
      <c r="I335" s="1375"/>
      <c r="J335" s="1375" t="str">
        <f t="shared" si="5"/>
        <v>Tacoma Power2010</v>
      </c>
    </row>
    <row r="336" spans="1:10">
      <c r="A336" s="1375" t="s">
        <v>723</v>
      </c>
      <c r="B336" s="1375" t="s">
        <v>2919</v>
      </c>
      <c r="C336" s="1375" t="s">
        <v>3027</v>
      </c>
      <c r="D336" s="1375">
        <v>1.14E-2</v>
      </c>
      <c r="E336" s="1922">
        <v>0</v>
      </c>
      <c r="F336" s="1922">
        <v>0</v>
      </c>
      <c r="G336" s="1922">
        <v>0</v>
      </c>
      <c r="H336" s="1922">
        <v>1.14E-2</v>
      </c>
      <c r="I336" s="1375"/>
      <c r="J336" s="1375" t="str">
        <f t="shared" si="5"/>
        <v>Tacoma Power2011</v>
      </c>
    </row>
    <row r="337" spans="1:10">
      <c r="A337" s="1375" t="s">
        <v>723</v>
      </c>
      <c r="B337" s="1375" t="s">
        <v>2919</v>
      </c>
      <c r="C337" s="1375" t="s">
        <v>3028</v>
      </c>
      <c r="D337" s="1375">
        <v>1.1299999999999999E-2</v>
      </c>
      <c r="E337" s="1922">
        <v>0</v>
      </c>
      <c r="F337" s="1922">
        <v>0</v>
      </c>
      <c r="G337" s="1922">
        <v>0</v>
      </c>
      <c r="H337" s="1922">
        <v>1.1299999999999999E-2</v>
      </c>
      <c r="I337" s="1375"/>
      <c r="J337" s="1375" t="str">
        <f t="shared" si="5"/>
        <v>Tacoma Power2012</v>
      </c>
    </row>
    <row r="338" spans="1:10">
      <c r="A338" s="1375" t="s">
        <v>723</v>
      </c>
      <c r="B338" s="1375" t="s">
        <v>2919</v>
      </c>
      <c r="C338" s="1375" t="s">
        <v>3029</v>
      </c>
      <c r="D338" s="1375">
        <v>1.1299999999999999E-2</v>
      </c>
      <c r="E338" s="1922">
        <v>0</v>
      </c>
      <c r="F338" s="1922">
        <v>0</v>
      </c>
      <c r="G338" s="1922">
        <v>0</v>
      </c>
      <c r="H338" s="1922">
        <v>1.1299999999999999E-2</v>
      </c>
      <c r="I338" s="1375"/>
      <c r="J338" s="1375" t="str">
        <f t="shared" si="5"/>
        <v>Tacoma Power2013</v>
      </c>
    </row>
    <row r="339" spans="1:10">
      <c r="A339" s="1375" t="s">
        <v>723</v>
      </c>
      <c r="B339" s="1375" t="s">
        <v>2919</v>
      </c>
      <c r="C339" s="1375" t="s">
        <v>3030</v>
      </c>
      <c r="D339" s="1375">
        <v>1.1299999999999999E-2</v>
      </c>
      <c r="E339" s="1922">
        <v>0</v>
      </c>
      <c r="F339" s="1922">
        <v>0</v>
      </c>
      <c r="G339" s="1922">
        <v>0</v>
      </c>
      <c r="H339" s="1922">
        <v>1.1299999999999999E-2</v>
      </c>
      <c r="I339" s="1375"/>
      <c r="J339" s="1375" t="str">
        <f t="shared" si="5"/>
        <v>Tacoma Power2014</v>
      </c>
    </row>
    <row r="340" spans="1:10">
      <c r="A340" s="1375" t="s">
        <v>723</v>
      </c>
      <c r="B340" s="1375" t="s">
        <v>2919</v>
      </c>
      <c r="C340" s="1375" t="s">
        <v>3031</v>
      </c>
      <c r="D340" s="1375">
        <v>1.0999999999999999E-2</v>
      </c>
      <c r="E340" s="1922">
        <v>0</v>
      </c>
      <c r="F340" s="1922">
        <v>0</v>
      </c>
      <c r="G340" s="1922">
        <v>0</v>
      </c>
      <c r="H340" s="1922">
        <v>1.0999999999999999E-2</v>
      </c>
      <c r="I340" s="1375"/>
      <c r="J340" s="1375" t="str">
        <f t="shared" si="5"/>
        <v>Tacoma Power2015</v>
      </c>
    </row>
    <row r="341" spans="1:10">
      <c r="A341" s="1375" t="s">
        <v>723</v>
      </c>
      <c r="B341" s="1375" t="s">
        <v>2919</v>
      </c>
      <c r="C341" s="1375" t="s">
        <v>3032</v>
      </c>
      <c r="D341" s="1375">
        <v>1.0999999999999999E-2</v>
      </c>
      <c r="E341" s="1922">
        <v>0</v>
      </c>
      <c r="F341" s="1922">
        <v>0</v>
      </c>
      <c r="G341" s="1922">
        <v>0</v>
      </c>
      <c r="H341" s="1922">
        <v>1.0999999999999999E-2</v>
      </c>
      <c r="I341" s="1375"/>
      <c r="J341" s="1375" t="str">
        <f t="shared" si="5"/>
        <v>Tacoma Power2016</v>
      </c>
    </row>
    <row r="342" spans="1:10">
      <c r="A342" s="1375" t="s">
        <v>723</v>
      </c>
      <c r="B342" s="1375" t="s">
        <v>2919</v>
      </c>
      <c r="C342" s="1375" t="s">
        <v>3033</v>
      </c>
      <c r="D342" s="1375">
        <v>1.0999999999999999E-2</v>
      </c>
      <c r="E342" s="1922">
        <v>0</v>
      </c>
      <c r="F342" s="1922">
        <v>0</v>
      </c>
      <c r="G342" s="1922">
        <v>0</v>
      </c>
      <c r="H342" s="1922">
        <v>1.0999999999999999E-2</v>
      </c>
      <c r="I342" s="1375"/>
      <c r="J342" s="1375" t="str">
        <f t="shared" si="5"/>
        <v>Tacoma Power2017</v>
      </c>
    </row>
    <row r="343" spans="1:10">
      <c r="A343" s="1375" t="s">
        <v>723</v>
      </c>
      <c r="B343" s="1375" t="s">
        <v>2919</v>
      </c>
      <c r="C343" s="1375" t="s">
        <v>277</v>
      </c>
      <c r="D343" s="1375">
        <v>1.0999999999999999E-2</v>
      </c>
      <c r="E343" s="1922">
        <v>0</v>
      </c>
      <c r="F343" s="1922">
        <v>0</v>
      </c>
      <c r="G343" s="1922">
        <v>0</v>
      </c>
      <c r="H343" s="1922">
        <v>1.0999999999999999E-2</v>
      </c>
      <c r="I343" s="1375"/>
      <c r="J343" s="1375" t="str">
        <f t="shared" si="5"/>
        <v>Tacoma Power2018</v>
      </c>
    </row>
    <row r="344" spans="1:10">
      <c r="A344" s="1375" t="s">
        <v>723</v>
      </c>
      <c r="B344" s="1375" t="s">
        <v>2919</v>
      </c>
      <c r="C344" s="1375" t="s">
        <v>278</v>
      </c>
      <c r="D344" s="1375">
        <v>1.0999999999999999E-2</v>
      </c>
      <c r="E344" s="1922">
        <v>0</v>
      </c>
      <c r="F344" s="1922">
        <v>0</v>
      </c>
      <c r="G344" s="1922">
        <v>0</v>
      </c>
      <c r="H344" s="1922">
        <v>1.0999999999999999E-2</v>
      </c>
      <c r="I344" s="1375"/>
      <c r="J344" s="1375" t="str">
        <f t="shared" si="5"/>
        <v>Tacoma Power2019</v>
      </c>
    </row>
    <row r="345" spans="1:10">
      <c r="A345" s="1375" t="s">
        <v>723</v>
      </c>
      <c r="B345" s="1375" t="s">
        <v>2919</v>
      </c>
      <c r="C345" s="1375" t="s">
        <v>3034</v>
      </c>
      <c r="D345" s="1375">
        <v>9.4629999999999992E-3</v>
      </c>
      <c r="E345" s="1922">
        <v>0</v>
      </c>
      <c r="F345" s="1922">
        <v>0</v>
      </c>
      <c r="G345" s="1922">
        <v>0</v>
      </c>
      <c r="H345" s="1922">
        <v>9.4629999999999992E-3</v>
      </c>
      <c r="I345" s="1375"/>
      <c r="J345" s="1375" t="str">
        <f t="shared" si="5"/>
        <v>Tacoma Power2020</v>
      </c>
    </row>
    <row r="346" spans="1:10">
      <c r="A346" s="1375" t="s">
        <v>723</v>
      </c>
      <c r="B346" s="1375" t="s">
        <v>2919</v>
      </c>
      <c r="C346" s="1375" t="s">
        <v>3035</v>
      </c>
      <c r="D346" s="1375">
        <v>9.4629999999999992E-3</v>
      </c>
      <c r="E346" s="1922">
        <v>0</v>
      </c>
      <c r="F346" s="1922">
        <v>0</v>
      </c>
      <c r="G346" s="1922">
        <v>0</v>
      </c>
      <c r="H346" s="1922">
        <v>9.4629999999999992E-3</v>
      </c>
      <c r="I346" s="1375"/>
      <c r="J346" s="1375" t="str">
        <f t="shared" si="5"/>
        <v>Tacoma Power2021</v>
      </c>
    </row>
    <row r="347" spans="1:10">
      <c r="A347" s="1375" t="s">
        <v>723</v>
      </c>
      <c r="B347" s="1375" t="s">
        <v>2919</v>
      </c>
      <c r="C347" s="1375" t="s">
        <v>1760</v>
      </c>
      <c r="D347" s="1375">
        <v>9.4629999999999992E-3</v>
      </c>
      <c r="E347" s="1922">
        <v>0</v>
      </c>
      <c r="F347" s="1922">
        <v>0</v>
      </c>
      <c r="G347" s="1922">
        <v>0</v>
      </c>
      <c r="H347" s="1922">
        <v>9.4629999999999992E-3</v>
      </c>
      <c r="I347" s="1375"/>
      <c r="J347" s="1375" t="str">
        <f t="shared" si="5"/>
        <v>Tacoma Power2022</v>
      </c>
    </row>
    <row r="348" spans="1:10">
      <c r="A348" s="1375" t="s">
        <v>723</v>
      </c>
      <c r="B348" s="1375" t="s">
        <v>2919</v>
      </c>
      <c r="C348" s="1375" t="s">
        <v>1761</v>
      </c>
      <c r="D348" s="1375">
        <v>9.4629999999999992E-3</v>
      </c>
      <c r="E348" s="1922">
        <v>0</v>
      </c>
      <c r="F348" s="1922">
        <v>0</v>
      </c>
      <c r="G348" s="1922">
        <v>0</v>
      </c>
      <c r="H348" s="1922">
        <v>9.4629999999999992E-3</v>
      </c>
      <c r="I348" s="1375"/>
      <c r="J348" s="1375" t="str">
        <f t="shared" si="5"/>
        <v>Tacoma Power2023</v>
      </c>
    </row>
    <row r="349" spans="1:10">
      <c r="A349" s="1375" t="s">
        <v>723</v>
      </c>
      <c r="B349" s="1375" t="s">
        <v>2919</v>
      </c>
      <c r="C349" s="1375" t="s">
        <v>2922</v>
      </c>
      <c r="D349" s="1375">
        <v>9.4629999999999992E-3</v>
      </c>
      <c r="E349" s="1922">
        <v>0</v>
      </c>
      <c r="F349" s="1922">
        <v>0</v>
      </c>
      <c r="G349" s="1922">
        <v>0</v>
      </c>
      <c r="H349" s="1922">
        <v>9.4629999999999992E-3</v>
      </c>
      <c r="I349" s="1375"/>
      <c r="J349" s="1375" t="str">
        <f t="shared" si="5"/>
        <v>Tacoma Power2024</v>
      </c>
    </row>
    <row r="350" spans="1:10">
      <c r="A350" s="1375" t="s">
        <v>723</v>
      </c>
      <c r="B350" s="1375" t="s">
        <v>2919</v>
      </c>
      <c r="C350" s="1375" t="s">
        <v>2944</v>
      </c>
      <c r="D350" s="1375">
        <v>9.4629999999999992E-3</v>
      </c>
      <c r="E350" s="1922">
        <v>0</v>
      </c>
      <c r="F350" s="1922">
        <v>0</v>
      </c>
      <c r="G350" s="1922">
        <v>0</v>
      </c>
      <c r="H350" s="1922">
        <v>9.4629999999999992E-3</v>
      </c>
      <c r="I350" s="1375"/>
      <c r="J350" s="1375" t="str">
        <f t="shared" si="5"/>
        <v>Tacoma Power2025</v>
      </c>
    </row>
    <row r="351" spans="1:10">
      <c r="A351" s="1375" t="s">
        <v>709</v>
      </c>
      <c r="B351" s="1375" t="s">
        <v>2920</v>
      </c>
      <c r="C351" s="1375" t="s">
        <v>3013</v>
      </c>
      <c r="D351" s="1375">
        <v>0</v>
      </c>
      <c r="E351" s="1922">
        <v>0</v>
      </c>
      <c r="F351" s="1922">
        <v>0</v>
      </c>
      <c r="G351" s="1922">
        <v>0</v>
      </c>
      <c r="H351" s="1922">
        <v>0</v>
      </c>
      <c r="I351" s="1375"/>
      <c r="J351" s="1375" t="str">
        <f t="shared" si="5"/>
        <v>Douglas County PUD1997</v>
      </c>
    </row>
    <row r="352" spans="1:10">
      <c r="A352" s="1375" t="s">
        <v>709</v>
      </c>
      <c r="B352" s="1375" t="s">
        <v>2920</v>
      </c>
      <c r="C352" s="1375" t="s">
        <v>3014</v>
      </c>
      <c r="D352" s="1375">
        <v>0</v>
      </c>
      <c r="E352" s="1922">
        <v>0</v>
      </c>
      <c r="F352" s="1922">
        <v>0</v>
      </c>
      <c r="G352" s="1922">
        <v>0</v>
      </c>
      <c r="H352" s="1922">
        <v>0</v>
      </c>
      <c r="I352" s="1375"/>
      <c r="J352" s="1375" t="str">
        <f t="shared" si="5"/>
        <v>Douglas County PUD1998</v>
      </c>
    </row>
    <row r="353" spans="1:10">
      <c r="A353" s="1375" t="s">
        <v>709</v>
      </c>
      <c r="B353" s="1375" t="s">
        <v>2920</v>
      </c>
      <c r="C353" s="1375" t="s">
        <v>3015</v>
      </c>
      <c r="D353" s="1375">
        <v>0</v>
      </c>
      <c r="E353" s="1922">
        <v>0</v>
      </c>
      <c r="F353" s="1922">
        <v>0</v>
      </c>
      <c r="G353" s="1922">
        <v>0</v>
      </c>
      <c r="H353" s="1922">
        <v>0</v>
      </c>
      <c r="I353" s="1375"/>
      <c r="J353" s="1375" t="str">
        <f t="shared" si="5"/>
        <v>Douglas County PUD1999</v>
      </c>
    </row>
    <row r="354" spans="1:10">
      <c r="A354" s="1375" t="s">
        <v>709</v>
      </c>
      <c r="B354" s="1375" t="s">
        <v>2920</v>
      </c>
      <c r="C354" s="1375" t="s">
        <v>3016</v>
      </c>
      <c r="D354" s="1375">
        <v>0</v>
      </c>
      <c r="E354" s="1922">
        <v>0</v>
      </c>
      <c r="F354" s="1922">
        <v>0</v>
      </c>
      <c r="G354" s="1922">
        <v>0</v>
      </c>
      <c r="H354" s="1922">
        <v>0</v>
      </c>
      <c r="I354" s="1375"/>
      <c r="J354" s="1375" t="str">
        <f t="shared" si="5"/>
        <v>Douglas County PUD2000</v>
      </c>
    </row>
    <row r="355" spans="1:10">
      <c r="A355" s="1375" t="s">
        <v>709</v>
      </c>
      <c r="B355" s="1375" t="s">
        <v>2920</v>
      </c>
      <c r="C355" s="1375" t="s">
        <v>3017</v>
      </c>
      <c r="D355" s="1375">
        <v>0</v>
      </c>
      <c r="E355" s="1922">
        <v>0</v>
      </c>
      <c r="F355" s="1922">
        <v>0</v>
      </c>
      <c r="G355" s="1922">
        <v>0</v>
      </c>
      <c r="H355" s="1922">
        <v>0</v>
      </c>
      <c r="I355" s="1375"/>
      <c r="J355" s="1375" t="str">
        <f t="shared" si="5"/>
        <v>Douglas County PUD2001</v>
      </c>
    </row>
    <row r="356" spans="1:10">
      <c r="A356" s="1375" t="s">
        <v>709</v>
      </c>
      <c r="B356" s="1375" t="s">
        <v>2920</v>
      </c>
      <c r="C356" s="1375" t="s">
        <v>3018</v>
      </c>
      <c r="D356" s="1375">
        <v>0</v>
      </c>
      <c r="E356" s="1922">
        <v>0</v>
      </c>
      <c r="F356" s="1922">
        <v>0</v>
      </c>
      <c r="G356" s="1922">
        <v>0</v>
      </c>
      <c r="H356" s="1922">
        <v>0</v>
      </c>
      <c r="I356" s="1375"/>
      <c r="J356" s="1375" t="str">
        <f t="shared" si="5"/>
        <v>Douglas County PUD2002</v>
      </c>
    </row>
    <row r="357" spans="1:10">
      <c r="A357" s="1375" t="s">
        <v>709</v>
      </c>
      <c r="B357" s="1375" t="s">
        <v>2920</v>
      </c>
      <c r="C357" s="1375" t="s">
        <v>3019</v>
      </c>
      <c r="D357" s="1375">
        <v>0</v>
      </c>
      <c r="E357" s="1922">
        <v>0</v>
      </c>
      <c r="F357" s="1922">
        <v>0</v>
      </c>
      <c r="G357" s="1922">
        <v>0</v>
      </c>
      <c r="H357" s="1922">
        <v>0</v>
      </c>
      <c r="I357" s="1375"/>
      <c r="J357" s="1375" t="str">
        <f t="shared" si="5"/>
        <v>Douglas County PUD2003</v>
      </c>
    </row>
    <row r="358" spans="1:10">
      <c r="A358" s="1375" t="s">
        <v>709</v>
      </c>
      <c r="B358" s="1375" t="s">
        <v>2920</v>
      </c>
      <c r="C358" s="1375" t="s">
        <v>3020</v>
      </c>
      <c r="D358" s="1375">
        <v>0</v>
      </c>
      <c r="E358" s="1922">
        <v>0</v>
      </c>
      <c r="F358" s="1922">
        <v>0</v>
      </c>
      <c r="G358" s="1922">
        <v>0</v>
      </c>
      <c r="H358" s="1922">
        <v>0</v>
      </c>
      <c r="I358" s="1375"/>
      <c r="J358" s="1375" t="str">
        <f t="shared" si="5"/>
        <v>Douglas County PUD2004</v>
      </c>
    </row>
    <row r="359" spans="1:10">
      <c r="A359" s="1375" t="s">
        <v>709</v>
      </c>
      <c r="B359" s="1375" t="s">
        <v>2920</v>
      </c>
      <c r="C359" s="1375" t="s">
        <v>3021</v>
      </c>
      <c r="D359" s="1375">
        <v>0</v>
      </c>
      <c r="E359" s="1922">
        <v>0</v>
      </c>
      <c r="F359" s="1922">
        <v>0</v>
      </c>
      <c r="G359" s="1922">
        <v>0</v>
      </c>
      <c r="H359" s="1922">
        <v>0</v>
      </c>
      <c r="I359" s="1375"/>
      <c r="J359" s="1375" t="str">
        <f t="shared" si="5"/>
        <v>Douglas County PUD2005</v>
      </c>
    </row>
    <row r="360" spans="1:10">
      <c r="A360" s="1375" t="s">
        <v>709</v>
      </c>
      <c r="B360" s="1375" t="s">
        <v>2920</v>
      </c>
      <c r="C360" s="1375" t="s">
        <v>3022</v>
      </c>
      <c r="D360" s="1375">
        <v>0</v>
      </c>
      <c r="E360" s="1922">
        <v>0</v>
      </c>
      <c r="F360" s="1922">
        <v>0</v>
      </c>
      <c r="G360" s="1922">
        <v>0</v>
      </c>
      <c r="H360" s="1922">
        <v>0</v>
      </c>
      <c r="I360" s="1375"/>
      <c r="J360" s="1375" t="str">
        <f t="shared" si="5"/>
        <v>Douglas County PUD2006</v>
      </c>
    </row>
    <row r="361" spans="1:10">
      <c r="A361" s="1375" t="s">
        <v>709</v>
      </c>
      <c r="B361" s="1375" t="s">
        <v>2920</v>
      </c>
      <c r="C361" s="1375" t="s">
        <v>3023</v>
      </c>
      <c r="D361" s="1375">
        <v>0</v>
      </c>
      <c r="E361" s="1922">
        <v>0</v>
      </c>
      <c r="F361" s="1922">
        <v>0</v>
      </c>
      <c r="G361" s="1922">
        <v>0</v>
      </c>
      <c r="H361" s="1922">
        <v>0</v>
      </c>
      <c r="I361" s="1375"/>
      <c r="J361" s="1375" t="str">
        <f t="shared" si="5"/>
        <v>Douglas County PUD2007</v>
      </c>
    </row>
    <row r="362" spans="1:10">
      <c r="A362" s="1375" t="s">
        <v>709</v>
      </c>
      <c r="B362" s="1375" t="s">
        <v>2920</v>
      </c>
      <c r="C362" s="1375" t="s">
        <v>3024</v>
      </c>
      <c r="D362" s="1375">
        <v>0</v>
      </c>
      <c r="E362" s="1922">
        <v>0</v>
      </c>
      <c r="F362" s="1922">
        <v>0</v>
      </c>
      <c r="G362" s="1922">
        <v>0</v>
      </c>
      <c r="H362" s="1922">
        <v>0</v>
      </c>
      <c r="I362" s="1375"/>
      <c r="J362" s="1375" t="str">
        <f t="shared" si="5"/>
        <v>Douglas County PUD2008</v>
      </c>
    </row>
    <row r="363" spans="1:10">
      <c r="A363" s="1375" t="s">
        <v>709</v>
      </c>
      <c r="B363" s="1375" t="s">
        <v>2920</v>
      </c>
      <c r="C363" s="1375" t="s">
        <v>3025</v>
      </c>
      <c r="D363" s="1375">
        <v>0</v>
      </c>
      <c r="E363" s="1922">
        <v>0</v>
      </c>
      <c r="F363" s="1922">
        <v>0</v>
      </c>
      <c r="G363" s="1922">
        <v>0</v>
      </c>
      <c r="H363" s="1922">
        <v>0</v>
      </c>
      <c r="I363" s="1375"/>
      <c r="J363" s="1375" t="str">
        <f t="shared" si="5"/>
        <v>Douglas County PUD2009</v>
      </c>
    </row>
    <row r="364" spans="1:10">
      <c r="A364" s="1375" t="s">
        <v>709</v>
      </c>
      <c r="B364" s="1375" t="s">
        <v>2920</v>
      </c>
      <c r="C364" s="1375" t="s">
        <v>3026</v>
      </c>
      <c r="D364" s="1375">
        <v>0</v>
      </c>
      <c r="E364" s="1922">
        <v>0</v>
      </c>
      <c r="F364" s="1922">
        <v>0</v>
      </c>
      <c r="G364" s="1922">
        <v>0</v>
      </c>
      <c r="H364" s="1922">
        <v>0</v>
      </c>
      <c r="I364" s="1375"/>
      <c r="J364" s="1375" t="str">
        <f t="shared" si="5"/>
        <v>Douglas County PUD2010</v>
      </c>
    </row>
    <row r="365" spans="1:10">
      <c r="A365" s="1375" t="s">
        <v>709</v>
      </c>
      <c r="B365" s="1375" t="s">
        <v>2920</v>
      </c>
      <c r="C365" s="1375" t="s">
        <v>3027</v>
      </c>
      <c r="D365" s="1375">
        <v>0</v>
      </c>
      <c r="E365" s="1922">
        <v>0</v>
      </c>
      <c r="F365" s="1922">
        <v>0</v>
      </c>
      <c r="G365" s="1922">
        <v>0</v>
      </c>
      <c r="H365" s="1922">
        <v>0</v>
      </c>
      <c r="I365" s="1375"/>
      <c r="J365" s="1375" t="str">
        <f t="shared" si="5"/>
        <v>Douglas County PUD2011</v>
      </c>
    </row>
    <row r="366" spans="1:10">
      <c r="A366" s="1375" t="s">
        <v>709</v>
      </c>
      <c r="B366" s="1375" t="s">
        <v>2920</v>
      </c>
      <c r="C366" s="1375" t="s">
        <v>3028</v>
      </c>
      <c r="D366" s="1375">
        <v>0</v>
      </c>
      <c r="E366" s="1922">
        <v>0</v>
      </c>
      <c r="F366" s="1922">
        <v>0</v>
      </c>
      <c r="G366" s="1922">
        <v>0</v>
      </c>
      <c r="H366" s="1922">
        <v>0</v>
      </c>
      <c r="I366" s="1375"/>
      <c r="J366" s="1375" t="str">
        <f t="shared" si="5"/>
        <v>Douglas County PUD2012</v>
      </c>
    </row>
    <row r="367" spans="1:10">
      <c r="A367" s="1375" t="s">
        <v>709</v>
      </c>
      <c r="B367" s="1375" t="s">
        <v>2920</v>
      </c>
      <c r="C367" s="1375" t="s">
        <v>3029</v>
      </c>
      <c r="D367" s="1375">
        <v>0</v>
      </c>
      <c r="E367" s="1922">
        <v>0</v>
      </c>
      <c r="F367" s="1922">
        <v>0</v>
      </c>
      <c r="G367" s="1922">
        <v>0</v>
      </c>
      <c r="H367" s="1922">
        <v>0</v>
      </c>
      <c r="I367" s="1375"/>
      <c r="J367" s="1375" t="str">
        <f t="shared" si="5"/>
        <v>Douglas County PUD2013</v>
      </c>
    </row>
    <row r="368" spans="1:10">
      <c r="A368" s="1375" t="s">
        <v>709</v>
      </c>
      <c r="B368" s="1375" t="s">
        <v>2920</v>
      </c>
      <c r="C368" s="1375" t="s">
        <v>3030</v>
      </c>
      <c r="D368" s="1375">
        <v>0</v>
      </c>
      <c r="E368" s="1922">
        <v>0</v>
      </c>
      <c r="F368" s="1922">
        <v>0</v>
      </c>
      <c r="G368" s="1922">
        <v>0</v>
      </c>
      <c r="H368" s="1922">
        <v>0</v>
      </c>
      <c r="I368" s="1375"/>
      <c r="J368" s="1375" t="str">
        <f t="shared" si="5"/>
        <v>Douglas County PUD2014</v>
      </c>
    </row>
    <row r="369" spans="1:10">
      <c r="A369" s="1375" t="s">
        <v>709</v>
      </c>
      <c r="B369" s="1375" t="s">
        <v>2920</v>
      </c>
      <c r="C369" s="1375" t="s">
        <v>3031</v>
      </c>
      <c r="D369" s="1375">
        <v>0</v>
      </c>
      <c r="E369" s="1922">
        <v>0</v>
      </c>
      <c r="F369" s="1922">
        <v>0</v>
      </c>
      <c r="G369" s="1922">
        <v>0</v>
      </c>
      <c r="H369" s="1922">
        <v>0</v>
      </c>
      <c r="I369" s="1375"/>
      <c r="J369" s="1375" t="str">
        <f t="shared" si="5"/>
        <v>Douglas County PUD2015</v>
      </c>
    </row>
    <row r="370" spans="1:10">
      <c r="A370" s="1375" t="s">
        <v>709</v>
      </c>
      <c r="B370" s="1375" t="s">
        <v>2920</v>
      </c>
      <c r="C370" s="1375" t="s">
        <v>3032</v>
      </c>
      <c r="D370" s="1375">
        <v>0</v>
      </c>
      <c r="E370" s="1922">
        <v>0</v>
      </c>
      <c r="F370" s="1922">
        <v>0</v>
      </c>
      <c r="G370" s="1922">
        <v>0</v>
      </c>
      <c r="H370" s="1922">
        <v>0</v>
      </c>
      <c r="I370" s="1375"/>
      <c r="J370" s="1375" t="str">
        <f t="shared" si="5"/>
        <v>Douglas County PUD2016</v>
      </c>
    </row>
    <row r="371" spans="1:10">
      <c r="A371" s="1375" t="s">
        <v>709</v>
      </c>
      <c r="B371" s="1375" t="s">
        <v>2920</v>
      </c>
      <c r="C371" s="1375" t="s">
        <v>3033</v>
      </c>
      <c r="D371" s="1375">
        <v>0</v>
      </c>
      <c r="E371" s="1922">
        <v>0</v>
      </c>
      <c r="F371" s="1922">
        <v>0</v>
      </c>
      <c r="G371" s="1922">
        <v>0</v>
      </c>
      <c r="H371" s="1922">
        <v>0</v>
      </c>
      <c r="I371" s="1375"/>
      <c r="J371" s="1375" t="str">
        <f t="shared" si="5"/>
        <v>Douglas County PUD2017</v>
      </c>
    </row>
    <row r="372" spans="1:10">
      <c r="A372" s="1375" t="s">
        <v>709</v>
      </c>
      <c r="B372" s="1375" t="s">
        <v>2920</v>
      </c>
      <c r="C372" s="1375" t="s">
        <v>277</v>
      </c>
      <c r="D372" s="1375">
        <v>0</v>
      </c>
      <c r="E372" s="1922">
        <v>0</v>
      </c>
      <c r="F372" s="1922">
        <v>0</v>
      </c>
      <c r="G372" s="1922">
        <v>0</v>
      </c>
      <c r="H372" s="1922">
        <v>0</v>
      </c>
      <c r="I372" s="1375"/>
      <c r="J372" s="1375" t="str">
        <f t="shared" si="5"/>
        <v>Douglas County PUD2018</v>
      </c>
    </row>
    <row r="373" spans="1:10">
      <c r="A373" s="1375" t="s">
        <v>709</v>
      </c>
      <c r="B373" s="1375" t="s">
        <v>2920</v>
      </c>
      <c r="C373" s="1375" t="s">
        <v>278</v>
      </c>
      <c r="D373" s="1375">
        <v>0</v>
      </c>
      <c r="E373" s="1922">
        <v>0</v>
      </c>
      <c r="F373" s="1922">
        <v>0</v>
      </c>
      <c r="G373" s="1922">
        <v>0</v>
      </c>
      <c r="H373" s="1922">
        <v>0</v>
      </c>
      <c r="I373" s="1375"/>
      <c r="J373" s="1375" t="str">
        <f t="shared" si="5"/>
        <v>Douglas County PUD2019</v>
      </c>
    </row>
    <row r="374" spans="1:10">
      <c r="A374" s="1375" t="s">
        <v>709</v>
      </c>
      <c r="B374" s="1375" t="s">
        <v>2920</v>
      </c>
      <c r="C374" s="1375" t="s">
        <v>3034</v>
      </c>
      <c r="D374" s="1375">
        <v>0</v>
      </c>
      <c r="E374" s="1922">
        <v>0</v>
      </c>
      <c r="F374" s="1922">
        <v>0</v>
      </c>
      <c r="G374" s="1922">
        <v>0</v>
      </c>
      <c r="H374" s="1922">
        <v>0</v>
      </c>
      <c r="I374" s="1375"/>
      <c r="J374" s="1375" t="str">
        <f t="shared" si="5"/>
        <v>Douglas County PUD2020</v>
      </c>
    </row>
    <row r="375" spans="1:10">
      <c r="A375" s="1375" t="s">
        <v>709</v>
      </c>
      <c r="B375" s="1375" t="s">
        <v>2920</v>
      </c>
      <c r="C375" s="1375" t="s">
        <v>3035</v>
      </c>
      <c r="D375" s="1375">
        <v>0</v>
      </c>
      <c r="E375" s="1922">
        <v>0</v>
      </c>
      <c r="F375" s="1922">
        <v>0</v>
      </c>
      <c r="G375" s="1922">
        <v>0</v>
      </c>
      <c r="H375" s="1922">
        <v>0</v>
      </c>
      <c r="I375" s="1375"/>
      <c r="J375" s="1375" t="str">
        <f t="shared" si="5"/>
        <v>Douglas County PUD2021</v>
      </c>
    </row>
    <row r="376" spans="1:10">
      <c r="A376" s="1375" t="s">
        <v>709</v>
      </c>
      <c r="B376" s="1375" t="s">
        <v>2920</v>
      </c>
      <c r="C376" s="1375" t="s">
        <v>1760</v>
      </c>
      <c r="D376" s="1375">
        <v>0</v>
      </c>
      <c r="E376" s="1922">
        <v>0</v>
      </c>
      <c r="F376" s="1922">
        <v>0</v>
      </c>
      <c r="G376" s="1922">
        <v>0</v>
      </c>
      <c r="H376" s="1922">
        <v>0</v>
      </c>
      <c r="I376" s="1375"/>
      <c r="J376" s="1375" t="str">
        <f t="shared" si="5"/>
        <v>Douglas County PUD2022</v>
      </c>
    </row>
    <row r="377" spans="1:10">
      <c r="A377" s="1375" t="s">
        <v>709</v>
      </c>
      <c r="B377" s="1375" t="s">
        <v>2920</v>
      </c>
      <c r="C377" s="1375" t="s">
        <v>1761</v>
      </c>
      <c r="D377" s="1375">
        <v>0</v>
      </c>
      <c r="E377" s="1922">
        <v>0</v>
      </c>
      <c r="F377" s="1922">
        <v>0</v>
      </c>
      <c r="G377" s="1922">
        <v>0</v>
      </c>
      <c r="H377" s="1922">
        <v>0</v>
      </c>
      <c r="I377" s="1375"/>
      <c r="J377" s="1375" t="str">
        <f t="shared" si="5"/>
        <v>Douglas County PUD2023</v>
      </c>
    </row>
    <row r="378" spans="1:10">
      <c r="A378" s="1375" t="s">
        <v>709</v>
      </c>
      <c r="B378" s="1375" t="s">
        <v>2920</v>
      </c>
      <c r="C378" s="1375" t="s">
        <v>2922</v>
      </c>
      <c r="D378" s="1375">
        <v>0</v>
      </c>
      <c r="E378" s="1922">
        <v>0</v>
      </c>
      <c r="F378" s="1922">
        <v>0</v>
      </c>
      <c r="G378" s="1922">
        <v>0</v>
      </c>
      <c r="H378" s="1922">
        <v>0</v>
      </c>
      <c r="I378" s="1375"/>
      <c r="J378" s="1375" t="str">
        <f t="shared" si="5"/>
        <v>Douglas County PUD2024</v>
      </c>
    </row>
    <row r="379" spans="1:10">
      <c r="A379" s="1375" t="s">
        <v>709</v>
      </c>
      <c r="B379" s="1375" t="s">
        <v>2920</v>
      </c>
      <c r="C379" s="1375" t="s">
        <v>2944</v>
      </c>
      <c r="D379" s="1375">
        <v>0</v>
      </c>
      <c r="E379" s="1922">
        <v>0</v>
      </c>
      <c r="F379" s="1922">
        <v>0</v>
      </c>
      <c r="G379" s="1922">
        <v>0</v>
      </c>
      <c r="H379" s="1922">
        <v>0</v>
      </c>
      <c r="I379" s="1375"/>
      <c r="J379" s="1375" t="str">
        <f t="shared" si="5"/>
        <v>Douglas County PUD2025</v>
      </c>
    </row>
    <row r="380" spans="1:10">
      <c r="A380" s="1375" t="s">
        <v>720</v>
      </c>
      <c r="B380" s="1375" t="s">
        <v>2920</v>
      </c>
      <c r="C380" s="1375" t="s">
        <v>3013</v>
      </c>
      <c r="D380" s="1375">
        <v>1.29E-2</v>
      </c>
      <c r="E380" s="1922">
        <v>1.29E-2</v>
      </c>
      <c r="F380" s="1922">
        <v>0</v>
      </c>
      <c r="G380" s="1922">
        <v>0</v>
      </c>
      <c r="H380" s="1922">
        <v>0</v>
      </c>
      <c r="I380" s="1375"/>
      <c r="J380" s="1375" t="str">
        <f t="shared" si="5"/>
        <v>Rocky Mountain Power1997</v>
      </c>
    </row>
    <row r="381" spans="1:10">
      <c r="A381" s="1375" t="s">
        <v>720</v>
      </c>
      <c r="B381" s="1375" t="s">
        <v>2920</v>
      </c>
      <c r="C381" s="1375" t="s">
        <v>3014</v>
      </c>
      <c r="D381" s="1375">
        <v>1.29E-2</v>
      </c>
      <c r="E381" s="1922">
        <v>1.29E-2</v>
      </c>
      <c r="F381" s="1922">
        <v>0</v>
      </c>
      <c r="G381" s="1922">
        <v>0</v>
      </c>
      <c r="H381" s="1922">
        <v>0</v>
      </c>
      <c r="I381" s="1375"/>
      <c r="J381" s="1375" t="str">
        <f t="shared" si="5"/>
        <v>Rocky Mountain Power1998</v>
      </c>
    </row>
    <row r="382" spans="1:10">
      <c r="A382" s="1375" t="s">
        <v>720</v>
      </c>
      <c r="B382" s="1375" t="s">
        <v>2920</v>
      </c>
      <c r="C382" s="1375" t="s">
        <v>3015</v>
      </c>
      <c r="D382" s="1375">
        <v>1.29E-2</v>
      </c>
      <c r="E382" s="1922">
        <v>1.29E-2</v>
      </c>
      <c r="F382" s="1922">
        <v>0</v>
      </c>
      <c r="G382" s="1922">
        <v>0</v>
      </c>
      <c r="H382" s="1922">
        <v>0</v>
      </c>
      <c r="I382" s="1375"/>
      <c r="J382" s="1375" t="str">
        <f t="shared" si="5"/>
        <v>Rocky Mountain Power1999</v>
      </c>
    </row>
    <row r="383" spans="1:10">
      <c r="A383" s="1375" t="s">
        <v>720</v>
      </c>
      <c r="B383" s="1375" t="s">
        <v>2920</v>
      </c>
      <c r="C383" s="1375" t="s">
        <v>3016</v>
      </c>
      <c r="D383" s="1375">
        <v>1.29E-2</v>
      </c>
      <c r="E383" s="1922">
        <v>1.29E-2</v>
      </c>
      <c r="F383" s="1922">
        <v>0</v>
      </c>
      <c r="G383" s="1922">
        <v>0</v>
      </c>
      <c r="H383" s="1922">
        <v>0</v>
      </c>
      <c r="I383" s="1375"/>
      <c r="J383" s="1375" t="str">
        <f t="shared" si="5"/>
        <v>Rocky Mountain Power2000</v>
      </c>
    </row>
    <row r="384" spans="1:10">
      <c r="A384" s="1375" t="s">
        <v>720</v>
      </c>
      <c r="B384" s="1375" t="s">
        <v>2920</v>
      </c>
      <c r="C384" s="1375" t="s">
        <v>3017</v>
      </c>
      <c r="D384" s="1375">
        <v>1.29E-2</v>
      </c>
      <c r="E384" s="1922">
        <v>1.29E-2</v>
      </c>
      <c r="F384" s="1922">
        <v>0</v>
      </c>
      <c r="G384" s="1922">
        <v>0</v>
      </c>
      <c r="H384" s="1922">
        <v>0</v>
      </c>
      <c r="I384" s="1375"/>
      <c r="J384" s="1375" t="str">
        <f t="shared" si="5"/>
        <v>Rocky Mountain Power2001</v>
      </c>
    </row>
    <row r="385" spans="1:10">
      <c r="A385" s="1375" t="s">
        <v>720</v>
      </c>
      <c r="B385" s="1375" t="s">
        <v>2920</v>
      </c>
      <c r="C385" s="1375" t="s">
        <v>3018</v>
      </c>
      <c r="D385" s="1375">
        <v>1.29E-2</v>
      </c>
      <c r="E385" s="1922">
        <v>1.29E-2</v>
      </c>
      <c r="F385" s="1922">
        <v>0</v>
      </c>
      <c r="G385" s="1922">
        <v>0</v>
      </c>
      <c r="H385" s="1922">
        <v>0</v>
      </c>
      <c r="I385" s="1375"/>
      <c r="J385" s="1375" t="str">
        <f t="shared" si="5"/>
        <v>Rocky Mountain Power2002</v>
      </c>
    </row>
    <row r="386" spans="1:10">
      <c r="A386" s="1375" t="s">
        <v>720</v>
      </c>
      <c r="B386" s="1375" t="s">
        <v>2920</v>
      </c>
      <c r="C386" s="1375" t="s">
        <v>3019</v>
      </c>
      <c r="D386" s="1375">
        <v>1.29E-2</v>
      </c>
      <c r="E386" s="1922">
        <v>1.29E-2</v>
      </c>
      <c r="F386" s="1922">
        <v>0</v>
      </c>
      <c r="G386" s="1922">
        <v>0</v>
      </c>
      <c r="H386" s="1922">
        <v>0</v>
      </c>
      <c r="I386" s="1375"/>
      <c r="J386" s="1375" t="str">
        <f t="shared" si="5"/>
        <v>Rocky Mountain Power2003</v>
      </c>
    </row>
    <row r="387" spans="1:10">
      <c r="A387" s="1375" t="s">
        <v>720</v>
      </c>
      <c r="B387" s="1375" t="s">
        <v>2920</v>
      </c>
      <c r="C387" s="1375" t="s">
        <v>3020</v>
      </c>
      <c r="D387" s="1375">
        <v>1.29E-2</v>
      </c>
      <c r="E387" s="1922">
        <v>1.29E-2</v>
      </c>
      <c r="F387" s="1922">
        <v>0</v>
      </c>
      <c r="G387" s="1922">
        <v>0</v>
      </c>
      <c r="H387" s="1922">
        <v>0</v>
      </c>
      <c r="I387" s="1375"/>
      <c r="J387" s="1375" t="str">
        <f t="shared" si="5"/>
        <v>Rocky Mountain Power2004</v>
      </c>
    </row>
    <row r="388" spans="1:10">
      <c r="A388" s="1375" t="s">
        <v>720</v>
      </c>
      <c r="B388" s="1375" t="s">
        <v>2920</v>
      </c>
      <c r="C388" s="1375" t="s">
        <v>3021</v>
      </c>
      <c r="D388" s="1375">
        <v>1.29E-2</v>
      </c>
      <c r="E388" s="1922">
        <v>1.29E-2</v>
      </c>
      <c r="F388" s="1922">
        <v>0</v>
      </c>
      <c r="G388" s="1922">
        <v>0</v>
      </c>
      <c r="H388" s="1922">
        <v>0</v>
      </c>
      <c r="I388" s="1375"/>
      <c r="J388" s="1375" t="str">
        <f t="shared" ref="J388:J451" si="6">A388&amp;C388</f>
        <v>Rocky Mountain Power2005</v>
      </c>
    </row>
    <row r="389" spans="1:10">
      <c r="A389" s="1375" t="s">
        <v>720</v>
      </c>
      <c r="B389" s="1375" t="s">
        <v>2920</v>
      </c>
      <c r="C389" s="1375" t="s">
        <v>3022</v>
      </c>
      <c r="D389" s="1375">
        <v>1.29E-2</v>
      </c>
      <c r="E389" s="1922">
        <v>1.29E-2</v>
      </c>
      <c r="F389" s="1922">
        <v>0</v>
      </c>
      <c r="G389" s="1922">
        <v>0</v>
      </c>
      <c r="H389" s="1922">
        <v>0</v>
      </c>
      <c r="I389" s="1375"/>
      <c r="J389" s="1375" t="str">
        <f t="shared" si="6"/>
        <v>Rocky Mountain Power2006</v>
      </c>
    </row>
    <row r="390" spans="1:10">
      <c r="A390" s="1375" t="s">
        <v>720</v>
      </c>
      <c r="B390" s="1375" t="s">
        <v>2920</v>
      </c>
      <c r="C390" s="1375" t="s">
        <v>3023</v>
      </c>
      <c r="D390" s="1375">
        <v>1.29E-2</v>
      </c>
      <c r="E390" s="1922">
        <v>1.29E-2</v>
      </c>
      <c r="F390" s="1922">
        <v>0</v>
      </c>
      <c r="G390" s="1922">
        <v>0</v>
      </c>
      <c r="H390" s="1922">
        <v>0</v>
      </c>
      <c r="I390" s="1375"/>
      <c r="J390" s="1375" t="str">
        <f t="shared" si="6"/>
        <v>Rocky Mountain Power2007</v>
      </c>
    </row>
    <row r="391" spans="1:10">
      <c r="A391" s="1375" t="s">
        <v>720</v>
      </c>
      <c r="B391" s="1375" t="s">
        <v>2920</v>
      </c>
      <c r="C391" s="1375" t="s">
        <v>3024</v>
      </c>
      <c r="D391" s="1375">
        <v>1.29E-2</v>
      </c>
      <c r="E391" s="1922">
        <v>1.29E-2</v>
      </c>
      <c r="F391" s="1922">
        <v>0</v>
      </c>
      <c r="G391" s="1922">
        <v>0</v>
      </c>
      <c r="H391" s="1922">
        <v>0</v>
      </c>
      <c r="I391" s="1375"/>
      <c r="J391" s="1375" t="str">
        <f t="shared" si="6"/>
        <v>Rocky Mountain Power2008</v>
      </c>
    </row>
    <row r="392" spans="1:10">
      <c r="A392" s="1375" t="s">
        <v>720</v>
      </c>
      <c r="B392" s="1375" t="s">
        <v>2920</v>
      </c>
      <c r="C392" s="1375" t="s">
        <v>3025</v>
      </c>
      <c r="D392" s="1375">
        <v>1.29E-2</v>
      </c>
      <c r="E392" s="1922">
        <v>1.29E-2</v>
      </c>
      <c r="F392" s="1922">
        <v>0</v>
      </c>
      <c r="G392" s="1922">
        <v>0</v>
      </c>
      <c r="H392" s="1922">
        <v>0</v>
      </c>
      <c r="I392" s="1375"/>
      <c r="J392" s="1375" t="str">
        <f t="shared" si="6"/>
        <v>Rocky Mountain Power2009</v>
      </c>
    </row>
    <row r="393" spans="1:10">
      <c r="A393" s="1375" t="s">
        <v>720</v>
      </c>
      <c r="B393" s="1375" t="s">
        <v>2920</v>
      </c>
      <c r="C393" s="1375" t="s">
        <v>3026</v>
      </c>
      <c r="D393" s="1375">
        <v>0</v>
      </c>
      <c r="E393" s="1922">
        <v>0</v>
      </c>
      <c r="F393" s="1922">
        <v>0</v>
      </c>
      <c r="G393" s="1922">
        <v>0</v>
      </c>
      <c r="H393" s="1922">
        <v>0</v>
      </c>
      <c r="I393" s="1375"/>
      <c r="J393" s="1375" t="str">
        <f t="shared" si="6"/>
        <v>Rocky Mountain Power2010</v>
      </c>
    </row>
    <row r="394" spans="1:10">
      <c r="A394" s="1375" t="s">
        <v>720</v>
      </c>
      <c r="B394" s="1375" t="s">
        <v>2920</v>
      </c>
      <c r="C394" s="1375" t="s">
        <v>3027</v>
      </c>
      <c r="D394" s="1375">
        <v>0</v>
      </c>
      <c r="E394" s="1922">
        <v>0</v>
      </c>
      <c r="F394" s="1922">
        <v>0</v>
      </c>
      <c r="G394" s="1922">
        <v>0</v>
      </c>
      <c r="H394" s="1922">
        <v>0</v>
      </c>
      <c r="I394" s="1375"/>
      <c r="J394" s="1375" t="str">
        <f t="shared" si="6"/>
        <v>Rocky Mountain Power2011</v>
      </c>
    </row>
    <row r="395" spans="1:10">
      <c r="A395" s="1375" t="s">
        <v>720</v>
      </c>
      <c r="B395" s="1375" t="s">
        <v>2920</v>
      </c>
      <c r="C395" s="1375" t="s">
        <v>3028</v>
      </c>
      <c r="D395" s="1375">
        <v>0</v>
      </c>
      <c r="E395" s="1922">
        <v>0</v>
      </c>
      <c r="F395" s="1922">
        <v>0</v>
      </c>
      <c r="G395" s="1922">
        <v>0</v>
      </c>
      <c r="H395" s="1922">
        <v>0</v>
      </c>
      <c r="I395" s="1375"/>
      <c r="J395" s="1375" t="str">
        <f t="shared" si="6"/>
        <v>Rocky Mountain Power2012</v>
      </c>
    </row>
    <row r="396" spans="1:10">
      <c r="A396" s="1375" t="s">
        <v>720</v>
      </c>
      <c r="B396" s="1375" t="s">
        <v>2920</v>
      </c>
      <c r="C396" s="1375" t="s">
        <v>3029</v>
      </c>
      <c r="D396" s="1375">
        <v>0</v>
      </c>
      <c r="E396" s="1922">
        <v>0</v>
      </c>
      <c r="F396" s="1922">
        <v>0</v>
      </c>
      <c r="G396" s="1922">
        <v>0</v>
      </c>
      <c r="H396" s="1922">
        <v>0</v>
      </c>
      <c r="I396" s="1375"/>
      <c r="J396" s="1375" t="str">
        <f t="shared" si="6"/>
        <v>Rocky Mountain Power2013</v>
      </c>
    </row>
    <row r="397" spans="1:10">
      <c r="A397" s="1375" t="s">
        <v>720</v>
      </c>
      <c r="B397" s="1375" t="s">
        <v>2920</v>
      </c>
      <c r="C397" s="1375" t="s">
        <v>3030</v>
      </c>
      <c r="D397" s="1375">
        <v>0</v>
      </c>
      <c r="E397" s="1922">
        <v>0</v>
      </c>
      <c r="F397" s="1922">
        <v>0</v>
      </c>
      <c r="G397" s="1922">
        <v>0</v>
      </c>
      <c r="H397" s="1922">
        <v>0</v>
      </c>
      <c r="I397" s="1375"/>
      <c r="J397" s="1375" t="str">
        <f t="shared" si="6"/>
        <v>Rocky Mountain Power2014</v>
      </c>
    </row>
    <row r="398" spans="1:10">
      <c r="A398" s="1375" t="s">
        <v>720</v>
      </c>
      <c r="B398" s="1375" t="s">
        <v>2920</v>
      </c>
      <c r="C398" s="1375" t="s">
        <v>3031</v>
      </c>
      <c r="D398" s="1375">
        <v>0</v>
      </c>
      <c r="E398" s="1922">
        <v>0</v>
      </c>
      <c r="F398" s="1922">
        <v>0</v>
      </c>
      <c r="G398" s="1922">
        <v>0</v>
      </c>
      <c r="H398" s="1922">
        <v>0</v>
      </c>
      <c r="I398" s="1375"/>
      <c r="J398" s="1375" t="str">
        <f t="shared" si="6"/>
        <v>Rocky Mountain Power2015</v>
      </c>
    </row>
    <row r="399" spans="1:10">
      <c r="A399" s="1375" t="s">
        <v>720</v>
      </c>
      <c r="B399" s="1375" t="s">
        <v>2920</v>
      </c>
      <c r="C399" s="1375" t="s">
        <v>3032</v>
      </c>
      <c r="D399" s="1375">
        <v>0</v>
      </c>
      <c r="E399" s="1922">
        <v>0</v>
      </c>
      <c r="F399" s="1922">
        <v>0</v>
      </c>
      <c r="G399" s="1922">
        <v>0</v>
      </c>
      <c r="H399" s="1922">
        <v>0</v>
      </c>
      <c r="I399" s="1375"/>
      <c r="J399" s="1375" t="str">
        <f t="shared" si="6"/>
        <v>Rocky Mountain Power2016</v>
      </c>
    </row>
    <row r="400" spans="1:10">
      <c r="A400" s="1375" t="s">
        <v>720</v>
      </c>
      <c r="B400" s="1375" t="s">
        <v>2920</v>
      </c>
      <c r="C400" s="1375" t="s">
        <v>3033</v>
      </c>
      <c r="D400" s="1375">
        <v>0</v>
      </c>
      <c r="E400" s="1922">
        <v>0</v>
      </c>
      <c r="F400" s="1922">
        <v>0</v>
      </c>
      <c r="G400" s="1922">
        <v>0</v>
      </c>
      <c r="H400" s="1922">
        <v>0</v>
      </c>
      <c r="I400" s="1375"/>
      <c r="J400" s="1375" t="str">
        <f t="shared" si="6"/>
        <v>Rocky Mountain Power2017</v>
      </c>
    </row>
    <row r="401" spans="1:10">
      <c r="A401" s="1375" t="s">
        <v>720</v>
      </c>
      <c r="B401" s="1375" t="s">
        <v>2920</v>
      </c>
      <c r="C401" s="1375" t="s">
        <v>277</v>
      </c>
      <c r="D401" s="1375">
        <v>0</v>
      </c>
      <c r="E401" s="1922">
        <v>0</v>
      </c>
      <c r="F401" s="1922">
        <v>0</v>
      </c>
      <c r="G401" s="1922">
        <v>0</v>
      </c>
      <c r="H401" s="1922">
        <v>0</v>
      </c>
      <c r="I401" s="1375"/>
      <c r="J401" s="1375" t="str">
        <f t="shared" si="6"/>
        <v>Rocky Mountain Power2018</v>
      </c>
    </row>
    <row r="402" spans="1:10">
      <c r="A402" s="1375" t="s">
        <v>720</v>
      </c>
      <c r="B402" s="1375" t="s">
        <v>2920</v>
      </c>
      <c r="C402" s="1375" t="s">
        <v>278</v>
      </c>
      <c r="D402" s="1375">
        <v>0</v>
      </c>
      <c r="E402" s="1922">
        <v>0</v>
      </c>
      <c r="F402" s="1922">
        <v>0</v>
      </c>
      <c r="G402" s="1922">
        <v>0</v>
      </c>
      <c r="H402" s="1922">
        <v>0</v>
      </c>
      <c r="I402" s="1375"/>
      <c r="J402" s="1375" t="str">
        <f t="shared" si="6"/>
        <v>Rocky Mountain Power2019</v>
      </c>
    </row>
    <row r="403" spans="1:10">
      <c r="A403" s="1375" t="s">
        <v>720</v>
      </c>
      <c r="B403" s="1375" t="s">
        <v>2920</v>
      </c>
      <c r="C403" s="1375" t="s">
        <v>3034</v>
      </c>
      <c r="D403" s="1375">
        <v>0</v>
      </c>
      <c r="E403" s="1922">
        <v>0</v>
      </c>
      <c r="F403" s="1922">
        <v>0</v>
      </c>
      <c r="G403" s="1922">
        <v>0</v>
      </c>
      <c r="H403" s="1922">
        <v>0</v>
      </c>
      <c r="I403" s="1375"/>
      <c r="J403" s="1375" t="str">
        <f t="shared" si="6"/>
        <v>Rocky Mountain Power2020</v>
      </c>
    </row>
    <row r="404" spans="1:10">
      <c r="A404" s="1375" t="s">
        <v>720</v>
      </c>
      <c r="B404" s="1375" t="s">
        <v>2920</v>
      </c>
      <c r="C404" s="1375" t="s">
        <v>3035</v>
      </c>
      <c r="D404" s="1375">
        <v>0</v>
      </c>
      <c r="E404" s="1922">
        <v>0</v>
      </c>
      <c r="F404" s="1922">
        <v>0</v>
      </c>
      <c r="G404" s="1922">
        <v>0</v>
      </c>
      <c r="H404" s="1922">
        <v>0</v>
      </c>
      <c r="I404" s="1375"/>
      <c r="J404" s="1375" t="str">
        <f t="shared" si="6"/>
        <v>Rocky Mountain Power2021</v>
      </c>
    </row>
    <row r="405" spans="1:10">
      <c r="A405" s="1375" t="s">
        <v>720</v>
      </c>
      <c r="B405" s="1375" t="s">
        <v>2920</v>
      </c>
      <c r="C405" s="1375" t="s">
        <v>1760</v>
      </c>
      <c r="D405" s="1375">
        <v>0</v>
      </c>
      <c r="E405" s="1922">
        <v>0</v>
      </c>
      <c r="F405" s="1922">
        <v>0</v>
      </c>
      <c r="G405" s="1922">
        <v>0</v>
      </c>
      <c r="H405" s="1922">
        <v>0</v>
      </c>
      <c r="I405" s="1375"/>
      <c r="J405" s="1375" t="str">
        <f t="shared" si="6"/>
        <v>Rocky Mountain Power2022</v>
      </c>
    </row>
    <row r="406" spans="1:10">
      <c r="A406" s="1375" t="s">
        <v>720</v>
      </c>
      <c r="B406" s="1375" t="s">
        <v>2920</v>
      </c>
      <c r="C406" s="1375" t="s">
        <v>1761</v>
      </c>
      <c r="D406" s="1375">
        <v>0</v>
      </c>
      <c r="E406" s="1922">
        <v>0</v>
      </c>
      <c r="F406" s="1922">
        <v>0</v>
      </c>
      <c r="G406" s="1922">
        <v>0</v>
      </c>
      <c r="H406" s="1922">
        <v>0</v>
      </c>
      <c r="I406" s="1375"/>
      <c r="J406" s="1375" t="str">
        <f t="shared" si="6"/>
        <v>Rocky Mountain Power2023</v>
      </c>
    </row>
    <row r="407" spans="1:10">
      <c r="A407" s="1375" t="s">
        <v>720</v>
      </c>
      <c r="B407" s="1375" t="s">
        <v>2920</v>
      </c>
      <c r="C407" s="1375" t="s">
        <v>2922</v>
      </c>
      <c r="D407" s="1375">
        <v>0</v>
      </c>
      <c r="E407" s="1922">
        <v>0</v>
      </c>
      <c r="F407" s="1922">
        <v>0</v>
      </c>
      <c r="G407" s="1922">
        <v>0</v>
      </c>
      <c r="H407" s="1922">
        <v>0</v>
      </c>
      <c r="I407" s="1375"/>
      <c r="J407" s="1375" t="str">
        <f t="shared" si="6"/>
        <v>Rocky Mountain Power2024</v>
      </c>
    </row>
    <row r="408" spans="1:10">
      <c r="A408" s="1375" t="s">
        <v>720</v>
      </c>
      <c r="B408" s="1375" t="s">
        <v>2920</v>
      </c>
      <c r="C408" s="1375" t="s">
        <v>2944</v>
      </c>
      <c r="D408" s="1375">
        <v>0</v>
      </c>
      <c r="E408" s="1922">
        <v>0</v>
      </c>
      <c r="F408" s="1922">
        <v>0</v>
      </c>
      <c r="G408" s="1922">
        <v>0</v>
      </c>
      <c r="H408" s="1922">
        <v>0</v>
      </c>
      <c r="I408" s="1375"/>
      <c r="J408" s="1375" t="str">
        <f t="shared" si="6"/>
        <v>Rocky Mountain Power2025</v>
      </c>
    </row>
    <row r="409" spans="1:10">
      <c r="A409" s="1375" t="s">
        <v>719</v>
      </c>
      <c r="B409" s="1375" t="s">
        <v>2919</v>
      </c>
      <c r="C409" s="1375" t="s">
        <v>3013</v>
      </c>
      <c r="D409" s="1375">
        <v>0.1037</v>
      </c>
      <c r="E409" s="1922">
        <v>0</v>
      </c>
      <c r="F409" s="1922">
        <v>0</v>
      </c>
      <c r="G409" s="1922">
        <v>0</v>
      </c>
      <c r="H409" s="1922">
        <v>0.1037</v>
      </c>
      <c r="I409" s="1375"/>
      <c r="J409" s="1375" t="str">
        <f t="shared" si="6"/>
        <v>Puget Sound Energy1997</v>
      </c>
    </row>
    <row r="410" spans="1:10">
      <c r="A410" s="1375" t="s">
        <v>719</v>
      </c>
      <c r="B410" s="1375" t="s">
        <v>2919</v>
      </c>
      <c r="C410" s="1375" t="s">
        <v>3014</v>
      </c>
      <c r="D410" s="1375">
        <v>0.1037</v>
      </c>
      <c r="E410" s="1922">
        <v>0</v>
      </c>
      <c r="F410" s="1922">
        <v>0</v>
      </c>
      <c r="G410" s="1922">
        <v>0</v>
      </c>
      <c r="H410" s="1922">
        <v>0.1037</v>
      </c>
      <c r="I410" s="1375"/>
      <c r="J410" s="1375" t="str">
        <f t="shared" si="6"/>
        <v>Puget Sound Energy1998</v>
      </c>
    </row>
    <row r="411" spans="1:10">
      <c r="A411" s="1375" t="s">
        <v>719</v>
      </c>
      <c r="B411" s="1375" t="s">
        <v>2919</v>
      </c>
      <c r="C411" s="1375" t="s">
        <v>3015</v>
      </c>
      <c r="D411" s="1375">
        <v>0.1037</v>
      </c>
      <c r="E411" s="1922">
        <v>0</v>
      </c>
      <c r="F411" s="1922">
        <v>0</v>
      </c>
      <c r="G411" s="1922">
        <v>0</v>
      </c>
      <c r="H411" s="1922">
        <v>0.1037</v>
      </c>
      <c r="I411" s="1375"/>
      <c r="J411" s="1375" t="str">
        <f t="shared" si="6"/>
        <v>Puget Sound Energy1999</v>
      </c>
    </row>
    <row r="412" spans="1:10">
      <c r="A412" s="1375" t="s">
        <v>719</v>
      </c>
      <c r="B412" s="1375" t="s">
        <v>2919</v>
      </c>
      <c r="C412" s="1375" t="s">
        <v>3016</v>
      </c>
      <c r="D412" s="1375">
        <v>0.1037</v>
      </c>
      <c r="E412" s="1922">
        <v>0</v>
      </c>
      <c r="F412" s="1922">
        <v>0</v>
      </c>
      <c r="G412" s="1922">
        <v>0</v>
      </c>
      <c r="H412" s="1922">
        <v>0.1037</v>
      </c>
      <c r="I412" s="1375"/>
      <c r="J412" s="1375" t="str">
        <f t="shared" si="6"/>
        <v>Puget Sound Energy2000</v>
      </c>
    </row>
    <row r="413" spans="1:10">
      <c r="A413" s="1375" t="s">
        <v>719</v>
      </c>
      <c r="B413" s="1375" t="s">
        <v>2919</v>
      </c>
      <c r="C413" s="1375" t="s">
        <v>3017</v>
      </c>
      <c r="D413" s="1375">
        <v>0.1037</v>
      </c>
      <c r="E413" s="1922">
        <v>0</v>
      </c>
      <c r="F413" s="1922">
        <v>0</v>
      </c>
      <c r="G413" s="1922">
        <v>0</v>
      </c>
      <c r="H413" s="1922">
        <v>0.1037</v>
      </c>
      <c r="I413" s="1375"/>
      <c r="J413" s="1375" t="str">
        <f t="shared" si="6"/>
        <v>Puget Sound Energy2001</v>
      </c>
    </row>
    <row r="414" spans="1:10">
      <c r="A414" s="1375" t="s">
        <v>719</v>
      </c>
      <c r="B414" s="1375" t="s">
        <v>2919</v>
      </c>
      <c r="C414" s="1375" t="s">
        <v>3018</v>
      </c>
      <c r="D414" s="1375">
        <v>0.1037</v>
      </c>
      <c r="E414" s="1922">
        <v>0</v>
      </c>
      <c r="F414" s="1922">
        <v>0</v>
      </c>
      <c r="G414" s="1922">
        <v>0</v>
      </c>
      <c r="H414" s="1922">
        <v>0.1037</v>
      </c>
      <c r="I414" s="1375"/>
      <c r="J414" s="1375" t="str">
        <f t="shared" si="6"/>
        <v>Puget Sound Energy2002</v>
      </c>
    </row>
    <row r="415" spans="1:10">
      <c r="A415" s="1375" t="s">
        <v>719</v>
      </c>
      <c r="B415" s="1375" t="s">
        <v>2919</v>
      </c>
      <c r="C415" s="1375" t="s">
        <v>3019</v>
      </c>
      <c r="D415" s="1375">
        <v>0.1037</v>
      </c>
      <c r="E415" s="1922">
        <v>0</v>
      </c>
      <c r="F415" s="1922">
        <v>0</v>
      </c>
      <c r="G415" s="1922">
        <v>0</v>
      </c>
      <c r="H415" s="1922">
        <v>0.1037</v>
      </c>
      <c r="I415" s="1375"/>
      <c r="J415" s="1375" t="str">
        <f t="shared" si="6"/>
        <v>Puget Sound Energy2003</v>
      </c>
    </row>
    <row r="416" spans="1:10">
      <c r="A416" s="1375" t="s">
        <v>719</v>
      </c>
      <c r="B416" s="1375" t="s">
        <v>2919</v>
      </c>
      <c r="C416" s="1375" t="s">
        <v>3020</v>
      </c>
      <c r="D416" s="1375">
        <v>0.1037</v>
      </c>
      <c r="E416" s="1922">
        <v>0</v>
      </c>
      <c r="F416" s="1922">
        <v>0</v>
      </c>
      <c r="G416" s="1922">
        <v>0</v>
      </c>
      <c r="H416" s="1922">
        <v>0.1037</v>
      </c>
      <c r="I416" s="1375"/>
      <c r="J416" s="1375" t="str">
        <f t="shared" si="6"/>
        <v>Puget Sound Energy2004</v>
      </c>
    </row>
    <row r="417" spans="1:10">
      <c r="A417" s="1375" t="s">
        <v>719</v>
      </c>
      <c r="B417" s="1375" t="s">
        <v>2919</v>
      </c>
      <c r="C417" s="1375" t="s">
        <v>3021</v>
      </c>
      <c r="D417" s="1375">
        <v>0.1037</v>
      </c>
      <c r="E417" s="1922">
        <v>0</v>
      </c>
      <c r="F417" s="1922">
        <v>0</v>
      </c>
      <c r="G417" s="1922">
        <v>0</v>
      </c>
      <c r="H417" s="1922">
        <v>0.1037</v>
      </c>
      <c r="I417" s="1375"/>
      <c r="J417" s="1375" t="str">
        <f t="shared" si="6"/>
        <v>Puget Sound Energy2005</v>
      </c>
    </row>
    <row r="418" spans="1:10">
      <c r="A418" s="1375" t="s">
        <v>719</v>
      </c>
      <c r="B418" s="1375" t="s">
        <v>2919</v>
      </c>
      <c r="C418" s="1375" t="s">
        <v>3022</v>
      </c>
      <c r="D418" s="1375">
        <v>0.1037</v>
      </c>
      <c r="E418" s="1922">
        <v>0</v>
      </c>
      <c r="F418" s="1922">
        <v>0</v>
      </c>
      <c r="G418" s="1922">
        <v>0</v>
      </c>
      <c r="H418" s="1922">
        <v>0.1037</v>
      </c>
      <c r="I418" s="1375"/>
      <c r="J418" s="1375" t="str">
        <f t="shared" si="6"/>
        <v>Puget Sound Energy2006</v>
      </c>
    </row>
    <row r="419" spans="1:10">
      <c r="A419" s="1375" t="s">
        <v>719</v>
      </c>
      <c r="B419" s="1375" t="s">
        <v>2919</v>
      </c>
      <c r="C419" s="1375" t="s">
        <v>3023</v>
      </c>
      <c r="D419" s="1375">
        <v>0.1037</v>
      </c>
      <c r="E419" s="1922">
        <v>0</v>
      </c>
      <c r="F419" s="1922">
        <v>0</v>
      </c>
      <c r="G419" s="1922">
        <v>0</v>
      </c>
      <c r="H419" s="1922">
        <v>0.1037</v>
      </c>
      <c r="I419" s="1375"/>
      <c r="J419" s="1375" t="str">
        <f t="shared" si="6"/>
        <v>Puget Sound Energy2007</v>
      </c>
    </row>
    <row r="420" spans="1:10">
      <c r="A420" s="1375" t="s">
        <v>719</v>
      </c>
      <c r="B420" s="1375" t="s">
        <v>2919</v>
      </c>
      <c r="C420" s="1375" t="s">
        <v>3024</v>
      </c>
      <c r="D420" s="1375">
        <v>0.1037</v>
      </c>
      <c r="E420" s="1922">
        <v>0</v>
      </c>
      <c r="F420" s="1922">
        <v>0</v>
      </c>
      <c r="G420" s="1922">
        <v>0</v>
      </c>
      <c r="H420" s="1922">
        <v>0.1037</v>
      </c>
      <c r="I420" s="1375"/>
      <c r="J420" s="1375" t="str">
        <f t="shared" si="6"/>
        <v>Puget Sound Energy2008</v>
      </c>
    </row>
    <row r="421" spans="1:10">
      <c r="A421" s="1375" t="s">
        <v>719</v>
      </c>
      <c r="B421" s="1375" t="s">
        <v>2919</v>
      </c>
      <c r="C421" s="1375" t="s">
        <v>3025</v>
      </c>
      <c r="D421" s="1375">
        <v>0.1037</v>
      </c>
      <c r="E421" s="1922">
        <v>0</v>
      </c>
      <c r="F421" s="1922">
        <v>0</v>
      </c>
      <c r="G421" s="1922">
        <v>0</v>
      </c>
      <c r="H421" s="1922">
        <v>0.1037</v>
      </c>
      <c r="I421" s="1375"/>
      <c r="J421" s="1375" t="str">
        <f t="shared" si="6"/>
        <v>Puget Sound Energy2009</v>
      </c>
    </row>
    <row r="422" spans="1:10">
      <c r="A422" s="1375" t="s">
        <v>719</v>
      </c>
      <c r="B422" s="1375" t="s">
        <v>2919</v>
      </c>
      <c r="C422" s="1375" t="s">
        <v>3026</v>
      </c>
      <c r="D422" s="1375">
        <v>0.13930000000000001</v>
      </c>
      <c r="E422" s="1922">
        <v>0</v>
      </c>
      <c r="F422" s="1922">
        <v>0</v>
      </c>
      <c r="G422" s="1922">
        <v>0</v>
      </c>
      <c r="H422" s="1922">
        <v>0.13930000000000001</v>
      </c>
      <c r="I422" s="1375"/>
      <c r="J422" s="1375" t="str">
        <f t="shared" si="6"/>
        <v>Puget Sound Energy2010</v>
      </c>
    </row>
    <row r="423" spans="1:10">
      <c r="A423" s="1375" t="s">
        <v>719</v>
      </c>
      <c r="B423" s="1375" t="s">
        <v>2919</v>
      </c>
      <c r="C423" s="1375" t="s">
        <v>3027</v>
      </c>
      <c r="D423" s="1375">
        <v>0.13930000000000001</v>
      </c>
      <c r="E423" s="1922">
        <v>0</v>
      </c>
      <c r="F423" s="1922">
        <v>0</v>
      </c>
      <c r="G423" s="1922">
        <v>0</v>
      </c>
      <c r="H423" s="1922">
        <v>0.13930000000000001</v>
      </c>
      <c r="I423" s="1375"/>
      <c r="J423" s="1375" t="str">
        <f t="shared" si="6"/>
        <v>Puget Sound Energy2011</v>
      </c>
    </row>
    <row r="424" spans="1:10">
      <c r="A424" s="1375" t="s">
        <v>719</v>
      </c>
      <c r="B424" s="1375" t="s">
        <v>2919</v>
      </c>
      <c r="C424" s="1375" t="s">
        <v>3028</v>
      </c>
      <c r="D424" s="1375">
        <v>0.13800000000000001</v>
      </c>
      <c r="E424" s="1922">
        <v>0</v>
      </c>
      <c r="F424" s="1922">
        <v>0</v>
      </c>
      <c r="G424" s="1922">
        <v>0</v>
      </c>
      <c r="H424" s="1922">
        <v>0.13800000000000001</v>
      </c>
      <c r="I424" s="1375"/>
      <c r="J424" s="1375" t="str">
        <f t="shared" si="6"/>
        <v>Puget Sound Energy2012</v>
      </c>
    </row>
    <row r="425" spans="1:10">
      <c r="A425" s="1375" t="s">
        <v>719</v>
      </c>
      <c r="B425" s="1375" t="s">
        <v>2919</v>
      </c>
      <c r="C425" s="1375" t="s">
        <v>3029</v>
      </c>
      <c r="D425" s="1375">
        <v>0.13800000000000001</v>
      </c>
      <c r="E425" s="1922">
        <v>0</v>
      </c>
      <c r="F425" s="1922">
        <v>0</v>
      </c>
      <c r="G425" s="1922">
        <v>0</v>
      </c>
      <c r="H425" s="1922">
        <v>0.13800000000000001</v>
      </c>
      <c r="I425" s="1375"/>
      <c r="J425" s="1375" t="str">
        <f t="shared" si="6"/>
        <v>Puget Sound Energy2013</v>
      </c>
    </row>
    <row r="426" spans="1:10">
      <c r="A426" s="1375" t="s">
        <v>719</v>
      </c>
      <c r="B426" s="1375" t="s">
        <v>2919</v>
      </c>
      <c r="C426" s="1375" t="s">
        <v>3030</v>
      </c>
      <c r="D426" s="1375">
        <v>0.13800000000000001</v>
      </c>
      <c r="E426" s="1922">
        <v>0</v>
      </c>
      <c r="F426" s="1922">
        <v>0</v>
      </c>
      <c r="G426" s="1922">
        <v>0</v>
      </c>
      <c r="H426" s="1922">
        <v>0.13800000000000001</v>
      </c>
      <c r="I426" s="1375"/>
      <c r="J426" s="1375" t="str">
        <f t="shared" si="6"/>
        <v>Puget Sound Energy2014</v>
      </c>
    </row>
    <row r="427" spans="1:10">
      <c r="A427" s="1375" t="s">
        <v>719</v>
      </c>
      <c r="B427" s="1375" t="s">
        <v>2919</v>
      </c>
      <c r="C427" s="1375" t="s">
        <v>3031</v>
      </c>
      <c r="D427" s="1375">
        <v>0.14149999999999999</v>
      </c>
      <c r="E427" s="1922">
        <v>0</v>
      </c>
      <c r="F427" s="1922">
        <v>0</v>
      </c>
      <c r="G427" s="1922">
        <v>0</v>
      </c>
      <c r="H427" s="1922">
        <v>0.14149999999999999</v>
      </c>
      <c r="I427" s="1375"/>
      <c r="J427" s="1375" t="str">
        <f t="shared" si="6"/>
        <v>Puget Sound Energy2015</v>
      </c>
    </row>
    <row r="428" spans="1:10">
      <c r="A428" s="1375" t="s">
        <v>719</v>
      </c>
      <c r="B428" s="1375" t="s">
        <v>2919</v>
      </c>
      <c r="C428" s="1375" t="s">
        <v>3032</v>
      </c>
      <c r="D428" s="1375">
        <v>0.14149999999999999</v>
      </c>
      <c r="E428" s="1922">
        <v>0</v>
      </c>
      <c r="F428" s="1922">
        <v>0</v>
      </c>
      <c r="G428" s="1922">
        <v>0</v>
      </c>
      <c r="H428" s="1922">
        <v>0.14149999999999999</v>
      </c>
      <c r="I428" s="1375"/>
      <c r="J428" s="1375" t="str">
        <f t="shared" si="6"/>
        <v>Puget Sound Energy2016</v>
      </c>
    </row>
    <row r="429" spans="1:10">
      <c r="A429" s="1375" t="s">
        <v>719</v>
      </c>
      <c r="B429" s="1375" t="s">
        <v>2919</v>
      </c>
      <c r="C429" s="1375" t="s">
        <v>3033</v>
      </c>
      <c r="D429" s="1375">
        <v>0.14199999999999999</v>
      </c>
      <c r="E429" s="1922">
        <v>0</v>
      </c>
      <c r="F429" s="1922">
        <v>0</v>
      </c>
      <c r="G429" s="1922">
        <v>0</v>
      </c>
      <c r="H429" s="1922">
        <v>0.14199999999999999</v>
      </c>
      <c r="I429" s="1375"/>
      <c r="J429" s="1375" t="str">
        <f t="shared" si="6"/>
        <v>Puget Sound Energy2017</v>
      </c>
    </row>
    <row r="430" spans="1:10">
      <c r="A430" s="1375" t="s">
        <v>719</v>
      </c>
      <c r="B430" s="1375" t="s">
        <v>2919</v>
      </c>
      <c r="C430" s="1375" t="s">
        <v>277</v>
      </c>
      <c r="D430" s="1375">
        <v>0.14199999999999999</v>
      </c>
      <c r="E430" s="1922">
        <v>0</v>
      </c>
      <c r="F430" s="1922">
        <v>0</v>
      </c>
      <c r="G430" s="1922">
        <v>0</v>
      </c>
      <c r="H430" s="1922">
        <v>0.14199999999999999</v>
      </c>
      <c r="I430" s="1375"/>
      <c r="J430" s="1375" t="str">
        <f t="shared" si="6"/>
        <v>Puget Sound Energy2018</v>
      </c>
    </row>
    <row r="431" spans="1:10">
      <c r="A431" s="1375" t="s">
        <v>719</v>
      </c>
      <c r="B431" s="1375" t="s">
        <v>2919</v>
      </c>
      <c r="C431" s="1375" t="s">
        <v>278</v>
      </c>
      <c r="D431" s="1375">
        <v>0.14199999999999999</v>
      </c>
      <c r="E431" s="1922">
        <v>0</v>
      </c>
      <c r="F431" s="1922">
        <v>0</v>
      </c>
      <c r="G431" s="1922">
        <v>0</v>
      </c>
      <c r="H431" s="1922">
        <v>0.14199999999999999</v>
      </c>
      <c r="I431" s="1375"/>
      <c r="J431" s="1375" t="str">
        <f t="shared" si="6"/>
        <v>Puget Sound Energy2019</v>
      </c>
    </row>
    <row r="432" spans="1:10">
      <c r="A432" s="1375" t="s">
        <v>719</v>
      </c>
      <c r="B432" s="1375" t="s">
        <v>2919</v>
      </c>
      <c r="C432" s="1375" t="s">
        <v>3034</v>
      </c>
      <c r="D432" s="1375">
        <v>0.13985600000000001</v>
      </c>
      <c r="E432" s="1922">
        <v>0</v>
      </c>
      <c r="F432" s="1922">
        <v>0</v>
      </c>
      <c r="G432" s="1922">
        <v>0</v>
      </c>
      <c r="H432" s="1922">
        <v>0.13985600000000001</v>
      </c>
      <c r="I432" s="1375"/>
      <c r="J432" s="1375" t="str">
        <f t="shared" si="6"/>
        <v>Puget Sound Energy2020</v>
      </c>
    </row>
    <row r="433" spans="1:10">
      <c r="A433" s="1375" t="s">
        <v>719</v>
      </c>
      <c r="B433" s="1375" t="s">
        <v>2919</v>
      </c>
      <c r="C433" s="1375" t="s">
        <v>3035</v>
      </c>
      <c r="D433" s="1375">
        <v>0.13985600000000001</v>
      </c>
      <c r="E433" s="1922">
        <v>0</v>
      </c>
      <c r="F433" s="1922">
        <v>0</v>
      </c>
      <c r="G433" s="1922">
        <v>0</v>
      </c>
      <c r="H433" s="1922">
        <v>0.13985600000000001</v>
      </c>
      <c r="I433" s="1375"/>
      <c r="J433" s="1375" t="str">
        <f t="shared" si="6"/>
        <v>Puget Sound Energy2021</v>
      </c>
    </row>
    <row r="434" spans="1:10">
      <c r="A434" s="1375" t="s">
        <v>719</v>
      </c>
      <c r="B434" s="1375" t="s">
        <v>2919</v>
      </c>
      <c r="C434" s="1375" t="s">
        <v>1760</v>
      </c>
      <c r="D434" s="1375">
        <v>0.13985600000000001</v>
      </c>
      <c r="E434" s="1922">
        <v>0</v>
      </c>
      <c r="F434" s="1922">
        <v>0</v>
      </c>
      <c r="G434" s="1922">
        <v>0</v>
      </c>
      <c r="H434" s="1922">
        <v>0.13985600000000001</v>
      </c>
      <c r="I434" s="1375"/>
      <c r="J434" s="1375" t="str">
        <f t="shared" si="6"/>
        <v>Puget Sound Energy2022</v>
      </c>
    </row>
    <row r="435" spans="1:10">
      <c r="A435" s="1375" t="s">
        <v>719</v>
      </c>
      <c r="B435" s="1375" t="s">
        <v>2919</v>
      </c>
      <c r="C435" s="1375" t="s">
        <v>1761</v>
      </c>
      <c r="D435" s="1375">
        <v>0.13985600000000001</v>
      </c>
      <c r="E435" s="1922">
        <v>0</v>
      </c>
      <c r="F435" s="1922">
        <v>0</v>
      </c>
      <c r="G435" s="1922">
        <v>0</v>
      </c>
      <c r="H435" s="1922">
        <v>0.13985600000000001</v>
      </c>
      <c r="I435" s="1375"/>
      <c r="J435" s="1375" t="str">
        <f t="shared" si="6"/>
        <v>Puget Sound Energy2023</v>
      </c>
    </row>
    <row r="436" spans="1:10">
      <c r="A436" s="1375" t="s">
        <v>719</v>
      </c>
      <c r="B436" s="1375" t="s">
        <v>2919</v>
      </c>
      <c r="C436" s="1375" t="s">
        <v>2922</v>
      </c>
      <c r="D436" s="1375">
        <v>0.13985600000000001</v>
      </c>
      <c r="E436" s="1922">
        <v>0</v>
      </c>
      <c r="F436" s="1922">
        <v>0</v>
      </c>
      <c r="G436" s="1922">
        <v>0</v>
      </c>
      <c r="H436" s="1922">
        <v>0.13985600000000001</v>
      </c>
      <c r="I436" s="1375"/>
      <c r="J436" s="1375" t="str">
        <f t="shared" si="6"/>
        <v>Puget Sound Energy2024</v>
      </c>
    </row>
    <row r="437" spans="1:10">
      <c r="A437" s="1375" t="s">
        <v>719</v>
      </c>
      <c r="B437" s="1375" t="s">
        <v>2919</v>
      </c>
      <c r="C437" s="1375" t="s">
        <v>2944</v>
      </c>
      <c r="D437" s="1375">
        <v>0.13985600000000001</v>
      </c>
      <c r="E437" s="1922">
        <v>0</v>
      </c>
      <c r="F437" s="1922">
        <v>0</v>
      </c>
      <c r="G437" s="1922">
        <v>0</v>
      </c>
      <c r="H437" s="1922">
        <v>0.13985600000000001</v>
      </c>
      <c r="I437" s="1375"/>
      <c r="J437" s="1375" t="str">
        <f t="shared" si="6"/>
        <v>Puget Sound Energy2025</v>
      </c>
    </row>
    <row r="438" spans="1:10">
      <c r="A438" s="1375" t="s">
        <v>722</v>
      </c>
      <c r="B438" s="1375" t="s">
        <v>2919</v>
      </c>
      <c r="C438" s="1375" t="s">
        <v>3013</v>
      </c>
      <c r="D438" s="1375">
        <v>6.3E-3</v>
      </c>
      <c r="E438" s="1922">
        <v>0</v>
      </c>
      <c r="F438" s="1922">
        <v>0</v>
      </c>
      <c r="G438" s="1922">
        <v>0</v>
      </c>
      <c r="H438" s="1922">
        <v>6.3E-3</v>
      </c>
      <c r="I438" s="1375"/>
      <c r="J438" s="1375" t="str">
        <f t="shared" si="6"/>
        <v>Snohomish County PUD1997</v>
      </c>
    </row>
    <row r="439" spans="1:10">
      <c r="A439" s="1375" t="s">
        <v>722</v>
      </c>
      <c r="B439" s="1375" t="s">
        <v>2919</v>
      </c>
      <c r="C439" s="1375" t="s">
        <v>3014</v>
      </c>
      <c r="D439" s="1375">
        <v>6.3E-3</v>
      </c>
      <c r="E439" s="1922">
        <v>0</v>
      </c>
      <c r="F439" s="1922">
        <v>0</v>
      </c>
      <c r="G439" s="1922">
        <v>0</v>
      </c>
      <c r="H439" s="1922">
        <v>6.3E-3</v>
      </c>
      <c r="I439" s="1375"/>
      <c r="J439" s="1375" t="str">
        <f t="shared" si="6"/>
        <v>Snohomish County PUD1998</v>
      </c>
    </row>
    <row r="440" spans="1:10">
      <c r="A440" s="1375" t="s">
        <v>722</v>
      </c>
      <c r="B440" s="1375" t="s">
        <v>2919</v>
      </c>
      <c r="C440" s="1375" t="s">
        <v>3015</v>
      </c>
      <c r="D440" s="1375">
        <v>6.3E-3</v>
      </c>
      <c r="E440" s="1922">
        <v>0</v>
      </c>
      <c r="F440" s="1922">
        <v>0</v>
      </c>
      <c r="G440" s="1922">
        <v>0</v>
      </c>
      <c r="H440" s="1922">
        <v>6.3E-3</v>
      </c>
      <c r="I440" s="1375"/>
      <c r="J440" s="1375" t="str">
        <f t="shared" si="6"/>
        <v>Snohomish County PUD1999</v>
      </c>
    </row>
    <row r="441" spans="1:10">
      <c r="A441" s="1375" t="s">
        <v>722</v>
      </c>
      <c r="B441" s="1375" t="s">
        <v>2919</v>
      </c>
      <c r="C441" s="1375" t="s">
        <v>3016</v>
      </c>
      <c r="D441" s="1375">
        <v>6.3E-3</v>
      </c>
      <c r="E441" s="1922">
        <v>0</v>
      </c>
      <c r="F441" s="1922">
        <v>0</v>
      </c>
      <c r="G441" s="1922">
        <v>0</v>
      </c>
      <c r="H441" s="1922">
        <v>6.3E-3</v>
      </c>
      <c r="I441" s="1375"/>
      <c r="J441" s="1375" t="str">
        <f t="shared" si="6"/>
        <v>Snohomish County PUD2000</v>
      </c>
    </row>
    <row r="442" spans="1:10">
      <c r="A442" s="1375" t="s">
        <v>722</v>
      </c>
      <c r="B442" s="1375" t="s">
        <v>2919</v>
      </c>
      <c r="C442" s="1375" t="s">
        <v>3017</v>
      </c>
      <c r="D442" s="1375">
        <v>6.3E-3</v>
      </c>
      <c r="E442" s="1922">
        <v>0</v>
      </c>
      <c r="F442" s="1922">
        <v>0</v>
      </c>
      <c r="G442" s="1922">
        <v>0</v>
      </c>
      <c r="H442" s="1922">
        <v>6.3E-3</v>
      </c>
      <c r="I442" s="1375"/>
      <c r="J442" s="1375" t="str">
        <f t="shared" si="6"/>
        <v>Snohomish County PUD2001</v>
      </c>
    </row>
    <row r="443" spans="1:10">
      <c r="A443" s="1375" t="s">
        <v>722</v>
      </c>
      <c r="B443" s="1375" t="s">
        <v>2919</v>
      </c>
      <c r="C443" s="1375" t="s">
        <v>3018</v>
      </c>
      <c r="D443" s="1375">
        <v>6.3E-3</v>
      </c>
      <c r="E443" s="1922">
        <v>0</v>
      </c>
      <c r="F443" s="1922">
        <v>0</v>
      </c>
      <c r="G443" s="1922">
        <v>0</v>
      </c>
      <c r="H443" s="1922">
        <v>6.3E-3</v>
      </c>
      <c r="I443" s="1375"/>
      <c r="J443" s="1375" t="str">
        <f t="shared" si="6"/>
        <v>Snohomish County PUD2002</v>
      </c>
    </row>
    <row r="444" spans="1:10">
      <c r="A444" s="1375" t="s">
        <v>722</v>
      </c>
      <c r="B444" s="1375" t="s">
        <v>2919</v>
      </c>
      <c r="C444" s="1375" t="s">
        <v>3019</v>
      </c>
      <c r="D444" s="1375">
        <v>6.3E-3</v>
      </c>
      <c r="E444" s="1922">
        <v>0</v>
      </c>
      <c r="F444" s="1922">
        <v>0</v>
      </c>
      <c r="G444" s="1922">
        <v>0</v>
      </c>
      <c r="H444" s="1922">
        <v>6.3E-3</v>
      </c>
      <c r="I444" s="1375"/>
      <c r="J444" s="1375" t="str">
        <f t="shared" si="6"/>
        <v>Snohomish County PUD2003</v>
      </c>
    </row>
    <row r="445" spans="1:10">
      <c r="A445" s="1375" t="s">
        <v>722</v>
      </c>
      <c r="B445" s="1375" t="s">
        <v>2919</v>
      </c>
      <c r="C445" s="1375" t="s">
        <v>3020</v>
      </c>
      <c r="D445" s="1375">
        <v>6.3E-3</v>
      </c>
      <c r="E445" s="1922">
        <v>0</v>
      </c>
      <c r="F445" s="1922">
        <v>0</v>
      </c>
      <c r="G445" s="1922">
        <v>0</v>
      </c>
      <c r="H445" s="1922">
        <v>6.3E-3</v>
      </c>
      <c r="I445" s="1375"/>
      <c r="J445" s="1375" t="str">
        <f t="shared" si="6"/>
        <v>Snohomish County PUD2004</v>
      </c>
    </row>
    <row r="446" spans="1:10">
      <c r="A446" s="1375" t="s">
        <v>722</v>
      </c>
      <c r="B446" s="1375" t="s">
        <v>2919</v>
      </c>
      <c r="C446" s="1375" t="s">
        <v>3021</v>
      </c>
      <c r="D446" s="1375">
        <v>6.3E-3</v>
      </c>
      <c r="E446" s="1922">
        <v>0</v>
      </c>
      <c r="F446" s="1922">
        <v>0</v>
      </c>
      <c r="G446" s="1922">
        <v>0</v>
      </c>
      <c r="H446" s="1922">
        <v>6.3E-3</v>
      </c>
      <c r="I446" s="1375"/>
      <c r="J446" s="1375" t="str">
        <f t="shared" si="6"/>
        <v>Snohomish County PUD2005</v>
      </c>
    </row>
    <row r="447" spans="1:10">
      <c r="A447" s="1375" t="s">
        <v>722</v>
      </c>
      <c r="B447" s="1375" t="s">
        <v>2919</v>
      </c>
      <c r="C447" s="1375" t="s">
        <v>3022</v>
      </c>
      <c r="D447" s="1375">
        <v>6.3E-3</v>
      </c>
      <c r="E447" s="1922">
        <v>0</v>
      </c>
      <c r="F447" s="1922">
        <v>0</v>
      </c>
      <c r="G447" s="1922">
        <v>0</v>
      </c>
      <c r="H447" s="1922">
        <v>6.3E-3</v>
      </c>
      <c r="I447" s="1375"/>
      <c r="J447" s="1375" t="str">
        <f t="shared" si="6"/>
        <v>Snohomish County PUD2006</v>
      </c>
    </row>
    <row r="448" spans="1:10">
      <c r="A448" s="1375" t="s">
        <v>722</v>
      </c>
      <c r="B448" s="1375" t="s">
        <v>2919</v>
      </c>
      <c r="C448" s="1375" t="s">
        <v>3023</v>
      </c>
      <c r="D448" s="1375">
        <v>6.3E-3</v>
      </c>
      <c r="E448" s="1922">
        <v>0</v>
      </c>
      <c r="F448" s="1922">
        <v>0</v>
      </c>
      <c r="G448" s="1922">
        <v>0</v>
      </c>
      <c r="H448" s="1922">
        <v>6.3E-3</v>
      </c>
      <c r="I448" s="1375"/>
      <c r="J448" s="1375" t="str">
        <f t="shared" si="6"/>
        <v>Snohomish County PUD2007</v>
      </c>
    </row>
    <row r="449" spans="1:10">
      <c r="A449" s="1375" t="s">
        <v>722</v>
      </c>
      <c r="B449" s="1375" t="s">
        <v>2919</v>
      </c>
      <c r="C449" s="1375" t="s">
        <v>3024</v>
      </c>
      <c r="D449" s="1375">
        <v>6.3E-3</v>
      </c>
      <c r="E449" s="1922">
        <v>0</v>
      </c>
      <c r="F449" s="1922">
        <v>0</v>
      </c>
      <c r="G449" s="1922">
        <v>0</v>
      </c>
      <c r="H449" s="1922">
        <v>6.3E-3</v>
      </c>
      <c r="I449" s="1375"/>
      <c r="J449" s="1375" t="str">
        <f t="shared" si="6"/>
        <v>Snohomish County PUD2008</v>
      </c>
    </row>
    <row r="450" spans="1:10">
      <c r="A450" s="1375" t="s">
        <v>722</v>
      </c>
      <c r="B450" s="1375" t="s">
        <v>2919</v>
      </c>
      <c r="C450" s="1375" t="s">
        <v>3025</v>
      </c>
      <c r="D450" s="1375">
        <v>6.3E-3</v>
      </c>
      <c r="E450" s="1922">
        <v>0</v>
      </c>
      <c r="F450" s="1922">
        <v>0</v>
      </c>
      <c r="G450" s="1922">
        <v>0</v>
      </c>
      <c r="H450" s="1922">
        <v>6.3E-3</v>
      </c>
      <c r="I450" s="1375"/>
      <c r="J450" s="1375" t="str">
        <f t="shared" si="6"/>
        <v>Snohomish County PUD2009</v>
      </c>
    </row>
    <row r="451" spans="1:10">
      <c r="A451" s="1375" t="s">
        <v>722</v>
      </c>
      <c r="B451" s="1375" t="s">
        <v>2919</v>
      </c>
      <c r="C451" s="1375" t="s">
        <v>3026</v>
      </c>
      <c r="D451" s="1375">
        <v>8.0000000000000002E-3</v>
      </c>
      <c r="E451" s="1922">
        <v>0</v>
      </c>
      <c r="F451" s="1922">
        <v>0</v>
      </c>
      <c r="G451" s="1922">
        <v>0</v>
      </c>
      <c r="H451" s="1922">
        <v>8.0000000000000002E-3</v>
      </c>
      <c r="I451" s="1375"/>
      <c r="J451" s="1375" t="str">
        <f t="shared" si="6"/>
        <v>Snohomish County PUD2010</v>
      </c>
    </row>
    <row r="452" spans="1:10">
      <c r="A452" s="1375" t="s">
        <v>722</v>
      </c>
      <c r="B452" s="1375" t="s">
        <v>2919</v>
      </c>
      <c r="C452" s="1375" t="s">
        <v>3027</v>
      </c>
      <c r="D452" s="1375">
        <v>8.0000000000000002E-3</v>
      </c>
      <c r="E452" s="1922">
        <v>0</v>
      </c>
      <c r="F452" s="1922">
        <v>0</v>
      </c>
      <c r="G452" s="1922">
        <v>0</v>
      </c>
      <c r="H452" s="1922">
        <v>8.0000000000000002E-3</v>
      </c>
      <c r="I452" s="1375"/>
      <c r="J452" s="1375" t="str">
        <f t="shared" ref="J452:J495" si="7">A452&amp;C452</f>
        <v>Snohomish County PUD2011</v>
      </c>
    </row>
    <row r="453" spans="1:10">
      <c r="A453" s="1375" t="s">
        <v>722</v>
      </c>
      <c r="B453" s="1375" t="s">
        <v>2919</v>
      </c>
      <c r="C453" s="1375" t="s">
        <v>3028</v>
      </c>
      <c r="D453" s="1375">
        <v>7.9000000000000008E-3</v>
      </c>
      <c r="E453" s="1922">
        <v>0</v>
      </c>
      <c r="F453" s="1922">
        <v>0</v>
      </c>
      <c r="G453" s="1922">
        <v>0</v>
      </c>
      <c r="H453" s="1922">
        <v>7.9000000000000008E-3</v>
      </c>
      <c r="I453" s="1375"/>
      <c r="J453" s="1375" t="str">
        <f t="shared" si="7"/>
        <v>Snohomish County PUD2012</v>
      </c>
    </row>
    <row r="454" spans="1:10">
      <c r="A454" s="1375" t="s">
        <v>722</v>
      </c>
      <c r="B454" s="1375" t="s">
        <v>2919</v>
      </c>
      <c r="C454" s="1375" t="s">
        <v>3029</v>
      </c>
      <c r="D454" s="1375">
        <v>7.9000000000000008E-3</v>
      </c>
      <c r="E454" s="1922">
        <v>0</v>
      </c>
      <c r="F454" s="1922">
        <v>0</v>
      </c>
      <c r="G454" s="1922">
        <v>0</v>
      </c>
      <c r="H454" s="1922">
        <v>7.9000000000000008E-3</v>
      </c>
      <c r="I454" s="1375"/>
      <c r="J454" s="1375" t="str">
        <f t="shared" si="7"/>
        <v>Snohomish County PUD2013</v>
      </c>
    </row>
    <row r="455" spans="1:10">
      <c r="A455" s="1375" t="s">
        <v>722</v>
      </c>
      <c r="B455" s="1375" t="s">
        <v>2919</v>
      </c>
      <c r="C455" s="1375" t="s">
        <v>3030</v>
      </c>
      <c r="D455" s="1375">
        <v>7.9000000000000008E-3</v>
      </c>
      <c r="E455" s="1922">
        <v>0</v>
      </c>
      <c r="F455" s="1922">
        <v>0</v>
      </c>
      <c r="G455" s="1922">
        <v>0</v>
      </c>
      <c r="H455" s="1922">
        <v>7.9000000000000008E-3</v>
      </c>
      <c r="I455" s="1375"/>
      <c r="J455" s="1375" t="str">
        <f t="shared" si="7"/>
        <v>Snohomish County PUD2014</v>
      </c>
    </row>
    <row r="456" spans="1:10">
      <c r="A456" s="1375" t="s">
        <v>722</v>
      </c>
      <c r="B456" s="1375" t="s">
        <v>2919</v>
      </c>
      <c r="C456" s="1375" t="s">
        <v>3031</v>
      </c>
      <c r="D456" s="1375">
        <v>6.4999999999999997E-3</v>
      </c>
      <c r="E456" s="1922">
        <v>0</v>
      </c>
      <c r="F456" s="1922">
        <v>0</v>
      </c>
      <c r="G456" s="1922">
        <v>0</v>
      </c>
      <c r="H456" s="1922">
        <v>6.4999999999999997E-3</v>
      </c>
      <c r="I456" s="1375"/>
      <c r="J456" s="1375" t="str">
        <f t="shared" si="7"/>
        <v>Snohomish County PUD2015</v>
      </c>
    </row>
    <row r="457" spans="1:10">
      <c r="A457" s="1375" t="s">
        <v>722</v>
      </c>
      <c r="B457" s="1375" t="s">
        <v>2919</v>
      </c>
      <c r="C457" s="1375" t="s">
        <v>3032</v>
      </c>
      <c r="D457" s="1375">
        <v>6.4999999999999997E-3</v>
      </c>
      <c r="E457" s="1922">
        <v>0</v>
      </c>
      <c r="F457" s="1922">
        <v>0</v>
      </c>
      <c r="G457" s="1922">
        <v>0</v>
      </c>
      <c r="H457" s="1922">
        <v>6.4999999999999997E-3</v>
      </c>
      <c r="I457" s="1375"/>
      <c r="J457" s="1375" t="str">
        <f t="shared" si="7"/>
        <v>Snohomish County PUD2016</v>
      </c>
    </row>
    <row r="458" spans="1:10">
      <c r="A458" s="1375" t="s">
        <v>722</v>
      </c>
      <c r="B458" s="1375" t="s">
        <v>2919</v>
      </c>
      <c r="C458" s="1375" t="s">
        <v>3033</v>
      </c>
      <c r="D458" s="1375">
        <v>6.6E-3</v>
      </c>
      <c r="E458" s="1922">
        <v>0</v>
      </c>
      <c r="F458" s="1922">
        <v>0</v>
      </c>
      <c r="G458" s="1922">
        <v>0</v>
      </c>
      <c r="H458" s="1922">
        <v>6.6E-3</v>
      </c>
      <c r="I458" s="1375"/>
      <c r="J458" s="1375" t="str">
        <f t="shared" si="7"/>
        <v>Snohomish County PUD2017</v>
      </c>
    </row>
    <row r="459" spans="1:10">
      <c r="A459" s="1375" t="s">
        <v>722</v>
      </c>
      <c r="B459" s="1375" t="s">
        <v>2919</v>
      </c>
      <c r="C459" s="1375" t="s">
        <v>277</v>
      </c>
      <c r="D459" s="1375">
        <v>6.6E-3</v>
      </c>
      <c r="E459" s="1922">
        <v>0</v>
      </c>
      <c r="F459" s="1922">
        <v>0</v>
      </c>
      <c r="G459" s="1922">
        <v>0</v>
      </c>
      <c r="H459" s="1922">
        <v>6.6E-3</v>
      </c>
      <c r="I459" s="1375"/>
      <c r="J459" s="1375" t="str">
        <f t="shared" si="7"/>
        <v>Snohomish County PUD2018</v>
      </c>
    </row>
    <row r="460" spans="1:10">
      <c r="A460" s="1375" t="s">
        <v>722</v>
      </c>
      <c r="B460" s="1375" t="s">
        <v>2919</v>
      </c>
      <c r="C460" s="1375" t="s">
        <v>278</v>
      </c>
      <c r="D460" s="1375">
        <v>6.6E-3</v>
      </c>
      <c r="E460" s="1922">
        <v>0</v>
      </c>
      <c r="F460" s="1922">
        <v>0</v>
      </c>
      <c r="G460" s="1922">
        <v>0</v>
      </c>
      <c r="H460" s="1922">
        <v>6.6E-3</v>
      </c>
      <c r="I460" s="1375"/>
      <c r="J460" s="1375" t="str">
        <f t="shared" si="7"/>
        <v>Snohomish County PUD2019</v>
      </c>
    </row>
    <row r="461" spans="1:10">
      <c r="A461" s="1375" t="s">
        <v>722</v>
      </c>
      <c r="B461" s="1375" t="s">
        <v>2919</v>
      </c>
      <c r="C461" s="1375" t="s">
        <v>3034</v>
      </c>
      <c r="D461" s="1375">
        <v>6.6360000000000004E-3</v>
      </c>
      <c r="E461" s="1922">
        <v>0</v>
      </c>
      <c r="F461" s="1922">
        <v>0</v>
      </c>
      <c r="G461" s="1922">
        <v>0</v>
      </c>
      <c r="H461" s="1922">
        <v>6.6360000000000004E-3</v>
      </c>
      <c r="I461" s="1375"/>
      <c r="J461" s="1375" t="str">
        <f t="shared" si="7"/>
        <v>Snohomish County PUD2020</v>
      </c>
    </row>
    <row r="462" spans="1:10">
      <c r="A462" s="1375" t="s">
        <v>722</v>
      </c>
      <c r="B462" s="1375" t="s">
        <v>2919</v>
      </c>
      <c r="C462" s="1375" t="s">
        <v>3035</v>
      </c>
      <c r="D462" s="1375">
        <v>6.6360000000000004E-3</v>
      </c>
      <c r="E462" s="1922">
        <v>0</v>
      </c>
      <c r="F462" s="1922">
        <v>0</v>
      </c>
      <c r="G462" s="1922">
        <v>0</v>
      </c>
      <c r="H462" s="1922">
        <v>6.6360000000000004E-3</v>
      </c>
      <c r="I462" s="1375"/>
      <c r="J462" s="1375" t="str">
        <f t="shared" si="7"/>
        <v>Snohomish County PUD2021</v>
      </c>
    </row>
    <row r="463" spans="1:10">
      <c r="A463" s="1375" t="s">
        <v>722</v>
      </c>
      <c r="B463" s="1375" t="s">
        <v>2919</v>
      </c>
      <c r="C463" s="1375" t="s">
        <v>1760</v>
      </c>
      <c r="D463" s="1375">
        <v>6.6360000000000004E-3</v>
      </c>
      <c r="E463" s="1922">
        <v>0</v>
      </c>
      <c r="F463" s="1922">
        <v>0</v>
      </c>
      <c r="G463" s="1922">
        <v>0</v>
      </c>
      <c r="H463" s="1922">
        <v>6.6360000000000004E-3</v>
      </c>
      <c r="I463" s="1375"/>
      <c r="J463" s="1375" t="str">
        <f t="shared" si="7"/>
        <v>Snohomish County PUD2022</v>
      </c>
    </row>
    <row r="464" spans="1:10">
      <c r="A464" s="1375" t="s">
        <v>722</v>
      </c>
      <c r="B464" s="1375" t="s">
        <v>2919</v>
      </c>
      <c r="C464" s="1375" t="s">
        <v>1761</v>
      </c>
      <c r="D464" s="1375">
        <v>6.6360000000000004E-3</v>
      </c>
      <c r="E464" s="1922">
        <v>0</v>
      </c>
      <c r="F464" s="1922">
        <v>0</v>
      </c>
      <c r="G464" s="1922">
        <v>0</v>
      </c>
      <c r="H464" s="1922">
        <v>6.6360000000000004E-3</v>
      </c>
      <c r="I464" s="1375"/>
      <c r="J464" s="1375" t="str">
        <f t="shared" si="7"/>
        <v>Snohomish County PUD2023</v>
      </c>
    </row>
    <row r="465" spans="1:10">
      <c r="A465" s="1375" t="s">
        <v>722</v>
      </c>
      <c r="B465" s="1375" t="s">
        <v>2919</v>
      </c>
      <c r="C465" s="1375" t="s">
        <v>2922</v>
      </c>
      <c r="D465" s="1375">
        <v>6.6360000000000004E-3</v>
      </c>
      <c r="E465" s="1922">
        <v>0</v>
      </c>
      <c r="F465" s="1922">
        <v>0</v>
      </c>
      <c r="G465" s="1922">
        <v>0</v>
      </c>
      <c r="H465" s="1922">
        <v>6.6360000000000004E-3</v>
      </c>
      <c r="I465" s="1375"/>
      <c r="J465" s="1375" t="str">
        <f t="shared" si="7"/>
        <v>Snohomish County PUD2024</v>
      </c>
    </row>
    <row r="466" spans="1:10">
      <c r="A466" s="1375" t="s">
        <v>722</v>
      </c>
      <c r="B466" s="1375" t="s">
        <v>2919</v>
      </c>
      <c r="C466" s="1375" t="s">
        <v>2944</v>
      </c>
      <c r="D466" s="1375">
        <v>6.6360000000000004E-3</v>
      </c>
      <c r="E466" s="1922">
        <v>0</v>
      </c>
      <c r="F466" s="1922">
        <v>0</v>
      </c>
      <c r="G466" s="1922">
        <v>0</v>
      </c>
      <c r="H466" s="1922">
        <v>6.6360000000000004E-3</v>
      </c>
      <c r="I466" s="1375"/>
      <c r="J466" s="1375" t="str">
        <f t="shared" si="7"/>
        <v>Snohomish County PUD2025</v>
      </c>
    </row>
    <row r="467" spans="1:10">
      <c r="A467" s="1375" t="s">
        <v>721</v>
      </c>
      <c r="B467" s="1375" t="s">
        <v>2919</v>
      </c>
      <c r="C467" s="1375" t="s">
        <v>3013</v>
      </c>
      <c r="D467" s="1375">
        <v>3.1300000000000001E-2</v>
      </c>
      <c r="E467" s="1922">
        <v>0</v>
      </c>
      <c r="F467" s="1922">
        <v>0</v>
      </c>
      <c r="G467" s="1922">
        <v>0</v>
      </c>
      <c r="H467" s="1922">
        <v>3.1300000000000001E-2</v>
      </c>
      <c r="I467" s="1375"/>
      <c r="J467" s="1375" t="str">
        <f t="shared" si="7"/>
        <v>Seattle City Light1997</v>
      </c>
    </row>
    <row r="468" spans="1:10">
      <c r="A468" s="1375" t="s">
        <v>721</v>
      </c>
      <c r="B468" s="1375" t="s">
        <v>2919</v>
      </c>
      <c r="C468" s="1375" t="s">
        <v>3014</v>
      </c>
      <c r="D468" s="1375">
        <v>3.1300000000000001E-2</v>
      </c>
      <c r="E468" s="1922">
        <v>0</v>
      </c>
      <c r="F468" s="1922">
        <v>0</v>
      </c>
      <c r="G468" s="1922">
        <v>0</v>
      </c>
      <c r="H468" s="1922">
        <v>3.1300000000000001E-2</v>
      </c>
      <c r="I468" s="1375"/>
      <c r="J468" s="1375" t="str">
        <f t="shared" si="7"/>
        <v>Seattle City Light1998</v>
      </c>
    </row>
    <row r="469" spans="1:10">
      <c r="A469" s="1375" t="s">
        <v>721</v>
      </c>
      <c r="B469" s="1375" t="s">
        <v>2919</v>
      </c>
      <c r="C469" s="1375" t="s">
        <v>3015</v>
      </c>
      <c r="D469" s="1375">
        <v>3.1300000000000001E-2</v>
      </c>
      <c r="E469" s="1922">
        <v>0</v>
      </c>
      <c r="F469" s="1922">
        <v>0</v>
      </c>
      <c r="G469" s="1922">
        <v>0</v>
      </c>
      <c r="H469" s="1922">
        <v>3.1300000000000001E-2</v>
      </c>
      <c r="I469" s="1375"/>
      <c r="J469" s="1375" t="str">
        <f t="shared" si="7"/>
        <v>Seattle City Light1999</v>
      </c>
    </row>
    <row r="470" spans="1:10">
      <c r="A470" s="1375" t="s">
        <v>721</v>
      </c>
      <c r="B470" s="1375" t="s">
        <v>2919</v>
      </c>
      <c r="C470" s="1375" t="s">
        <v>3016</v>
      </c>
      <c r="D470" s="1375">
        <v>3.1300000000000001E-2</v>
      </c>
      <c r="E470" s="1922">
        <v>0</v>
      </c>
      <c r="F470" s="1922">
        <v>0</v>
      </c>
      <c r="G470" s="1922">
        <v>0</v>
      </c>
      <c r="H470" s="1922">
        <v>3.1300000000000001E-2</v>
      </c>
      <c r="I470" s="1375"/>
      <c r="J470" s="1375" t="str">
        <f t="shared" si="7"/>
        <v>Seattle City Light2000</v>
      </c>
    </row>
    <row r="471" spans="1:10">
      <c r="A471" s="1375" t="s">
        <v>721</v>
      </c>
      <c r="B471" s="1375" t="s">
        <v>2919</v>
      </c>
      <c r="C471" s="1375" t="s">
        <v>3017</v>
      </c>
      <c r="D471" s="1375">
        <v>3.1300000000000001E-2</v>
      </c>
      <c r="E471" s="1922">
        <v>0</v>
      </c>
      <c r="F471" s="1922">
        <v>0</v>
      </c>
      <c r="G471" s="1922">
        <v>0</v>
      </c>
      <c r="H471" s="1922">
        <v>3.1300000000000001E-2</v>
      </c>
      <c r="I471" s="1375"/>
      <c r="J471" s="1375" t="str">
        <f t="shared" si="7"/>
        <v>Seattle City Light2001</v>
      </c>
    </row>
    <row r="472" spans="1:10">
      <c r="A472" s="1375" t="s">
        <v>721</v>
      </c>
      <c r="B472" s="1375" t="s">
        <v>2919</v>
      </c>
      <c r="C472" s="1375" t="s">
        <v>3018</v>
      </c>
      <c r="D472" s="1375">
        <v>3.1300000000000001E-2</v>
      </c>
      <c r="E472" s="1922">
        <v>0</v>
      </c>
      <c r="F472" s="1922">
        <v>0</v>
      </c>
      <c r="G472" s="1922">
        <v>0</v>
      </c>
      <c r="H472" s="1922">
        <v>3.1300000000000001E-2</v>
      </c>
      <c r="I472" s="1375"/>
      <c r="J472" s="1375" t="str">
        <f t="shared" si="7"/>
        <v>Seattle City Light2002</v>
      </c>
    </row>
    <row r="473" spans="1:10">
      <c r="A473" s="1375" t="s">
        <v>721</v>
      </c>
      <c r="B473" s="1375" t="s">
        <v>2919</v>
      </c>
      <c r="C473" s="1375" t="s">
        <v>3019</v>
      </c>
      <c r="D473" s="1375">
        <v>3.1300000000000001E-2</v>
      </c>
      <c r="E473" s="1922">
        <v>0</v>
      </c>
      <c r="F473" s="1922">
        <v>0</v>
      </c>
      <c r="G473" s="1922">
        <v>0</v>
      </c>
      <c r="H473" s="1922">
        <v>3.1300000000000001E-2</v>
      </c>
      <c r="I473" s="1375"/>
      <c r="J473" s="1375" t="str">
        <f t="shared" si="7"/>
        <v>Seattle City Light2003</v>
      </c>
    </row>
    <row r="474" spans="1:10">
      <c r="A474" s="1375" t="s">
        <v>721</v>
      </c>
      <c r="B474" s="1375" t="s">
        <v>2919</v>
      </c>
      <c r="C474" s="1375" t="s">
        <v>3020</v>
      </c>
      <c r="D474" s="1375">
        <v>3.1300000000000001E-2</v>
      </c>
      <c r="E474" s="1922">
        <v>0</v>
      </c>
      <c r="F474" s="1922">
        <v>0</v>
      </c>
      <c r="G474" s="1922">
        <v>0</v>
      </c>
      <c r="H474" s="1922">
        <v>3.1300000000000001E-2</v>
      </c>
      <c r="I474" s="1375"/>
      <c r="J474" s="1375" t="str">
        <f t="shared" si="7"/>
        <v>Seattle City Light2004</v>
      </c>
    </row>
    <row r="475" spans="1:10">
      <c r="A475" s="1375" t="s">
        <v>721</v>
      </c>
      <c r="B475" s="1375" t="s">
        <v>2919</v>
      </c>
      <c r="C475" s="1375" t="s">
        <v>3021</v>
      </c>
      <c r="D475" s="1375">
        <v>3.1300000000000001E-2</v>
      </c>
      <c r="E475" s="1922">
        <v>0</v>
      </c>
      <c r="F475" s="1922">
        <v>0</v>
      </c>
      <c r="G475" s="1922">
        <v>0</v>
      </c>
      <c r="H475" s="1922">
        <v>3.1300000000000001E-2</v>
      </c>
      <c r="I475" s="1375"/>
      <c r="J475" s="1375" t="str">
        <f t="shared" si="7"/>
        <v>Seattle City Light2005</v>
      </c>
    </row>
    <row r="476" spans="1:10">
      <c r="A476" s="1375" t="s">
        <v>721</v>
      </c>
      <c r="B476" s="1375" t="s">
        <v>2919</v>
      </c>
      <c r="C476" s="1375" t="s">
        <v>3022</v>
      </c>
      <c r="D476" s="1375">
        <v>3.1300000000000001E-2</v>
      </c>
      <c r="E476" s="1922">
        <v>0</v>
      </c>
      <c r="F476" s="1922">
        <v>0</v>
      </c>
      <c r="G476" s="1922">
        <v>0</v>
      </c>
      <c r="H476" s="1922">
        <v>3.1300000000000001E-2</v>
      </c>
      <c r="I476" s="1375"/>
      <c r="J476" s="1375" t="str">
        <f t="shared" si="7"/>
        <v>Seattle City Light2006</v>
      </c>
    </row>
    <row r="477" spans="1:10">
      <c r="A477" s="1375" t="s">
        <v>721</v>
      </c>
      <c r="B477" s="1375" t="s">
        <v>2919</v>
      </c>
      <c r="C477" s="1375" t="s">
        <v>3023</v>
      </c>
      <c r="D477" s="1375">
        <v>3.1300000000000001E-2</v>
      </c>
      <c r="E477" s="1922">
        <v>0</v>
      </c>
      <c r="F477" s="1922">
        <v>0</v>
      </c>
      <c r="G477" s="1922">
        <v>0</v>
      </c>
      <c r="H477" s="1922">
        <v>3.1300000000000001E-2</v>
      </c>
      <c r="I477" s="1375"/>
      <c r="J477" s="1375" t="str">
        <f t="shared" si="7"/>
        <v>Seattle City Light2007</v>
      </c>
    </row>
    <row r="478" spans="1:10">
      <c r="A478" s="1375" t="s">
        <v>721</v>
      </c>
      <c r="B478" s="1375" t="s">
        <v>2919</v>
      </c>
      <c r="C478" s="1375" t="s">
        <v>3024</v>
      </c>
      <c r="D478" s="1375">
        <v>3.1300000000000001E-2</v>
      </c>
      <c r="E478" s="1922">
        <v>0</v>
      </c>
      <c r="F478" s="1922">
        <v>0</v>
      </c>
      <c r="G478" s="1922">
        <v>0</v>
      </c>
      <c r="H478" s="1922">
        <v>3.1300000000000001E-2</v>
      </c>
      <c r="I478" s="1375"/>
      <c r="J478" s="1375" t="str">
        <f t="shared" si="7"/>
        <v>Seattle City Light2008</v>
      </c>
    </row>
    <row r="479" spans="1:10">
      <c r="A479" s="1375" t="s">
        <v>721</v>
      </c>
      <c r="B479" s="1375" t="s">
        <v>2919</v>
      </c>
      <c r="C479" s="1375" t="s">
        <v>3025</v>
      </c>
      <c r="D479" s="1375">
        <v>3.1300000000000001E-2</v>
      </c>
      <c r="E479" s="1922">
        <v>0</v>
      </c>
      <c r="F479" s="1922">
        <v>0</v>
      </c>
      <c r="G479" s="1922">
        <v>0</v>
      </c>
      <c r="H479" s="1922">
        <v>3.1300000000000001E-2</v>
      </c>
      <c r="I479" s="1375"/>
      <c r="J479" s="1375" t="str">
        <f t="shared" si="7"/>
        <v>Seattle City Light2009</v>
      </c>
    </row>
    <row r="480" spans="1:10">
      <c r="A480" s="1375" t="s">
        <v>721</v>
      </c>
      <c r="B480" s="1375" t="s">
        <v>2919</v>
      </c>
      <c r="C480" s="1375" t="s">
        <v>3026</v>
      </c>
      <c r="D480" s="1375">
        <v>3.78E-2</v>
      </c>
      <c r="E480" s="1922">
        <v>0</v>
      </c>
      <c r="F480" s="1922">
        <v>0</v>
      </c>
      <c r="G480" s="1922">
        <v>0</v>
      </c>
      <c r="H480" s="1922">
        <v>3.78E-2</v>
      </c>
      <c r="I480" s="1375"/>
      <c r="J480" s="1375" t="str">
        <f t="shared" si="7"/>
        <v>Seattle City Light2010</v>
      </c>
    </row>
    <row r="481" spans="1:10">
      <c r="A481" s="1375" t="s">
        <v>721</v>
      </c>
      <c r="B481" s="1375" t="s">
        <v>2919</v>
      </c>
      <c r="C481" s="1375" t="s">
        <v>3027</v>
      </c>
      <c r="D481" s="1375">
        <v>3.78E-2</v>
      </c>
      <c r="E481" s="1922">
        <v>0</v>
      </c>
      <c r="F481" s="1922">
        <v>0</v>
      </c>
      <c r="G481" s="1922">
        <v>0</v>
      </c>
      <c r="H481" s="1922">
        <v>3.78E-2</v>
      </c>
      <c r="I481" s="1375"/>
      <c r="J481" s="1375" t="str">
        <f t="shared" si="7"/>
        <v>Seattle City Light2011</v>
      </c>
    </row>
    <row r="482" spans="1:10">
      <c r="A482" s="1375" t="s">
        <v>721</v>
      </c>
      <c r="B482" s="1375" t="s">
        <v>2919</v>
      </c>
      <c r="C482" s="1375" t="s">
        <v>3028</v>
      </c>
      <c r="D482" s="1375">
        <v>3.7400000000000003E-2</v>
      </c>
      <c r="E482" s="1922">
        <v>0</v>
      </c>
      <c r="F482" s="1922">
        <v>0</v>
      </c>
      <c r="G482" s="1922">
        <v>0</v>
      </c>
      <c r="H482" s="1922">
        <v>3.7400000000000003E-2</v>
      </c>
      <c r="I482" s="1375"/>
      <c r="J482" s="1375" t="str">
        <f t="shared" si="7"/>
        <v>Seattle City Light2012</v>
      </c>
    </row>
    <row r="483" spans="1:10">
      <c r="A483" s="1375" t="s">
        <v>721</v>
      </c>
      <c r="B483" s="1375" t="s">
        <v>2919</v>
      </c>
      <c r="C483" s="1375" t="s">
        <v>3029</v>
      </c>
      <c r="D483" s="1375">
        <v>3.7400000000000003E-2</v>
      </c>
      <c r="E483" s="1922">
        <v>0</v>
      </c>
      <c r="F483" s="1922">
        <v>0</v>
      </c>
      <c r="G483" s="1922">
        <v>0</v>
      </c>
      <c r="H483" s="1922">
        <v>3.7400000000000003E-2</v>
      </c>
      <c r="I483" s="1375"/>
      <c r="J483" s="1375" t="str">
        <f t="shared" si="7"/>
        <v>Seattle City Light2013</v>
      </c>
    </row>
    <row r="484" spans="1:10">
      <c r="A484" s="1375" t="s">
        <v>721</v>
      </c>
      <c r="B484" s="1375" t="s">
        <v>2919</v>
      </c>
      <c r="C484" s="1375" t="s">
        <v>3030</v>
      </c>
      <c r="D484" s="1375">
        <v>3.7400000000000003E-2</v>
      </c>
      <c r="E484" s="1922">
        <v>0</v>
      </c>
      <c r="F484" s="1922">
        <v>0</v>
      </c>
      <c r="G484" s="1922">
        <v>0</v>
      </c>
      <c r="H484" s="1922">
        <v>3.7400000000000003E-2</v>
      </c>
      <c r="I484" s="1375"/>
      <c r="J484" s="1375" t="str">
        <f t="shared" si="7"/>
        <v>Seattle City Light2014</v>
      </c>
    </row>
    <row r="485" spans="1:10">
      <c r="A485" s="1375" t="s">
        <v>721</v>
      </c>
      <c r="B485" s="1375" t="s">
        <v>2919</v>
      </c>
      <c r="C485" s="1375" t="s">
        <v>3031</v>
      </c>
      <c r="D485" s="1375">
        <v>3.6600000000000001E-2</v>
      </c>
      <c r="E485" s="1922">
        <v>0</v>
      </c>
      <c r="F485" s="1922">
        <v>0</v>
      </c>
      <c r="G485" s="1922">
        <v>0</v>
      </c>
      <c r="H485" s="1922">
        <v>3.6600000000000001E-2</v>
      </c>
      <c r="I485" s="1375"/>
      <c r="J485" s="1375" t="str">
        <f t="shared" si="7"/>
        <v>Seattle City Light2015</v>
      </c>
    </row>
    <row r="486" spans="1:10">
      <c r="A486" s="1375" t="s">
        <v>721</v>
      </c>
      <c r="B486" s="1375" t="s">
        <v>2919</v>
      </c>
      <c r="C486" s="1375" t="s">
        <v>3032</v>
      </c>
      <c r="D486" s="1375">
        <v>3.6600000000000001E-2</v>
      </c>
      <c r="E486" s="1922">
        <v>0</v>
      </c>
      <c r="F486" s="1922">
        <v>0</v>
      </c>
      <c r="G486" s="1922">
        <v>0</v>
      </c>
      <c r="H486" s="1922">
        <v>3.6600000000000001E-2</v>
      </c>
      <c r="I486" s="1375"/>
      <c r="J486" s="1375" t="str">
        <f t="shared" si="7"/>
        <v>Seattle City Light2016</v>
      </c>
    </row>
    <row r="487" spans="1:10">
      <c r="A487" s="1375" t="s">
        <v>721</v>
      </c>
      <c r="B487" s="1375" t="s">
        <v>2919</v>
      </c>
      <c r="C487" s="1375" t="s">
        <v>3033</v>
      </c>
      <c r="D487" s="1375">
        <v>3.6700000000000003E-2</v>
      </c>
      <c r="E487" s="1922">
        <v>0</v>
      </c>
      <c r="F487" s="1922">
        <v>0</v>
      </c>
      <c r="G487" s="1922">
        <v>0</v>
      </c>
      <c r="H487" s="1922">
        <v>3.6700000000000003E-2</v>
      </c>
      <c r="I487" s="1375"/>
      <c r="J487" s="1375" t="str">
        <f t="shared" si="7"/>
        <v>Seattle City Light2017</v>
      </c>
    </row>
    <row r="488" spans="1:10">
      <c r="A488" s="1375" t="s">
        <v>721</v>
      </c>
      <c r="B488" s="1375" t="s">
        <v>2919</v>
      </c>
      <c r="C488" s="1375" t="s">
        <v>277</v>
      </c>
      <c r="D488" s="1375">
        <v>3.6700000000000003E-2</v>
      </c>
      <c r="E488" s="1922">
        <v>0</v>
      </c>
      <c r="F488" s="1922">
        <v>0</v>
      </c>
      <c r="G488" s="1922">
        <v>0</v>
      </c>
      <c r="H488" s="1922">
        <v>3.6700000000000003E-2</v>
      </c>
      <c r="I488" s="1375"/>
      <c r="J488" s="1375" t="str">
        <f t="shared" si="7"/>
        <v>Seattle City Light2018</v>
      </c>
    </row>
    <row r="489" spans="1:10">
      <c r="A489" s="1375" t="s">
        <v>721</v>
      </c>
      <c r="B489" s="1375" t="s">
        <v>2919</v>
      </c>
      <c r="C489" s="1375" t="s">
        <v>278</v>
      </c>
      <c r="D489" s="1375">
        <v>3.6700000000000003E-2</v>
      </c>
      <c r="E489" s="1922">
        <v>0</v>
      </c>
      <c r="F489" s="1922">
        <v>0</v>
      </c>
      <c r="G489" s="1922">
        <v>0</v>
      </c>
      <c r="H489" s="1922">
        <v>3.6700000000000003E-2</v>
      </c>
      <c r="I489" s="1375"/>
      <c r="J489" s="1375" t="str">
        <f t="shared" si="7"/>
        <v>Seattle City Light2019</v>
      </c>
    </row>
    <row r="490" spans="1:10">
      <c r="A490" s="1375" t="s">
        <v>721</v>
      </c>
      <c r="B490" s="1375" t="s">
        <v>2919</v>
      </c>
      <c r="C490" s="1375" t="s">
        <v>3034</v>
      </c>
      <c r="D490" s="1375">
        <v>3.5046000000000001E-2</v>
      </c>
      <c r="E490" s="1922">
        <v>0</v>
      </c>
      <c r="F490" s="1922">
        <v>0</v>
      </c>
      <c r="G490" s="1922">
        <v>0</v>
      </c>
      <c r="H490" s="1922">
        <v>3.5046000000000001E-2</v>
      </c>
      <c r="I490" s="1375"/>
      <c r="J490" s="1375" t="str">
        <f t="shared" si="7"/>
        <v>Seattle City Light2020</v>
      </c>
    </row>
    <row r="491" spans="1:10">
      <c r="A491" s="1375" t="s">
        <v>721</v>
      </c>
      <c r="B491" s="1375" t="s">
        <v>2919</v>
      </c>
      <c r="C491" s="1375" t="s">
        <v>3035</v>
      </c>
      <c r="D491" s="1375">
        <v>3.5046000000000001E-2</v>
      </c>
      <c r="E491" s="1922">
        <v>0</v>
      </c>
      <c r="F491" s="1922">
        <v>0</v>
      </c>
      <c r="G491" s="1922">
        <v>0</v>
      </c>
      <c r="H491" s="1922">
        <v>3.5046000000000001E-2</v>
      </c>
      <c r="I491" s="1375"/>
      <c r="J491" s="1375" t="str">
        <f t="shared" si="7"/>
        <v>Seattle City Light2021</v>
      </c>
    </row>
    <row r="492" spans="1:10">
      <c r="A492" s="1375" t="s">
        <v>721</v>
      </c>
      <c r="B492" s="1375" t="s">
        <v>2919</v>
      </c>
      <c r="C492" s="1375" t="s">
        <v>1760</v>
      </c>
      <c r="D492" s="1375">
        <v>3.5046000000000001E-2</v>
      </c>
      <c r="E492" s="1922">
        <v>0</v>
      </c>
      <c r="F492" s="1922">
        <v>0</v>
      </c>
      <c r="G492" s="1922">
        <v>0</v>
      </c>
      <c r="H492" s="1922">
        <v>3.5046000000000001E-2</v>
      </c>
      <c r="I492" s="1375"/>
      <c r="J492" s="1375" t="str">
        <f t="shared" si="7"/>
        <v>Seattle City Light2022</v>
      </c>
    </row>
    <row r="493" spans="1:10">
      <c r="A493" s="1375" t="s">
        <v>721</v>
      </c>
      <c r="B493" s="1375" t="s">
        <v>2919</v>
      </c>
      <c r="C493" s="1375" t="s">
        <v>1761</v>
      </c>
      <c r="D493" s="1375">
        <v>3.5046000000000001E-2</v>
      </c>
      <c r="E493" s="1922">
        <v>0</v>
      </c>
      <c r="F493" s="1922">
        <v>0</v>
      </c>
      <c r="G493" s="1922">
        <v>0</v>
      </c>
      <c r="H493" s="1922">
        <v>3.5046000000000001E-2</v>
      </c>
      <c r="I493" s="1375"/>
      <c r="J493" s="1375" t="str">
        <f t="shared" si="7"/>
        <v>Seattle City Light2023</v>
      </c>
    </row>
    <row r="494" spans="1:10">
      <c r="A494" s="1375" t="s">
        <v>721</v>
      </c>
      <c r="B494" s="1375" t="s">
        <v>2919</v>
      </c>
      <c r="C494" s="1375" t="s">
        <v>2922</v>
      </c>
      <c r="D494" s="1375">
        <v>3.5046000000000001E-2</v>
      </c>
      <c r="E494" s="1922">
        <v>0</v>
      </c>
      <c r="F494" s="1922">
        <v>0</v>
      </c>
      <c r="G494" s="1922">
        <v>0</v>
      </c>
      <c r="H494" s="1922">
        <v>3.5046000000000001E-2</v>
      </c>
      <c r="I494" s="1375"/>
      <c r="J494" s="1375" t="str">
        <f t="shared" si="7"/>
        <v>Seattle City Light2024</v>
      </c>
    </row>
    <row r="495" spans="1:10">
      <c r="A495" s="1375" t="s">
        <v>721</v>
      </c>
      <c r="B495" s="1375" t="s">
        <v>2919</v>
      </c>
      <c r="C495" s="1375" t="s">
        <v>2944</v>
      </c>
      <c r="D495" s="1375">
        <v>3.5046000000000001E-2</v>
      </c>
      <c r="E495" s="1922">
        <v>0</v>
      </c>
      <c r="F495" s="1922">
        <v>0</v>
      </c>
      <c r="G495" s="1922">
        <v>0</v>
      </c>
      <c r="H495" s="1922">
        <v>3.5046000000000001E-2</v>
      </c>
      <c r="I495" s="1375"/>
      <c r="J495" s="1375" t="str">
        <f t="shared" si="7"/>
        <v>Seattle City Light2025</v>
      </c>
    </row>
    <row r="496" spans="1:10">
      <c r="D496"/>
      <c r="E496"/>
      <c r="F496"/>
      <c r="G496"/>
      <c r="H496"/>
    </row>
    <row r="497" spans="4:8">
      <c r="D497"/>
      <c r="E497"/>
      <c r="F497"/>
      <c r="G497"/>
      <c r="H497"/>
    </row>
    <row r="498" spans="4:8">
      <c r="D498"/>
      <c r="E498"/>
      <c r="F498"/>
      <c r="G498"/>
      <c r="H498"/>
    </row>
    <row r="499" spans="4:8">
      <c r="D499"/>
      <c r="E499"/>
      <c r="F499"/>
      <c r="G499"/>
      <c r="H499"/>
    </row>
    <row r="500" spans="4:8">
      <c r="D500"/>
      <c r="E500"/>
      <c r="F500"/>
      <c r="G500"/>
      <c r="H500"/>
    </row>
    <row r="501" spans="4:8">
      <c r="D501"/>
      <c r="E501"/>
      <c r="F501"/>
      <c r="G501"/>
      <c r="H501"/>
    </row>
    <row r="502" spans="4:8">
      <c r="D502"/>
      <c r="E502"/>
      <c r="F502"/>
      <c r="G502"/>
      <c r="H502"/>
    </row>
    <row r="503" spans="4:8">
      <c r="D503"/>
      <c r="E503"/>
      <c r="F503"/>
      <c r="G503"/>
      <c r="H503"/>
    </row>
    <row r="504" spans="4:8">
      <c r="D504"/>
      <c r="E504"/>
      <c r="F504"/>
      <c r="G504"/>
      <c r="H504"/>
    </row>
    <row r="505" spans="4:8">
      <c r="D505"/>
      <c r="E505"/>
      <c r="F505"/>
      <c r="G505"/>
      <c r="H505"/>
    </row>
    <row r="506" spans="4:8">
      <c r="D506"/>
      <c r="E506"/>
      <c r="F506"/>
      <c r="G506"/>
      <c r="H506"/>
    </row>
    <row r="507" spans="4:8">
      <c r="D507"/>
      <c r="E507"/>
      <c r="F507"/>
      <c r="G507"/>
      <c r="H507"/>
    </row>
    <row r="508" spans="4:8">
      <c r="D508"/>
      <c r="E508"/>
      <c r="F508"/>
      <c r="G508"/>
      <c r="H508"/>
    </row>
    <row r="509" spans="4:8">
      <c r="D509"/>
      <c r="E509"/>
      <c r="F509"/>
      <c r="G509"/>
      <c r="H509"/>
    </row>
    <row r="510" spans="4:8">
      <c r="D510"/>
      <c r="E510"/>
      <c r="F510"/>
      <c r="G510"/>
      <c r="H510"/>
    </row>
    <row r="511" spans="4:8">
      <c r="D511"/>
      <c r="E511"/>
      <c r="F511"/>
      <c r="G511"/>
      <c r="H511"/>
    </row>
    <row r="512" spans="4:8">
      <c r="D512"/>
      <c r="E512"/>
      <c r="F512"/>
      <c r="G512"/>
      <c r="H512"/>
    </row>
    <row r="513" spans="4:8">
      <c r="D513"/>
      <c r="E513"/>
      <c r="F513"/>
      <c r="G513"/>
      <c r="H513"/>
    </row>
    <row r="514" spans="4:8">
      <c r="D514"/>
      <c r="E514"/>
      <c r="F514"/>
      <c r="G514"/>
      <c r="H514"/>
    </row>
    <row r="515" spans="4:8">
      <c r="D515"/>
      <c r="E515"/>
      <c r="F515"/>
      <c r="G515"/>
      <c r="H515"/>
    </row>
    <row r="516" spans="4:8">
      <c r="D516"/>
      <c r="E516"/>
      <c r="F516"/>
      <c r="G516"/>
      <c r="H516"/>
    </row>
    <row r="517" spans="4:8">
      <c r="D517"/>
      <c r="E517"/>
      <c r="F517"/>
      <c r="G517"/>
      <c r="H517"/>
    </row>
    <row r="518" spans="4:8">
      <c r="D518"/>
      <c r="E518"/>
      <c r="F518"/>
      <c r="G518"/>
      <c r="H518"/>
    </row>
    <row r="519" spans="4:8">
      <c r="D519"/>
      <c r="E519"/>
      <c r="F519"/>
      <c r="G519"/>
      <c r="H519"/>
    </row>
    <row r="520" spans="4:8">
      <c r="D520"/>
      <c r="E520"/>
      <c r="F520"/>
      <c r="G520"/>
      <c r="H520"/>
    </row>
    <row r="521" spans="4:8">
      <c r="D521"/>
      <c r="E521"/>
      <c r="F521"/>
      <c r="G521"/>
      <c r="H521"/>
    </row>
    <row r="522" spans="4:8">
      <c r="D522"/>
      <c r="E522"/>
      <c r="F522"/>
      <c r="G522"/>
      <c r="H522"/>
    </row>
    <row r="523" spans="4:8">
      <c r="D523"/>
      <c r="E523"/>
      <c r="F523"/>
      <c r="G523"/>
      <c r="H523"/>
    </row>
    <row r="524" spans="4:8">
      <c r="D524"/>
      <c r="E524"/>
      <c r="F524"/>
      <c r="G524"/>
      <c r="H524"/>
    </row>
    <row r="525" spans="4:8">
      <c r="D525"/>
      <c r="E525"/>
      <c r="F525"/>
      <c r="G525"/>
      <c r="H525"/>
    </row>
    <row r="526" spans="4:8">
      <c r="D526"/>
      <c r="E526"/>
      <c r="F526"/>
      <c r="G526"/>
      <c r="H526"/>
    </row>
    <row r="527" spans="4:8">
      <c r="D527"/>
      <c r="E527"/>
      <c r="F527"/>
      <c r="G527"/>
      <c r="H527"/>
    </row>
    <row r="528" spans="4:8">
      <c r="D528"/>
      <c r="E528"/>
      <c r="F528"/>
      <c r="G528"/>
      <c r="H528"/>
    </row>
    <row r="529" spans="4:8">
      <c r="D529"/>
      <c r="E529"/>
      <c r="F529"/>
      <c r="G529"/>
      <c r="H529"/>
    </row>
    <row r="530" spans="4:8">
      <c r="D530"/>
      <c r="E530"/>
      <c r="F530"/>
      <c r="G530"/>
      <c r="H530"/>
    </row>
    <row r="531" spans="4:8">
      <c r="D531"/>
      <c r="E531"/>
      <c r="F531"/>
      <c r="G531"/>
      <c r="H531"/>
    </row>
    <row r="532" spans="4:8">
      <c r="D532"/>
      <c r="E532"/>
      <c r="F532"/>
      <c r="G532"/>
      <c r="H532"/>
    </row>
    <row r="533" spans="4:8">
      <c r="D533"/>
      <c r="E533"/>
      <c r="F533"/>
      <c r="G533"/>
      <c r="H533"/>
    </row>
    <row r="534" spans="4:8">
      <c r="D534"/>
      <c r="E534"/>
      <c r="F534"/>
      <c r="G534"/>
      <c r="H534"/>
    </row>
    <row r="535" spans="4:8">
      <c r="D535"/>
      <c r="E535"/>
      <c r="F535"/>
      <c r="G535"/>
      <c r="H535"/>
    </row>
    <row r="536" spans="4:8">
      <c r="D536"/>
      <c r="E536"/>
      <c r="F536"/>
      <c r="G536"/>
      <c r="H536"/>
    </row>
    <row r="537" spans="4:8">
      <c r="D537"/>
      <c r="E537"/>
      <c r="F537"/>
      <c r="G537"/>
      <c r="H537"/>
    </row>
    <row r="538" spans="4:8">
      <c r="D538"/>
      <c r="E538"/>
      <c r="F538"/>
      <c r="G538"/>
      <c r="H538"/>
    </row>
    <row r="539" spans="4:8">
      <c r="D539"/>
      <c r="E539"/>
      <c r="F539"/>
      <c r="G539"/>
      <c r="H539"/>
    </row>
    <row r="540" spans="4:8">
      <c r="D540"/>
      <c r="E540"/>
      <c r="F540"/>
      <c r="G540"/>
      <c r="H540"/>
    </row>
    <row r="541" spans="4:8">
      <c r="D541"/>
      <c r="E541"/>
      <c r="F541"/>
      <c r="G541"/>
      <c r="H541"/>
    </row>
    <row r="542" spans="4:8">
      <c r="D542"/>
      <c r="E542"/>
      <c r="F542"/>
      <c r="G542"/>
      <c r="H542"/>
    </row>
    <row r="543" spans="4:8">
      <c r="D543"/>
      <c r="E543"/>
      <c r="F543"/>
      <c r="G543"/>
      <c r="H543"/>
    </row>
    <row r="544" spans="4:8">
      <c r="D544"/>
      <c r="E544"/>
      <c r="F544"/>
      <c r="G544"/>
      <c r="H544"/>
    </row>
    <row r="545" spans="4:8">
      <c r="D545"/>
      <c r="E545"/>
      <c r="F545"/>
      <c r="G545"/>
      <c r="H545"/>
    </row>
    <row r="546" spans="4:8">
      <c r="D546"/>
      <c r="E546"/>
      <c r="F546"/>
      <c r="G546"/>
      <c r="H546"/>
    </row>
    <row r="547" spans="4:8">
      <c r="D547"/>
      <c r="E547"/>
      <c r="F547"/>
      <c r="G547"/>
      <c r="H547"/>
    </row>
    <row r="548" spans="4:8">
      <c r="D548"/>
      <c r="E548"/>
      <c r="F548"/>
      <c r="G548"/>
      <c r="H548"/>
    </row>
    <row r="549" spans="4:8">
      <c r="D549"/>
      <c r="E549"/>
      <c r="F549"/>
      <c r="G549"/>
      <c r="H549"/>
    </row>
    <row r="550" spans="4:8">
      <c r="D550"/>
      <c r="E550"/>
      <c r="F550"/>
      <c r="G550"/>
      <c r="H550"/>
    </row>
    <row r="551" spans="4:8">
      <c r="D551"/>
      <c r="E551"/>
      <c r="F551"/>
      <c r="G551"/>
      <c r="H551"/>
    </row>
    <row r="552" spans="4:8">
      <c r="D552"/>
      <c r="E552"/>
      <c r="F552"/>
      <c r="G552"/>
      <c r="H552"/>
    </row>
    <row r="553" spans="4:8">
      <c r="D553"/>
      <c r="E553"/>
      <c r="F553"/>
      <c r="G553"/>
      <c r="H553"/>
    </row>
    <row r="554" spans="4:8">
      <c r="D554"/>
      <c r="E554"/>
      <c r="F554"/>
      <c r="G554"/>
      <c r="H554"/>
    </row>
    <row r="555" spans="4:8">
      <c r="D555"/>
      <c r="E555"/>
      <c r="F555"/>
      <c r="G555"/>
      <c r="H555"/>
    </row>
    <row r="556" spans="4:8">
      <c r="D556"/>
      <c r="E556"/>
      <c r="F556"/>
      <c r="G556"/>
      <c r="H556"/>
    </row>
    <row r="557" spans="4:8">
      <c r="D557"/>
      <c r="E557"/>
      <c r="F557"/>
      <c r="G557"/>
      <c r="H557"/>
    </row>
    <row r="558" spans="4:8">
      <c r="D558"/>
      <c r="E558"/>
      <c r="F558"/>
      <c r="G558"/>
      <c r="H558"/>
    </row>
    <row r="559" spans="4:8">
      <c r="D559"/>
      <c r="E559"/>
      <c r="F559"/>
      <c r="G559"/>
      <c r="H559"/>
    </row>
    <row r="560" spans="4:8">
      <c r="D560"/>
      <c r="E560"/>
      <c r="F560"/>
      <c r="G560"/>
      <c r="H560"/>
    </row>
    <row r="561" spans="4:8">
      <c r="D561"/>
      <c r="E561"/>
      <c r="F561"/>
      <c r="G561"/>
      <c r="H561"/>
    </row>
    <row r="562" spans="4:8">
      <c r="D562"/>
      <c r="E562"/>
      <c r="F562"/>
      <c r="G562"/>
      <c r="H562"/>
    </row>
    <row r="563" spans="4:8">
      <c r="D563"/>
      <c r="E563"/>
      <c r="F563"/>
      <c r="G563"/>
      <c r="H563"/>
    </row>
    <row r="564" spans="4:8">
      <c r="D564"/>
      <c r="E564"/>
      <c r="F564"/>
      <c r="G564"/>
      <c r="H564"/>
    </row>
    <row r="565" spans="4:8">
      <c r="D565"/>
      <c r="E565"/>
      <c r="F565"/>
      <c r="G565"/>
      <c r="H565"/>
    </row>
    <row r="566" spans="4:8">
      <c r="D566"/>
      <c r="E566"/>
      <c r="F566"/>
      <c r="G566"/>
      <c r="H566"/>
    </row>
    <row r="567" spans="4:8">
      <c r="D567"/>
      <c r="E567"/>
      <c r="F567"/>
      <c r="G567"/>
      <c r="H567"/>
    </row>
    <row r="568" spans="4:8">
      <c r="D568"/>
      <c r="E568"/>
      <c r="F568"/>
      <c r="G568"/>
      <c r="H568"/>
    </row>
    <row r="569" spans="4:8">
      <c r="D569"/>
      <c r="E569"/>
      <c r="F569"/>
      <c r="G569"/>
      <c r="H569"/>
    </row>
    <row r="570" spans="4:8">
      <c r="D570"/>
      <c r="E570"/>
      <c r="F570"/>
      <c r="G570"/>
      <c r="H570"/>
    </row>
    <row r="571" spans="4:8">
      <c r="D571"/>
      <c r="E571"/>
      <c r="F571"/>
      <c r="G571"/>
      <c r="H571"/>
    </row>
    <row r="572" spans="4:8">
      <c r="D572"/>
      <c r="E572"/>
      <c r="F572"/>
      <c r="G572"/>
      <c r="H572"/>
    </row>
    <row r="573" spans="4:8">
      <c r="D573"/>
      <c r="E573"/>
      <c r="F573"/>
      <c r="G573"/>
      <c r="H573"/>
    </row>
    <row r="574" spans="4:8">
      <c r="D574"/>
      <c r="E574"/>
      <c r="F574"/>
      <c r="G574"/>
      <c r="H574"/>
    </row>
    <row r="575" spans="4:8">
      <c r="D575"/>
      <c r="E575"/>
      <c r="F575"/>
      <c r="G575"/>
      <c r="H575"/>
    </row>
    <row r="576" spans="4:8">
      <c r="D576"/>
      <c r="E576"/>
      <c r="F576"/>
      <c r="G576"/>
      <c r="H576"/>
    </row>
    <row r="577" spans="4:8">
      <c r="D577"/>
      <c r="E577"/>
      <c r="F577"/>
      <c r="G577"/>
      <c r="H577"/>
    </row>
    <row r="578" spans="4:8">
      <c r="D578"/>
      <c r="E578"/>
      <c r="F578"/>
      <c r="G578"/>
      <c r="H578"/>
    </row>
    <row r="579" spans="4:8">
      <c r="D579"/>
      <c r="E579"/>
      <c r="F579"/>
      <c r="G579"/>
      <c r="H579"/>
    </row>
    <row r="580" spans="4:8">
      <c r="D580"/>
      <c r="E580"/>
      <c r="F580"/>
      <c r="G580"/>
      <c r="H580"/>
    </row>
    <row r="581" spans="4:8">
      <c r="D581"/>
      <c r="E581"/>
      <c r="F581"/>
      <c r="G581"/>
      <c r="H581"/>
    </row>
    <row r="582" spans="4:8">
      <c r="D582"/>
      <c r="E582"/>
      <c r="F582"/>
      <c r="G582"/>
      <c r="H582"/>
    </row>
    <row r="583" spans="4:8">
      <c r="D583"/>
      <c r="E583"/>
      <c r="F583"/>
      <c r="G583"/>
      <c r="H58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filterMode="1">
    <tabColor rgb="FF0083CA"/>
    <pageSetUpPr fitToPage="1"/>
  </sheetPr>
  <dimension ref="A1:AK188"/>
  <sheetViews>
    <sheetView showGridLines="0" topLeftCell="H1" zoomScale="90" zoomScaleNormal="90" workbookViewId="0">
      <selection activeCell="H1" sqref="H1"/>
    </sheetView>
  </sheetViews>
  <sheetFormatPr defaultColWidth="11.42578125" defaultRowHeight="12.75" customHeight="1" outlineLevelCol="1"/>
  <cols>
    <col min="1" max="1" width="22" style="272" hidden="1" customWidth="1" outlineLevel="1"/>
    <col min="2" max="2" width="10.42578125" style="272" hidden="1" customWidth="1" outlineLevel="1"/>
    <col min="3" max="3" width="8.28515625" style="273" hidden="1" customWidth="1" outlineLevel="1"/>
    <col min="4" max="4" width="13.28515625" style="273" hidden="1" customWidth="1" outlineLevel="1"/>
    <col min="5" max="5" width="7.5703125" style="273" hidden="1" customWidth="1" outlineLevel="1"/>
    <col min="6" max="6" width="13.28515625" style="273" hidden="1" customWidth="1" outlineLevel="1"/>
    <col min="7" max="7" width="14.42578125" style="272" hidden="1" customWidth="1" outlineLevel="1"/>
    <col min="8" max="8" width="13.28515625" style="274" customWidth="1" collapsed="1"/>
    <col min="9" max="9" width="12.140625" style="274" customWidth="1"/>
    <col min="10" max="10" width="11.42578125" style="274"/>
    <col min="11" max="11" width="63.7109375" style="274" customWidth="1"/>
    <col min="12" max="12" width="11.5703125" style="274" customWidth="1"/>
    <col min="13" max="13" width="16.140625" style="275" customWidth="1"/>
    <col min="14" max="14" width="12.42578125" style="275" customWidth="1"/>
    <col min="15" max="15" width="20.7109375" style="275" customWidth="1"/>
    <col min="16" max="16" width="26.42578125" style="275" customWidth="1"/>
    <col min="17" max="17" width="11.28515625" style="274" customWidth="1"/>
    <col min="18" max="21" width="11.42578125" style="274"/>
    <col min="22" max="22" width="11.42578125" style="276"/>
    <col min="23" max="16384" width="11.42578125" style="274"/>
  </cols>
  <sheetData>
    <row r="1" spans="1:22" ht="12.75" customHeight="1">
      <c r="H1" s="168" t="s">
        <v>674</v>
      </c>
    </row>
    <row r="2" spans="1:22" ht="54" customHeight="1">
      <c r="H2" s="630" t="str">
        <f>I6&amp;":"</f>
        <v>Ductless Heat Pumps:</v>
      </c>
      <c r="I2" s="2568" t="str">
        <f>INDEX('AMMO Measures'!$I:$I,MATCH(LEFT(H2,LEN(H2)-1),'AMMO Measures'!$B:$B,0))</f>
        <v>Accelerate the adoption and market acceptance of inverter-driven ductless heat pumps in electrically heated homes.</v>
      </c>
      <c r="J2" s="2568"/>
      <c r="K2" s="2568"/>
      <c r="L2" s="2568"/>
      <c r="P2" s="274"/>
      <c r="V2" s="274"/>
    </row>
    <row r="3" spans="1:22" ht="16.5" customHeight="1">
      <c r="H3" s="486"/>
      <c r="P3" s="274"/>
      <c r="U3" s="276"/>
      <c r="V3" s="274"/>
    </row>
    <row r="4" spans="1:22" s="270" customFormat="1" ht="15.75" customHeight="1">
      <c r="A4" s="2569" t="s">
        <v>131</v>
      </c>
      <c r="B4" s="2570"/>
      <c r="C4" s="2570"/>
      <c r="D4" s="2570"/>
      <c r="E4" s="2570"/>
      <c r="F4" s="2570"/>
      <c r="G4" s="2571"/>
      <c r="H4" s="2596" t="s">
        <v>7</v>
      </c>
      <c r="I4" s="2597"/>
      <c r="J4" s="2597"/>
      <c r="K4" s="2597"/>
      <c r="L4" s="2598"/>
      <c r="M4" s="2593" t="s">
        <v>127</v>
      </c>
      <c r="N4" s="2594"/>
      <c r="O4" s="2594"/>
      <c r="P4" s="2595"/>
      <c r="Q4" s="2572" t="s">
        <v>129</v>
      </c>
      <c r="R4" s="2573"/>
      <c r="S4" s="2587" t="s">
        <v>130</v>
      </c>
      <c r="T4" s="2588"/>
      <c r="U4" s="2589"/>
    </row>
    <row r="5" spans="1:22" s="491" customFormat="1" ht="40.5" customHeight="1" thickBot="1">
      <c r="A5" s="487" t="s">
        <v>0</v>
      </c>
      <c r="B5" s="488" t="s">
        <v>11</v>
      </c>
      <c r="C5" s="489" t="s">
        <v>1</v>
      </c>
      <c r="D5" s="489" t="s">
        <v>2</v>
      </c>
      <c r="E5" s="489" t="s">
        <v>211</v>
      </c>
      <c r="F5" s="489" t="s">
        <v>237</v>
      </c>
      <c r="G5" s="490" t="s">
        <v>12</v>
      </c>
      <c r="H5" s="505" t="s">
        <v>3</v>
      </c>
      <c r="I5" s="505" t="s">
        <v>4</v>
      </c>
      <c r="J5" s="505" t="s">
        <v>5</v>
      </c>
      <c r="K5" s="505" t="s">
        <v>2595</v>
      </c>
      <c r="L5" s="505" t="s">
        <v>8</v>
      </c>
      <c r="M5" s="506" t="s">
        <v>214</v>
      </c>
      <c r="N5" s="505" t="s">
        <v>14</v>
      </c>
      <c r="O5" s="505" t="s">
        <v>124</v>
      </c>
      <c r="P5" s="507" t="str">
        <f>"Funder Share: "&amp;Selection!A2&amp;" "&amp;Selection!A3</f>
        <v>Funder Share: Puget Sound Energy Washington</v>
      </c>
      <c r="Q5" s="506" t="s">
        <v>551</v>
      </c>
      <c r="R5" s="507" t="s">
        <v>125</v>
      </c>
      <c r="S5" s="506" t="s">
        <v>126</v>
      </c>
      <c r="T5" s="505" t="s">
        <v>18</v>
      </c>
      <c r="U5" s="508" t="s">
        <v>17</v>
      </c>
    </row>
    <row r="6" spans="1:22" ht="26.25" thickTop="1">
      <c r="A6" s="310" t="s">
        <v>51</v>
      </c>
      <c r="B6" s="311" t="str">
        <f t="shared" ref="B6:B11" si="0">LEFT(A6,10)</f>
        <v>RES_200804</v>
      </c>
      <c r="C6" s="311">
        <v>0</v>
      </c>
      <c r="D6" s="311">
        <v>0</v>
      </c>
      <c r="E6" s="311">
        <f t="shared" ref="E6:E14" si="1">COUNTIFS($A:$A,A6,$L:$L,L6)</f>
        <v>1</v>
      </c>
      <c r="F6" s="311">
        <v>1</v>
      </c>
      <c r="G6" s="312" t="b">
        <v>1</v>
      </c>
      <c r="H6" s="1709" t="str">
        <f t="shared" ref="H6:H7" si="2">IF(LEFT(A6,3)="Res","Residential",IF(LEFT(A6,3)="Ind","industrial",IF(LEFT(A6,3)="Com","Commercial",IF(LEFT(A6,3)="AGR","Agriculture",""))))</f>
        <v>Residential</v>
      </c>
      <c r="I6" s="347" t="str">
        <f>INDEX('AMMO Units'!B:B,MATCH($A6,'AMMO Units'!$E:$E,0))</f>
        <v>Ductless Heat Pumps</v>
      </c>
      <c r="J6" s="347" t="str">
        <f>INDEX('AMMO Units'!C:C,MATCH($A6,'AMMO Units'!$E:$E,0))</f>
        <v>DHP Zonal</v>
      </c>
      <c r="K6" s="347" t="str">
        <f>INDEX('AMMO Measures'!G:G,MATCH($A6,'AMMO Measures'!$A:$A,0))</f>
        <v>Inverter-driven DHP of 1.0 ton or greater heating capacity must be installed in the main living area of a house heated with zonal electric heat.</v>
      </c>
      <c r="L6" s="23">
        <v>2022</v>
      </c>
      <c r="M6" s="315">
        <f>GETPIVOTDATA("Units",'AMMO Units'!$A$3,"Year",$L6,"Measure Index",$A6,"Savings Category","Regional_Market_2021PP")</f>
        <v>18375.02623639</v>
      </c>
      <c r="N6" s="316">
        <f>GETPIVOTDATA("Units",'AMMO Units'!$A$3,"Year",$L6,"Measure Index",$A6,"Savings Category","Local_Incentives_2021PP")</f>
        <v>8344.5464248900007</v>
      </c>
      <c r="O6" s="2590" t="s">
        <v>2594</v>
      </c>
      <c r="P6" s="1710">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316">
        <f>GETPIVOTDATA("Savings Rate",'AMMO Savings Rates'!$A$3,"Year",$L6,"Measure Index",$A6,"Savings Rate Type","Savings_Rate_2021PP")</f>
        <v>1549.82844161</v>
      </c>
      <c r="R6" s="39" t="s">
        <v>601</v>
      </c>
      <c r="S6" s="358">
        <f>(M6)*P6*Q6/8760000</f>
        <v>0.46163192183346785</v>
      </c>
      <c r="T6" s="1711">
        <f>IFERROR((N6)*P6*Q6/8760/1000,0)</f>
        <v>0.20963828586659802</v>
      </c>
      <c r="U6" s="1713">
        <f t="shared" ref="U6:U7" si="3">S6-T6</f>
        <v>0.25199363596686986</v>
      </c>
      <c r="V6" s="336">
        <f t="shared" ref="V6:V11" si="4">N6*Q6/8760000</f>
        <v>1.4763259568070282</v>
      </c>
    </row>
    <row r="7" spans="1:22" ht="38.25">
      <c r="A7" s="310" t="s">
        <v>52</v>
      </c>
      <c r="B7" s="311" t="str">
        <f t="shared" si="0"/>
        <v>RES_200804</v>
      </c>
      <c r="C7" s="311">
        <v>0</v>
      </c>
      <c r="D7" s="311">
        <v>0</v>
      </c>
      <c r="E7" s="311">
        <f t="shared" si="1"/>
        <v>1</v>
      </c>
      <c r="F7" s="311">
        <v>1</v>
      </c>
      <c r="G7" s="312" t="b">
        <v>1</v>
      </c>
      <c r="H7" s="348" t="str">
        <f t="shared" si="2"/>
        <v>Residential</v>
      </c>
      <c r="I7" s="314" t="str">
        <f>INDEX('AMMO Units'!B:B,MATCH($A7,'AMMO Units'!$E:$E,0))</f>
        <v>Ductless Heat Pumps</v>
      </c>
      <c r="J7" s="314" t="str">
        <f>INDEX('AMMO Units'!C:C,MATCH($A7,'AMMO Units'!$E:$E,0))</f>
        <v>DHP FAF</v>
      </c>
      <c r="K7" s="314" t="str">
        <f>INDEX('AMMO Measures'!G:G,MATCH($A7,'AMMO Measures'!$A:$A,0))</f>
        <v>Install a 9.5 HSPF or better DHP, with nominal tonnage ≥ 3/4 ton in the main living area of a house with permanently installed electric forced air furnace space heat.</v>
      </c>
      <c r="L7" s="24">
        <v>2022</v>
      </c>
      <c r="M7" s="493">
        <f>GETPIVOTDATA("Units",'AMMO Units'!$A$3,"Year",$L7,"Measure Index",$A7,"Savings Category","Regional_Market_2021PP")</f>
        <v>2452.7910000000002</v>
      </c>
      <c r="N7" s="494">
        <f>GETPIVOTDATA("Units",'AMMO Units'!$A$3,"Year",$L7,"Measure Index",$A7,"Savings Category","Local_Incentives_2021PP")</f>
        <v>1113.8720623700001</v>
      </c>
      <c r="O7" s="2591"/>
      <c r="P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494">
        <f>GETPIVOTDATA("Savings Rate",'AMMO Savings Rates'!$A$3,"Year",$L7,"Measure Index",$A7,"Savings Rate Type","Savings_Rate_2021PP")</f>
        <v>2479.0628890399998</v>
      </c>
      <c r="R7" s="70" t="s">
        <v>601</v>
      </c>
      <c r="S7" s="359">
        <f t="shared" ref="S7:S10" si="5">(M7)*P7*Q7/8760000</f>
        <v>9.8567178796726718E-2</v>
      </c>
      <c r="T7" s="1712">
        <f t="shared" ref="T7:T10" si="6">IFERROR((N7)*P7*Q7/8760/1000,0)</f>
        <v>4.4761753744327393E-2</v>
      </c>
      <c r="U7" s="1714">
        <f t="shared" si="3"/>
        <v>5.3805425052399325E-2</v>
      </c>
      <c r="V7" s="336">
        <f t="shared" si="4"/>
        <v>0.31522361791779852</v>
      </c>
    </row>
    <row r="8" spans="1:22" ht="38.25">
      <c r="A8" s="272" t="s">
        <v>53</v>
      </c>
      <c r="B8" s="311" t="str">
        <f t="shared" si="0"/>
        <v>RES_200804</v>
      </c>
      <c r="C8" s="311">
        <v>0</v>
      </c>
      <c r="D8" s="311">
        <v>0</v>
      </c>
      <c r="E8" s="311">
        <f t="shared" si="1"/>
        <v>1</v>
      </c>
      <c r="F8" s="311">
        <v>1</v>
      </c>
      <c r="G8" s="312" t="b">
        <v>1</v>
      </c>
      <c r="H8" s="348" t="str">
        <f t="shared" ref="H8:H11" si="7">IF(LEFT(A8,3)="Res","Residential",IF(LEFT(A8,3)="Ind","industrial",IF(LEFT(A8,3)="Com","Commercial",IF(LEFT(A8,3)="AGR","Agriculture",""))))</f>
        <v>Residential</v>
      </c>
      <c r="I8" s="314" t="str">
        <f>INDEX('AMMO Units'!B:B,MATCH($A8,'AMMO Units'!$E:$E,0))</f>
        <v>Ductless Heat Pumps</v>
      </c>
      <c r="J8" s="314" t="str">
        <f>INDEX('AMMO Units'!C:C,MATCH($A8,'AMMO Units'!$E:$E,0))</f>
        <v>DHP MH FAF</v>
      </c>
      <c r="K8" s="314" t="str">
        <f>INDEX('AMMO Measures'!G:G,MATCH($A8,'AMMO Measures'!$A:$A,0))</f>
        <v>Install a 9.5 HSPF or better DHP, with nominal tonnage ≥ 3/4 ton in the main living area of a house with permanently installed electric forced air furnace space heat.</v>
      </c>
      <c r="L8" s="24">
        <v>2022</v>
      </c>
      <c r="M8" s="493">
        <f>GETPIVOTDATA("Units",'AMMO Units'!$A$3,"Year",$L8,"Measure Index",$A8,"Savings Category","Regional_Market_2021PP")</f>
        <v>2650.9906354999998</v>
      </c>
      <c r="N8" s="494">
        <f>GETPIVOTDATA("Units",'AMMO Units'!$A$3,"Year",$L8,"Measure Index",$A8,"Savings Category","Local_Incentives_2021PP")</f>
        <v>1203.87933847</v>
      </c>
      <c r="O8" s="2591"/>
      <c r="P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494">
        <f>GETPIVOTDATA("Savings Rate",'AMMO Savings Rates'!$A$3,"Year",$L8,"Measure Index",$A8,"Savings Rate Type","Savings_Rate_2021PP")</f>
        <v>2847.95602289</v>
      </c>
      <c r="R8" s="70" t="s">
        <v>601</v>
      </c>
      <c r="S8" s="359">
        <f t="shared" si="5"/>
        <v>0.12238430069333381</v>
      </c>
      <c r="T8" s="1712">
        <f t="shared" si="6"/>
        <v>5.5577688198817574E-2</v>
      </c>
      <c r="U8" s="1714">
        <f t="shared" ref="U8:U10" si="8">S8-T8</f>
        <v>6.6806612494516235E-2</v>
      </c>
      <c r="V8" s="336">
        <f t="shared" si="4"/>
        <v>0.39139217041420837</v>
      </c>
    </row>
    <row r="9" spans="1:22" ht="25.5">
      <c r="A9" s="272" t="s">
        <v>51</v>
      </c>
      <c r="B9" s="311" t="str">
        <f t="shared" si="0"/>
        <v>RES_200804</v>
      </c>
      <c r="C9" s="311">
        <v>0</v>
      </c>
      <c r="D9" s="311">
        <v>0</v>
      </c>
      <c r="E9" s="311">
        <f t="shared" si="1"/>
        <v>1</v>
      </c>
      <c r="F9" s="311">
        <v>1</v>
      </c>
      <c r="G9" s="312" t="b">
        <v>1</v>
      </c>
      <c r="H9" s="348" t="str">
        <f t="shared" si="7"/>
        <v>Residential</v>
      </c>
      <c r="I9" s="314" t="str">
        <f>INDEX('AMMO Units'!B:B,MATCH($A9,'AMMO Units'!$E:$E,0))</f>
        <v>Ductless Heat Pumps</v>
      </c>
      <c r="J9" s="314" t="str">
        <f>INDEX('AMMO Units'!C:C,MATCH($A9,'AMMO Units'!$E:$E,0))</f>
        <v>DHP Zonal</v>
      </c>
      <c r="K9" s="314" t="str">
        <f>INDEX('AMMO Measures'!G:G,MATCH($A9,'AMMO Measures'!$A:$A,0))</f>
        <v>Inverter-driven DHP of 1.0 ton or greater heating capacity must be installed in the main living area of a house heated with zonal electric heat.</v>
      </c>
      <c r="L9" s="24">
        <v>2023</v>
      </c>
      <c r="M9" s="493">
        <f>GETPIVOTDATA("Units",'AMMO Units'!$A$3,"Year",$L9,"Measure Index",$A9,"Savings Category","Regional_Market_2021PP")</f>
        <v>19459.24548397</v>
      </c>
      <c r="N9" s="494">
        <f>GETPIVOTDATA("Units",'AMMO Units'!$A$3,"Year",$L9,"Measure Index",$A9,"Savings Category","Local_Incentives_2021PP")</f>
        <v>7711.8480144200003</v>
      </c>
      <c r="O9" s="2591"/>
      <c r="P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0.14083761094341332</v>
      </c>
      <c r="Q9" s="494">
        <f>GETPIVOTDATA("Savings Rate",'AMMO Savings Rates'!$A$3,"Year",$L9,"Measure Index",$A9,"Savings Rate Type","Savings_Rate_2021PP")</f>
        <v>1549.82844161</v>
      </c>
      <c r="R9" s="70" t="s">
        <v>601</v>
      </c>
      <c r="S9" s="359">
        <f t="shared" si="5"/>
        <v>0.48486871889137712</v>
      </c>
      <c r="T9" s="1712">
        <f t="shared" si="6"/>
        <v>0.19215718667597442</v>
      </c>
      <c r="U9" s="1714">
        <f t="shared" si="8"/>
        <v>0.29271153221540269</v>
      </c>
      <c r="V9" s="336">
        <f t="shared" si="4"/>
        <v>1.3643882865435757</v>
      </c>
    </row>
    <row r="10" spans="1:22" ht="38.25">
      <c r="A10" s="272" t="s">
        <v>52</v>
      </c>
      <c r="B10" s="311" t="str">
        <f t="shared" si="0"/>
        <v>RES_200804</v>
      </c>
      <c r="C10" s="311">
        <v>0</v>
      </c>
      <c r="D10" s="311">
        <v>0</v>
      </c>
      <c r="E10" s="311">
        <f t="shared" si="1"/>
        <v>1</v>
      </c>
      <c r="F10" s="311">
        <v>1</v>
      </c>
      <c r="G10" s="312" t="b">
        <v>1</v>
      </c>
      <c r="H10" s="348" t="str">
        <f t="shared" si="7"/>
        <v>Residential</v>
      </c>
      <c r="I10" s="314" t="str">
        <f>INDEX('AMMO Units'!B:B,MATCH($A10,'AMMO Units'!$E:$E,0))</f>
        <v>Ductless Heat Pumps</v>
      </c>
      <c r="J10" s="314" t="str">
        <f>INDEX('AMMO Units'!C:C,MATCH($A10,'AMMO Units'!$E:$E,0))</f>
        <v>DHP FAF</v>
      </c>
      <c r="K10" s="314" t="str">
        <f>INDEX('AMMO Measures'!G:G,MATCH($A10,'AMMO Measures'!$A:$A,0))</f>
        <v>Install a 9.5 HSPF or better DHP, with nominal tonnage ≥ 3/4 ton in the main living area of a house with permanently installed electric forced air furnace space heat.</v>
      </c>
      <c r="L10" s="24">
        <v>2023</v>
      </c>
      <c r="M10" s="493">
        <f>GETPIVOTDATA("Units",'AMMO Units'!$A$3,"Year",$L10,"Measure Index",$A10,"Savings Category","Regional_Market_2021PP")</f>
        <v>2688.6905338500001</v>
      </c>
      <c r="N10" s="494">
        <f>GETPIVOTDATA("Units",'AMMO Units'!$A$3,"Year",$L10,"Measure Index",$A10,"Savings Category","Local_Incentives_2021PP")</f>
        <v>1098.8998015</v>
      </c>
      <c r="O10" s="2591"/>
      <c r="P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0.14197151029505414</v>
      </c>
      <c r="Q10" s="494">
        <f>GETPIVOTDATA("Savings Rate",'AMMO Savings Rates'!$A$3,"Year",$L10,"Measure Index",$A10,"Savings Rate Type","Savings_Rate_2021PP")</f>
        <v>2479.0628890399998</v>
      </c>
      <c r="R10" s="70" t="s">
        <v>601</v>
      </c>
      <c r="S10" s="359">
        <f t="shared" si="5"/>
        <v>0.10802529438232374</v>
      </c>
      <c r="T10" s="1712">
        <f t="shared" si="6"/>
        <v>4.4151222708301942E-2</v>
      </c>
      <c r="U10" s="1714">
        <f t="shared" si="8"/>
        <v>6.3874071674021787E-2</v>
      </c>
      <c r="V10" s="336">
        <f t="shared" si="4"/>
        <v>0.31098649733699452</v>
      </c>
    </row>
    <row r="11" spans="1:22" ht="38.25">
      <c r="A11" s="272" t="s">
        <v>53</v>
      </c>
      <c r="B11" s="311" t="str">
        <f t="shared" si="0"/>
        <v>RES_200804</v>
      </c>
      <c r="C11" s="311">
        <v>0</v>
      </c>
      <c r="D11" s="311">
        <v>0</v>
      </c>
      <c r="E11" s="311">
        <f t="shared" si="1"/>
        <v>1</v>
      </c>
      <c r="F11" s="311">
        <v>1</v>
      </c>
      <c r="G11" s="312" t="b">
        <v>1</v>
      </c>
      <c r="H11" s="348" t="str">
        <f t="shared" si="7"/>
        <v>Residential</v>
      </c>
      <c r="I11" s="314" t="str">
        <f>INDEX('AMMO Units'!B:B,MATCH($A11,'AMMO Units'!$E:$E,0))</f>
        <v>Ductless Heat Pumps</v>
      </c>
      <c r="J11" s="314" t="str">
        <f>INDEX('AMMO Units'!C:C,MATCH($A11,'AMMO Units'!$E:$E,0))</f>
        <v>DHP MH FAF</v>
      </c>
      <c r="K11" s="314" t="str">
        <f>INDEX('AMMO Measures'!G:G,MATCH($A11,'AMMO Measures'!$A:$A,0))</f>
        <v>Install a 9.5 HSPF or better DHP, with nominal tonnage ≥ 3/4 ton in the main living area of a house with permanently installed electric forced air furnace space heat.</v>
      </c>
      <c r="L11" s="24">
        <v>2023</v>
      </c>
      <c r="M11" s="493">
        <f>GETPIVOTDATA("Units",'AMMO Units'!$A$3,"Year",$L11,"Measure Index",$A11,"Savings Category","Regional_Market_2021PP")</f>
        <v>2384.4827317899999</v>
      </c>
      <c r="N11" s="494">
        <f>GETPIVOTDATA("Units",'AMMO Units'!$A$3,"Year",$L11,"Measure Index",$A11,"Savings Category","Local_Incentives_2021PP")</f>
        <v>974.56645443000002</v>
      </c>
      <c r="O11" s="2591"/>
      <c r="P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0.14198393781616056</v>
      </c>
      <c r="Q11" s="494">
        <f>GETPIVOTDATA("Savings Rate",'AMMO Savings Rates'!$A$3,"Year",$L11,"Measure Index",$A11,"Savings Rate Type","Savings_Rate_2021PP")</f>
        <v>2847.95602289</v>
      </c>
      <c r="R11" s="70" t="s">
        <v>601</v>
      </c>
      <c r="S11" s="359">
        <f t="shared" ref="S11:S13" si="9">(M11)*P11*Q11/8760000</f>
        <v>0.11006837913770261</v>
      </c>
      <c r="T11" s="1712">
        <f t="shared" ref="T11:T13" si="10">IFERROR((N11)*P11*Q11/8760/1000,0)</f>
        <v>4.4986255748877831E-2</v>
      </c>
      <c r="U11" s="1714">
        <f t="shared" ref="U11:U13" si="11">S11-T11</f>
        <v>6.508212338882477E-2</v>
      </c>
      <c r="V11" s="336">
        <f t="shared" si="4"/>
        <v>0.31684045703201724</v>
      </c>
    </row>
    <row r="12" spans="1:22" ht="25.5" hidden="1">
      <c r="A12" s="272" t="s">
        <v>51</v>
      </c>
      <c r="B12" s="311" t="str">
        <f t="shared" ref="B12:B14" si="12">LEFT(A12,10)</f>
        <v>RES_200804</v>
      </c>
      <c r="C12" s="311">
        <v>0</v>
      </c>
      <c r="D12" s="311">
        <v>0</v>
      </c>
      <c r="E12" s="311">
        <f t="shared" si="1"/>
        <v>1</v>
      </c>
      <c r="F12" s="311">
        <v>1</v>
      </c>
      <c r="G12" s="312" t="b">
        <v>1</v>
      </c>
      <c r="H12" s="348" t="str">
        <f t="shared" ref="H12:H14" si="13">IF(LEFT(A12,3)="Res","Residential",IF(LEFT(A12,3)="Ind","industrial",IF(LEFT(A12,3)="Com","Commercial",IF(LEFT(A12,3)="AGR","Agriculture",""))))</f>
        <v>Residential</v>
      </c>
      <c r="I12" s="314" t="str">
        <f>INDEX('AMMO Units'!B:B,MATCH($A12,'AMMO Units'!$E:$E,0))</f>
        <v>Ductless Heat Pumps</v>
      </c>
      <c r="J12" s="314" t="str">
        <f>INDEX('AMMO Units'!C:C,MATCH($A12,'AMMO Units'!$E:$E,0))</f>
        <v>DHP Zonal</v>
      </c>
      <c r="K12" s="314" t="str">
        <f>INDEX('AMMO Measures'!G:G,MATCH($A12,'AMMO Measures'!$A:$A,0))</f>
        <v>Inverter-driven DHP of 1.0 ton or greater heating capacity must be installed in the main living area of a house heated with zonal electric heat.</v>
      </c>
      <c r="L12" s="24">
        <v>2024</v>
      </c>
      <c r="M12" s="493">
        <f>GETPIVOTDATA("Units",'AMMO Units'!$A$3,"Year",$L12,"Measure Index",$A12,"Savings Category","Regional_Market_2021PP")</f>
        <v>23315.655483969997</v>
      </c>
      <c r="N12" s="494">
        <f>GETPIVOTDATA("Units",'AMMO Units'!$A$3,"Year",$L12,"Measure Index",$A12,"Savings Category","Local_Incentives_2021PP")</f>
        <v>6940.66321298</v>
      </c>
      <c r="O12" s="2591"/>
      <c r="P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0.13469504916483699</v>
      </c>
      <c r="Q12" s="494">
        <f>GETPIVOTDATA("Savings Rate",'AMMO Savings Rates'!$A$3,"Year",$L12,"Measure Index",$A12,"Savings Rate Type","Savings_Rate_2021PP")</f>
        <v>1549.82844161</v>
      </c>
      <c r="R12" s="70" t="s">
        <v>601</v>
      </c>
      <c r="S12" s="359">
        <f t="shared" si="9"/>
        <v>0.55562116791909477</v>
      </c>
      <c r="T12" s="1712">
        <f t="shared" si="10"/>
        <v>0.1653987126023708</v>
      </c>
      <c r="U12" s="1714">
        <f t="shared" si="11"/>
        <v>0.39022245531672395</v>
      </c>
      <c r="V12" s="336"/>
    </row>
    <row r="13" spans="1:22" ht="38.25" hidden="1">
      <c r="A13" s="272" t="s">
        <v>52</v>
      </c>
      <c r="B13" s="311" t="str">
        <f t="shared" si="12"/>
        <v>RES_200804</v>
      </c>
      <c r="C13" s="311">
        <v>0</v>
      </c>
      <c r="D13" s="311">
        <v>0</v>
      </c>
      <c r="E13" s="311">
        <f t="shared" si="1"/>
        <v>1</v>
      </c>
      <c r="F13" s="311">
        <v>1</v>
      </c>
      <c r="G13" s="312" t="b">
        <v>1</v>
      </c>
      <c r="H13" s="348" t="str">
        <f t="shared" si="13"/>
        <v>Residential</v>
      </c>
      <c r="I13" s="314" t="str">
        <f>INDEX('AMMO Units'!B:B,MATCH($A13,'AMMO Units'!$E:$E,0))</f>
        <v>Ductless Heat Pumps</v>
      </c>
      <c r="J13" s="314" t="str">
        <f>INDEX('AMMO Units'!C:C,MATCH($A13,'AMMO Units'!$E:$E,0))</f>
        <v>DHP FAF</v>
      </c>
      <c r="K13" s="314" t="str">
        <f>INDEX('AMMO Measures'!G:G,MATCH($A13,'AMMO Measures'!$A:$A,0))</f>
        <v>Install a 9.5 HSPF or better DHP, with nominal tonnage ≥ 3/4 ton in the main living area of a house with permanently installed electric forced air furnace space heat.</v>
      </c>
      <c r="L13" s="24">
        <v>2024</v>
      </c>
      <c r="M13" s="493">
        <f>GETPIVOTDATA("Units",'AMMO Units'!$A$3,"Year",$L13,"Measure Index",$A13,"Savings Category","Regional_Market_2021PP")</f>
        <v>2348.9729322899998</v>
      </c>
      <c r="N13" s="494">
        <f>GETPIVOTDATA("Units",'AMMO Units'!$A$3,"Year",$L13,"Measure Index",$A13,"Savings Category","Local_Incentives_2021PP")</f>
        <v>864.04785931000004</v>
      </c>
      <c r="O13" s="2591"/>
      <c r="P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0.13970099521975535</v>
      </c>
      <c r="Q13" s="494">
        <f>GETPIVOTDATA("Savings Rate",'AMMO Savings Rates'!$A$3,"Year",$L13,"Measure Index",$A13,"Savings Rate Type","Savings_Rate_2021PP")</f>
        <v>2479.0628890399998</v>
      </c>
      <c r="R13" s="70" t="s">
        <v>601</v>
      </c>
      <c r="S13" s="359">
        <f t="shared" si="9"/>
        <v>9.2866900372130287E-2</v>
      </c>
      <c r="T13" s="1712">
        <f t="shared" si="10"/>
        <v>3.4160226098930532E-2</v>
      </c>
      <c r="U13" s="1714">
        <f t="shared" si="11"/>
        <v>5.8706674273199755E-2</v>
      </c>
      <c r="V13" s="336"/>
    </row>
    <row r="14" spans="1:22" ht="38.25" hidden="1">
      <c r="A14" s="272" t="s">
        <v>53</v>
      </c>
      <c r="B14" s="311" t="str">
        <f t="shared" si="12"/>
        <v>RES_200804</v>
      </c>
      <c r="C14" s="311">
        <v>0</v>
      </c>
      <c r="D14" s="311">
        <v>0</v>
      </c>
      <c r="E14" s="311">
        <f t="shared" si="1"/>
        <v>1</v>
      </c>
      <c r="F14" s="311">
        <v>1</v>
      </c>
      <c r="G14" s="312" t="b">
        <v>1</v>
      </c>
      <c r="H14" s="348" t="str">
        <f t="shared" si="13"/>
        <v>Residential</v>
      </c>
      <c r="I14" s="314" t="str">
        <f>INDEX('AMMO Units'!B:B,MATCH($A14,'AMMO Units'!$E:$E,0))</f>
        <v>Ductless Heat Pumps</v>
      </c>
      <c r="J14" s="314" t="str">
        <f>INDEX('AMMO Units'!C:C,MATCH($A14,'AMMO Units'!$E:$E,0))</f>
        <v>DHP MH FAF</v>
      </c>
      <c r="K14" s="314" t="str">
        <f>INDEX('AMMO Measures'!G:G,MATCH($A14,'AMMO Measures'!$A:$A,0))</f>
        <v>Install a 9.5 HSPF or better DHP, with nominal tonnage ≥ 3/4 ton in the main living area of a house with permanently installed electric forced air furnace space heat.</v>
      </c>
      <c r="L14" s="24">
        <v>2024</v>
      </c>
      <c r="M14" s="493">
        <f>GETPIVOTDATA("Units",'AMMO Units'!$A$3,"Year",$L14,"Measure Index",$A14,"Savings Category","Regional_Market_2021PP")</f>
        <v>2482.0049021899999</v>
      </c>
      <c r="N14" s="494">
        <f>GETPIVOTDATA("Units",'AMMO Units'!$A$3,"Year",$L14,"Measure Index",$A14,"Savings Category","Local_Incentives_2021PP")</f>
        <v>912.98243290000005</v>
      </c>
      <c r="O14" s="2591"/>
      <c r="P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0.14166051638364752</v>
      </c>
      <c r="Q14" s="494">
        <f>GETPIVOTDATA("Savings Rate",'AMMO Savings Rates'!$A$3,"Year",$L14,"Measure Index",$A14,"Savings Rate Type","Savings_Rate_2021PP")</f>
        <v>2847.95602289</v>
      </c>
      <c r="R14" s="70" t="s">
        <v>601</v>
      </c>
      <c r="S14" s="359">
        <f t="shared" ref="S14:S17" si="14">(M14)*P14*Q14/8760000</f>
        <v>0.11430905334246734</v>
      </c>
      <c r="T14" s="1712">
        <f t="shared" ref="T14:T17" si="15">IFERROR((N14)*P14*Q14/8760/1000,0)</f>
        <v>4.2047522763157173E-2</v>
      </c>
      <c r="U14" s="1714">
        <f t="shared" ref="U14:U17" si="16">S14-T14</f>
        <v>7.2261530579310174E-2</v>
      </c>
      <c r="V14" s="336"/>
    </row>
    <row r="15" spans="1:22" ht="25.5" hidden="1">
      <c r="A15" s="272" t="s">
        <v>51</v>
      </c>
      <c r="B15" s="311" t="s">
        <v>249</v>
      </c>
      <c r="C15" s="311">
        <v>0</v>
      </c>
      <c r="D15" s="311">
        <v>0</v>
      </c>
      <c r="E15" s="311">
        <v>1</v>
      </c>
      <c r="F15" s="311">
        <v>1</v>
      </c>
      <c r="G15" s="311" t="b">
        <v>1</v>
      </c>
      <c r="H15" s="348" t="s">
        <v>236</v>
      </c>
      <c r="I15" s="314" t="s">
        <v>150</v>
      </c>
      <c r="J15" s="314" t="s">
        <v>290</v>
      </c>
      <c r="K15" s="314" t="s">
        <v>1978</v>
      </c>
      <c r="L15" s="24">
        <v>2025</v>
      </c>
      <c r="M15" s="493">
        <f>GETPIVOTDATA("Units",'AMMO Units'!$A$3,"Year",$L15,"Measure Index",$A15,"Savings Category","Regional_Market_2021PP")</f>
        <v>24752.02623639</v>
      </c>
      <c r="N15" s="494">
        <f>GETPIVOTDATA("Units",'AMMO Units'!$A$3,"Year",$L15,"Measure Index",$A15,"Savings Category","Local_Incentives_2021PP")</f>
        <v>0</v>
      </c>
      <c r="O15" s="2591"/>
      <c r="P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0.14096945810591865</v>
      </c>
      <c r="Q15" s="494">
        <f>GETPIVOTDATA("Savings Rate",'AMMO Savings Rates'!$A$3,"Year",$L15,"Measure Index",$A15,"Savings Rate Type","Savings_Rate_2021PP")</f>
        <v>1549.82844161</v>
      </c>
      <c r="R15" s="70" t="s">
        <v>601</v>
      </c>
      <c r="S15" s="359">
        <f t="shared" si="14"/>
        <v>0.61732705016181055</v>
      </c>
      <c r="T15" s="1712">
        <f t="shared" si="15"/>
        <v>0</v>
      </c>
      <c r="U15" s="1714">
        <f t="shared" si="16"/>
        <v>0.61732705016181055</v>
      </c>
      <c r="V15" s="336"/>
    </row>
    <row r="16" spans="1:22" ht="38.25" hidden="1">
      <c r="A16" s="272" t="s">
        <v>52</v>
      </c>
      <c r="B16" s="311" t="s">
        <v>249</v>
      </c>
      <c r="C16" s="311">
        <v>0</v>
      </c>
      <c r="D16" s="311">
        <v>0</v>
      </c>
      <c r="E16" s="311">
        <v>1</v>
      </c>
      <c r="F16" s="311">
        <v>1</v>
      </c>
      <c r="G16" s="311" t="b">
        <v>1</v>
      </c>
      <c r="H16" s="348" t="s">
        <v>236</v>
      </c>
      <c r="I16" s="314" t="s">
        <v>150</v>
      </c>
      <c r="J16" s="314" t="s">
        <v>288</v>
      </c>
      <c r="K16" s="314" t="s">
        <v>1977</v>
      </c>
      <c r="L16" s="24">
        <v>2025</v>
      </c>
      <c r="M16" s="493">
        <f>GETPIVOTDATA("Units",'AMMO Units'!$A$3,"Year",$L16,"Measure Index",$A16,"Savings Category","Regional_Market_2021PP")</f>
        <v>2281.4815930499999</v>
      </c>
      <c r="N16" s="494">
        <f>GETPIVOTDATA("Units",'AMMO Units'!$A$3,"Year",$L16,"Measure Index",$A16,"Savings Category","Local_Incentives_2021PP")</f>
        <v>456.29631861000001</v>
      </c>
      <c r="O16" s="2591"/>
      <c r="P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0.14183344156658653</v>
      </c>
      <c r="Q16" s="494">
        <f>GETPIVOTDATA("Savings Rate",'AMMO Savings Rates'!$A$3,"Year",$L16,"Measure Index",$A16,"Savings Rate Type","Savings_Rate_2021PP")</f>
        <v>2479.0628890399998</v>
      </c>
      <c r="R16" s="70" t="s">
        <v>601</v>
      </c>
      <c r="S16" s="359">
        <f t="shared" si="14"/>
        <v>9.1575447227285028E-2</v>
      </c>
      <c r="T16" s="1712">
        <f t="shared" si="15"/>
        <v>1.8315089445457004E-2</v>
      </c>
      <c r="U16" s="1714">
        <f t="shared" si="16"/>
        <v>7.3260357781828017E-2</v>
      </c>
      <c r="V16" s="336"/>
    </row>
    <row r="17" spans="1:23" ht="38.25" hidden="1">
      <c r="A17" s="272" t="s">
        <v>53</v>
      </c>
      <c r="B17" s="311" t="s">
        <v>249</v>
      </c>
      <c r="C17" s="311">
        <v>0</v>
      </c>
      <c r="D17" s="311">
        <v>0</v>
      </c>
      <c r="E17" s="311">
        <v>1</v>
      </c>
      <c r="F17" s="311">
        <v>1</v>
      </c>
      <c r="G17" s="311" t="b">
        <v>1</v>
      </c>
      <c r="H17" s="1969" t="s">
        <v>236</v>
      </c>
      <c r="I17" s="349" t="s">
        <v>150</v>
      </c>
      <c r="J17" s="349" t="s">
        <v>289</v>
      </c>
      <c r="K17" s="349" t="s">
        <v>1977</v>
      </c>
      <c r="L17" s="172">
        <v>2025</v>
      </c>
      <c r="M17" s="1970">
        <f>GETPIVOTDATA("Units",'AMMO Units'!$A$3,"Year",$L17,"Measure Index",$A17,"Savings Category","Regional_Market_2021PP")</f>
        <v>2486.0049021899999</v>
      </c>
      <c r="N17" s="1971">
        <f>GETPIVOTDATA("Units",'AMMO Units'!$A$3,"Year",$L17,"Measure Index",$A17,"Savings Category","Local_Incentives_2021PP")</f>
        <v>621.50122554999996</v>
      </c>
      <c r="O17" s="2592"/>
      <c r="P17" s="1972">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0.14195816581057086</v>
      </c>
      <c r="Q17" s="1971">
        <f>GETPIVOTDATA("Savings Rate",'AMMO Savings Rates'!$A$3,"Year",$L17,"Measure Index",$A17,"Savings Rate Type","Savings_Rate_2021PP")</f>
        <v>2847.95602289</v>
      </c>
      <c r="R17" s="1973" t="s">
        <v>601</v>
      </c>
      <c r="S17" s="1974">
        <f t="shared" si="14"/>
        <v>0.11473384093830162</v>
      </c>
      <c r="T17" s="1975">
        <f t="shared" si="15"/>
        <v>2.8683460234690789E-2</v>
      </c>
      <c r="U17" s="1976">
        <f t="shared" si="16"/>
        <v>8.6050380703610832E-2</v>
      </c>
      <c r="V17" s="336"/>
    </row>
    <row r="18" spans="1:23" s="590" customFormat="1" hidden="1">
      <c r="A18" s="1887"/>
      <c r="B18" s="1888"/>
      <c r="C18" s="1888"/>
      <c r="D18" s="1888"/>
      <c r="E18" s="1888"/>
      <c r="F18" s="1888"/>
      <c r="G18" s="1888"/>
      <c r="H18" s="735"/>
      <c r="I18" s="735"/>
      <c r="J18" s="735"/>
      <c r="K18" s="735"/>
      <c r="L18" s="1388"/>
      <c r="M18" s="1389"/>
      <c r="N18" s="1389"/>
      <c r="O18" s="1889"/>
      <c r="P18" s="1391"/>
      <c r="Q18" s="1389"/>
      <c r="R18" s="1891"/>
      <c r="S18" s="1892"/>
      <c r="T18" s="1892"/>
      <c r="U18" s="1892"/>
      <c r="V18" s="1890"/>
    </row>
    <row r="19" spans="1:23" ht="12.75" hidden="1" customHeight="1">
      <c r="F19" s="311"/>
      <c r="H19" s="495" t="s">
        <v>840</v>
      </c>
      <c r="I19" s="496"/>
      <c r="J19" s="496"/>
      <c r="K19" s="496"/>
      <c r="L19" s="76"/>
      <c r="P19" s="274"/>
      <c r="U19" s="276"/>
      <c r="V19" s="274"/>
    </row>
    <row r="20" spans="1:23" ht="57.75" hidden="1" customHeight="1">
      <c r="F20" s="311"/>
      <c r="H20" s="2574" t="s">
        <v>2596</v>
      </c>
      <c r="I20" s="2575"/>
      <c r="J20" s="2575"/>
      <c r="K20" s="2575"/>
      <c r="L20" s="2575"/>
      <c r="M20" s="2575"/>
      <c r="N20" s="2575"/>
      <c r="O20" s="2575"/>
      <c r="P20" s="2575"/>
      <c r="Q20" s="2575"/>
      <c r="R20" s="2575"/>
      <c r="S20" s="2575"/>
      <c r="T20" s="2575"/>
      <c r="U20" s="2575"/>
      <c r="V20" s="2576"/>
    </row>
    <row r="22" spans="1:23" ht="18" customHeight="1" thickBot="1">
      <c r="H22" s="1690" t="s">
        <v>598</v>
      </c>
      <c r="I22" s="497"/>
      <c r="J22" s="497"/>
      <c r="K22" s="497"/>
      <c r="L22" s="497"/>
      <c r="M22" s="497"/>
      <c r="N22" s="497"/>
      <c r="O22" s="497"/>
      <c r="P22" s="497"/>
      <c r="Q22" s="497"/>
      <c r="R22" s="497"/>
      <c r="S22" s="497"/>
      <c r="T22" s="497"/>
      <c r="U22" s="497"/>
      <c r="V22" s="497"/>
      <c r="W22" s="497"/>
    </row>
    <row r="23" spans="1:23" ht="12.75" customHeight="1" thickTop="1"/>
    <row r="24" spans="1:23" ht="67.900000000000006" customHeight="1">
      <c r="H24" s="2574" t="s">
        <v>1681</v>
      </c>
      <c r="I24" s="2575"/>
      <c r="J24" s="2575"/>
      <c r="K24" s="2575"/>
      <c r="L24" s="2575"/>
      <c r="M24" s="2575"/>
      <c r="N24" s="2575"/>
      <c r="O24" s="2575"/>
      <c r="P24" s="2575"/>
      <c r="Q24" s="2575"/>
      <c r="R24" s="2575"/>
      <c r="S24" s="2575"/>
      <c r="T24" s="2575"/>
      <c r="U24" s="2575"/>
      <c r="V24" s="2575"/>
      <c r="W24" s="2576"/>
    </row>
    <row r="26" spans="1:23" ht="12.75" customHeight="1">
      <c r="H26" s="1691" t="s">
        <v>2741</v>
      </c>
      <c r="I26" s="430"/>
      <c r="J26" s="1223">
        <v>2016</v>
      </c>
      <c r="K26" s="1223">
        <v>2017</v>
      </c>
      <c r="L26" s="1223">
        <v>2018</v>
      </c>
      <c r="M26" s="1223">
        <v>2019</v>
      </c>
      <c r="N26" s="1223">
        <v>2020</v>
      </c>
      <c r="O26" s="1223">
        <v>2021</v>
      </c>
      <c r="P26" s="1223">
        <v>2022</v>
      </c>
      <c r="Q26" s="1223">
        <v>2023</v>
      </c>
    </row>
    <row r="27" spans="1:23" ht="12.75" hidden="1" customHeight="1">
      <c r="H27" s="1222" t="s">
        <v>576</v>
      </c>
      <c r="I27" s="1222" t="s">
        <v>577</v>
      </c>
      <c r="M27" s="274"/>
      <c r="N27" s="274"/>
      <c r="O27" s="274"/>
      <c r="P27" s="274"/>
    </row>
    <row r="28" spans="1:23" ht="12.75" hidden="1" customHeight="1">
      <c r="H28" s="1210">
        <v>1</v>
      </c>
      <c r="I28" s="1210">
        <v>1</v>
      </c>
      <c r="J28" s="1228">
        <f t="shared" ref="J28:J36" si="17">SUMIFS($M$60:$M$68,$I$60:$I$68,$H28,$J$60:$J$68,$I28)</f>
        <v>1065.8314771720193</v>
      </c>
      <c r="K28" s="1228">
        <f t="shared" ref="K28:K36" si="18">SUMIFS(J$78:J$86,$H$78:$H$86,$H28,$I$78:$I$86,$I28)*SUMIFS($S$45:$S$53,$H$45:$H$53,$H28,$I$45:$I$53,$I28)*I$91+SUMIFS($M$60:$M$68,$I$60:$I$68,$H28,$J$60:$J$68,$I28)*I$92</f>
        <v>944.56138755534255</v>
      </c>
      <c r="L28" s="1228">
        <f t="shared" ref="L28:L36" si="19">SUMIFS(K$78:K$86,$H$78:$H$86,$H28,$I$78:$I$86,$I28)*SUMIFS($S$45:$S$53,$H$45:$H$53,$H28,$I$45:$I$53,$I28)*J$91+SUMIFS($M$60:$M$68,$I$60:$I$68,$H28,$J$60:$J$68,$I28)*J$92</f>
        <v>934.09499394990826</v>
      </c>
      <c r="M28" s="1228">
        <f t="shared" ref="M28:M36" si="20">SUMIFS(L$78:L$86,$H$78:$H$86,$H28,$I$78:$I$86,$I28)*SUMIFS($S$45:$S$53,$H$45:$H$53,$H28,$I$45:$I$53,$I28)*K$91+SUMIFS($M$60:$M$68,$I$60:$I$68,$H28,$J$60:$J$68,$I28)*K$92</f>
        <v>907.73962110315119</v>
      </c>
      <c r="N28" s="1228">
        <f t="shared" ref="N28:N36" si="21">SUMIFS(M$78:M$86,$H$78:$H$86,$H28,$I$78:$I$86,$I28)*SUMIFS($S$45:$S$53,$H$45:$H$53,$H28,$I$45:$I$53,$I28)*L$91+SUMIFS($M$60:$M$68,$I$60:$I$68,$H28,$J$60:$J$68,$I28)*L$92</f>
        <v>864.69283799279378</v>
      </c>
      <c r="O28" s="1228">
        <f t="shared" ref="O28:O36" si="22">SUMIFS(N$78:N$86,$H$78:$H$86,$H28,$I$78:$I$86,$I28)*SUMIFS($S$45:$S$53,$H$45:$H$53,$H28,$I$45:$I$53,$I28)*M$91+SUMIFS($M$60:$M$68,$I$60:$I$68,$H28,$J$60:$J$68,$I28)*M$92</f>
        <v>864.69283799279378</v>
      </c>
      <c r="P28" s="1228">
        <f t="shared" ref="P28:P36" si="23">SUMIFS(O$78:O$86,$H$78:$H$86,$H28,$I$78:$I$86,$I28)*SUMIFS($S$45:$S$53,$H$45:$H$53,$H28,$I$45:$I$53,$I28)*N$91+SUMIFS($M$60:$M$68,$I$60:$I$68,$H28,$J$60:$J$68,$I28)*N$92</f>
        <v>864.69283799279378</v>
      </c>
      <c r="Q28" s="1228">
        <f t="shared" ref="Q28:Q36" si="24">SUMIFS(P$78:P$86,$H$78:$H$86,$H28,$I$78:$I$86,$I28)*SUMIFS($S$45:$S$53,$H$45:$H$53,$H28,$I$45:$I$53,$I28)*O$91+SUMIFS($M$60:$M$68,$I$60:$I$68,$H28,$J$60:$J$68,$I28)*O$92</f>
        <v>864.69283799279378</v>
      </c>
    </row>
    <row r="29" spans="1:23" ht="12.75" hidden="1" customHeight="1">
      <c r="H29" s="1210">
        <v>1</v>
      </c>
      <c r="I29" s="1210">
        <v>2</v>
      </c>
      <c r="J29" s="1228">
        <f t="shared" si="17"/>
        <v>72.978249631807373</v>
      </c>
      <c r="K29" s="1228">
        <f t="shared" si="18"/>
        <v>320.31354477257537</v>
      </c>
      <c r="L29" s="1228">
        <f t="shared" si="19"/>
        <v>252.30853174495442</v>
      </c>
      <c r="M29" s="1228">
        <f t="shared" si="20"/>
        <v>221.11825963572787</v>
      </c>
      <c r="N29" s="1228">
        <f t="shared" si="21"/>
        <v>284.61852455408803</v>
      </c>
      <c r="O29" s="1228">
        <f t="shared" si="22"/>
        <v>284.61852455408803</v>
      </c>
      <c r="P29" s="1228">
        <f t="shared" si="23"/>
        <v>284.61852455408803</v>
      </c>
      <c r="Q29" s="1228">
        <f t="shared" si="24"/>
        <v>284.61852455408803</v>
      </c>
    </row>
    <row r="30" spans="1:23" ht="12.75" hidden="1" customHeight="1">
      <c r="H30" s="1210">
        <v>1</v>
      </c>
      <c r="I30" s="1210">
        <v>3</v>
      </c>
      <c r="J30" s="1228">
        <f t="shared" si="17"/>
        <v>145.98263438406502</v>
      </c>
      <c r="K30" s="1228">
        <f t="shared" si="18"/>
        <v>144.2025910315015</v>
      </c>
      <c r="L30" s="1228">
        <f t="shared" si="19"/>
        <v>177.07774026056063</v>
      </c>
      <c r="M30" s="1228">
        <f t="shared" si="20"/>
        <v>184.1354650091437</v>
      </c>
      <c r="N30" s="1228">
        <f t="shared" si="21"/>
        <v>203.92216950849848</v>
      </c>
      <c r="O30" s="1228">
        <f t="shared" si="22"/>
        <v>203.92216950849848</v>
      </c>
      <c r="P30" s="1228">
        <f t="shared" si="23"/>
        <v>203.92216950849848</v>
      </c>
      <c r="Q30" s="1228">
        <f t="shared" si="24"/>
        <v>203.92216950849848</v>
      </c>
    </row>
    <row r="31" spans="1:23" ht="12.75" hidden="1" customHeight="1">
      <c r="H31" s="1212">
        <v>2</v>
      </c>
      <c r="I31" s="1212">
        <v>1</v>
      </c>
      <c r="J31" s="1228">
        <f t="shared" si="17"/>
        <v>36.945699356558904</v>
      </c>
      <c r="K31" s="1228">
        <f t="shared" si="18"/>
        <v>27.182321157018578</v>
      </c>
      <c r="L31" s="1228">
        <f t="shared" si="19"/>
        <v>31.773864843476858</v>
      </c>
      <c r="M31" s="1228">
        <f t="shared" si="20"/>
        <v>35.789565321309695</v>
      </c>
      <c r="N31" s="1228">
        <f t="shared" si="21"/>
        <v>32.203568441640726</v>
      </c>
      <c r="O31" s="1228">
        <f t="shared" si="22"/>
        <v>32.203568441640726</v>
      </c>
      <c r="P31" s="1228">
        <f t="shared" si="23"/>
        <v>32.203568441640726</v>
      </c>
      <c r="Q31" s="1228">
        <f t="shared" si="24"/>
        <v>32.203568441640726</v>
      </c>
    </row>
    <row r="32" spans="1:23" ht="12.75" hidden="1" customHeight="1">
      <c r="H32" s="1212">
        <v>2</v>
      </c>
      <c r="I32" s="1212">
        <v>2</v>
      </c>
      <c r="J32" s="1228">
        <f t="shared" si="17"/>
        <v>136.9607220375529</v>
      </c>
      <c r="K32" s="1228">
        <f t="shared" si="18"/>
        <v>74.061739682528795</v>
      </c>
      <c r="L32" s="1228">
        <f t="shared" si="19"/>
        <v>80.73307199861361</v>
      </c>
      <c r="M32" s="1228">
        <f t="shared" si="20"/>
        <v>91.773070680592298</v>
      </c>
      <c r="N32" s="1228">
        <f t="shared" si="21"/>
        <v>83.352821233363841</v>
      </c>
      <c r="O32" s="1228">
        <f t="shared" si="22"/>
        <v>83.352821233363841</v>
      </c>
      <c r="P32" s="1228">
        <f t="shared" si="23"/>
        <v>83.352821233363841</v>
      </c>
      <c r="Q32" s="1228">
        <f t="shared" si="24"/>
        <v>83.352821233363841</v>
      </c>
    </row>
    <row r="33" spans="8:37" ht="12.75" hidden="1" customHeight="1">
      <c r="H33" s="1212">
        <v>2</v>
      </c>
      <c r="I33" s="1212">
        <v>3</v>
      </c>
      <c r="J33" s="1228">
        <f t="shared" si="17"/>
        <v>0</v>
      </c>
      <c r="K33" s="1228">
        <f t="shared" si="18"/>
        <v>19.483640441598961</v>
      </c>
      <c r="L33" s="1228">
        <f t="shared" si="19"/>
        <v>21.824022798297555</v>
      </c>
      <c r="M33" s="1228">
        <f t="shared" si="20"/>
        <v>25.514706687959183</v>
      </c>
      <c r="N33" s="1228">
        <f t="shared" si="21"/>
        <v>28.014122471798622</v>
      </c>
      <c r="O33" s="1228">
        <f t="shared" si="22"/>
        <v>28.014122471798622</v>
      </c>
      <c r="P33" s="1228">
        <f t="shared" si="23"/>
        <v>28.014122471798622</v>
      </c>
      <c r="Q33" s="1228">
        <f t="shared" si="24"/>
        <v>28.014122471798622</v>
      </c>
    </row>
    <row r="34" spans="8:37" ht="12.75" hidden="1" customHeight="1">
      <c r="H34" s="1210">
        <v>3</v>
      </c>
      <c r="I34" s="1210">
        <v>1</v>
      </c>
      <c r="J34" s="1228">
        <f t="shared" si="17"/>
        <v>21.492461181557914</v>
      </c>
      <c r="K34" s="1228">
        <f t="shared" si="18"/>
        <v>13.62405061102627</v>
      </c>
      <c r="L34" s="1228">
        <f t="shared" si="19"/>
        <v>15.951359883493151</v>
      </c>
      <c r="M34" s="1228">
        <f t="shared" si="20"/>
        <v>19.7635166087884</v>
      </c>
      <c r="N34" s="1228">
        <f t="shared" si="21"/>
        <v>17.903386416574445</v>
      </c>
      <c r="O34" s="1228">
        <f t="shared" si="22"/>
        <v>17.903386416574445</v>
      </c>
      <c r="P34" s="1228">
        <f t="shared" si="23"/>
        <v>17.903386416574445</v>
      </c>
      <c r="Q34" s="1228">
        <f t="shared" si="24"/>
        <v>17.903386416574445</v>
      </c>
    </row>
    <row r="35" spans="8:37" ht="12.75" hidden="1" customHeight="1">
      <c r="H35" s="1210">
        <v>3</v>
      </c>
      <c r="I35" s="1210">
        <v>2</v>
      </c>
      <c r="J35" s="1228">
        <f t="shared" si="17"/>
        <v>27.954639217830724</v>
      </c>
      <c r="K35" s="1228">
        <f t="shared" si="18"/>
        <v>28.612425775147862</v>
      </c>
      <c r="L35" s="1228">
        <f t="shared" si="19"/>
        <v>38.989052084896869</v>
      </c>
      <c r="M35" s="1228">
        <f t="shared" si="20"/>
        <v>44.161631673463347</v>
      </c>
      <c r="N35" s="1228">
        <f t="shared" si="21"/>
        <v>36.727228120128416</v>
      </c>
      <c r="O35" s="1228">
        <f t="shared" si="22"/>
        <v>36.727228120128416</v>
      </c>
      <c r="P35" s="1228">
        <f t="shared" si="23"/>
        <v>36.727228120128416</v>
      </c>
      <c r="Q35" s="1228">
        <f t="shared" si="24"/>
        <v>36.727228120128416</v>
      </c>
    </row>
    <row r="36" spans="8:37" ht="12.75" hidden="1" customHeight="1">
      <c r="H36" s="1210">
        <v>3</v>
      </c>
      <c r="I36" s="1210">
        <v>3</v>
      </c>
      <c r="J36" s="1228">
        <f t="shared" si="17"/>
        <v>0</v>
      </c>
      <c r="K36" s="1228">
        <f t="shared" si="18"/>
        <v>0</v>
      </c>
      <c r="L36" s="1228">
        <f t="shared" si="19"/>
        <v>0</v>
      </c>
      <c r="M36" s="1228">
        <f t="shared" si="20"/>
        <v>0</v>
      </c>
      <c r="N36" s="1228">
        <f t="shared" si="21"/>
        <v>0</v>
      </c>
      <c r="O36" s="1228">
        <f t="shared" si="22"/>
        <v>0</v>
      </c>
      <c r="P36" s="1228">
        <f t="shared" si="23"/>
        <v>0</v>
      </c>
      <c r="Q36" s="1228">
        <f t="shared" si="24"/>
        <v>0</v>
      </c>
    </row>
    <row r="37" spans="8:37" ht="12.75" hidden="1" customHeight="1">
      <c r="H37" s="430"/>
      <c r="I37" s="430"/>
      <c r="J37" s="430"/>
      <c r="K37" s="430"/>
      <c r="L37" s="430"/>
      <c r="M37" s="430"/>
      <c r="N37" s="430"/>
      <c r="O37" s="430"/>
      <c r="P37" s="1376"/>
      <c r="Q37" s="1376"/>
      <c r="R37" s="430"/>
      <c r="S37" s="430"/>
      <c r="T37" s="275"/>
    </row>
    <row r="38" spans="8:37" ht="12.75" customHeight="1">
      <c r="H38" s="1237" t="s">
        <v>2742</v>
      </c>
      <c r="I38" s="1237"/>
      <c r="J38" s="1706">
        <f>SUM(J28:J36)</f>
        <v>1508.1458829813919</v>
      </c>
      <c r="K38" s="1706">
        <f t="shared" ref="K38:O38" si="25">SUM(K28:K36)</f>
        <v>1572.0417010267397</v>
      </c>
      <c r="L38" s="1706">
        <f t="shared" si="25"/>
        <v>1552.7526375642015</v>
      </c>
      <c r="M38" s="1706">
        <f t="shared" si="25"/>
        <v>1529.9958367201357</v>
      </c>
      <c r="N38" s="1706">
        <f t="shared" si="25"/>
        <v>1551.4346587388864</v>
      </c>
      <c r="O38" s="1706">
        <f t="shared" si="25"/>
        <v>1551.4346587388864</v>
      </c>
      <c r="P38" s="1706">
        <f t="shared" ref="P38:Q38" si="26">SUM(P28:P36)</f>
        <v>1551.4346587388864</v>
      </c>
      <c r="Q38" s="1706">
        <f t="shared" si="26"/>
        <v>1551.4346587388864</v>
      </c>
      <c r="R38" s="430"/>
      <c r="S38" s="430"/>
      <c r="T38" s="430"/>
      <c r="U38" s="430"/>
      <c r="V38" s="430"/>
      <c r="W38" s="430"/>
      <c r="X38" s="430"/>
      <c r="Y38" s="430"/>
      <c r="Z38" s="430"/>
      <c r="AA38" s="430"/>
      <c r="AB38" s="430"/>
      <c r="AC38" s="430"/>
      <c r="AD38" s="430"/>
      <c r="AE38" s="430"/>
      <c r="AF38" s="430"/>
      <c r="AG38" s="430"/>
      <c r="AH38" s="430"/>
      <c r="AI38" s="430"/>
      <c r="AJ38" s="430"/>
      <c r="AK38" s="430"/>
    </row>
    <row r="39" spans="8:37" customFormat="1" ht="12.75" customHeight="1"/>
    <row r="40" spans="8:37" s="1375" customFormat="1" ht="12.75" customHeight="1"/>
    <row r="41" spans="8:37" s="1375" customFormat="1" ht="12.75" customHeight="1">
      <c r="H41" s="1691" t="s">
        <v>2745</v>
      </c>
    </row>
    <row r="42" spans="8:37" ht="12.75" customHeight="1">
      <c r="H42" s="1204" t="s">
        <v>1462</v>
      </c>
      <c r="I42" s="1204" t="s">
        <v>602</v>
      </c>
      <c r="J42" s="1204" t="s">
        <v>1463</v>
      </c>
      <c r="K42" s="1204"/>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row>
    <row r="43" spans="8:37" ht="12.75" customHeight="1">
      <c r="H43" s="430"/>
      <c r="I43" s="430"/>
      <c r="J43" s="430"/>
      <c r="K43" s="430"/>
      <c r="L43" s="430"/>
      <c r="M43" s="430"/>
      <c r="N43" s="430"/>
      <c r="O43" s="430"/>
      <c r="P43" s="430"/>
      <c r="Q43" s="430"/>
      <c r="R43" s="430"/>
      <c r="S43" s="430"/>
      <c r="T43" s="633"/>
      <c r="U43" s="633"/>
      <c r="V43" s="633"/>
      <c r="W43" s="633"/>
      <c r="X43" s="430"/>
      <c r="Y43" s="430"/>
      <c r="Z43" s="430"/>
      <c r="AA43" s="430"/>
      <c r="AB43" s="430"/>
      <c r="AC43" s="430"/>
      <c r="AD43" s="430"/>
      <c r="AE43" s="430"/>
      <c r="AF43" s="430"/>
      <c r="AG43" s="430"/>
      <c r="AH43" s="430"/>
      <c r="AI43" s="430"/>
      <c r="AJ43" s="430"/>
      <c r="AK43" s="430"/>
    </row>
    <row r="44" spans="8:37" ht="37.9" customHeight="1" thickBot="1">
      <c r="H44" s="1205" t="s">
        <v>576</v>
      </c>
      <c r="I44" s="1205" t="s">
        <v>577</v>
      </c>
      <c r="J44" s="1205"/>
      <c r="K44" s="1205" t="s">
        <v>590</v>
      </c>
      <c r="L44" s="1205" t="s">
        <v>591</v>
      </c>
      <c r="M44" s="1205" t="s">
        <v>592</v>
      </c>
      <c r="N44" s="1205" t="s">
        <v>1464</v>
      </c>
      <c r="O44" s="1205" t="s">
        <v>1465</v>
      </c>
      <c r="P44" s="1205" t="s">
        <v>593</v>
      </c>
      <c r="Q44" s="1205" t="s">
        <v>594</v>
      </c>
      <c r="R44" s="1205" t="s">
        <v>595</v>
      </c>
      <c r="S44" s="1205" t="s">
        <v>596</v>
      </c>
      <c r="T44" s="633"/>
      <c r="U44" s="633"/>
      <c r="V44" s="633"/>
      <c r="W44" s="633"/>
      <c r="X44" s="430"/>
      <c r="Y44" s="430"/>
      <c r="Z44" s="430"/>
      <c r="AA44" s="430"/>
      <c r="AB44" s="430"/>
      <c r="AC44" s="430"/>
      <c r="AD44" s="430"/>
      <c r="AE44" s="430"/>
      <c r="AF44" s="430"/>
      <c r="AG44" s="430"/>
      <c r="AH44" s="430"/>
      <c r="AI44" s="430"/>
      <c r="AJ44" s="430"/>
      <c r="AK44" s="430"/>
    </row>
    <row r="45" spans="8:37" ht="15">
      <c r="H45" s="1206">
        <v>1</v>
      </c>
      <c r="I45" s="1207">
        <v>1</v>
      </c>
      <c r="J45" s="1207" t="s">
        <v>597</v>
      </c>
      <c r="K45" s="1207" t="s">
        <v>1466</v>
      </c>
      <c r="L45" s="1208">
        <v>1720.4446315789473</v>
      </c>
      <c r="M45" s="1208">
        <v>-35.909414466490261</v>
      </c>
      <c r="N45" s="1207" t="s">
        <v>225</v>
      </c>
      <c r="O45" s="1207" t="s">
        <v>1467</v>
      </c>
      <c r="P45" s="1208">
        <v>486.49085156222907</v>
      </c>
      <c r="Q45" s="1208">
        <v>45.082427814878784</v>
      </c>
      <c r="R45" s="1208">
        <v>5.236110055565355</v>
      </c>
      <c r="S45" s="1208">
        <f>L45+M45</f>
        <v>1684.5352171124571</v>
      </c>
      <c r="T45" s="633"/>
      <c r="U45" s="633"/>
      <c r="V45" s="633"/>
      <c r="W45" s="633"/>
      <c r="X45" s="430"/>
      <c r="Y45" s="430"/>
      <c r="Z45" s="430"/>
      <c r="AA45" s="430"/>
      <c r="AB45" s="430"/>
      <c r="AC45" s="430"/>
      <c r="AD45" s="430"/>
      <c r="AE45" s="430"/>
      <c r="AF45" s="430"/>
      <c r="AG45" s="430"/>
      <c r="AH45" s="430"/>
      <c r="AI45" s="430"/>
      <c r="AJ45" s="430"/>
      <c r="AK45" s="430"/>
    </row>
    <row r="46" spans="8:37" ht="12.75" customHeight="1">
      <c r="H46" s="1209">
        <v>2</v>
      </c>
      <c r="I46" s="1210">
        <v>1</v>
      </c>
      <c r="J46" s="1210" t="s">
        <v>597</v>
      </c>
      <c r="K46" s="1210" t="s">
        <v>1468</v>
      </c>
      <c r="L46" s="1430">
        <v>918.39080452706798</v>
      </c>
      <c r="M46" s="1430">
        <v>-35.909414466490261</v>
      </c>
      <c r="N46" s="1210" t="s">
        <v>227</v>
      </c>
      <c r="O46" s="1210" t="s">
        <v>1467</v>
      </c>
      <c r="P46" s="1430">
        <v>383.50185423396442</v>
      </c>
      <c r="Q46" s="1430">
        <v>35.538581259761536</v>
      </c>
      <c r="R46" s="1430">
        <v>5.236110055565355</v>
      </c>
      <c r="S46" s="1430">
        <f t="shared" ref="S46:S53" si="27">L46+M46</f>
        <v>882.48139006057772</v>
      </c>
      <c r="T46" s="633"/>
      <c r="U46" s="633"/>
      <c r="V46" s="633"/>
      <c r="W46" s="633"/>
      <c r="X46" s="430"/>
      <c r="Y46" s="430"/>
      <c r="Z46" s="430"/>
      <c r="AA46" s="430"/>
      <c r="AB46" s="430"/>
      <c r="AC46" s="430"/>
      <c r="AD46" s="430"/>
      <c r="AE46" s="430"/>
      <c r="AF46" s="430"/>
      <c r="AG46" s="430"/>
      <c r="AH46" s="430"/>
      <c r="AI46" s="430"/>
      <c r="AJ46" s="430"/>
      <c r="AK46" s="430"/>
    </row>
    <row r="47" spans="8:37" ht="12.75" customHeight="1">
      <c r="H47" s="1209">
        <v>3</v>
      </c>
      <c r="I47" s="1210">
        <v>1</v>
      </c>
      <c r="J47" s="1210" t="s">
        <v>597</v>
      </c>
      <c r="K47" s="1210" t="s">
        <v>1469</v>
      </c>
      <c r="L47" s="1430">
        <v>892.331443818671</v>
      </c>
      <c r="M47" s="1430">
        <v>-35.909414466490261</v>
      </c>
      <c r="N47" s="1210" t="s">
        <v>229</v>
      </c>
      <c r="O47" s="1210" t="s">
        <v>1467</v>
      </c>
      <c r="P47" s="1430">
        <v>1329.4924997281378</v>
      </c>
      <c r="Q47" s="1430">
        <v>123.2022132727603</v>
      </c>
      <c r="R47" s="1430">
        <v>5.236110055565355</v>
      </c>
      <c r="S47" s="1430">
        <f t="shared" si="27"/>
        <v>856.42202935218074</v>
      </c>
      <c r="T47" s="633"/>
      <c r="U47" s="633"/>
      <c r="V47" s="633"/>
      <c r="W47" s="633"/>
      <c r="X47" s="430"/>
      <c r="Y47" s="430"/>
      <c r="Z47" s="430"/>
      <c r="AA47" s="430"/>
      <c r="AB47" s="430"/>
      <c r="AC47" s="430"/>
      <c r="AD47" s="430"/>
      <c r="AE47" s="430"/>
      <c r="AF47" s="430"/>
      <c r="AG47" s="430"/>
      <c r="AH47" s="430"/>
      <c r="AI47" s="430"/>
      <c r="AJ47" s="430"/>
      <c r="AK47" s="430"/>
    </row>
    <row r="48" spans="8:37" ht="12.75" customHeight="1">
      <c r="H48" s="1211">
        <v>1</v>
      </c>
      <c r="I48" s="1212">
        <v>2</v>
      </c>
      <c r="J48" s="1212" t="s">
        <v>597</v>
      </c>
      <c r="K48" s="1212" t="s">
        <v>1470</v>
      </c>
      <c r="L48" s="1431">
        <v>1720.4446315789473</v>
      </c>
      <c r="M48" s="1431">
        <v>-10.675525082295508</v>
      </c>
      <c r="N48" s="1212" t="s">
        <v>225</v>
      </c>
      <c r="O48" s="1212" t="s">
        <v>1471</v>
      </c>
      <c r="P48" s="1431">
        <v>486.49085156222907</v>
      </c>
      <c r="Q48" s="1431">
        <v>45.082427814878784</v>
      </c>
      <c r="R48" s="1431">
        <v>7.1334107738902777</v>
      </c>
      <c r="S48" s="1431">
        <f t="shared" si="27"/>
        <v>1709.7691064966518</v>
      </c>
      <c r="T48" s="633"/>
      <c r="U48" s="633"/>
      <c r="V48" s="633"/>
      <c r="W48" s="633"/>
      <c r="X48" s="430"/>
      <c r="Y48" s="430"/>
      <c r="Z48" s="430"/>
      <c r="AA48" s="430"/>
      <c r="AB48" s="430"/>
      <c r="AC48" s="430"/>
      <c r="AD48" s="430"/>
      <c r="AE48" s="430"/>
      <c r="AF48" s="430"/>
      <c r="AG48" s="430"/>
      <c r="AH48" s="430"/>
      <c r="AI48" s="430"/>
      <c r="AJ48" s="430"/>
      <c r="AK48" s="430"/>
    </row>
    <row r="49" spans="8:37" ht="12.75" customHeight="1">
      <c r="H49" s="1211">
        <v>2</v>
      </c>
      <c r="I49" s="1212">
        <v>2</v>
      </c>
      <c r="J49" s="1212" t="s">
        <v>597</v>
      </c>
      <c r="K49" s="1212" t="s">
        <v>1472</v>
      </c>
      <c r="L49" s="1431">
        <v>918.39080452706798</v>
      </c>
      <c r="M49" s="1431">
        <v>-10.675525082295508</v>
      </c>
      <c r="N49" s="1212" t="s">
        <v>227</v>
      </c>
      <c r="O49" s="1212" t="s">
        <v>1471</v>
      </c>
      <c r="P49" s="1431">
        <v>383.50185423396442</v>
      </c>
      <c r="Q49" s="1431">
        <v>35.538581259761536</v>
      </c>
      <c r="R49" s="1431">
        <v>7.1334107738902777</v>
      </c>
      <c r="S49" s="1431">
        <f t="shared" si="27"/>
        <v>907.71527944477248</v>
      </c>
      <c r="T49" s="633"/>
      <c r="U49" s="633"/>
      <c r="V49" s="633"/>
      <c r="W49" s="633"/>
      <c r="X49" s="430"/>
      <c r="Y49" s="430"/>
      <c r="Z49" s="430"/>
      <c r="AA49" s="430"/>
      <c r="AB49" s="430"/>
      <c r="AC49" s="430"/>
      <c r="AD49" s="430"/>
      <c r="AE49" s="430"/>
      <c r="AF49" s="430"/>
      <c r="AG49" s="430"/>
      <c r="AH49" s="430"/>
      <c r="AI49" s="430"/>
      <c r="AJ49" s="430"/>
      <c r="AK49" s="430"/>
    </row>
    <row r="50" spans="8:37" ht="12.75" customHeight="1">
      <c r="H50" s="1211">
        <v>3</v>
      </c>
      <c r="I50" s="1212">
        <v>2</v>
      </c>
      <c r="J50" s="1212" t="s">
        <v>597</v>
      </c>
      <c r="K50" s="1212" t="s">
        <v>1473</v>
      </c>
      <c r="L50" s="1431">
        <v>892.331443818671</v>
      </c>
      <c r="M50" s="1431">
        <v>-10.675525082295508</v>
      </c>
      <c r="N50" s="1212" t="s">
        <v>229</v>
      </c>
      <c r="O50" s="1212" t="s">
        <v>1471</v>
      </c>
      <c r="P50" s="1431">
        <v>1329.4924997281378</v>
      </c>
      <c r="Q50" s="1431">
        <v>123.2022132727603</v>
      </c>
      <c r="R50" s="1431">
        <v>7.1334107738902777</v>
      </c>
      <c r="S50" s="1431">
        <f t="shared" si="27"/>
        <v>881.6559187363755</v>
      </c>
      <c r="T50" s="633"/>
      <c r="U50" s="633"/>
      <c r="V50" s="633"/>
      <c r="W50" s="633"/>
      <c r="X50" s="430"/>
      <c r="Y50" s="430"/>
      <c r="Z50" s="430"/>
      <c r="AA50" s="430"/>
      <c r="AB50" s="430"/>
      <c r="AC50" s="430"/>
      <c r="AD50" s="430"/>
      <c r="AE50" s="430"/>
      <c r="AF50" s="430"/>
      <c r="AG50" s="633"/>
      <c r="AH50" s="633"/>
      <c r="AI50" s="430"/>
      <c r="AJ50" s="430"/>
      <c r="AK50" s="430"/>
    </row>
    <row r="51" spans="8:37" ht="12.75" customHeight="1">
      <c r="H51" s="1209">
        <v>1</v>
      </c>
      <c r="I51" s="1210">
        <v>3</v>
      </c>
      <c r="J51" s="1210" t="s">
        <v>597</v>
      </c>
      <c r="K51" s="1210" t="s">
        <v>1474</v>
      </c>
      <c r="L51" s="1430">
        <v>1720.4446315789473</v>
      </c>
      <c r="M51" s="1430">
        <v>224.74527179318306</v>
      </c>
      <c r="N51" s="1210" t="s">
        <v>225</v>
      </c>
      <c r="O51" s="1210" t="s">
        <v>1475</v>
      </c>
      <c r="P51" s="1430">
        <v>486.49085156222907</v>
      </c>
      <c r="Q51" s="1430">
        <v>45.082427814878784</v>
      </c>
      <c r="R51" s="1430">
        <v>0</v>
      </c>
      <c r="S51" s="1430">
        <f t="shared" si="27"/>
        <v>1945.1899033721304</v>
      </c>
      <c r="T51" s="633"/>
      <c r="U51" s="633"/>
      <c r="V51" s="633"/>
      <c r="W51" s="633"/>
      <c r="X51" s="137"/>
      <c r="Y51" s="633"/>
      <c r="Z51" s="633"/>
      <c r="AA51" s="633"/>
      <c r="AB51" s="137"/>
      <c r="AC51" s="430"/>
      <c r="AD51" s="430"/>
      <c r="AE51" s="430"/>
      <c r="AF51" s="430"/>
      <c r="AG51" s="633"/>
      <c r="AH51" s="633"/>
      <c r="AI51" s="430"/>
      <c r="AJ51" s="430"/>
      <c r="AK51" s="430"/>
    </row>
    <row r="52" spans="8:37" ht="12.75" customHeight="1">
      <c r="H52" s="1209">
        <v>2</v>
      </c>
      <c r="I52" s="1210">
        <v>3</v>
      </c>
      <c r="J52" s="1210" t="s">
        <v>597</v>
      </c>
      <c r="K52" s="1210" t="s">
        <v>1476</v>
      </c>
      <c r="L52" s="1430">
        <v>918.39080452706798</v>
      </c>
      <c r="M52" s="1430">
        <v>224.74527179318306</v>
      </c>
      <c r="N52" s="1210" t="s">
        <v>227</v>
      </c>
      <c r="O52" s="1210" t="s">
        <v>1475</v>
      </c>
      <c r="P52" s="1430">
        <v>383.50185423396442</v>
      </c>
      <c r="Q52" s="1430">
        <v>35.538581259761536</v>
      </c>
      <c r="R52" s="1430">
        <v>0</v>
      </c>
      <c r="S52" s="1430">
        <f t="shared" si="27"/>
        <v>1143.136076320251</v>
      </c>
      <c r="T52" s="633"/>
      <c r="U52" s="633"/>
      <c r="V52" s="633"/>
      <c r="W52" s="633"/>
      <c r="X52" s="1238"/>
      <c r="Y52" s="633"/>
      <c r="Z52" s="633"/>
      <c r="AA52" s="633"/>
      <c r="AB52" s="137"/>
      <c r="AC52" s="430"/>
      <c r="AD52" s="430"/>
      <c r="AE52" s="430"/>
      <c r="AF52" s="430"/>
      <c r="AG52" s="633"/>
      <c r="AH52" s="633"/>
      <c r="AI52" s="430"/>
      <c r="AJ52" s="430"/>
      <c r="AK52" s="430"/>
    </row>
    <row r="53" spans="8:37" ht="12.75" customHeight="1" thickBot="1">
      <c r="H53" s="1213">
        <v>3</v>
      </c>
      <c r="I53" s="1214">
        <v>3</v>
      </c>
      <c r="J53" s="1214" t="s">
        <v>597</v>
      </c>
      <c r="K53" s="1214" t="s">
        <v>1477</v>
      </c>
      <c r="L53" s="1432">
        <v>892.331443818671</v>
      </c>
      <c r="M53" s="1432">
        <v>224.74527179318306</v>
      </c>
      <c r="N53" s="1214" t="s">
        <v>229</v>
      </c>
      <c r="O53" s="1214" t="s">
        <v>1475</v>
      </c>
      <c r="P53" s="1432">
        <v>1329.4924997281378</v>
      </c>
      <c r="Q53" s="1432">
        <v>123.2022132727603</v>
      </c>
      <c r="R53" s="1432">
        <v>0</v>
      </c>
      <c r="S53" s="1432">
        <f t="shared" si="27"/>
        <v>1117.0767156118541</v>
      </c>
      <c r="T53" s="633"/>
      <c r="U53" s="633"/>
      <c r="V53" s="633"/>
      <c r="W53" s="633"/>
      <c r="X53" s="430"/>
      <c r="Y53" s="633"/>
      <c r="Z53" s="633"/>
      <c r="AA53" s="633"/>
      <c r="AB53" s="137"/>
      <c r="AC53" s="430"/>
      <c r="AD53" s="430"/>
      <c r="AE53" s="430"/>
      <c r="AF53" s="430"/>
      <c r="AG53" s="633"/>
      <c r="AH53" s="430"/>
      <c r="AI53" s="633"/>
      <c r="AJ53" s="430"/>
      <c r="AK53" s="430"/>
    </row>
    <row r="54" spans="8:37" ht="12.75" customHeight="1">
      <c r="H54" s="1239"/>
      <c r="I54" s="1239"/>
      <c r="J54" s="1239"/>
      <c r="K54" s="1239"/>
      <c r="L54" s="1239"/>
      <c r="M54" s="1239"/>
      <c r="N54" s="1239"/>
      <c r="O54" s="1239"/>
      <c r="P54" s="1240"/>
      <c r="Q54" s="1240"/>
      <c r="R54" s="1240"/>
      <c r="S54" s="1239"/>
      <c r="T54" s="633"/>
      <c r="U54" s="633"/>
      <c r="V54" s="633"/>
      <c r="W54" s="633"/>
      <c r="X54" s="430"/>
      <c r="Y54" s="633"/>
      <c r="Z54" s="633"/>
      <c r="AA54" s="633"/>
      <c r="AB54" s="137"/>
      <c r="AC54" s="430"/>
      <c r="AD54" s="430"/>
      <c r="AE54" s="430"/>
      <c r="AF54" s="430"/>
      <c r="AG54" s="633"/>
      <c r="AH54" s="430"/>
      <c r="AI54" s="633"/>
      <c r="AJ54" s="430"/>
      <c r="AK54" s="430"/>
    </row>
    <row r="55" spans="8:37" ht="12.75" customHeight="1">
      <c r="H55" s="1239"/>
      <c r="I55" s="1239"/>
      <c r="J55" s="1239"/>
      <c r="K55" s="1239"/>
      <c r="L55" s="1239"/>
      <c r="M55" s="1239"/>
      <c r="N55" s="1239"/>
      <c r="O55" s="1239"/>
      <c r="P55" s="1240"/>
      <c r="Q55" s="1240"/>
      <c r="R55" s="1240"/>
      <c r="S55" s="1239"/>
      <c r="T55" s="633"/>
      <c r="U55" s="633"/>
      <c r="V55" s="633"/>
      <c r="W55" s="633"/>
      <c r="X55" s="1376"/>
      <c r="Y55" s="633"/>
      <c r="Z55" s="633"/>
      <c r="AA55" s="633"/>
      <c r="AB55" s="137"/>
      <c r="AC55" s="1376"/>
      <c r="AD55" s="1376"/>
      <c r="AE55" s="1376"/>
      <c r="AF55" s="1376"/>
      <c r="AG55" s="633"/>
      <c r="AH55" s="1376"/>
      <c r="AI55" s="633"/>
      <c r="AJ55" s="1376"/>
      <c r="AK55" s="1376"/>
    </row>
    <row r="56" spans="8:37" ht="12.75" customHeight="1">
      <c r="H56" s="1691" t="s">
        <v>2747</v>
      </c>
      <c r="I56" s="1239"/>
      <c r="J56" s="1239"/>
      <c r="K56" s="1239"/>
      <c r="L56" s="1239"/>
      <c r="M56" s="1239"/>
      <c r="N56" s="1239"/>
      <c r="O56" s="1239"/>
      <c r="P56" s="1240"/>
      <c r="Q56" s="1240"/>
      <c r="R56" s="1240"/>
      <c r="S56" s="1239"/>
      <c r="T56" s="633"/>
      <c r="U56" s="633"/>
      <c r="V56" s="633"/>
      <c r="W56" s="633"/>
      <c r="X56" s="1376"/>
      <c r="Y56" s="633"/>
      <c r="Z56" s="633"/>
      <c r="AA56" s="633"/>
      <c r="AB56" s="137"/>
      <c r="AC56" s="1376"/>
      <c r="AD56" s="1376"/>
      <c r="AE56" s="1376"/>
      <c r="AF56" s="1376"/>
      <c r="AG56" s="633"/>
      <c r="AH56" s="1376"/>
      <c r="AI56" s="633"/>
      <c r="AJ56" s="1376"/>
      <c r="AK56" s="1376"/>
    </row>
    <row r="57" spans="8:37" ht="12.75" customHeight="1" thickBot="1">
      <c r="H57" s="1204" t="s">
        <v>589</v>
      </c>
      <c r="I57" s="1204" t="s">
        <v>2744</v>
      </c>
      <c r="J57" s="1239"/>
      <c r="K57" s="1239"/>
      <c r="L57" s="1239"/>
      <c r="M57" s="1239"/>
      <c r="N57" s="1239"/>
      <c r="O57" s="1239"/>
      <c r="P57" s="1240"/>
      <c r="Q57" s="1240"/>
      <c r="R57" s="1240"/>
      <c r="S57" s="1239"/>
      <c r="T57" s="633"/>
      <c r="U57" s="633"/>
      <c r="V57" s="633"/>
      <c r="W57" s="633"/>
      <c r="X57" s="1376"/>
      <c r="Y57" s="633"/>
      <c r="Z57" s="633"/>
      <c r="AA57" s="633"/>
      <c r="AB57" s="137"/>
      <c r="AC57" s="1376"/>
      <c r="AD57" s="1376"/>
      <c r="AE57" s="1376"/>
      <c r="AF57" s="1376"/>
      <c r="AG57" s="633"/>
      <c r="AH57" s="1376"/>
      <c r="AI57" s="633"/>
      <c r="AJ57" s="1376"/>
      <c r="AK57" s="1376"/>
    </row>
    <row r="58" spans="8:37" ht="51" customHeight="1">
      <c r="H58" s="1215"/>
      <c r="I58" s="1216"/>
      <c r="J58" s="1216"/>
      <c r="K58" s="1215" t="s">
        <v>1478</v>
      </c>
      <c r="L58" s="1217"/>
      <c r="M58" s="1694" t="s">
        <v>574</v>
      </c>
      <c r="O58" s="428"/>
      <c r="P58" s="274"/>
      <c r="V58" s="274"/>
      <c r="Z58" s="430"/>
      <c r="AA58" s="430"/>
      <c r="AB58" s="430"/>
      <c r="AC58" s="430"/>
      <c r="AD58" s="430"/>
      <c r="AE58" s="430"/>
      <c r="AF58" s="430"/>
      <c r="AG58" s="430"/>
      <c r="AH58" s="430"/>
      <c r="AI58" s="430"/>
      <c r="AJ58" s="430"/>
      <c r="AK58" s="430"/>
    </row>
    <row r="59" spans="8:37" ht="12.75" customHeight="1">
      <c r="H59" s="1218" t="s">
        <v>575</v>
      </c>
      <c r="I59" s="1219" t="s">
        <v>576</v>
      </c>
      <c r="J59" s="1219" t="s">
        <v>577</v>
      </c>
      <c r="K59" s="1218" t="s">
        <v>1479</v>
      </c>
      <c r="L59" s="1220" t="s">
        <v>578</v>
      </c>
      <c r="M59" s="1221" t="s">
        <v>579</v>
      </c>
      <c r="O59" s="428"/>
      <c r="P59" s="274"/>
      <c r="V59" s="274"/>
      <c r="Z59" s="430"/>
      <c r="AA59" s="430"/>
      <c r="AB59" s="430"/>
      <c r="AC59" s="430"/>
      <c r="AD59" s="430"/>
      <c r="AE59" s="430"/>
      <c r="AF59" s="430"/>
      <c r="AG59" s="430"/>
      <c r="AH59" s="430"/>
      <c r="AI59" s="430"/>
      <c r="AJ59" s="430"/>
      <c r="AK59" s="430"/>
    </row>
    <row r="60" spans="8:37" ht="12.75" customHeight="1">
      <c r="H60" s="1224" t="s">
        <v>580</v>
      </c>
      <c r="I60" s="1225">
        <v>1</v>
      </c>
      <c r="J60" s="1225">
        <v>1</v>
      </c>
      <c r="K60" s="1695">
        <f t="shared" ref="K60:K68" si="28">L60*$K$69</f>
        <v>319562.97232977609</v>
      </c>
      <c r="L60" s="1226">
        <v>0.63271546141909241</v>
      </c>
      <c r="M60" s="1699">
        <f t="shared" ref="M60:M68" si="29">SUMIFS($S$45:$S$53,$H$45:$H$53,I60,$I$45:$I$53,J60)*L60</f>
        <v>1065.8314771720193</v>
      </c>
      <c r="O60" s="1227"/>
      <c r="P60" s="274"/>
      <c r="V60" s="274"/>
      <c r="Z60" s="430"/>
      <c r="AA60" s="430"/>
      <c r="AB60" s="430"/>
      <c r="AC60" s="430"/>
      <c r="AD60" s="430"/>
      <c r="AE60" s="430"/>
      <c r="AF60" s="430"/>
      <c r="AG60" s="430"/>
      <c r="AH60" s="430"/>
      <c r="AI60" s="430"/>
      <c r="AJ60" s="430"/>
      <c r="AK60" s="430"/>
    </row>
    <row r="61" spans="8:37" ht="12.75" customHeight="1">
      <c r="H61" s="1229" t="s">
        <v>581</v>
      </c>
      <c r="I61" s="1230">
        <v>1</v>
      </c>
      <c r="J61" s="1230">
        <v>2</v>
      </c>
      <c r="K61" s="1696">
        <f t="shared" si="28"/>
        <v>21557.777328966586</v>
      </c>
      <c r="L61" s="1231">
        <v>4.2683102270657552E-2</v>
      </c>
      <c r="M61" s="1700">
        <f t="shared" si="29"/>
        <v>72.978249631807373</v>
      </c>
      <c r="O61" s="1227"/>
      <c r="P61" s="274"/>
      <c r="V61" s="274"/>
      <c r="Z61" s="430"/>
      <c r="AA61" s="430"/>
      <c r="AB61" s="430"/>
      <c r="AC61" s="430"/>
      <c r="AD61" s="430"/>
      <c r="AE61" s="430"/>
      <c r="AF61" s="430"/>
      <c r="AG61" s="430"/>
      <c r="AH61" s="430"/>
      <c r="AI61" s="430"/>
      <c r="AJ61" s="430"/>
      <c r="AK61" s="430"/>
    </row>
    <row r="62" spans="8:37" ht="12.75" customHeight="1">
      <c r="H62" s="1229" t="s">
        <v>582</v>
      </c>
      <c r="I62" s="1230">
        <v>1</v>
      </c>
      <c r="J62" s="1230">
        <v>3</v>
      </c>
      <c r="K62" s="1696">
        <f t="shared" si="28"/>
        <v>37904.187756994404</v>
      </c>
      <c r="L62" s="1231">
        <v>7.5048011575113233E-2</v>
      </c>
      <c r="M62" s="1700">
        <f t="shared" si="29"/>
        <v>145.98263438406502</v>
      </c>
      <c r="O62" s="1227"/>
      <c r="P62" s="274"/>
      <c r="V62" s="274"/>
      <c r="Z62" s="430"/>
      <c r="AA62" s="430"/>
      <c r="AB62" s="430"/>
      <c r="AC62" s="430"/>
      <c r="AD62" s="430"/>
      <c r="AE62" s="430"/>
      <c r="AF62" s="430"/>
      <c r="AG62" s="430"/>
      <c r="AH62" s="430"/>
      <c r="AI62" s="430"/>
      <c r="AJ62" s="430"/>
      <c r="AK62" s="430"/>
    </row>
    <row r="63" spans="8:37" ht="12.75" customHeight="1">
      <c r="H63" s="1229" t="s">
        <v>583</v>
      </c>
      <c r="I63" s="1230">
        <v>2</v>
      </c>
      <c r="J63" s="1230">
        <v>1</v>
      </c>
      <c r="K63" s="1696">
        <f t="shared" si="28"/>
        <v>21144.934340296924</v>
      </c>
      <c r="L63" s="1231">
        <v>4.1865697988285933E-2</v>
      </c>
      <c r="M63" s="1700">
        <f t="shared" si="29"/>
        <v>36.945699356558904</v>
      </c>
      <c r="O63" s="1227"/>
      <c r="P63" s="274"/>
      <c r="V63" s="274"/>
      <c r="Z63" s="430"/>
      <c r="AA63" s="430"/>
      <c r="AB63" s="430"/>
      <c r="AC63" s="430"/>
      <c r="AD63" s="430"/>
      <c r="AE63" s="430"/>
      <c r="AF63" s="430"/>
      <c r="AG63" s="430"/>
      <c r="AH63" s="430"/>
      <c r="AI63" s="430"/>
      <c r="AJ63" s="430"/>
      <c r="AK63" s="430"/>
    </row>
    <row r="64" spans="8:37" ht="12.75" customHeight="1">
      <c r="H64" s="1229" t="s">
        <v>584</v>
      </c>
      <c r="I64" s="1230">
        <v>2</v>
      </c>
      <c r="J64" s="1230">
        <v>2</v>
      </c>
      <c r="K64" s="1696">
        <f t="shared" si="28"/>
        <v>76206.917586341122</v>
      </c>
      <c r="L64" s="1231">
        <v>0.15088511247858299</v>
      </c>
      <c r="M64" s="1700">
        <f t="shared" si="29"/>
        <v>136.9607220375529</v>
      </c>
      <c r="O64" s="1227"/>
      <c r="P64" s="274"/>
      <c r="V64" s="274"/>
      <c r="Z64" s="430"/>
      <c r="AA64" s="430"/>
      <c r="AB64" s="430"/>
      <c r="AC64" s="430"/>
      <c r="AD64" s="430"/>
      <c r="AE64" s="430"/>
      <c r="AF64" s="430"/>
      <c r="AG64" s="430"/>
      <c r="AH64" s="430"/>
      <c r="AI64" s="430"/>
      <c r="AJ64" s="430"/>
      <c r="AK64" s="430"/>
    </row>
    <row r="65" spans="8:37" ht="12.75" customHeight="1">
      <c r="H65" s="1229" t="s">
        <v>585</v>
      </c>
      <c r="I65" s="1230">
        <v>2</v>
      </c>
      <c r="J65" s="1230">
        <v>3</v>
      </c>
      <c r="K65" s="1696">
        <f t="shared" si="28"/>
        <v>0</v>
      </c>
      <c r="L65" s="1231">
        <v>0</v>
      </c>
      <c r="M65" s="1700">
        <f t="shared" si="29"/>
        <v>0</v>
      </c>
      <c r="O65" s="1227"/>
      <c r="P65" s="274"/>
      <c r="V65" s="274"/>
      <c r="Z65" s="430"/>
      <c r="AA65" s="430"/>
      <c r="AB65" s="430"/>
      <c r="AC65" s="430"/>
      <c r="AD65" s="430"/>
      <c r="AE65" s="430"/>
      <c r="AF65" s="430"/>
      <c r="AG65" s="430"/>
      <c r="AH65" s="430"/>
      <c r="AI65" s="430"/>
      <c r="AJ65" s="430"/>
      <c r="AK65" s="430"/>
    </row>
    <row r="66" spans="8:37" ht="12.75" customHeight="1">
      <c r="H66" s="1229" t="s">
        <v>586</v>
      </c>
      <c r="I66" s="1230">
        <v>3</v>
      </c>
      <c r="J66" s="1230">
        <v>1</v>
      </c>
      <c r="K66" s="1696">
        <f t="shared" si="28"/>
        <v>12674.952071780112</v>
      </c>
      <c r="L66" s="1231">
        <v>2.5095642621214862E-2</v>
      </c>
      <c r="M66" s="1700">
        <f t="shared" si="29"/>
        <v>21.492461181557914</v>
      </c>
      <c r="O66" s="1227"/>
      <c r="P66" s="274"/>
      <c r="V66" s="274"/>
      <c r="Z66" s="430"/>
      <c r="AA66" s="430"/>
      <c r="AB66" s="430"/>
      <c r="AC66" s="430"/>
      <c r="AD66" s="430"/>
      <c r="AE66" s="430"/>
      <c r="AF66" s="430"/>
      <c r="AG66" s="430"/>
      <c r="AH66" s="430"/>
      <c r="AI66" s="430"/>
      <c r="AJ66" s="430"/>
      <c r="AK66" s="430"/>
    </row>
    <row r="67" spans="8:37" ht="12.75" customHeight="1">
      <c r="H67" s="1229" t="s">
        <v>587</v>
      </c>
      <c r="I67" s="1230">
        <v>3</v>
      </c>
      <c r="J67" s="1230">
        <v>2</v>
      </c>
      <c r="K67" s="1696">
        <f t="shared" si="28"/>
        <v>16014.108585844724</v>
      </c>
      <c r="L67" s="1231">
        <v>3.1706971647053002E-2</v>
      </c>
      <c r="M67" s="1700">
        <f t="shared" si="29"/>
        <v>27.954639217830724</v>
      </c>
      <c r="O67" s="1227"/>
      <c r="P67" s="274"/>
      <c r="V67" s="274"/>
      <c r="Z67" s="430"/>
      <c r="AA67" s="430"/>
      <c r="AB67" s="430"/>
      <c r="AC67" s="430"/>
      <c r="AD67" s="430"/>
      <c r="AE67" s="430"/>
      <c r="AF67" s="430"/>
      <c r="AG67" s="430"/>
      <c r="AH67" s="430"/>
      <c r="AI67" s="430"/>
      <c r="AJ67" s="430"/>
      <c r="AK67" s="430"/>
    </row>
    <row r="68" spans="8:37" ht="12.75" customHeight="1">
      <c r="H68" s="1232" t="s">
        <v>588</v>
      </c>
      <c r="I68" s="1233">
        <v>3</v>
      </c>
      <c r="J68" s="1233">
        <v>3</v>
      </c>
      <c r="K68" s="1697">
        <f t="shared" si="28"/>
        <v>0</v>
      </c>
      <c r="L68" s="1234">
        <v>0</v>
      </c>
      <c r="M68" s="1701">
        <f t="shared" si="29"/>
        <v>0</v>
      </c>
      <c r="O68" s="1227"/>
      <c r="P68" s="274"/>
      <c r="V68" s="274"/>
      <c r="Z68" s="430"/>
      <c r="AA68" s="430"/>
      <c r="AB68" s="430"/>
      <c r="AC68" s="430"/>
      <c r="AD68" s="430"/>
      <c r="AE68" s="430"/>
      <c r="AF68" s="430"/>
      <c r="AG68" s="430"/>
      <c r="AH68" s="430"/>
      <c r="AI68" s="430"/>
      <c r="AJ68" s="430"/>
      <c r="AK68" s="430"/>
    </row>
    <row r="69" spans="8:37" ht="12.75" customHeight="1" thickBot="1">
      <c r="H69" s="135"/>
      <c r="I69" s="1235"/>
      <c r="J69" s="1235"/>
      <c r="K69" s="1698">
        <v>505065.85</v>
      </c>
      <c r="L69" s="1236">
        <v>0.99999999999999989</v>
      </c>
      <c r="M69" s="1702"/>
      <c r="O69" s="428"/>
      <c r="P69" s="274"/>
      <c r="V69" s="274"/>
      <c r="Z69" s="430"/>
      <c r="AA69" s="430"/>
      <c r="AB69" s="430"/>
      <c r="AC69" s="430"/>
      <c r="AD69" s="430"/>
      <c r="AE69" s="430"/>
      <c r="AF69" s="430"/>
      <c r="AG69" s="430"/>
      <c r="AH69" s="430"/>
      <c r="AI69" s="430"/>
      <c r="AJ69" s="430"/>
      <c r="AK69" s="430"/>
    </row>
    <row r="70" spans="8:37" ht="12.75" customHeight="1">
      <c r="H70" s="633"/>
      <c r="I70" s="633"/>
      <c r="J70" s="633"/>
      <c r="K70" s="633"/>
      <c r="L70" s="633"/>
      <c r="M70" s="633"/>
      <c r="N70" s="633"/>
      <c r="O70" s="633"/>
      <c r="P70" s="274"/>
      <c r="V70" s="274"/>
      <c r="Z70" s="430"/>
      <c r="AA70" s="430"/>
      <c r="AB70" s="430"/>
      <c r="AC70" s="430"/>
      <c r="AD70" s="430"/>
      <c r="AE70" s="430"/>
      <c r="AF70" s="430"/>
      <c r="AG70" s="430"/>
      <c r="AH70" s="430"/>
      <c r="AI70" s="430"/>
      <c r="AJ70" s="430"/>
      <c r="AK70" s="430"/>
    </row>
    <row r="71" spans="8:37" ht="12.75" customHeight="1">
      <c r="H71" s="633"/>
      <c r="I71" s="633"/>
      <c r="J71" s="633"/>
      <c r="K71" s="633"/>
      <c r="L71" s="633"/>
      <c r="M71" s="633"/>
      <c r="N71" s="633"/>
      <c r="O71" s="633"/>
      <c r="P71" s="274"/>
      <c r="V71" s="274"/>
      <c r="Z71" s="1376"/>
      <c r="AA71" s="1376"/>
      <c r="AB71" s="1376"/>
      <c r="AC71" s="1376"/>
      <c r="AD71" s="1376"/>
      <c r="AE71" s="1376"/>
      <c r="AF71" s="1376"/>
      <c r="AG71" s="1376"/>
      <c r="AH71" s="1376"/>
      <c r="AI71" s="1376"/>
      <c r="AJ71" s="1376"/>
      <c r="AK71" s="1376"/>
    </row>
    <row r="72" spans="8:37" ht="12.75" customHeight="1">
      <c r="H72" s="1691" t="s">
        <v>2748</v>
      </c>
      <c r="I72" s="1239"/>
      <c r="J72" s="633"/>
      <c r="K72" s="633"/>
      <c r="L72" s="633"/>
      <c r="M72" s="633"/>
      <c r="N72" s="633"/>
      <c r="O72" s="633"/>
      <c r="P72" s="274"/>
      <c r="V72" s="274"/>
      <c r="Z72" s="1376"/>
      <c r="AA72" s="1376"/>
      <c r="AB72" s="1376"/>
      <c r="AC72" s="1376"/>
      <c r="AD72" s="1376"/>
      <c r="AE72" s="1376"/>
      <c r="AF72" s="1376"/>
      <c r="AG72" s="1376"/>
      <c r="AH72" s="1376"/>
      <c r="AI72" s="1376"/>
      <c r="AJ72" s="1376"/>
      <c r="AK72" s="1376"/>
    </row>
    <row r="73" spans="8:37" ht="12.75" customHeight="1">
      <c r="H73" s="1204" t="s">
        <v>589</v>
      </c>
      <c r="I73" s="1204" t="s">
        <v>2749</v>
      </c>
      <c r="J73" s="1239"/>
      <c r="K73" s="1239"/>
      <c r="L73" s="1239"/>
      <c r="M73" s="1239"/>
      <c r="N73" s="1239"/>
      <c r="O73" s="1239"/>
      <c r="P73" s="1240"/>
      <c r="Q73" s="1240"/>
      <c r="R73" s="1240"/>
      <c r="S73" s="1239"/>
      <c r="T73" s="633"/>
      <c r="U73" s="633"/>
      <c r="V73" s="633"/>
      <c r="W73" s="633"/>
      <c r="X73" s="1376"/>
      <c r="Y73" s="633"/>
      <c r="Z73" s="633"/>
      <c r="AA73" s="633"/>
      <c r="AB73" s="137"/>
      <c r="AC73" s="1376"/>
      <c r="AD73" s="1376"/>
      <c r="AE73" s="1376"/>
      <c r="AF73" s="1376"/>
      <c r="AG73" s="633"/>
      <c r="AH73" s="1376"/>
      <c r="AI73" s="633"/>
      <c r="AJ73" s="1376"/>
      <c r="AK73" s="1376"/>
    </row>
    <row r="74" spans="8:37" ht="12.75" customHeight="1">
      <c r="H74" s="1689" t="s">
        <v>2746</v>
      </c>
      <c r="I74" s="1204"/>
      <c r="J74" s="1239"/>
      <c r="K74" s="1239"/>
      <c r="L74" s="1239"/>
      <c r="M74" s="1239"/>
      <c r="N74" s="1239"/>
      <c r="O74" s="1239"/>
      <c r="P74" s="1240"/>
      <c r="Q74" s="1240"/>
      <c r="R74" s="1240"/>
      <c r="S74" s="1239"/>
      <c r="T74" s="633"/>
      <c r="U74" s="633"/>
      <c r="V74" s="633"/>
      <c r="W74" s="633"/>
      <c r="X74" s="1376"/>
      <c r="Y74" s="633"/>
      <c r="Z74" s="633"/>
      <c r="AA74" s="633"/>
      <c r="AB74" s="137"/>
      <c r="AC74" s="1376"/>
      <c r="AD74" s="1376"/>
      <c r="AE74" s="1376"/>
      <c r="AF74" s="1376"/>
      <c r="AG74" s="633"/>
      <c r="AH74" s="1376"/>
      <c r="AI74" s="633"/>
      <c r="AJ74" s="1376"/>
      <c r="AK74" s="1376"/>
    </row>
    <row r="75" spans="8:37" ht="12.75" customHeight="1">
      <c r="I75" s="1239"/>
      <c r="J75" s="1239"/>
      <c r="K75" s="1239"/>
      <c r="L75" s="1239"/>
      <c r="M75" s="1239"/>
      <c r="N75" s="1239"/>
      <c r="O75" s="1239"/>
      <c r="P75" s="1240"/>
      <c r="Q75" s="1240"/>
      <c r="R75" s="1240"/>
      <c r="S75" s="1239"/>
      <c r="T75" s="633"/>
      <c r="U75" s="633"/>
      <c r="V75" s="633"/>
      <c r="W75" s="633"/>
      <c r="X75" s="430"/>
      <c r="Y75" s="633"/>
      <c r="Z75" s="633"/>
      <c r="AA75" s="633"/>
      <c r="AB75" s="137"/>
      <c r="AC75" s="430"/>
      <c r="AD75" s="430"/>
      <c r="AE75" s="430"/>
      <c r="AF75" s="430"/>
      <c r="AG75" s="633"/>
      <c r="AH75" s="430"/>
      <c r="AI75" s="633"/>
      <c r="AJ75" s="430"/>
      <c r="AK75" s="430"/>
    </row>
    <row r="76" spans="8:37" ht="12.75" customHeight="1" thickBot="1">
      <c r="H76" s="2585" t="s">
        <v>1480</v>
      </c>
      <c r="I76" s="2586"/>
      <c r="J76" s="2586"/>
      <c r="K76" s="2586"/>
      <c r="L76" s="2586"/>
      <c r="M76" s="2586"/>
      <c r="N76" s="2586"/>
      <c r="O76" s="2586"/>
      <c r="P76" s="2586"/>
      <c r="Q76" s="1240"/>
      <c r="R76" s="1240"/>
      <c r="S76" s="1239"/>
      <c r="T76" s="633"/>
      <c r="U76" s="633"/>
      <c r="V76" s="633"/>
      <c r="W76" s="633"/>
      <c r="X76" s="430"/>
      <c r="Y76" s="633"/>
      <c r="Z76" s="633"/>
      <c r="AA76" s="633"/>
      <c r="AB76" s="137"/>
      <c r="AC76" s="430"/>
      <c r="AD76" s="430"/>
      <c r="AE76" s="430"/>
      <c r="AF76" s="430"/>
      <c r="AG76" s="633"/>
      <c r="AH76" s="430"/>
      <c r="AI76" s="633"/>
      <c r="AJ76" s="430"/>
      <c r="AK76" s="430"/>
    </row>
    <row r="77" spans="8:37" ht="12.75" customHeight="1" thickBot="1">
      <c r="H77" s="1241" t="s">
        <v>576</v>
      </c>
      <c r="I77" s="1242" t="s">
        <v>577</v>
      </c>
      <c r="J77" s="1243">
        <v>2017</v>
      </c>
      <c r="K77" s="1244">
        <v>2018</v>
      </c>
      <c r="L77" s="1244">
        <v>2019</v>
      </c>
      <c r="M77" s="1244">
        <v>2020</v>
      </c>
      <c r="N77" s="1244">
        <v>2021</v>
      </c>
      <c r="O77" s="1244">
        <v>2022</v>
      </c>
      <c r="P77" s="1245">
        <v>2023</v>
      </c>
      <c r="Q77" s="1240"/>
      <c r="R77" s="1240"/>
      <c r="S77" s="1239"/>
      <c r="T77" s="633"/>
      <c r="U77" s="633"/>
      <c r="V77" s="633"/>
      <c r="W77" s="633"/>
      <c r="X77" s="430"/>
      <c r="Y77" s="633"/>
      <c r="Z77" s="633"/>
      <c r="AA77" s="633"/>
      <c r="AB77" s="137"/>
      <c r="AC77" s="430"/>
      <c r="AD77" s="430"/>
      <c r="AE77" s="430"/>
      <c r="AF77" s="430"/>
      <c r="AG77" s="633"/>
      <c r="AH77" s="430"/>
      <c r="AI77" s="633"/>
      <c r="AJ77" s="430"/>
      <c r="AK77" s="430"/>
    </row>
    <row r="78" spans="8:37" ht="12.75" customHeight="1">
      <c r="H78" s="1246">
        <v>1</v>
      </c>
      <c r="I78" s="1247">
        <v>1</v>
      </c>
      <c r="J78" s="1248">
        <v>0.53277213392671074</v>
      </c>
      <c r="K78" s="1249">
        <v>0.52468344245578002</v>
      </c>
      <c r="L78" s="1254">
        <v>0.48668095243739251</v>
      </c>
      <c r="M78" s="1254">
        <v>0.46381245065235699</v>
      </c>
      <c r="N78" s="1254">
        <v>0.46381245065235699</v>
      </c>
      <c r="O78" s="1254">
        <v>0.46381245065235699</v>
      </c>
      <c r="P78" s="1250">
        <v>0.46381245065235699</v>
      </c>
      <c r="Q78" s="1240"/>
      <c r="R78" s="1240"/>
      <c r="S78" s="1239"/>
      <c r="T78" s="633"/>
      <c r="U78" s="633"/>
      <c r="V78" s="633"/>
      <c r="W78" s="633"/>
      <c r="X78" s="430"/>
      <c r="Y78" s="633"/>
      <c r="Z78" s="633"/>
      <c r="AA78" s="633"/>
      <c r="AB78" s="137"/>
      <c r="AC78" s="430"/>
      <c r="AD78" s="430"/>
      <c r="AE78" s="430"/>
      <c r="AF78" s="430"/>
      <c r="AG78" s="633"/>
      <c r="AH78" s="430"/>
      <c r="AI78" s="633"/>
      <c r="AJ78" s="430"/>
      <c r="AK78" s="430"/>
    </row>
    <row r="79" spans="8:37" ht="12.75" customHeight="1">
      <c r="H79" s="1251">
        <v>1</v>
      </c>
      <c r="I79" s="1252">
        <v>2</v>
      </c>
      <c r="J79" s="1253">
        <v>0.24351321435802942</v>
      </c>
      <c r="K79" s="1254">
        <v>0.18757452865917917</v>
      </c>
      <c r="L79" s="1254">
        <v>0.17750517365976501</v>
      </c>
      <c r="M79" s="1254">
        <v>0.21778176520262182</v>
      </c>
      <c r="N79" s="1254">
        <v>0.21778176520262182</v>
      </c>
      <c r="O79" s="1254">
        <v>0.21778176520262182</v>
      </c>
      <c r="P79" s="1250">
        <v>0.21778176520262182</v>
      </c>
      <c r="Q79" s="1240"/>
      <c r="R79" s="1240"/>
      <c r="S79" s="1239"/>
      <c r="T79" s="633"/>
      <c r="U79" s="633"/>
      <c r="V79" s="633"/>
      <c r="W79" s="633"/>
      <c r="X79" s="430"/>
      <c r="Y79" s="633"/>
      <c r="Z79" s="633"/>
      <c r="AA79" s="633"/>
      <c r="AB79" s="137"/>
      <c r="AC79" s="430"/>
      <c r="AD79" s="430"/>
      <c r="AE79" s="430"/>
      <c r="AF79" s="430"/>
      <c r="AG79" s="633"/>
      <c r="AH79" s="430"/>
      <c r="AI79" s="633"/>
      <c r="AJ79" s="430"/>
      <c r="AK79" s="430"/>
    </row>
    <row r="80" spans="8:37" ht="12.75" customHeight="1">
      <c r="H80" s="1251">
        <v>1</v>
      </c>
      <c r="I80" s="1252">
        <v>3</v>
      </c>
      <c r="J80" s="1253">
        <v>7.3777587328418048E-2</v>
      </c>
      <c r="K80" s="1254">
        <v>9.7130934417340886E-2</v>
      </c>
      <c r="L80" s="1254">
        <v>0.10556845570751386</v>
      </c>
      <c r="M80" s="1254">
        <v>0.11718223346849597</v>
      </c>
      <c r="N80" s="1254">
        <v>0.11718223346849597</v>
      </c>
      <c r="O80" s="1254">
        <v>0.11718223346849597</v>
      </c>
      <c r="P80" s="1250">
        <v>0.11718223346849597</v>
      </c>
      <c r="Q80" s="1240"/>
      <c r="R80" s="1240"/>
      <c r="S80" s="1239"/>
      <c r="T80" s="633"/>
      <c r="U80" s="633"/>
      <c r="V80" s="633"/>
      <c r="W80" s="633"/>
      <c r="X80" s="430"/>
      <c r="Y80" s="633"/>
      <c r="Z80" s="633"/>
      <c r="AA80" s="633"/>
      <c r="AB80" s="137"/>
      <c r="AC80" s="430"/>
      <c r="AD80" s="430"/>
      <c r="AE80" s="430"/>
      <c r="AF80" s="430"/>
      <c r="AG80" s="633"/>
      <c r="AH80" s="430"/>
      <c r="AI80" s="633"/>
      <c r="AJ80" s="430"/>
      <c r="AK80" s="430"/>
    </row>
    <row r="81" spans="8:37" ht="12.75" customHeight="1">
      <c r="H81" s="1251">
        <v>2</v>
      </c>
      <c r="I81" s="1252">
        <v>1</v>
      </c>
      <c r="J81" s="1253">
        <v>2.6506280047697284E-2</v>
      </c>
      <c r="K81" s="1254">
        <v>3.3769789581341685E-2</v>
      </c>
      <c r="L81" s="1254">
        <v>3.9827113468073633E-2</v>
      </c>
      <c r="M81" s="1254">
        <v>3.4264361427496379E-2</v>
      </c>
      <c r="N81" s="1254">
        <v>3.4264361427496379E-2</v>
      </c>
      <c r="O81" s="1254">
        <v>3.4264361427496379E-2</v>
      </c>
      <c r="P81" s="1250">
        <v>3.4264361427496379E-2</v>
      </c>
      <c r="Q81" s="1240"/>
      <c r="R81" s="1240"/>
      <c r="S81" s="1239"/>
      <c r="T81" s="633"/>
      <c r="U81" s="633"/>
      <c r="V81" s="633"/>
      <c r="W81" s="633"/>
      <c r="X81" s="430"/>
      <c r="Y81" s="633"/>
      <c r="Z81" s="633"/>
      <c r="AA81" s="633"/>
      <c r="AB81" s="137"/>
      <c r="AC81" s="430"/>
      <c r="AD81" s="430"/>
      <c r="AE81" s="430"/>
      <c r="AF81" s="430"/>
      <c r="AG81" s="633"/>
      <c r="AH81" s="430"/>
      <c r="AI81" s="633"/>
      <c r="AJ81" s="430"/>
      <c r="AK81" s="430"/>
    </row>
    <row r="82" spans="8:37" ht="12.75" customHeight="1">
      <c r="H82" s="1251">
        <v>2</v>
      </c>
      <c r="I82" s="1252">
        <v>2</v>
      </c>
      <c r="J82" s="1253">
        <v>5.4685311381668524E-2</v>
      </c>
      <c r="K82" s="1254">
        <v>6.5314072731284173E-2</v>
      </c>
      <c r="L82" s="1254">
        <v>7.3421773178557609E-2</v>
      </c>
      <c r="M82" s="1254">
        <v>6.7343830814288436E-2</v>
      </c>
      <c r="N82" s="1254">
        <v>6.7343830814288436E-2</v>
      </c>
      <c r="O82" s="1254">
        <v>6.7343830814288436E-2</v>
      </c>
      <c r="P82" s="1250">
        <v>6.7343830814288436E-2</v>
      </c>
      <c r="Q82" s="1240"/>
      <c r="R82" s="1240"/>
      <c r="S82" s="1239"/>
      <c r="T82" s="633"/>
      <c r="U82" s="633"/>
      <c r="V82" s="633"/>
      <c r="W82" s="633"/>
      <c r="X82" s="430"/>
      <c r="Y82" s="633"/>
      <c r="Z82" s="633"/>
      <c r="AA82" s="633"/>
      <c r="AB82" s="137"/>
      <c r="AC82" s="430"/>
      <c r="AD82" s="430"/>
      <c r="AE82" s="430"/>
      <c r="AF82" s="430"/>
      <c r="AG82" s="633"/>
      <c r="AH82" s="430"/>
      <c r="AI82" s="633"/>
      <c r="AJ82" s="430"/>
      <c r="AK82" s="430"/>
    </row>
    <row r="83" spans="8:37" ht="12.75" customHeight="1">
      <c r="H83" s="1251">
        <v>2</v>
      </c>
      <c r="I83" s="1252">
        <v>3</v>
      </c>
      <c r="J83" s="1253">
        <v>2.3662050473600163E-2</v>
      </c>
      <c r="K83" s="1254">
        <v>2.6373234573146154E-2</v>
      </c>
      <c r="L83" s="1254">
        <v>3.4731116158709878E-2</v>
      </c>
      <c r="M83" s="1254">
        <v>3.4665787498771868E-2</v>
      </c>
      <c r="N83" s="1254">
        <v>3.4665787498771868E-2</v>
      </c>
      <c r="O83" s="1254">
        <v>3.4665787498771868E-2</v>
      </c>
      <c r="P83" s="1250">
        <v>3.4665787498771868E-2</v>
      </c>
      <c r="Q83" s="1240"/>
      <c r="R83" s="1240"/>
      <c r="S83" s="1239"/>
      <c r="T83" s="633"/>
      <c r="U83" s="633"/>
      <c r="V83" s="633"/>
      <c r="W83" s="633"/>
      <c r="X83" s="430"/>
      <c r="Y83" s="633"/>
      <c r="Z83" s="633"/>
      <c r="AA83" s="633"/>
      <c r="AB83" s="137"/>
      <c r="AC83" s="430"/>
      <c r="AD83" s="430"/>
      <c r="AE83" s="430"/>
      <c r="AF83" s="430"/>
      <c r="AG83" s="633"/>
      <c r="AH83" s="430"/>
      <c r="AI83" s="633"/>
      <c r="AJ83" s="430"/>
      <c r="AK83" s="430"/>
    </row>
    <row r="84" spans="8:37" ht="12.75" customHeight="1">
      <c r="H84" s="1251">
        <v>3</v>
      </c>
      <c r="I84" s="1252">
        <v>1</v>
      </c>
      <c r="J84" s="1253">
        <v>1.2340674303166042E-2</v>
      </c>
      <c r="K84" s="1254">
        <v>1.6157757228777846E-2</v>
      </c>
      <c r="L84" s="1254">
        <v>2.1954270884202272E-2</v>
      </c>
      <c r="M84" s="1254">
        <v>1.9167527159239122E-2</v>
      </c>
      <c r="N84" s="1254">
        <v>1.9167527159239122E-2</v>
      </c>
      <c r="O84" s="1254">
        <v>1.9167527159239122E-2</v>
      </c>
      <c r="P84" s="1250">
        <v>1.9167527159239122E-2</v>
      </c>
      <c r="Q84" s="1240"/>
      <c r="R84" s="1240"/>
      <c r="S84" s="1239"/>
      <c r="T84" s="633"/>
      <c r="U84" s="633"/>
      <c r="V84" s="633"/>
      <c r="W84" s="633"/>
      <c r="X84" s="430"/>
      <c r="Y84" s="633"/>
      <c r="Z84" s="633"/>
      <c r="AA84" s="633"/>
      <c r="AB84" s="137"/>
      <c r="AC84" s="430"/>
      <c r="AD84" s="430"/>
      <c r="AE84" s="430"/>
      <c r="AF84" s="430"/>
      <c r="AG84" s="633"/>
      <c r="AH84" s="430"/>
      <c r="AI84" s="633"/>
      <c r="AJ84" s="430"/>
      <c r="AK84" s="430"/>
    </row>
    <row r="85" spans="8:37" ht="12.75" customHeight="1">
      <c r="H85" s="1251">
        <v>3</v>
      </c>
      <c r="I85" s="1252">
        <v>2</v>
      </c>
      <c r="J85" s="1253">
        <v>3.2742748180709956E-2</v>
      </c>
      <c r="K85" s="1254">
        <v>4.8996240353150061E-2</v>
      </c>
      <c r="L85" s="1254">
        <v>6.0311144505785563E-2</v>
      </c>
      <c r="M85" s="1254">
        <v>4.5782043776729467E-2</v>
      </c>
      <c r="N85" s="1254">
        <v>4.5782043776729467E-2</v>
      </c>
      <c r="O85" s="1254">
        <v>4.5782043776729467E-2</v>
      </c>
      <c r="P85" s="1250">
        <v>4.5782043776729467E-2</v>
      </c>
      <c r="Q85" s="1240"/>
      <c r="R85" s="1240"/>
      <c r="S85" s="1239"/>
      <c r="T85" s="633"/>
      <c r="U85" s="633"/>
      <c r="V85" s="633"/>
      <c r="W85" s="633"/>
      <c r="X85" s="430"/>
      <c r="Y85" s="633"/>
      <c r="Z85" s="633"/>
      <c r="AA85" s="633"/>
      <c r="AB85" s="137"/>
      <c r="AC85" s="430"/>
      <c r="AD85" s="430"/>
      <c r="AE85" s="430"/>
      <c r="AF85" s="430"/>
      <c r="AG85" s="633"/>
      <c r="AH85" s="430"/>
      <c r="AI85" s="633"/>
      <c r="AJ85" s="430"/>
      <c r="AK85" s="430"/>
    </row>
    <row r="86" spans="8:37" ht="12.75" customHeight="1" thickBot="1">
      <c r="H86" s="1255">
        <v>3</v>
      </c>
      <c r="I86" s="1256">
        <v>3</v>
      </c>
      <c r="J86" s="1257">
        <v>0</v>
      </c>
      <c r="K86" s="1258">
        <v>0</v>
      </c>
      <c r="L86" s="1258">
        <v>0</v>
      </c>
      <c r="M86" s="1258">
        <v>0</v>
      </c>
      <c r="N86" s="1258">
        <v>0</v>
      </c>
      <c r="O86" s="1258">
        <v>0</v>
      </c>
      <c r="P86" s="1259">
        <v>0</v>
      </c>
      <c r="Q86" s="1240"/>
      <c r="R86" s="1240"/>
      <c r="S86" s="1239"/>
      <c r="T86" s="633"/>
      <c r="U86" s="633"/>
      <c r="V86" s="633"/>
      <c r="W86" s="633"/>
      <c r="X86" s="430"/>
      <c r="Y86" s="633"/>
      <c r="Z86" s="633"/>
      <c r="AA86" s="633"/>
      <c r="AB86" s="137"/>
      <c r="AC86" s="430"/>
      <c r="AD86" s="430"/>
      <c r="AE86" s="430"/>
      <c r="AF86" s="430"/>
      <c r="AG86" s="633"/>
      <c r="AH86" s="430"/>
      <c r="AI86" s="633"/>
      <c r="AJ86" s="430"/>
      <c r="AK86" s="430"/>
    </row>
    <row r="87" spans="8:37" ht="12.75" customHeight="1">
      <c r="H87" s="1260"/>
      <c r="I87" s="1260"/>
      <c r="J87" s="1254"/>
      <c r="K87" s="1254"/>
      <c r="L87" s="1239"/>
      <c r="M87" s="1239"/>
      <c r="N87" s="1239"/>
      <c r="O87" s="1239"/>
      <c r="P87" s="1240"/>
      <c r="Q87" s="1240"/>
      <c r="R87" s="1240"/>
      <c r="S87" s="1239"/>
      <c r="T87" s="633"/>
      <c r="U87" s="633"/>
      <c r="V87" s="633"/>
      <c r="W87" s="633"/>
      <c r="X87" s="430"/>
      <c r="Y87" s="633"/>
      <c r="Z87" s="633"/>
      <c r="AA87" s="633"/>
      <c r="AB87" s="137"/>
      <c r="AC87" s="430"/>
      <c r="AD87" s="430"/>
      <c r="AE87" s="430"/>
      <c r="AF87" s="430"/>
      <c r="AG87" s="633"/>
      <c r="AH87" s="430"/>
      <c r="AI87" s="633"/>
      <c r="AJ87" s="430"/>
      <c r="AK87" s="430"/>
    </row>
    <row r="88" spans="8:37" ht="12.75" customHeight="1">
      <c r="H88" s="1689" t="s">
        <v>2740</v>
      </c>
      <c r="I88" s="1260"/>
      <c r="J88" s="1260"/>
      <c r="K88" s="1260"/>
      <c r="L88" s="1239"/>
      <c r="M88" s="1239"/>
      <c r="N88" s="1239"/>
      <c r="O88" s="1239"/>
      <c r="P88" s="1240"/>
      <c r="Q88" s="1240"/>
      <c r="R88" s="1240"/>
      <c r="S88" s="1239"/>
      <c r="T88" s="633"/>
      <c r="U88" s="633"/>
      <c r="V88" s="633"/>
      <c r="W88" s="633"/>
      <c r="X88" s="430"/>
      <c r="Y88" s="633"/>
      <c r="Z88" s="633"/>
      <c r="AA88" s="633"/>
      <c r="AB88" s="137"/>
      <c r="AC88" s="430"/>
      <c r="AD88" s="430"/>
      <c r="AE88" s="430"/>
      <c r="AF88" s="430"/>
      <c r="AG88" s="633"/>
      <c r="AH88" s="430"/>
      <c r="AI88" s="633"/>
      <c r="AJ88" s="430"/>
      <c r="AK88" s="430"/>
    </row>
    <row r="89" spans="8:37" ht="12.75" customHeight="1" thickBot="1">
      <c r="H89" s="2583" t="s">
        <v>1481</v>
      </c>
      <c r="I89" s="2584"/>
      <c r="J89" s="2584"/>
      <c r="K89" s="2584"/>
      <c r="L89" s="2584"/>
      <c r="M89" s="2584"/>
      <c r="N89" s="2584"/>
      <c r="O89" s="2584"/>
      <c r="P89" s="2584"/>
      <c r="Q89" s="1240"/>
      <c r="R89" s="1240"/>
      <c r="S89" s="1239"/>
      <c r="T89" s="633"/>
      <c r="U89" s="633"/>
      <c r="V89" s="633"/>
      <c r="W89" s="633"/>
      <c r="X89" s="430"/>
      <c r="Y89" s="633"/>
      <c r="Z89" s="633"/>
      <c r="AA89" s="633"/>
      <c r="AB89" s="137"/>
      <c r="AC89" s="430"/>
      <c r="AD89" s="430"/>
      <c r="AE89" s="430"/>
      <c r="AF89" s="430"/>
      <c r="AG89" s="633"/>
      <c r="AH89" s="430"/>
      <c r="AI89" s="633"/>
      <c r="AJ89" s="430"/>
      <c r="AK89" s="430"/>
    </row>
    <row r="90" spans="8:37" ht="12.75" customHeight="1" thickBot="1">
      <c r="H90" s="1629" t="s">
        <v>1482</v>
      </c>
      <c r="I90" s="1630">
        <v>2017</v>
      </c>
      <c r="J90" s="1630">
        <v>2018</v>
      </c>
      <c r="K90" s="1630">
        <v>2019</v>
      </c>
      <c r="L90" s="1630">
        <v>2020</v>
      </c>
      <c r="M90" s="1630">
        <v>2021</v>
      </c>
      <c r="N90" s="1630">
        <v>2022</v>
      </c>
      <c r="O90" s="1630">
        <v>2023</v>
      </c>
      <c r="P90" s="1631">
        <v>2024</v>
      </c>
      <c r="Q90" s="1240"/>
      <c r="R90" s="1240"/>
      <c r="S90" s="1239"/>
      <c r="T90" s="633"/>
      <c r="U90" s="633"/>
      <c r="V90" s="633"/>
      <c r="W90" s="633"/>
      <c r="X90" s="430"/>
      <c r="Y90" s="633"/>
      <c r="Z90" s="633"/>
      <c r="AA90" s="633"/>
      <c r="AB90" s="137"/>
      <c r="AC90" s="430"/>
      <c r="AD90" s="430"/>
      <c r="AE90" s="430"/>
      <c r="AF90" s="430"/>
      <c r="AG90" s="633"/>
      <c r="AH90" s="430"/>
      <c r="AI90" s="633"/>
      <c r="AJ90" s="430"/>
      <c r="AK90" s="430"/>
    </row>
    <row r="91" spans="8:37" ht="12.75" customHeight="1">
      <c r="H91" s="1632" t="s">
        <v>1483</v>
      </c>
      <c r="I91" s="1248">
        <v>0.7203105886781852</v>
      </c>
      <c r="J91" s="1249">
        <v>0.72389150176866324</v>
      </c>
      <c r="K91" s="1249">
        <v>0.6426491074679237</v>
      </c>
      <c r="L91" s="1249">
        <v>0.70693261970217802</v>
      </c>
      <c r="M91" s="1249">
        <v>0.70693261970217802</v>
      </c>
      <c r="N91" s="1249">
        <v>0.70693261970217802</v>
      </c>
      <c r="O91" s="1249">
        <v>0.70693261970217802</v>
      </c>
      <c r="P91" s="1633">
        <v>0.70693261970217802</v>
      </c>
      <c r="Q91" s="1240"/>
      <c r="R91" s="1240"/>
      <c r="S91" s="1239"/>
      <c r="T91" s="633"/>
      <c r="U91" s="633"/>
      <c r="V91" s="633"/>
      <c r="W91" s="633"/>
      <c r="X91" s="430"/>
      <c r="Y91" s="633"/>
      <c r="Z91" s="633"/>
      <c r="AA91" s="633"/>
      <c r="AB91" s="137"/>
      <c r="AC91" s="430"/>
      <c r="AD91" s="430"/>
      <c r="AE91" s="430"/>
      <c r="AF91" s="430"/>
      <c r="AG91" s="633"/>
      <c r="AH91" s="430"/>
      <c r="AI91" s="633"/>
      <c r="AJ91" s="430"/>
      <c r="AK91" s="430"/>
    </row>
    <row r="92" spans="8:37" ht="12.75" customHeight="1" thickBot="1">
      <c r="H92" s="1634" t="s">
        <v>1484</v>
      </c>
      <c r="I92" s="1635">
        <v>0.2796894113218148</v>
      </c>
      <c r="J92" s="1258">
        <v>0.27610849823133676</v>
      </c>
      <c r="K92" s="1258">
        <v>0.3573508925320763</v>
      </c>
      <c r="L92" s="1258">
        <v>0.29306738029782198</v>
      </c>
      <c r="M92" s="1258">
        <v>0.29306738029782198</v>
      </c>
      <c r="N92" s="1258">
        <v>0.29306738029782198</v>
      </c>
      <c r="O92" s="1258">
        <v>0.29306738029782198</v>
      </c>
      <c r="P92" s="1259">
        <v>0.29306738029782198</v>
      </c>
      <c r="Q92" s="1240"/>
      <c r="R92" s="1240"/>
      <c r="S92" s="1239"/>
      <c r="T92" s="633"/>
      <c r="U92" s="633"/>
      <c r="V92" s="633"/>
      <c r="W92" s="633"/>
      <c r="X92" s="430"/>
      <c r="Y92" s="633"/>
      <c r="Z92" s="633"/>
      <c r="AA92" s="633"/>
      <c r="AB92" s="137"/>
      <c r="AC92" s="430"/>
      <c r="AD92" s="430"/>
      <c r="AE92" s="430"/>
      <c r="AF92" s="430"/>
      <c r="AG92" s="633"/>
      <c r="AH92" s="430"/>
      <c r="AI92" s="633"/>
      <c r="AJ92" s="430"/>
      <c r="AK92" s="430"/>
    </row>
    <row r="93" spans="8:37" ht="12.75" customHeight="1">
      <c r="N93" s="270"/>
      <c r="O93" s="270"/>
      <c r="T93" s="633"/>
      <c r="U93" s="633"/>
      <c r="V93" s="633"/>
      <c r="W93" s="633"/>
    </row>
    <row r="94" spans="8:37" ht="12.75" customHeight="1">
      <c r="V94" s="274"/>
    </row>
    <row r="95" spans="8:37" ht="16.5" customHeight="1" thickBot="1">
      <c r="H95" s="1692" t="s">
        <v>2738</v>
      </c>
      <c r="I95" s="497"/>
      <c r="J95" s="497"/>
      <c r="K95" s="497"/>
      <c r="L95" s="497"/>
      <c r="M95" s="497"/>
      <c r="N95" s="497"/>
      <c r="O95" s="497"/>
      <c r="P95" s="497"/>
      <c r="Q95" s="497"/>
      <c r="R95" s="497"/>
      <c r="S95" s="497"/>
      <c r="T95" s="497"/>
      <c r="U95" s="497"/>
      <c r="V95" s="497"/>
      <c r="W95" s="497"/>
    </row>
    <row r="96" spans="8:37" ht="12.75" customHeight="1" thickTop="1"/>
    <row r="97" spans="1:28" ht="24.75" customHeight="1">
      <c r="H97" s="2577" t="s">
        <v>1417</v>
      </c>
      <c r="I97" s="2578"/>
      <c r="J97" s="2578"/>
      <c r="K97" s="2578"/>
      <c r="L97" s="2578"/>
      <c r="M97" s="2578"/>
      <c r="N97" s="2578"/>
      <c r="O97" s="2578"/>
      <c r="P97" s="2578"/>
      <c r="Q97" s="2578"/>
      <c r="R97" s="2578"/>
      <c r="S97" s="2578"/>
      <c r="T97" s="2578"/>
      <c r="U97" s="2578"/>
      <c r="V97" s="2578"/>
      <c r="W97" s="2579"/>
    </row>
    <row r="99" spans="1:28" ht="12.75" customHeight="1">
      <c r="H99" s="1691" t="s">
        <v>2741</v>
      </c>
      <c r="J99" s="270"/>
    </row>
    <row r="100" spans="1:28" ht="12.75" customHeight="1">
      <c r="I100" s="1637">
        <v>2016</v>
      </c>
      <c r="J100" s="1637">
        <v>2017</v>
      </c>
      <c r="K100" s="1637">
        <v>2018</v>
      </c>
      <c r="L100" s="1637">
        <v>2019</v>
      </c>
      <c r="M100" s="1637">
        <v>2020</v>
      </c>
      <c r="N100" s="1637">
        <v>2021</v>
      </c>
      <c r="O100" s="1637">
        <v>2022</v>
      </c>
      <c r="P100" s="1637">
        <v>2023</v>
      </c>
      <c r="Q100" s="1637">
        <v>2024</v>
      </c>
      <c r="R100" s="294"/>
      <c r="S100" s="294"/>
      <c r="T100" s="294"/>
      <c r="U100" s="294"/>
      <c r="V100" s="1676"/>
      <c r="W100" s="294"/>
      <c r="X100" s="294"/>
      <c r="Y100" s="294"/>
      <c r="Z100" s="294"/>
      <c r="AA100" s="294"/>
    </row>
    <row r="101" spans="1:28" ht="12.75" hidden="1" customHeight="1">
      <c r="H101" s="1636" t="s">
        <v>576</v>
      </c>
      <c r="M101" s="274"/>
      <c r="N101" s="274"/>
      <c r="O101" s="274"/>
      <c r="P101" s="274"/>
      <c r="R101" s="1678"/>
      <c r="S101" s="1678"/>
      <c r="T101" s="1678"/>
      <c r="U101" s="1678"/>
      <c r="V101" s="1678"/>
      <c r="W101" s="1678"/>
      <c r="X101" s="1678"/>
      <c r="Y101" s="1678"/>
      <c r="Z101" s="1678"/>
      <c r="AA101" s="1678"/>
      <c r="AB101" s="4"/>
    </row>
    <row r="102" spans="1:28" ht="12.75" hidden="1" customHeight="1">
      <c r="H102" s="1638">
        <v>1</v>
      </c>
      <c r="I102" s="1639">
        <f>M121</f>
        <v>2050.4263337344228</v>
      </c>
      <c r="J102" s="1639">
        <f t="shared" ref="J102:Q104" si="30">SUMIFS(I$132:I$134,$H$132:$H$134,$H102)*SUMIFS($J$113:$J$115,$P$113:$P$115,$H102)*I$139+SUMIFS($M$121:$M$123,$I$121:$I$123,$H102)*I$140</f>
        <v>2138.8109844926362</v>
      </c>
      <c r="K102" s="1639">
        <f t="shared" si="30"/>
        <v>2046.5041925599985</v>
      </c>
      <c r="L102" s="1639">
        <f t="shared" si="30"/>
        <v>2020.4144500133282</v>
      </c>
      <c r="M102" s="1639">
        <f t="shared" si="30"/>
        <v>2210.1212923318435</v>
      </c>
      <c r="N102" s="1639">
        <f t="shared" si="30"/>
        <v>2210.1212923318435</v>
      </c>
      <c r="O102" s="1639">
        <f t="shared" si="30"/>
        <v>2210.1212923318435</v>
      </c>
      <c r="P102" s="1639">
        <f t="shared" si="30"/>
        <v>2210.1212923318435</v>
      </c>
      <c r="Q102" s="1639">
        <f t="shared" si="30"/>
        <v>2210.1212923318435</v>
      </c>
      <c r="R102" s="1677"/>
      <c r="S102" s="1677"/>
      <c r="T102" s="1677"/>
      <c r="U102" s="1677"/>
      <c r="V102" s="1677"/>
      <c r="W102" s="1677"/>
      <c r="X102" s="1677"/>
      <c r="Y102" s="1677"/>
      <c r="Z102" s="1677"/>
      <c r="AA102" s="1677"/>
      <c r="AB102" s="1376"/>
    </row>
    <row r="103" spans="1:28" ht="12.75" hidden="1" customHeight="1">
      <c r="H103" s="1638">
        <v>2</v>
      </c>
      <c r="I103" s="1639">
        <f>M122</f>
        <v>405.88101140702685</v>
      </c>
      <c r="J103" s="1639">
        <f t="shared" si="30"/>
        <v>300.32954992622291</v>
      </c>
      <c r="K103" s="1639">
        <f t="shared" si="30"/>
        <v>353.76370065786989</v>
      </c>
      <c r="L103" s="1639">
        <f t="shared" si="30"/>
        <v>380.42795298152311</v>
      </c>
      <c r="M103" s="1639">
        <f t="shared" si="30"/>
        <v>268.2703297716883</v>
      </c>
      <c r="N103" s="1639">
        <f t="shared" si="30"/>
        <v>268.2703297716883</v>
      </c>
      <c r="O103" s="1639">
        <f t="shared" si="30"/>
        <v>268.2703297716883</v>
      </c>
      <c r="P103" s="1639">
        <f t="shared" si="30"/>
        <v>268.2703297716883</v>
      </c>
      <c r="Q103" s="1639">
        <f t="shared" si="30"/>
        <v>268.2703297716883</v>
      </c>
      <c r="R103" s="1677"/>
      <c r="S103" s="1677"/>
      <c r="T103" s="1677"/>
      <c r="U103" s="1677"/>
      <c r="V103" s="1677"/>
      <c r="W103" s="1677"/>
      <c r="X103" s="1677"/>
      <c r="Y103" s="1677"/>
      <c r="Z103" s="1677"/>
      <c r="AA103" s="1677"/>
      <c r="AB103" s="1376"/>
    </row>
    <row r="104" spans="1:28" ht="12.75" hidden="1" customHeight="1">
      <c r="H104" s="1638">
        <v>3</v>
      </c>
      <c r="I104" s="1639">
        <f>M123</f>
        <v>0</v>
      </c>
      <c r="J104" s="1639">
        <f t="shared" si="30"/>
        <v>0</v>
      </c>
      <c r="K104" s="1639">
        <f t="shared" si="30"/>
        <v>0</v>
      </c>
      <c r="L104" s="1639">
        <f t="shared" si="30"/>
        <v>0</v>
      </c>
      <c r="M104" s="1639">
        <f t="shared" si="30"/>
        <v>0</v>
      </c>
      <c r="N104" s="1639">
        <f t="shared" si="30"/>
        <v>0</v>
      </c>
      <c r="O104" s="1639">
        <f t="shared" si="30"/>
        <v>0</v>
      </c>
      <c r="P104" s="1639">
        <f t="shared" si="30"/>
        <v>0</v>
      </c>
      <c r="Q104" s="1639">
        <f t="shared" si="30"/>
        <v>0</v>
      </c>
      <c r="R104" s="1677"/>
      <c r="S104" s="1677"/>
      <c r="T104" s="1677"/>
      <c r="U104" s="1677"/>
      <c r="V104" s="1677"/>
      <c r="W104" s="1677"/>
      <c r="X104" s="1677"/>
      <c r="Y104" s="1677"/>
      <c r="Z104" s="1677"/>
      <c r="AA104" s="1677"/>
      <c r="AB104" s="1376"/>
    </row>
    <row r="105" spans="1:28" ht="12.75" hidden="1" customHeight="1">
      <c r="H105" s="1376"/>
      <c r="I105" s="1376"/>
      <c r="J105" s="1376"/>
      <c r="K105" s="1376"/>
      <c r="L105" s="1376"/>
      <c r="M105" s="1376"/>
      <c r="N105" s="1376"/>
      <c r="O105" s="1376"/>
      <c r="P105" s="1376"/>
      <c r="Q105" s="1376"/>
      <c r="R105" s="429"/>
      <c r="S105" s="429"/>
      <c r="T105" s="429"/>
      <c r="U105" s="429"/>
      <c r="V105" s="429"/>
      <c r="W105" s="429"/>
      <c r="X105" s="429"/>
      <c r="Y105" s="429"/>
      <c r="Z105" s="429"/>
      <c r="AA105" s="429"/>
      <c r="AB105" s="1376"/>
    </row>
    <row r="106" spans="1:28" ht="12.75" customHeight="1">
      <c r="H106" s="1237" t="s">
        <v>603</v>
      </c>
      <c r="I106" s="1706">
        <f>SUM(I102:I104)</f>
        <v>2456.3073451414498</v>
      </c>
      <c r="J106" s="1706">
        <f t="shared" ref="J106:Q106" si="31">SUM(J102:J104)</f>
        <v>2439.1405344188593</v>
      </c>
      <c r="K106" s="1706">
        <f t="shared" si="31"/>
        <v>2400.2678932178683</v>
      </c>
      <c r="L106" s="1706">
        <f t="shared" si="31"/>
        <v>2400.8424029948515</v>
      </c>
      <c r="M106" s="1706">
        <f t="shared" si="31"/>
        <v>2478.391622103532</v>
      </c>
      <c r="N106" s="1706">
        <f t="shared" si="31"/>
        <v>2478.391622103532</v>
      </c>
      <c r="O106" s="1706">
        <f t="shared" si="31"/>
        <v>2478.391622103532</v>
      </c>
      <c r="P106" s="1706">
        <f t="shared" si="31"/>
        <v>2478.391622103532</v>
      </c>
      <c r="Q106" s="1706">
        <f t="shared" si="31"/>
        <v>2478.391622103532</v>
      </c>
      <c r="R106" s="1679"/>
      <c r="S106" s="1679"/>
      <c r="T106" s="1679"/>
      <c r="U106" s="1679"/>
      <c r="V106" s="1679"/>
      <c r="W106" s="1679"/>
      <c r="X106" s="1679"/>
      <c r="Y106" s="1679"/>
      <c r="Z106" s="1679"/>
      <c r="AA106" s="1679"/>
      <c r="AB106" s="1376"/>
    </row>
    <row r="107" spans="1:28" ht="12.75" customHeight="1">
      <c r="H107" s="1376"/>
      <c r="I107" s="1376"/>
      <c r="J107" s="1376"/>
      <c r="K107" s="1376"/>
      <c r="L107" s="1376"/>
      <c r="M107" s="1376"/>
      <c r="N107" s="1376"/>
      <c r="O107" s="1376"/>
      <c r="P107" s="1376"/>
      <c r="Q107" s="1376"/>
      <c r="R107" s="1376"/>
      <c r="S107" s="1376"/>
      <c r="T107" s="1376"/>
      <c r="U107" s="1376"/>
      <c r="V107" s="1376"/>
      <c r="W107" s="1376"/>
      <c r="X107" s="1376"/>
      <c r="Y107" s="1376"/>
      <c r="Z107" s="1376"/>
      <c r="AA107" s="1376"/>
      <c r="AB107" s="1376"/>
    </row>
    <row r="108" spans="1:28" ht="12.75" customHeight="1" thickBot="1">
      <c r="H108" s="1691" t="s">
        <v>2745</v>
      </c>
      <c r="V108" s="274"/>
    </row>
    <row r="109" spans="1:28" ht="12.75" customHeight="1" thickTop="1" thickBot="1">
      <c r="H109" s="270" t="s">
        <v>589</v>
      </c>
      <c r="I109" s="2580" t="s">
        <v>1094</v>
      </c>
      <c r="J109" s="2581"/>
      <c r="K109" s="2582"/>
      <c r="Q109" s="275"/>
      <c r="R109" s="275"/>
      <c r="S109" s="275"/>
      <c r="T109" s="275"/>
      <c r="V109" s="274"/>
    </row>
    <row r="110" spans="1:28" ht="12.75" customHeight="1" thickTop="1">
      <c r="M110" s="274"/>
      <c r="N110" s="274"/>
      <c r="O110" s="274"/>
      <c r="P110" s="274"/>
      <c r="V110" s="274"/>
    </row>
    <row r="111" spans="1:28" ht="12.75" customHeight="1">
      <c r="H111" s="1653" t="s">
        <v>507</v>
      </c>
      <c r="I111" s="1654"/>
      <c r="J111" s="1654"/>
      <c r="K111" s="1654"/>
      <c r="L111" s="1654"/>
      <c r="M111" s="1654"/>
      <c r="N111" s="1655"/>
      <c r="O111" s="1656"/>
      <c r="P111" s="1376"/>
      <c r="V111" s="274"/>
    </row>
    <row r="112" spans="1:28" s="491" customFormat="1" ht="30.75" customHeight="1">
      <c r="A112" s="488"/>
      <c r="B112" s="488"/>
      <c r="C112" s="489"/>
      <c r="D112" s="489"/>
      <c r="E112" s="489"/>
      <c r="F112" s="489"/>
      <c r="G112" s="488"/>
      <c r="H112" s="1657" t="s">
        <v>216</v>
      </c>
      <c r="I112" s="1657" t="s">
        <v>217</v>
      </c>
      <c r="J112" s="1657" t="s">
        <v>218</v>
      </c>
      <c r="K112" s="1657" t="s">
        <v>219</v>
      </c>
      <c r="L112" s="1657" t="s">
        <v>220</v>
      </c>
      <c r="M112" s="1658" t="s">
        <v>221</v>
      </c>
      <c r="N112" s="1657" t="s">
        <v>222</v>
      </c>
      <c r="O112" s="1659" t="s">
        <v>223</v>
      </c>
      <c r="P112" s="1668" t="s">
        <v>576</v>
      </c>
      <c r="Q112" s="1669"/>
      <c r="R112" s="1669"/>
      <c r="S112" s="1669"/>
      <c r="T112" s="1669"/>
      <c r="U112" s="1669"/>
      <c r="V112" s="1670"/>
      <c r="W112" s="1669"/>
    </row>
    <row r="113" spans="8:28" ht="89.25">
      <c r="H113" s="1680" t="s">
        <v>224</v>
      </c>
      <c r="I113" s="1680" t="s">
        <v>1110</v>
      </c>
      <c r="J113" s="1681">
        <v>2550</v>
      </c>
      <c r="K113" s="1682">
        <v>15</v>
      </c>
      <c r="L113" s="1683"/>
      <c r="M113" s="1684">
        <v>0</v>
      </c>
      <c r="N113" s="1685" t="s">
        <v>225</v>
      </c>
      <c r="O113" s="1686">
        <v>101.74008926976593</v>
      </c>
      <c r="P113" s="1667">
        <v>1</v>
      </c>
      <c r="Q113" s="1671"/>
      <c r="R113" s="1671"/>
      <c r="S113" s="1671"/>
      <c r="T113" s="1671"/>
      <c r="U113" s="1671"/>
      <c r="V113" s="1671"/>
      <c r="W113" s="1671"/>
    </row>
    <row r="114" spans="8:28" ht="89.25">
      <c r="H114" s="1680" t="s">
        <v>226</v>
      </c>
      <c r="I114" s="1680" t="s">
        <v>1110</v>
      </c>
      <c r="J114" s="1681">
        <v>2570</v>
      </c>
      <c r="K114" s="1682">
        <v>15</v>
      </c>
      <c r="L114" s="1683"/>
      <c r="M114" s="1684">
        <v>0</v>
      </c>
      <c r="N114" s="1685" t="s">
        <v>227</v>
      </c>
      <c r="O114" s="1686">
        <v>123.6750527339677</v>
      </c>
      <c r="P114" s="1667">
        <v>2</v>
      </c>
      <c r="Q114" s="1671"/>
      <c r="R114" s="1671"/>
      <c r="S114" s="1671"/>
      <c r="T114" s="1671"/>
      <c r="U114" s="1671"/>
      <c r="V114" s="1671"/>
      <c r="W114" s="1671"/>
    </row>
    <row r="115" spans="8:28" ht="89.25">
      <c r="H115" s="1680" t="s">
        <v>228</v>
      </c>
      <c r="I115" s="1680" t="s">
        <v>1110</v>
      </c>
      <c r="J115" s="1681">
        <v>0</v>
      </c>
      <c r="K115" s="1682">
        <v>15</v>
      </c>
      <c r="L115" s="1683"/>
      <c r="M115" s="1684">
        <v>0</v>
      </c>
      <c r="N115" s="1685" t="s">
        <v>229</v>
      </c>
      <c r="O115" s="1686">
        <v>110.47081207370928</v>
      </c>
      <c r="P115" s="1667">
        <v>3</v>
      </c>
      <c r="Q115" s="1671"/>
      <c r="R115" s="1671"/>
      <c r="S115" s="1671"/>
      <c r="T115" s="1671"/>
      <c r="U115" s="1671"/>
      <c r="V115" s="1671"/>
      <c r="W115" s="1671"/>
    </row>
    <row r="116" spans="8:28" ht="15">
      <c r="H116" s="1680"/>
      <c r="I116" s="1680"/>
      <c r="J116" s="1681"/>
      <c r="K116" s="1682"/>
      <c r="L116" s="1683"/>
      <c r="M116" s="1684"/>
      <c r="N116" s="1685"/>
      <c r="O116" s="1686"/>
      <c r="P116" s="1667"/>
      <c r="Q116" s="1671"/>
      <c r="R116" s="1671"/>
      <c r="S116" s="1671"/>
      <c r="T116" s="1671"/>
      <c r="U116" s="1671"/>
      <c r="V116" s="1671"/>
      <c r="W116" s="1671"/>
    </row>
    <row r="117" spans="8:28" ht="29.25" customHeight="1">
      <c r="H117" s="1691" t="s">
        <v>2747</v>
      </c>
      <c r="I117" s="504"/>
      <c r="J117" s="1672"/>
      <c r="K117" s="1672"/>
      <c r="L117" s="1672"/>
      <c r="M117" s="1672"/>
      <c r="N117" s="1671"/>
      <c r="O117" s="1673"/>
      <c r="P117" s="1671"/>
      <c r="Q117" s="1671"/>
      <c r="R117" s="1671"/>
      <c r="S117" s="1671"/>
      <c r="T117" s="1671"/>
      <c r="U117" s="1671"/>
      <c r="V117" s="1671"/>
      <c r="W117" s="1671"/>
    </row>
    <row r="118" spans="8:28" ht="12.75" customHeight="1" thickBot="1">
      <c r="H118" s="1689" t="s">
        <v>2743</v>
      </c>
      <c r="I118" s="1376"/>
      <c r="J118" s="1376"/>
      <c r="K118" s="1376"/>
      <c r="L118" s="1376"/>
      <c r="M118" s="1376"/>
      <c r="N118" s="1376"/>
      <c r="O118" s="137"/>
      <c r="P118" s="274"/>
      <c r="Q118" s="276"/>
      <c r="V118" s="274"/>
    </row>
    <row r="119" spans="8:28" ht="45">
      <c r="H119" s="1215"/>
      <c r="I119" s="1216"/>
      <c r="J119" s="1216"/>
      <c r="K119" s="2566" t="s">
        <v>1478</v>
      </c>
      <c r="L119" s="2567"/>
      <c r="M119" s="1694" t="s">
        <v>574</v>
      </c>
      <c r="N119" s="274"/>
      <c r="O119"/>
      <c r="P119" s="274"/>
      <c r="Q119" s="276"/>
      <c r="V119" s="274"/>
    </row>
    <row r="120" spans="8:28" ht="45.75" customHeight="1">
      <c r="H120" s="1218"/>
      <c r="I120" s="1219" t="s">
        <v>576</v>
      </c>
      <c r="J120" s="1219"/>
      <c r="K120" s="1687" t="s">
        <v>1479</v>
      </c>
      <c r="L120" s="1688" t="s">
        <v>578</v>
      </c>
      <c r="M120" s="1693" t="s">
        <v>579</v>
      </c>
      <c r="N120" s="274"/>
      <c r="O120"/>
      <c r="P120" s="274"/>
      <c r="Q120" s="276"/>
      <c r="V120" s="274"/>
    </row>
    <row r="121" spans="8:28" ht="12.75" customHeight="1">
      <c r="H121" s="1224"/>
      <c r="I121" s="1225">
        <v>1</v>
      </c>
      <c r="J121" s="1225"/>
      <c r="K121" s="1695">
        <f>L121*$K$124</f>
        <v>179296.51542056288</v>
      </c>
      <c r="L121" s="1703">
        <v>0.8040887583272246</v>
      </c>
      <c r="M121" s="1699">
        <f>L121*J113</f>
        <v>2050.4263337344228</v>
      </c>
      <c r="N121" s="274"/>
      <c r="O121"/>
      <c r="P121" s="274"/>
      <c r="Q121" s="276"/>
      <c r="V121" s="274"/>
    </row>
    <row r="122" spans="8:28" ht="12.75" customHeight="1">
      <c r="H122" s="1229"/>
      <c r="I122" s="1230">
        <v>2</v>
      </c>
      <c r="J122" s="1230"/>
      <c r="K122" s="1696">
        <f>L122*$K$124</f>
        <v>35215.468406439788</v>
      </c>
      <c r="L122" s="1704">
        <v>0.15793035463308439</v>
      </c>
      <c r="M122" s="1700">
        <f>L122*J114</f>
        <v>405.88101140702685</v>
      </c>
      <c r="N122" s="274"/>
      <c r="O122"/>
      <c r="P122" s="274"/>
      <c r="Q122" s="276"/>
      <c r="V122" s="274"/>
    </row>
    <row r="123" spans="8:28" ht="12.75" customHeight="1">
      <c r="H123" s="1229"/>
      <c r="I123" s="1230">
        <v>3</v>
      </c>
      <c r="J123" s="1230"/>
      <c r="K123" s="1696">
        <f>L123*$K$124</f>
        <v>8469.0161729973315</v>
      </c>
      <c r="L123" s="1704">
        <v>3.7980887039690971E-2</v>
      </c>
      <c r="M123" s="1700">
        <f>L123*J115</f>
        <v>0</v>
      </c>
      <c r="N123" s="274"/>
      <c r="O123"/>
      <c r="P123" s="274"/>
      <c r="Q123" s="276"/>
      <c r="V123" s="274"/>
    </row>
    <row r="124" spans="8:28" ht="12.75" customHeight="1" thickBot="1">
      <c r="H124" s="135"/>
      <c r="I124" s="1235"/>
      <c r="J124" s="1235"/>
      <c r="K124" s="1698">
        <v>222981</v>
      </c>
      <c r="L124" s="1705">
        <f>SUM(L121:L123)</f>
        <v>0.99999999999999989</v>
      </c>
      <c r="M124" s="1702"/>
      <c r="N124" s="274"/>
      <c r="O124"/>
      <c r="P124" s="274"/>
      <c r="Q124" s="276"/>
      <c r="V124" s="274"/>
    </row>
    <row r="125" spans="8:28" ht="12.75" customHeight="1">
      <c r="I125" s="275"/>
      <c r="J125" s="275"/>
      <c r="K125" s="275"/>
      <c r="M125" s="1675"/>
      <c r="N125" s="274"/>
      <c r="O125"/>
      <c r="P125" s="274"/>
      <c r="Q125" s="276"/>
      <c r="V125" s="274"/>
    </row>
    <row r="126" spans="8:28" ht="12.75" customHeight="1">
      <c r="H126" s="1691" t="s">
        <v>2748</v>
      </c>
      <c r="I126" s="275"/>
      <c r="J126" s="275"/>
      <c r="K126" s="275"/>
      <c r="M126" s="274"/>
      <c r="N126" s="274"/>
      <c r="O126"/>
      <c r="P126" s="274"/>
      <c r="Q126" s="276"/>
      <c r="V126" s="274"/>
    </row>
    <row r="127" spans="8:28" ht="12.75" customHeight="1">
      <c r="H127" s="1204" t="s">
        <v>589</v>
      </c>
      <c r="I127" s="1204" t="s">
        <v>2749</v>
      </c>
      <c r="J127" s="1376"/>
      <c r="K127" s="1376"/>
      <c r="L127" s="1376"/>
      <c r="M127" s="1376"/>
      <c r="N127" s="1376"/>
      <c r="O127"/>
      <c r="P127" s="1376"/>
      <c r="Q127" s="1376"/>
      <c r="R127" s="1376"/>
      <c r="S127" s="1376"/>
      <c r="T127" s="1376"/>
      <c r="U127" s="1376"/>
      <c r="V127" s="1376"/>
      <c r="W127" s="1376"/>
      <c r="X127" s="1376"/>
      <c r="Y127" s="1376"/>
      <c r="Z127" s="1376"/>
      <c r="AA127" s="1376"/>
      <c r="AB127" s="1376"/>
    </row>
    <row r="128" spans="8:28" ht="12.75" customHeight="1">
      <c r="H128" s="1689" t="s">
        <v>2740</v>
      </c>
      <c r="I128" s="1376"/>
      <c r="J128" s="1376"/>
      <c r="K128" s="1376"/>
      <c r="L128" s="1376"/>
      <c r="M128" s="1376"/>
      <c r="N128" s="1376"/>
      <c r="O128" s="1376"/>
      <c r="P128" s="1376"/>
      <c r="Q128" s="1376"/>
      <c r="R128" s="1376"/>
      <c r="S128" s="1376"/>
      <c r="T128" s="1376"/>
      <c r="U128" s="1376"/>
      <c r="V128" s="1376"/>
      <c r="W128" s="1376"/>
      <c r="X128" s="1376"/>
      <c r="Y128" s="1376"/>
      <c r="Z128" s="1376"/>
      <c r="AA128" s="1376"/>
      <c r="AB128" s="1376"/>
    </row>
    <row r="129" spans="8:28" ht="12.75" customHeight="1">
      <c r="H129" s="1689"/>
      <c r="I129" s="1376"/>
      <c r="J129" s="1376"/>
      <c r="K129" s="1376"/>
      <c r="L129" s="1376"/>
      <c r="M129" s="1376"/>
      <c r="N129" s="1376"/>
      <c r="O129" s="1376"/>
      <c r="P129" s="1376"/>
      <c r="Q129" s="1376"/>
      <c r="R129" s="1376"/>
      <c r="S129" s="1376"/>
      <c r="T129" s="1376"/>
      <c r="U129" s="1376"/>
      <c r="V129" s="1376"/>
      <c r="W129" s="1376"/>
      <c r="X129" s="1376"/>
      <c r="Y129" s="1376"/>
      <c r="Z129" s="1376"/>
      <c r="AA129" s="1376"/>
      <c r="AB129" s="1376"/>
    </row>
    <row r="130" spans="8:28" ht="12.75" customHeight="1" thickBot="1">
      <c r="H130" s="2586" t="s">
        <v>2736</v>
      </c>
      <c r="I130" s="2586"/>
      <c r="J130" s="2586"/>
      <c r="K130" s="2586"/>
      <c r="L130" s="2586"/>
      <c r="M130" s="2586"/>
      <c r="N130" s="2586"/>
      <c r="O130" s="2586"/>
      <c r="P130" s="2586"/>
      <c r="Q130" s="1376"/>
      <c r="R130" s="1376"/>
      <c r="S130" s="1376"/>
      <c r="T130" s="1376"/>
      <c r="U130" s="1376"/>
      <c r="V130" s="1376"/>
      <c r="W130" s="1376"/>
      <c r="X130" s="1376"/>
      <c r="Y130" s="1376"/>
      <c r="Z130" s="1376"/>
      <c r="AA130" s="1376"/>
      <c r="AB130" s="1376"/>
    </row>
    <row r="131" spans="8:28" ht="12.75" customHeight="1" thickBot="1">
      <c r="H131" s="1640" t="s">
        <v>576</v>
      </c>
      <c r="I131" s="1641">
        <v>2017</v>
      </c>
      <c r="J131" s="1642">
        <v>2018</v>
      </c>
      <c r="K131" s="1642">
        <v>2019</v>
      </c>
      <c r="L131" s="1642">
        <v>2020</v>
      </c>
      <c r="M131" s="1642">
        <v>2121</v>
      </c>
      <c r="N131" s="1642">
        <v>2022</v>
      </c>
      <c r="O131" s="1642">
        <v>2023</v>
      </c>
      <c r="P131" s="1643">
        <v>2024</v>
      </c>
      <c r="Q131" s="1376"/>
      <c r="R131" s="1376"/>
      <c r="S131" s="1376"/>
      <c r="T131" s="1376"/>
      <c r="U131" s="1376"/>
      <c r="V131" s="1376"/>
      <c r="W131" s="1376"/>
      <c r="X131" s="1376"/>
      <c r="Y131" s="1376"/>
      <c r="Z131" s="1376"/>
      <c r="AA131" s="1376"/>
      <c r="AB131" s="1376"/>
    </row>
    <row r="132" spans="8:28" ht="12.75" customHeight="1">
      <c r="H132" s="1644">
        <v>1</v>
      </c>
      <c r="I132" s="1645">
        <v>0.84761235001560653</v>
      </c>
      <c r="J132" s="1645">
        <v>0.80200676934066839</v>
      </c>
      <c r="K132" s="1645">
        <v>0.78412214542804382</v>
      </c>
      <c r="L132" s="1645">
        <v>0.9103322534006193</v>
      </c>
      <c r="M132" s="1645">
        <v>0.9103322534006193</v>
      </c>
      <c r="N132" s="1645">
        <v>0.9103322534006193</v>
      </c>
      <c r="O132" s="1645">
        <v>0.9103322534006193</v>
      </c>
      <c r="P132" s="1646">
        <v>0.9103322534006193</v>
      </c>
      <c r="Q132" s="1376"/>
      <c r="R132" s="1376"/>
      <c r="S132" s="1376"/>
      <c r="T132" s="1376"/>
      <c r="U132" s="1376"/>
      <c r="V132" s="1376"/>
      <c r="W132" s="1376"/>
      <c r="X132" s="1376"/>
      <c r="Y132" s="1376"/>
      <c r="Z132" s="1376"/>
      <c r="AA132" s="1376"/>
      <c r="AB132" s="1376"/>
    </row>
    <row r="133" spans="8:28" ht="12.75" customHeight="1">
      <c r="H133" s="1647">
        <v>2</v>
      </c>
      <c r="I133" s="1648">
        <v>0.10635773579706201</v>
      </c>
      <c r="J133" s="1648">
        <v>0.13048023375299003</v>
      </c>
      <c r="K133" s="1648">
        <v>0.14112846318521433</v>
      </c>
      <c r="L133" s="1648">
        <v>6.709177263432381E-2</v>
      </c>
      <c r="M133" s="1648">
        <v>6.709177263432381E-2</v>
      </c>
      <c r="N133" s="1648">
        <v>6.709177263432381E-2</v>
      </c>
      <c r="O133" s="1648">
        <v>6.709177263432381E-2</v>
      </c>
      <c r="P133" s="1649">
        <v>6.709177263432381E-2</v>
      </c>
      <c r="Q133" s="1376"/>
      <c r="R133" s="1376"/>
      <c r="S133" s="1376"/>
      <c r="T133" s="1376"/>
      <c r="U133" s="1376"/>
      <c r="V133" s="1376"/>
      <c r="W133" s="1376"/>
      <c r="X133" s="1376"/>
      <c r="Y133" s="1376"/>
      <c r="Z133" s="1376"/>
      <c r="AA133" s="1376"/>
      <c r="AB133" s="1376"/>
    </row>
    <row r="134" spans="8:28" ht="12.75" customHeight="1" thickBot="1">
      <c r="H134" s="1650">
        <v>3</v>
      </c>
      <c r="I134" s="1651">
        <v>4.6029914187331461E-2</v>
      </c>
      <c r="J134" s="1651">
        <v>6.7512996906341535E-2</v>
      </c>
      <c r="K134" s="1651">
        <v>7.4749391386741776E-2</v>
      </c>
      <c r="L134" s="1651">
        <v>2.2575973965056964E-2</v>
      </c>
      <c r="M134" s="1651">
        <v>2.2575973965056964E-2</v>
      </c>
      <c r="N134" s="1651">
        <v>2.2575973965056964E-2</v>
      </c>
      <c r="O134" s="1651">
        <v>2.2575973965056964E-2</v>
      </c>
      <c r="P134" s="1652">
        <v>2.2575973965056964E-2</v>
      </c>
      <c r="Q134" s="1376"/>
      <c r="R134" s="1376"/>
      <c r="S134" s="1376"/>
      <c r="T134" s="1376"/>
      <c r="U134" s="1376"/>
      <c r="V134" s="1376"/>
      <c r="W134" s="1376"/>
      <c r="X134" s="1376"/>
      <c r="Y134" s="1376"/>
      <c r="Z134" s="1376"/>
      <c r="AA134" s="1376"/>
      <c r="AB134" s="1376"/>
    </row>
    <row r="135" spans="8:28" ht="12.75" customHeight="1">
      <c r="I135" s="1376"/>
      <c r="J135" s="1376"/>
      <c r="K135" s="1376"/>
      <c r="L135" s="1376"/>
      <c r="M135" s="1376"/>
      <c r="N135" s="1376"/>
      <c r="O135" s="1376"/>
      <c r="P135" s="1376"/>
      <c r="Q135" s="1376"/>
      <c r="R135" s="1376"/>
      <c r="S135" s="1376"/>
      <c r="T135" s="1376"/>
      <c r="U135" s="1376"/>
      <c r="V135" s="1376"/>
      <c r="W135" s="1376"/>
      <c r="X135" s="1376"/>
      <c r="Y135" s="1376"/>
      <c r="Z135" s="1376"/>
      <c r="AA135" s="1376"/>
      <c r="AB135" s="1376"/>
    </row>
    <row r="136" spans="8:28" ht="12.75" customHeight="1">
      <c r="H136" s="1376"/>
      <c r="I136" s="1376"/>
      <c r="J136" s="1376"/>
      <c r="K136" s="1376"/>
      <c r="L136" s="1376"/>
      <c r="M136" s="1376"/>
      <c r="N136" s="1376"/>
      <c r="O136" s="1376"/>
      <c r="P136" s="1376"/>
      <c r="Q136" s="1376"/>
      <c r="R136" s="1376"/>
      <c r="S136" s="1376"/>
      <c r="T136" s="1376"/>
      <c r="U136" s="1376"/>
      <c r="V136" s="1376"/>
      <c r="W136" s="1376"/>
      <c r="X136" s="1376"/>
      <c r="Y136" s="1376"/>
      <c r="Z136" s="1376"/>
      <c r="AA136" s="1376"/>
      <c r="AB136" s="1376"/>
    </row>
    <row r="137" spans="8:28" ht="12.75" customHeight="1" thickBot="1">
      <c r="H137" s="2584" t="s">
        <v>2737</v>
      </c>
      <c r="I137" s="2584"/>
      <c r="J137" s="2584"/>
      <c r="K137" s="2584"/>
      <c r="L137" s="2584"/>
      <c r="M137" s="2584"/>
      <c r="N137" s="2584"/>
      <c r="O137" s="2584"/>
      <c r="P137" s="2584"/>
      <c r="Q137" s="1376"/>
      <c r="R137" s="1376"/>
      <c r="S137" s="1376"/>
      <c r="T137" s="1376"/>
      <c r="U137" s="1376"/>
      <c r="V137" s="1376"/>
      <c r="W137" s="1376"/>
      <c r="X137" s="1376"/>
      <c r="Y137" s="1376"/>
      <c r="Z137" s="1376"/>
      <c r="AA137" s="1376"/>
      <c r="AB137" s="1376"/>
    </row>
    <row r="138" spans="8:28" ht="12.75" customHeight="1" thickBot="1">
      <c r="H138" s="1629" t="s">
        <v>1482</v>
      </c>
      <c r="I138" s="1630">
        <v>2017</v>
      </c>
      <c r="J138" s="1630">
        <v>2018</v>
      </c>
      <c r="K138" s="1630">
        <v>2019</v>
      </c>
      <c r="L138" s="1630">
        <v>2020</v>
      </c>
      <c r="M138" s="1630">
        <v>2021</v>
      </c>
      <c r="N138" s="1630">
        <v>2022</v>
      </c>
      <c r="O138" s="1630">
        <v>2023</v>
      </c>
      <c r="P138" s="1631">
        <v>2024</v>
      </c>
      <c r="Q138" s="1376"/>
      <c r="R138" s="1376"/>
      <c r="S138" s="1376"/>
      <c r="T138" s="1376"/>
      <c r="U138" s="1376"/>
      <c r="V138" s="1376"/>
      <c r="W138" s="1376"/>
      <c r="X138" s="1376"/>
      <c r="Y138" s="1376"/>
      <c r="Z138" s="1376"/>
      <c r="AA138" s="1376"/>
      <c r="AB138" s="1376"/>
    </row>
    <row r="139" spans="8:28" ht="12.75" customHeight="1">
      <c r="H139" s="1632" t="s">
        <v>1483</v>
      </c>
      <c r="I139" s="1248">
        <v>0.79636459243354196</v>
      </c>
      <c r="J139" s="1249">
        <v>0.73876211072070852</v>
      </c>
      <c r="K139" s="1249">
        <v>0.58945231344761462</v>
      </c>
      <c r="L139" s="1249">
        <v>0.58945231344761462</v>
      </c>
      <c r="M139" s="1249">
        <v>0.58945231344761462</v>
      </c>
      <c r="N139" s="1249">
        <v>0.58945231344761462</v>
      </c>
      <c r="O139" s="1249">
        <v>0.58945231344761462</v>
      </c>
      <c r="P139" s="1633">
        <v>0.58945231344761462</v>
      </c>
      <c r="Q139" s="1376"/>
      <c r="R139" s="1376"/>
      <c r="S139" s="1376"/>
      <c r="T139" s="1376"/>
      <c r="U139" s="1376"/>
      <c r="V139" s="1376"/>
      <c r="W139" s="1376"/>
      <c r="X139" s="1376"/>
      <c r="Y139" s="1376"/>
      <c r="Z139" s="1376"/>
      <c r="AA139" s="1376"/>
      <c r="AB139" s="1376"/>
    </row>
    <row r="140" spans="8:28" ht="12.75" customHeight="1" thickBot="1">
      <c r="H140" s="1634" t="s">
        <v>1484</v>
      </c>
      <c r="I140" s="1635">
        <v>0.20363540756645804</v>
      </c>
      <c r="J140" s="1258">
        <v>0.26123788927929148</v>
      </c>
      <c r="K140" s="1258">
        <v>0.41054768655238538</v>
      </c>
      <c r="L140" s="1258">
        <v>0.41054768655238538</v>
      </c>
      <c r="M140" s="1258">
        <v>0.41054768655238538</v>
      </c>
      <c r="N140" s="1258">
        <v>0.41054768655238538</v>
      </c>
      <c r="O140" s="1258">
        <v>0.41054768655238538</v>
      </c>
      <c r="P140" s="1259">
        <v>0.41054768655238538</v>
      </c>
      <c r="Q140" s="1376"/>
      <c r="R140" s="1376"/>
      <c r="S140" s="1376"/>
      <c r="T140" s="1376"/>
      <c r="U140" s="1376"/>
      <c r="V140" s="1376"/>
      <c r="W140" s="1376"/>
      <c r="X140" s="1376"/>
      <c r="Y140" s="1376"/>
      <c r="Z140" s="1376"/>
      <c r="AA140" s="1376"/>
      <c r="AB140" s="1376"/>
    </row>
    <row r="141" spans="8:28" ht="12.75" customHeight="1">
      <c r="H141" s="1689"/>
    </row>
    <row r="143" spans="8:28" ht="12.75" customHeight="1" thickBot="1">
      <c r="H143" s="1692" t="s">
        <v>2739</v>
      </c>
      <c r="I143" s="497"/>
      <c r="J143" s="497"/>
      <c r="K143" s="497"/>
      <c r="L143" s="497"/>
      <c r="M143" s="497"/>
      <c r="N143" s="497"/>
      <c r="O143" s="497"/>
      <c r="P143" s="497"/>
      <c r="Q143" s="497"/>
      <c r="R143" s="497"/>
      <c r="S143" s="497"/>
      <c r="T143" s="497"/>
      <c r="U143" s="497"/>
      <c r="V143" s="497"/>
      <c r="W143" s="497"/>
    </row>
    <row r="144" spans="8:28" ht="12.75" customHeight="1" thickTop="1"/>
    <row r="145" spans="8:17" ht="12.75" customHeight="1">
      <c r="H145" s="1691" t="s">
        <v>2741</v>
      </c>
      <c r="J145" s="270"/>
    </row>
    <row r="146" spans="8:17" ht="12.75" customHeight="1">
      <c r="I146" s="1637">
        <v>2016</v>
      </c>
      <c r="J146" s="1637">
        <v>2017</v>
      </c>
      <c r="K146" s="1637">
        <v>2018</v>
      </c>
      <c r="L146" s="1637">
        <v>2019</v>
      </c>
      <c r="M146" s="1637">
        <v>2020</v>
      </c>
      <c r="N146" s="1637">
        <v>2021</v>
      </c>
      <c r="O146" s="1637">
        <v>2022</v>
      </c>
      <c r="P146" s="1637">
        <v>2023</v>
      </c>
      <c r="Q146" s="1637">
        <v>2024</v>
      </c>
    </row>
    <row r="147" spans="8:17" ht="12.75" hidden="1" customHeight="1">
      <c r="H147" s="1636" t="s">
        <v>576</v>
      </c>
      <c r="M147" s="274"/>
      <c r="N147" s="274"/>
      <c r="O147" s="274"/>
      <c r="P147" s="274"/>
    </row>
    <row r="148" spans="8:17" ht="12.75" hidden="1" customHeight="1">
      <c r="H148" s="1638">
        <v>1</v>
      </c>
      <c r="I148" s="1639">
        <f>M168</f>
        <v>2193.3492589284215</v>
      </c>
      <c r="J148" s="1639">
        <f t="shared" ref="J148:Q150" si="32">SUMIFS(I$179:I$181,$H$179:$H$181,$H148)*SUMIFS($J$160:$J$162,$P$160:$P$162,$H148)*I$186+SUMIFS($M$168:$M$170,$I$168:$I$170,$H148)*I$187</f>
        <v>2211.1168651817961</v>
      </c>
      <c r="K148" s="1639">
        <f t="shared" si="32"/>
        <v>2238.1387500110195</v>
      </c>
      <c r="L148" s="1639">
        <f t="shared" si="32"/>
        <v>2349.6267874767591</v>
      </c>
      <c r="M148" s="1639">
        <f t="shared" si="32"/>
        <v>2338.7656379696164</v>
      </c>
      <c r="N148" s="1639">
        <f t="shared" si="32"/>
        <v>2338.7656379696164</v>
      </c>
      <c r="O148" s="1639">
        <f t="shared" si="32"/>
        <v>2338.7656379696164</v>
      </c>
      <c r="P148" s="1639">
        <f t="shared" si="32"/>
        <v>2338.7656379696164</v>
      </c>
      <c r="Q148" s="1639">
        <f t="shared" si="32"/>
        <v>2338.7656379696164</v>
      </c>
    </row>
    <row r="149" spans="8:17" ht="12.75" hidden="1" customHeight="1">
      <c r="H149" s="1638">
        <v>2</v>
      </c>
      <c r="I149" s="1639">
        <f>M169</f>
        <v>667.82005194365706</v>
      </c>
      <c r="J149" s="1639">
        <f t="shared" si="32"/>
        <v>549.02889628643368</v>
      </c>
      <c r="K149" s="1639">
        <f t="shared" si="32"/>
        <v>558.87310457522221</v>
      </c>
      <c r="L149" s="1639">
        <f t="shared" si="32"/>
        <v>478.49742955280146</v>
      </c>
      <c r="M149" s="1639">
        <f t="shared" si="32"/>
        <v>508.32941325327067</v>
      </c>
      <c r="N149" s="1639">
        <f t="shared" si="32"/>
        <v>508.32941325327067</v>
      </c>
      <c r="O149" s="1639">
        <f t="shared" si="32"/>
        <v>508.32941325327067</v>
      </c>
      <c r="P149" s="1639">
        <f t="shared" si="32"/>
        <v>508.32941325327067</v>
      </c>
      <c r="Q149" s="1639">
        <f t="shared" si="32"/>
        <v>508.32941325327067</v>
      </c>
    </row>
    <row r="150" spans="8:17" ht="12.75" hidden="1" customHeight="1">
      <c r="H150" s="1638">
        <v>3</v>
      </c>
      <c r="I150" s="1639">
        <f>M170</f>
        <v>0</v>
      </c>
      <c r="J150" s="1639">
        <f t="shared" si="32"/>
        <v>0</v>
      </c>
      <c r="K150" s="1639">
        <f t="shared" si="32"/>
        <v>0</v>
      </c>
      <c r="L150" s="1639">
        <f t="shared" si="32"/>
        <v>0</v>
      </c>
      <c r="M150" s="1639">
        <f t="shared" si="32"/>
        <v>0</v>
      </c>
      <c r="N150" s="1639">
        <f t="shared" si="32"/>
        <v>0</v>
      </c>
      <c r="O150" s="1639">
        <f t="shared" si="32"/>
        <v>0</v>
      </c>
      <c r="P150" s="1639">
        <f t="shared" si="32"/>
        <v>0</v>
      </c>
      <c r="Q150" s="1639">
        <f t="shared" si="32"/>
        <v>0</v>
      </c>
    </row>
    <row r="151" spans="8:17" ht="12.75" hidden="1" customHeight="1">
      <c r="H151" s="1376"/>
      <c r="I151" s="1376"/>
      <c r="J151" s="1376"/>
      <c r="K151" s="1376"/>
      <c r="L151" s="1376"/>
      <c r="M151" s="1376"/>
      <c r="N151" s="1376"/>
      <c r="O151" s="1376"/>
      <c r="P151" s="1376"/>
      <c r="Q151" s="1376"/>
    </row>
    <row r="152" spans="8:17" ht="12.75" customHeight="1">
      <c r="H152" s="1237" t="s">
        <v>603</v>
      </c>
      <c r="I152" s="1706">
        <f>SUM(I148:I150)</f>
        <v>2861.1693108720783</v>
      </c>
      <c r="J152" s="1706">
        <f t="shared" ref="J152:Q152" si="33">SUM(J148:J150)</f>
        <v>2760.1457614682299</v>
      </c>
      <c r="K152" s="1706">
        <f t="shared" si="33"/>
        <v>2797.0118545862415</v>
      </c>
      <c r="L152" s="1706">
        <f t="shared" si="33"/>
        <v>2828.1242170295604</v>
      </c>
      <c r="M152" s="1706">
        <f t="shared" si="33"/>
        <v>2847.0950512228869</v>
      </c>
      <c r="N152" s="1706">
        <f t="shared" si="33"/>
        <v>2847.0950512228869</v>
      </c>
      <c r="O152" s="1706">
        <f t="shared" si="33"/>
        <v>2847.0950512228869</v>
      </c>
      <c r="P152" s="1706">
        <f t="shared" si="33"/>
        <v>2847.0950512228869</v>
      </c>
      <c r="Q152" s="1706">
        <f t="shared" si="33"/>
        <v>2847.0950512228869</v>
      </c>
    </row>
    <row r="153" spans="8:17" ht="12.75" customHeight="1">
      <c r="H153" s="1376"/>
      <c r="I153" s="1376"/>
      <c r="J153" s="1376"/>
      <c r="K153" s="1376"/>
      <c r="L153" s="1376"/>
      <c r="M153" s="1376"/>
      <c r="N153" s="1376"/>
      <c r="O153" s="1376"/>
      <c r="P153" s="1376"/>
      <c r="Q153" s="1376"/>
    </row>
    <row r="154" spans="8:17" ht="12.75" customHeight="1">
      <c r="H154" s="1376"/>
      <c r="I154" s="1376"/>
      <c r="J154" s="1376"/>
      <c r="K154" s="1376"/>
      <c r="L154" s="1376"/>
      <c r="M154" s="1376"/>
      <c r="N154" s="1376"/>
      <c r="O154" s="1376"/>
      <c r="P154" s="1376"/>
      <c r="Q154" s="1376"/>
    </row>
    <row r="155" spans="8:17" ht="12.75" customHeight="1" thickBot="1">
      <c r="H155" s="1691" t="s">
        <v>2745</v>
      </c>
    </row>
    <row r="156" spans="8:17" ht="12.75" customHeight="1" thickTop="1" thickBot="1">
      <c r="H156" s="270" t="s">
        <v>589</v>
      </c>
      <c r="I156" s="2580" t="s">
        <v>1094</v>
      </c>
      <c r="J156" s="2581"/>
      <c r="K156" s="2582"/>
      <c r="Q156" s="275"/>
    </row>
    <row r="157" spans="8:17" ht="12.75" customHeight="1" thickTop="1">
      <c r="M157" s="274"/>
      <c r="N157" s="274"/>
      <c r="O157" s="274"/>
      <c r="P157" s="274"/>
    </row>
    <row r="158" spans="8:17" ht="12.75" customHeight="1">
      <c r="H158" s="1653" t="s">
        <v>507</v>
      </c>
      <c r="I158" s="1654"/>
      <c r="J158" s="1654"/>
      <c r="K158" s="1654"/>
      <c r="L158" s="1654"/>
      <c r="M158" s="1654"/>
      <c r="N158" s="1655"/>
      <c r="O158" s="1656"/>
      <c r="P158" s="1376"/>
    </row>
    <row r="159" spans="8:17" ht="12.75" customHeight="1">
      <c r="H159" s="1657" t="s">
        <v>216</v>
      </c>
      <c r="I159" s="1657" t="s">
        <v>217</v>
      </c>
      <c r="J159" s="1657" t="s">
        <v>218</v>
      </c>
      <c r="K159" s="1657" t="s">
        <v>219</v>
      </c>
      <c r="L159" s="1657" t="s">
        <v>220</v>
      </c>
      <c r="M159" s="1658" t="s">
        <v>221</v>
      </c>
      <c r="N159" s="1657" t="s">
        <v>222</v>
      </c>
      <c r="O159" s="1659" t="s">
        <v>223</v>
      </c>
      <c r="P159" s="1668" t="s">
        <v>576</v>
      </c>
      <c r="Q159" s="1669"/>
    </row>
    <row r="160" spans="8:17" ht="89.25">
      <c r="H160" s="1660" t="s">
        <v>230</v>
      </c>
      <c r="I160" s="1660" t="s">
        <v>1110</v>
      </c>
      <c r="J160" s="1661">
        <v>3055</v>
      </c>
      <c r="K160" s="1662">
        <v>15</v>
      </c>
      <c r="L160" s="1663"/>
      <c r="M160" s="1664">
        <v>0</v>
      </c>
      <c r="N160" s="1665" t="s">
        <v>225</v>
      </c>
      <c r="O160" s="1666">
        <v>29.551850363589864</v>
      </c>
      <c r="P160" s="1667">
        <v>1</v>
      </c>
      <c r="Q160" s="1671"/>
    </row>
    <row r="161" spans="8:17" ht="89.25">
      <c r="H161" s="1660" t="s">
        <v>231</v>
      </c>
      <c r="I161" s="1660" t="s">
        <v>1110</v>
      </c>
      <c r="J161" s="1661">
        <v>2825</v>
      </c>
      <c r="K161" s="1662">
        <v>15</v>
      </c>
      <c r="L161" s="1663"/>
      <c r="M161" s="1664">
        <v>0</v>
      </c>
      <c r="N161" s="1665" t="s">
        <v>227</v>
      </c>
      <c r="O161" s="1666">
        <v>37.134509330835805</v>
      </c>
      <c r="P161" s="1667">
        <v>2</v>
      </c>
      <c r="Q161" s="1671"/>
    </row>
    <row r="162" spans="8:17" ht="89.25">
      <c r="H162" s="1660" t="s">
        <v>232</v>
      </c>
      <c r="I162" s="1660" t="s">
        <v>1110</v>
      </c>
      <c r="J162" s="1661">
        <v>0</v>
      </c>
      <c r="K162" s="1662">
        <v>15</v>
      </c>
      <c r="L162" s="1663"/>
      <c r="M162" s="1664">
        <v>0</v>
      </c>
      <c r="N162" s="1665" t="s">
        <v>229</v>
      </c>
      <c r="O162" s="1666">
        <v>32.64688726809969</v>
      </c>
      <c r="P162" s="1667">
        <v>3</v>
      </c>
      <c r="Q162" s="1671"/>
    </row>
    <row r="163" spans="8:17" ht="12.75" customHeight="1">
      <c r="H163" s="2599"/>
      <c r="I163" s="2599"/>
      <c r="J163" s="1672"/>
      <c r="K163" s="1672"/>
      <c r="L163" s="1672"/>
      <c r="M163" s="1672"/>
      <c r="N163" s="1671"/>
      <c r="O163" s="1673"/>
      <c r="P163" s="1671"/>
      <c r="Q163" s="1671"/>
    </row>
    <row r="164" spans="8:17" ht="12.75" customHeight="1">
      <c r="H164" s="1691" t="s">
        <v>2747</v>
      </c>
      <c r="I164" s="1674"/>
      <c r="J164" s="1672"/>
      <c r="K164" s="1672"/>
      <c r="L164" s="1672"/>
      <c r="M164" s="1672"/>
      <c r="N164" s="1671"/>
      <c r="O164"/>
      <c r="P164" s="1671"/>
      <c r="Q164" s="1671"/>
    </row>
    <row r="165" spans="8:17" ht="12.75" customHeight="1" thickBot="1">
      <c r="H165" s="1689" t="s">
        <v>2743</v>
      </c>
      <c r="I165" s="1376"/>
      <c r="J165" s="1376"/>
      <c r="K165" s="1376"/>
      <c r="L165" s="1376"/>
      <c r="M165" s="1376"/>
      <c r="N165" s="1376"/>
      <c r="O165"/>
      <c r="P165" s="274"/>
      <c r="Q165" s="276"/>
    </row>
    <row r="166" spans="8:17" ht="45">
      <c r="H166" s="1215"/>
      <c r="I166" s="1216"/>
      <c r="J166" s="1216"/>
      <c r="K166" s="1215" t="s">
        <v>1478</v>
      </c>
      <c r="L166" s="1217"/>
      <c r="M166" s="1694" t="s">
        <v>574</v>
      </c>
      <c r="N166" s="274"/>
      <c r="O166"/>
      <c r="P166" s="274"/>
      <c r="Q166" s="276"/>
    </row>
    <row r="167" spans="8:17" ht="53.25" customHeight="1">
      <c r="H167" s="1218"/>
      <c r="I167" s="1219" t="s">
        <v>576</v>
      </c>
      <c r="J167" s="1219"/>
      <c r="K167" s="1687" t="s">
        <v>1479</v>
      </c>
      <c r="L167" s="1688" t="s">
        <v>578</v>
      </c>
      <c r="M167" s="1693" t="s">
        <v>579</v>
      </c>
      <c r="N167" s="274"/>
      <c r="O167"/>
      <c r="P167" s="274"/>
      <c r="Q167" s="276"/>
    </row>
    <row r="168" spans="8:17" ht="12.75" customHeight="1">
      <c r="H168" s="1224"/>
      <c r="I168" s="1225">
        <v>1</v>
      </c>
      <c r="J168" s="1225"/>
      <c r="K168" s="1695">
        <f>L168*$K$124</f>
        <v>160090.08546812384</v>
      </c>
      <c r="L168" s="1703">
        <v>0.71795393090946691</v>
      </c>
      <c r="M168" s="1699">
        <f>L168*J160</f>
        <v>2193.3492589284215</v>
      </c>
      <c r="N168" s="274"/>
      <c r="O168"/>
      <c r="P168" s="274"/>
      <c r="Q168" s="276"/>
    </row>
    <row r="169" spans="8:17" ht="12.75" customHeight="1">
      <c r="H169" s="1229"/>
      <c r="I169" s="1230">
        <v>2</v>
      </c>
      <c r="J169" s="1230"/>
      <c r="K169" s="1696">
        <f>L169*$K$124</f>
        <v>52711.92318670747</v>
      </c>
      <c r="L169" s="1704">
        <v>0.23639647856412641</v>
      </c>
      <c r="M169" s="1700">
        <f>L169*J161</f>
        <v>667.82005194365706</v>
      </c>
      <c r="N169" s="274"/>
      <c r="O169"/>
      <c r="P169" s="274"/>
      <c r="Q169" s="276"/>
    </row>
    <row r="170" spans="8:17" ht="12.75" customHeight="1">
      <c r="H170" s="1229"/>
      <c r="I170" s="1230">
        <v>3</v>
      </c>
      <c r="J170" s="1230"/>
      <c r="K170" s="1696">
        <f>L170*$K$124</f>
        <v>10178.991345168679</v>
      </c>
      <c r="L170" s="1704">
        <v>4.5649590526406637E-2</v>
      </c>
      <c r="M170" s="1700">
        <f>L170*J162</f>
        <v>0</v>
      </c>
      <c r="N170" s="274"/>
      <c r="O170"/>
      <c r="P170" s="274"/>
      <c r="Q170" s="276"/>
    </row>
    <row r="171" spans="8:17" ht="12.75" customHeight="1" thickBot="1">
      <c r="H171" s="135"/>
      <c r="I171" s="1235"/>
      <c r="J171" s="1235"/>
      <c r="K171" s="1698">
        <v>280858.15999999997</v>
      </c>
      <c r="L171" s="1705">
        <f>SUM(L168:L170)</f>
        <v>0.99999999999999989</v>
      </c>
      <c r="M171" s="1702"/>
      <c r="N171" s="274"/>
      <c r="O171"/>
      <c r="P171" s="274"/>
      <c r="Q171" s="276"/>
    </row>
    <row r="172" spans="8:17" ht="12.75" customHeight="1">
      <c r="I172" s="275"/>
      <c r="J172" s="275"/>
      <c r="K172" s="275"/>
      <c r="M172" s="1675"/>
      <c r="N172" s="274"/>
      <c r="O172"/>
      <c r="P172" s="274"/>
      <c r="Q172" s="276"/>
    </row>
    <row r="173" spans="8:17" ht="12.75" customHeight="1">
      <c r="H173" s="1691" t="s">
        <v>2748</v>
      </c>
      <c r="I173" s="275"/>
      <c r="J173" s="275"/>
      <c r="K173" s="275"/>
      <c r="M173" s="1675"/>
      <c r="N173" s="274"/>
      <c r="O173"/>
      <c r="P173" s="274"/>
      <c r="Q173" s="276"/>
    </row>
    <row r="174" spans="8:17" ht="12.75" customHeight="1">
      <c r="H174" s="1204" t="s">
        <v>589</v>
      </c>
      <c r="I174" s="1204" t="s">
        <v>2749</v>
      </c>
      <c r="J174" s="275"/>
      <c r="K174" s="275"/>
      <c r="M174" s="274"/>
      <c r="N174" s="274"/>
      <c r="O174" s="274"/>
      <c r="P174" s="274"/>
      <c r="Q174" s="276"/>
    </row>
    <row r="175" spans="8:17" ht="12.75" customHeight="1">
      <c r="H175" s="1689" t="s">
        <v>2740</v>
      </c>
      <c r="I175" s="1376"/>
      <c r="J175" s="1376"/>
      <c r="K175" s="1376"/>
      <c r="L175" s="1376"/>
      <c r="M175" s="1376"/>
      <c r="N175" s="1376"/>
      <c r="O175" s="1376"/>
      <c r="P175" s="1376"/>
      <c r="Q175" s="1376"/>
    </row>
    <row r="176" spans="8:17" ht="12.75" customHeight="1">
      <c r="H176" s="1689"/>
      <c r="I176" s="1376"/>
      <c r="J176" s="1376"/>
      <c r="K176" s="1376"/>
      <c r="L176" s="1376"/>
      <c r="M176" s="1376"/>
      <c r="N176" s="1376"/>
      <c r="O176" s="1376"/>
      <c r="P176" s="1376"/>
      <c r="Q176" s="1376"/>
    </row>
    <row r="177" spans="8:17" ht="12.75" customHeight="1" thickBot="1">
      <c r="H177" s="2586" t="s">
        <v>2736</v>
      </c>
      <c r="I177" s="2586"/>
      <c r="J177" s="2586"/>
      <c r="K177" s="2586"/>
      <c r="L177" s="2586"/>
      <c r="M177" s="2586"/>
      <c r="N177" s="2586"/>
      <c r="O177" s="2586"/>
      <c r="P177" s="2586"/>
      <c r="Q177" s="1376"/>
    </row>
    <row r="178" spans="8:17" ht="12.75" customHeight="1" thickBot="1">
      <c r="H178" s="1640" t="s">
        <v>576</v>
      </c>
      <c r="I178" s="1641">
        <v>2017</v>
      </c>
      <c r="J178" s="1642">
        <v>2018</v>
      </c>
      <c r="K178" s="1642">
        <v>2019</v>
      </c>
      <c r="L178" s="1642">
        <v>2020</v>
      </c>
      <c r="M178" s="1642">
        <v>2121</v>
      </c>
      <c r="N178" s="1642">
        <v>2022</v>
      </c>
      <c r="O178" s="1642">
        <v>2023</v>
      </c>
      <c r="P178" s="1643">
        <v>2024</v>
      </c>
      <c r="Q178" s="1376"/>
    </row>
    <row r="179" spans="8:17" ht="12.75" customHeight="1">
      <c r="H179" s="1644">
        <v>1</v>
      </c>
      <c r="I179" s="1645">
        <v>0.72697043901503067</v>
      </c>
      <c r="J179" s="1645">
        <v>0.74000489432152283</v>
      </c>
      <c r="K179" s="1645">
        <v>0.79714240509634238</v>
      </c>
      <c r="L179" s="1645">
        <v>0.81231479777286031</v>
      </c>
      <c r="M179" s="1645">
        <v>0.81231479777286031</v>
      </c>
      <c r="N179" s="1645">
        <v>0.81231479777286031</v>
      </c>
      <c r="O179" s="1645">
        <v>0.81231479777286031</v>
      </c>
      <c r="P179" s="1646">
        <v>0.81231479777286031</v>
      </c>
      <c r="Q179" s="1376"/>
    </row>
    <row r="180" spans="8:17" ht="12.75" customHeight="1">
      <c r="H180" s="1647">
        <v>2</v>
      </c>
      <c r="I180" s="1648">
        <v>0.17120567625671076</v>
      </c>
      <c r="J180" s="1648">
        <v>0.17839230153965296</v>
      </c>
      <c r="K180" s="1648">
        <v>0.13265302187370434</v>
      </c>
      <c r="L180" s="1648">
        <v>0.12447677392815741</v>
      </c>
      <c r="M180" s="1648">
        <v>0.12447677392815741</v>
      </c>
      <c r="N180" s="1648">
        <v>0.12447677392815741</v>
      </c>
      <c r="O180" s="1648">
        <v>0.12447677392815741</v>
      </c>
      <c r="P180" s="1649">
        <v>0.12447677392815741</v>
      </c>
      <c r="Q180" s="1376"/>
    </row>
    <row r="181" spans="8:17" ht="12.75" customHeight="1" thickBot="1">
      <c r="H181" s="1650">
        <v>3</v>
      </c>
      <c r="I181" s="1651">
        <v>0.10182388472825869</v>
      </c>
      <c r="J181" s="1651">
        <v>8.1602804138824148E-2</v>
      </c>
      <c r="K181" s="1651">
        <v>7.0204573029953407E-2</v>
      </c>
      <c r="L181" s="1651">
        <v>6.3208428298982072E-2</v>
      </c>
      <c r="M181" s="1651">
        <v>6.3208428298982072E-2</v>
      </c>
      <c r="N181" s="1651">
        <v>6.3208428298982072E-2</v>
      </c>
      <c r="O181" s="1651">
        <v>6.3208428298982072E-2</v>
      </c>
      <c r="P181" s="1652">
        <v>6.3208428298982072E-2</v>
      </c>
      <c r="Q181" s="1376"/>
    </row>
    <row r="182" spans="8:17" ht="12.75" customHeight="1">
      <c r="H182" s="1689"/>
      <c r="I182" s="1376"/>
      <c r="J182" s="1376"/>
      <c r="K182" s="1376"/>
      <c r="L182" s="1376"/>
      <c r="M182" s="1376"/>
      <c r="N182" s="1376"/>
      <c r="O182" s="1376"/>
      <c r="P182" s="1376"/>
      <c r="Q182" s="1376"/>
    </row>
    <row r="183" spans="8:17" ht="12.75" customHeight="1">
      <c r="H183" s="1376"/>
      <c r="I183" s="1376"/>
      <c r="J183" s="1376"/>
      <c r="K183" s="1376"/>
      <c r="L183" s="1376"/>
      <c r="M183" s="1376"/>
      <c r="N183" s="1376"/>
      <c r="O183" s="1376"/>
      <c r="P183" s="1376"/>
      <c r="Q183" s="1376"/>
    </row>
    <row r="184" spans="8:17" ht="12.75" customHeight="1" thickBot="1">
      <c r="H184" s="2584" t="s">
        <v>2737</v>
      </c>
      <c r="I184" s="2584"/>
      <c r="J184" s="2584"/>
      <c r="K184" s="2584"/>
      <c r="L184" s="2584"/>
      <c r="M184" s="2584"/>
      <c r="N184" s="2584"/>
      <c r="O184" s="2584"/>
      <c r="P184" s="2584"/>
      <c r="Q184" s="1376"/>
    </row>
    <row r="185" spans="8:17" ht="12.75" customHeight="1" thickBot="1">
      <c r="H185" s="1629" t="s">
        <v>1482</v>
      </c>
      <c r="I185" s="1630">
        <v>2017</v>
      </c>
      <c r="J185" s="1630">
        <v>2018</v>
      </c>
      <c r="K185" s="1630">
        <v>2019</v>
      </c>
      <c r="L185" s="1630">
        <v>2020</v>
      </c>
      <c r="M185" s="1630">
        <v>2021</v>
      </c>
      <c r="N185" s="1630">
        <v>2022</v>
      </c>
      <c r="O185" s="1630">
        <v>2023</v>
      </c>
      <c r="P185" s="1631">
        <v>2024</v>
      </c>
      <c r="Q185" s="1376"/>
    </row>
    <row r="186" spans="8:17" ht="12.75" customHeight="1">
      <c r="H186" s="1632" t="s">
        <v>1483</v>
      </c>
      <c r="I186" s="1248">
        <v>0.64502913165625464</v>
      </c>
      <c r="J186" s="1249">
        <v>0.66487092968492745</v>
      </c>
      <c r="K186" s="1249">
        <v>0.64598635539465232</v>
      </c>
      <c r="L186" s="1249">
        <v>0.50444078133395909</v>
      </c>
      <c r="M186" s="1249">
        <v>0.50444078133395909</v>
      </c>
      <c r="N186" s="1249">
        <v>0.50444078133395909</v>
      </c>
      <c r="O186" s="1249">
        <v>0.50444078133395909</v>
      </c>
      <c r="P186" s="1633">
        <v>0.50444078133395909</v>
      </c>
      <c r="Q186" s="1376"/>
    </row>
    <row r="187" spans="8:17" ht="12.75" customHeight="1" thickBot="1">
      <c r="H187" s="1634" t="s">
        <v>1484</v>
      </c>
      <c r="I187" s="1635">
        <v>0.35497086834374536</v>
      </c>
      <c r="J187" s="1258">
        <v>0.33512907031507255</v>
      </c>
      <c r="K187" s="1258">
        <v>0.35401364460534768</v>
      </c>
      <c r="L187" s="1258">
        <v>0.49555921866604091</v>
      </c>
      <c r="M187" s="1258">
        <v>0.49555921866604091</v>
      </c>
      <c r="N187" s="1258">
        <v>0.49555921866604091</v>
      </c>
      <c r="O187" s="1258">
        <v>0.49555921866604091</v>
      </c>
      <c r="P187" s="1259">
        <v>0.49555921866604091</v>
      </c>
      <c r="Q187" s="1376"/>
    </row>
    <row r="188" spans="8:17" ht="12.75" customHeight="1">
      <c r="H188" s="1689"/>
    </row>
  </sheetData>
  <autoFilter ref="A5:W20" xr:uid="{00000000-0009-0000-0000-000011000000}">
    <filterColumn colId="11">
      <filters>
        <filter val="2022"/>
        <filter val="2023"/>
      </filters>
    </filterColumn>
  </autoFilter>
  <dataConsolidate/>
  <mergeCells count="20">
    <mergeCell ref="H177:P177"/>
    <mergeCell ref="H184:P184"/>
    <mergeCell ref="H137:P137"/>
    <mergeCell ref="H130:P130"/>
    <mergeCell ref="I156:K156"/>
    <mergeCell ref="H163:I163"/>
    <mergeCell ref="K119:L119"/>
    <mergeCell ref="I2:L2"/>
    <mergeCell ref="A4:G4"/>
    <mergeCell ref="Q4:R4"/>
    <mergeCell ref="H20:V20"/>
    <mergeCell ref="H97:W97"/>
    <mergeCell ref="I109:K109"/>
    <mergeCell ref="H89:P89"/>
    <mergeCell ref="H76:P76"/>
    <mergeCell ref="S4:U4"/>
    <mergeCell ref="H24:W24"/>
    <mergeCell ref="O6:O17"/>
    <mergeCell ref="M4:P4"/>
    <mergeCell ref="H4:L4"/>
  </mergeCells>
  <phoneticPr fontId="183" type="noConversion"/>
  <hyperlinks>
    <hyperlink ref="H1" location="'Summary ALL'!A1" display="Summary Page" xr:uid="{1D549658-2377-4991-BDFE-4B46DE0ABAB1}"/>
  </hyperlinks>
  <pageMargins left="0.7" right="0.7" top="0.75" bottom="0.75" header="0.3" footer="0.3"/>
  <pageSetup scale="2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filterMode="1">
    <tabColor rgb="FF0083CA"/>
    <pageSetUpPr fitToPage="1"/>
  </sheetPr>
  <dimension ref="A1:W69"/>
  <sheetViews>
    <sheetView showGridLines="0" topLeftCell="H1" zoomScale="90" zoomScaleNormal="90" workbookViewId="0">
      <selection activeCell="Q19" sqref="Q19"/>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16.5703125" style="8" hidden="1" customWidth="1" outlineLevel="1"/>
    <col min="8" max="8" width="14.42578125" style="430" customWidth="1" collapsed="1"/>
    <col min="9" max="9" width="16.140625" style="430" customWidth="1"/>
    <col min="10" max="10" width="24.85546875" style="430" customWidth="1"/>
    <col min="11" max="11" width="15" style="430" customWidth="1"/>
    <col min="12" max="12" width="8.42578125" style="1376" customWidth="1"/>
    <col min="13" max="13" width="8" style="430" customWidth="1"/>
    <col min="14" max="14" width="12.5703125" style="2" customWidth="1"/>
    <col min="15" max="15" width="11" style="2" customWidth="1"/>
    <col min="16" max="16" width="64.28515625" style="2" customWidth="1"/>
    <col min="17" max="17" width="11.28515625" style="430" customWidth="1"/>
    <col min="18" max="18" width="11.7109375" style="430" customWidth="1"/>
    <col min="19" max="19" width="64.42578125" style="430" customWidth="1"/>
    <col min="20" max="21" width="12.28515625" style="430" customWidth="1"/>
    <col min="22" max="22" width="12.28515625" style="3" customWidth="1"/>
    <col min="23" max="16384" width="18.7109375" style="430"/>
  </cols>
  <sheetData>
    <row r="1" spans="1:23" ht="12.75" customHeight="1">
      <c r="H1" s="168" t="s">
        <v>674</v>
      </c>
    </row>
    <row r="2" spans="1:23" ht="36.75" customHeight="1">
      <c r="H2" s="691" t="str">
        <f>I6&amp;":"</f>
        <v>XMP Pumps:</v>
      </c>
      <c r="I2" s="2568" t="str">
        <f>INDEX('AMMO Measures'!$I:$I,MATCH(LEFT(H2,LEN(H2)-1),'AMMO Measures'!$B:$B,0))</f>
        <v>Products that encompass fans, circulators, pumps, etc in both residential and commercial sectors</v>
      </c>
      <c r="J2" s="2568"/>
      <c r="K2" s="2568"/>
      <c r="L2" s="2568"/>
      <c r="M2" s="2568"/>
    </row>
    <row r="3" spans="1:23" ht="9.75" customHeight="1"/>
    <row r="4" spans="1:23" s="428" customFormat="1" ht="15.75" customHeight="1">
      <c r="A4" s="2600" t="s">
        <v>131</v>
      </c>
      <c r="B4" s="2601"/>
      <c r="C4" s="2601"/>
      <c r="D4" s="2601"/>
      <c r="E4" s="2601"/>
      <c r="F4" s="2601"/>
      <c r="G4" s="2602"/>
      <c r="H4" s="2603" t="s">
        <v>7</v>
      </c>
      <c r="I4" s="2604"/>
      <c r="J4" s="2604"/>
      <c r="K4" s="2604"/>
      <c r="L4" s="2604"/>
      <c r="M4" s="2604"/>
      <c r="N4" s="2605" t="s">
        <v>127</v>
      </c>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696" t="s">
        <v>3</v>
      </c>
      <c r="I5" s="696" t="s">
        <v>4</v>
      </c>
      <c r="J5" s="696" t="s">
        <v>5</v>
      </c>
      <c r="K5" s="696" t="s">
        <v>6</v>
      </c>
      <c r="L5" s="696" t="s">
        <v>1097</v>
      </c>
      <c r="M5" s="696" t="s">
        <v>8</v>
      </c>
      <c r="N5" s="697" t="s">
        <v>13</v>
      </c>
      <c r="O5" s="696" t="s">
        <v>14</v>
      </c>
      <c r="P5" s="696" t="s">
        <v>124</v>
      </c>
      <c r="Q5" s="507" t="str">
        <f>"Funder Share: "&amp;Selection!A2&amp;" "&amp;Selection!A3</f>
        <v>Funder Share: Puget Sound Energy Washington</v>
      </c>
      <c r="R5" s="697" t="s">
        <v>550</v>
      </c>
      <c r="S5" s="698" t="s">
        <v>125</v>
      </c>
      <c r="T5" s="697" t="s">
        <v>126</v>
      </c>
      <c r="U5" s="696" t="s">
        <v>18</v>
      </c>
      <c r="V5" s="699" t="s">
        <v>17</v>
      </c>
    </row>
    <row r="6" spans="1:23" ht="15.75" thickTop="1">
      <c r="A6" s="412" t="s">
        <v>1549</v>
      </c>
      <c r="B6" s="413" t="str">
        <f t="shared" ref="B6:B18" si="0">LEFT(A6,10)</f>
        <v>XMP_202001</v>
      </c>
      <c r="C6" s="413">
        <v>0</v>
      </c>
      <c r="D6" s="413">
        <v>0</v>
      </c>
      <c r="E6" s="413">
        <f t="shared" ref="E6:E31" si="1">COUNTIFS($A:$A,A6,$M:$M,M6)</f>
        <v>1</v>
      </c>
      <c r="F6" s="413">
        <v>1</v>
      </c>
      <c r="G6" s="414" t="b">
        <v>1</v>
      </c>
      <c r="H6" s="314" t="str">
        <f>IF(LEFT(J6,3)="Res","Residential","Commercial")</f>
        <v>Residential</v>
      </c>
      <c r="I6" s="415" t="str">
        <f>INDEX('AMMO Units'!B:B,MATCH($A6,'AMMO Units'!$E:$E,0))</f>
        <v>XMP Pumps</v>
      </c>
      <c r="J6" s="415" t="str">
        <f>INDEX('AMMO Units'!C:C,MATCH($A6,'AMMO Units'!$E:$E,0))</f>
        <v>Residential HH Circulator</v>
      </c>
      <c r="K6" s="415" t="str">
        <f>INDEX('AMMO Units'!D:D,MATCH($A6,'AMMO Units'!$E:$E,0))</f>
        <v>Tier 1</v>
      </c>
      <c r="L6" s="1776"/>
      <c r="M6" s="411">
        <v>2022</v>
      </c>
      <c r="N6" s="744">
        <f>GETPIVOTDATA("Units",'AMMO Units'!$A$3,"Year",$M6,"Measure Index",$A6,"Savings Category","Regional_Market_2021PP")</f>
        <v>708.125</v>
      </c>
      <c r="O6" s="443">
        <f>GETPIVOTDATA("Units",'AMMO Units'!$A$3,"Year",$M6,"Measure Index",$A6,"Savings Category","Local_Incentives_2021PP")</f>
        <v>0</v>
      </c>
      <c r="P6" s="444" t="s">
        <v>1609</v>
      </c>
      <c r="Q6" s="1710">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1">
        <f>GETPIVOTDATA("Savings Rate",'AMMO Savings Rates'!$A$3,"Year",$M6,"Measure Index",$A6,"Savings Rate Type","Savings_Rate_2021PP")</f>
        <v>87.042615659999996</v>
      </c>
      <c r="S6" s="86" t="s">
        <v>1608</v>
      </c>
      <c r="T6" s="1765">
        <f>(N6)*Q6*R6/8760000</f>
        <v>9.8405383270255722E-4</v>
      </c>
      <c r="U6" s="1766">
        <f>IFERROR((O6/N6*O6)*Q6*R6/8760/1000,0)</f>
        <v>0</v>
      </c>
      <c r="V6" s="1767">
        <f t="shared" ref="V6:V7" si="2">T6-U6</f>
        <v>9.8405383270255722E-4</v>
      </c>
      <c r="W6" s="180"/>
    </row>
    <row r="7" spans="1:23" ht="15">
      <c r="A7" s="417" t="s">
        <v>1550</v>
      </c>
      <c r="B7" s="311" t="str">
        <f t="shared" si="0"/>
        <v>XMP_202001</v>
      </c>
      <c r="C7" s="311">
        <v>0</v>
      </c>
      <c r="D7" s="311">
        <v>0</v>
      </c>
      <c r="E7" s="311">
        <f t="shared" si="1"/>
        <v>1</v>
      </c>
      <c r="F7" s="311">
        <v>1</v>
      </c>
      <c r="G7" s="312" t="b">
        <v>1</v>
      </c>
      <c r="H7" s="314" t="str">
        <f t="shared" ref="H7:H31" si="3">IF(LEFT(J7,3)="Res","Residential","Commercial")</f>
        <v>Residential</v>
      </c>
      <c r="I7" s="314" t="str">
        <f>INDEX('AMMO Units'!B:B,MATCH($A7,'AMMO Units'!$E:$E,0))</f>
        <v>XMP Pumps</v>
      </c>
      <c r="J7" s="314" t="str">
        <f>INDEX('AMMO Units'!C:C,MATCH($A7,'AMMO Units'!$E:$E,0))</f>
        <v>Residential HH Circulator</v>
      </c>
      <c r="K7" s="314" t="str">
        <f>INDEX('AMMO Units'!D:D,MATCH($A7,'AMMO Units'!$E:$E,0))</f>
        <v>Tier 2</v>
      </c>
      <c r="L7" s="1771"/>
      <c r="M7" s="24">
        <v>2022</v>
      </c>
      <c r="N7" s="744">
        <f>GETPIVOTDATA("Units",'AMMO Units'!$A$3,"Year",$M7,"Measure Index",$A7,"Savings Category","Regional_Market_2021PP")</f>
        <v>1600.5</v>
      </c>
      <c r="O7" s="443">
        <f>GETPIVOTDATA("Units",'AMMO Units'!$A$3,"Year",$M7,"Measure Index",$A7,"Savings Category","Local_Incentives_2021PP")</f>
        <v>0</v>
      </c>
      <c r="P7" s="444" t="s">
        <v>1609</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2">
        <f>GETPIVOTDATA("Savings Rate",'AMMO Savings Rates'!$A$3,"Year",$M7,"Measure Index",$A7,"Savings Rate Type","Savings_Rate_2021PP")</f>
        <v>343.30448959</v>
      </c>
      <c r="S7" s="86" t="s">
        <v>1608</v>
      </c>
      <c r="T7" s="1765">
        <f t="shared" ref="T7:T31" si="4">(N7)*Q7*R7/8760000</f>
        <v>8.7722733915646701E-3</v>
      </c>
      <c r="U7" s="1766">
        <f t="shared" ref="U7:U31" si="5">IFERROR((O7/N7*O7)*Q7*R7/8760/1000,0)</f>
        <v>0</v>
      </c>
      <c r="V7" s="1767">
        <f t="shared" si="2"/>
        <v>8.7722733915646701E-3</v>
      </c>
      <c r="W7" s="180"/>
    </row>
    <row r="8" spans="1:23" s="1376" customFormat="1" ht="15">
      <c r="A8" s="417" t="s">
        <v>1551</v>
      </c>
      <c r="B8" s="311" t="str">
        <f t="shared" si="0"/>
        <v>XMP_202001</v>
      </c>
      <c r="C8" s="311">
        <v>0</v>
      </c>
      <c r="D8" s="311">
        <v>0</v>
      </c>
      <c r="E8" s="311">
        <f t="shared" si="1"/>
        <v>1</v>
      </c>
      <c r="F8" s="311">
        <v>1</v>
      </c>
      <c r="G8" s="312" t="b">
        <v>1</v>
      </c>
      <c r="H8" s="314" t="str">
        <f t="shared" si="3"/>
        <v>Commercial</v>
      </c>
      <c r="I8" s="314" t="str">
        <f>INDEX('AMMO Units'!B:B,MATCH($A8,'AMMO Units'!$E:$E,0))</f>
        <v>XMP Pumps</v>
      </c>
      <c r="J8" s="314" t="str">
        <f>INDEX('AMMO Units'!C:C,MATCH($A8,'AMMO Units'!$E:$E,0))</f>
        <v>Commercial HH Circulator</v>
      </c>
      <c r="K8" s="314" t="str">
        <f>INDEX('AMMO Units'!D:D,MATCH($A8,'AMMO Units'!$E:$E,0))</f>
        <v>Tier 1</v>
      </c>
      <c r="L8" s="1771">
        <f>VALUE(INDEX('AMMO Measures'!H:H,MATCH($A8,'AMMO Measures'!A:A,0)))</f>
        <v>11.5</v>
      </c>
      <c r="M8" s="24">
        <v>2022</v>
      </c>
      <c r="N8" s="744">
        <f>GETPIVOTDATA("Units",'AMMO Units'!$A$3,"Year",$M8,"Measure Index",$A8,"Savings Category","Regional_Market_2021PP")</f>
        <v>13.2</v>
      </c>
      <c r="O8" s="443">
        <f>GETPIVOTDATA("Units",'AMMO Units'!$A$3,"Year",$M8,"Measure Index",$A8,"Savings Category","Local_Incentives_2021PP")</f>
        <v>0</v>
      </c>
      <c r="P8" s="444" t="s">
        <v>1609</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2">
        <f>GETPIVOTDATA("Savings Rate",'AMMO Savings Rates'!$A$3,"Year",$M8,"Measure Index",$A8,"Savings Rate Type","Savings_Rate_2021PP")</f>
        <v>766.63359917000002</v>
      </c>
      <c r="S8" s="86" t="s">
        <v>1608</v>
      </c>
      <c r="T8" s="1765">
        <f t="shared" si="4"/>
        <v>1.6156183494530341E-4</v>
      </c>
      <c r="U8" s="1766">
        <f t="shared" si="5"/>
        <v>0</v>
      </c>
      <c r="V8" s="1767">
        <f>T8-U8</f>
        <v>1.6156183494530341E-4</v>
      </c>
      <c r="W8" s="180"/>
    </row>
    <row r="9" spans="1:23" s="1376" customFormat="1" ht="15">
      <c r="A9" s="417" t="s">
        <v>1552</v>
      </c>
      <c r="B9" s="311" t="str">
        <f t="shared" si="0"/>
        <v>XMP_202001</v>
      </c>
      <c r="C9" s="311">
        <v>0</v>
      </c>
      <c r="D9" s="311">
        <v>0</v>
      </c>
      <c r="E9" s="311">
        <f t="shared" si="1"/>
        <v>1</v>
      </c>
      <c r="F9" s="311">
        <v>1</v>
      </c>
      <c r="G9" s="312" t="b">
        <v>1</v>
      </c>
      <c r="H9" s="314" t="str">
        <f t="shared" si="3"/>
        <v>Commercial</v>
      </c>
      <c r="I9" s="314" t="str">
        <f>INDEX('AMMO Units'!B:B,MATCH($A9,'AMMO Units'!$E:$E,0))</f>
        <v>XMP Pumps</v>
      </c>
      <c r="J9" s="314" t="str">
        <f>INDEX('AMMO Units'!C:C,MATCH($A9,'AMMO Units'!$E:$E,0))</f>
        <v>Commercial HH Circulator</v>
      </c>
      <c r="K9" s="314" t="str">
        <f>INDEX('AMMO Units'!D:D,MATCH($A9,'AMMO Units'!$E:$E,0))</f>
        <v>Tier 2</v>
      </c>
      <c r="L9" s="1771">
        <f>VALUE(INDEX('AMMO Measures'!H:H,MATCH($A9,'AMMO Measures'!A:A,0)))</f>
        <v>11.5</v>
      </c>
      <c r="M9" s="24">
        <v>2022</v>
      </c>
      <c r="N9" s="744">
        <f>GETPIVOTDATA("Units",'AMMO Units'!$A$3,"Year",$M9,"Measure Index",$A9,"Savings Category","Regional_Market_2021PP")</f>
        <v>180.125</v>
      </c>
      <c r="O9" s="443">
        <f>GETPIVOTDATA("Units",'AMMO Units'!$A$3,"Year",$M9,"Measure Index",$A9,"Savings Category","Local_Incentives_2021PP")</f>
        <v>0</v>
      </c>
      <c r="P9" s="444" t="s">
        <v>1609</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2">
        <f>GETPIVOTDATA("Savings Rate",'AMMO Savings Rates'!$A$3,"Year",$M9,"Measure Index",$A9,"Savings Rate Type","Savings_Rate_2021PP")</f>
        <v>783.99738831000002</v>
      </c>
      <c r="S9" s="86" t="s">
        <v>1608</v>
      </c>
      <c r="T9" s="1765">
        <f t="shared" si="4"/>
        <v>2.2545797734531327E-3</v>
      </c>
      <c r="U9" s="1766">
        <f t="shared" si="5"/>
        <v>0</v>
      </c>
      <c r="V9" s="1767">
        <f>T9-U9</f>
        <v>2.2545797734531327E-3</v>
      </c>
      <c r="W9" s="180">
        <f ca="1">'Summary Program Measures'!T9+'Summary Program Measures'!T20</f>
        <v>0.1969631939735127</v>
      </c>
    </row>
    <row r="10" spans="1:23" s="1376" customFormat="1" ht="15">
      <c r="A10" s="417" t="s">
        <v>1553</v>
      </c>
      <c r="B10" s="311" t="str">
        <f t="shared" si="0"/>
        <v>XMP_202001</v>
      </c>
      <c r="C10" s="311">
        <v>0</v>
      </c>
      <c r="D10" s="311">
        <v>0</v>
      </c>
      <c r="E10" s="311">
        <f t="shared" si="1"/>
        <v>1</v>
      </c>
      <c r="F10" s="311">
        <v>1</v>
      </c>
      <c r="G10" s="312" t="b">
        <v>1</v>
      </c>
      <c r="H10" s="314" t="str">
        <f t="shared" si="3"/>
        <v>Residential</v>
      </c>
      <c r="I10" s="314" t="str">
        <f>INDEX('AMMO Units'!B:B,MATCH($A10,'AMMO Units'!$E:$E,0))</f>
        <v>XMP Pumps</v>
      </c>
      <c r="J10" s="314" t="str">
        <f>INDEX('AMMO Units'!C:C,MATCH($A10,'AMMO Units'!$E:$E,0))</f>
        <v>Residential DHW Circulator</v>
      </c>
      <c r="K10" s="314" t="str">
        <f>INDEX('AMMO Units'!D:D,MATCH($A10,'AMMO Units'!$E:$E,0))</f>
        <v>Tier 1</v>
      </c>
      <c r="L10" s="1771"/>
      <c r="M10" s="24">
        <v>2022</v>
      </c>
      <c r="N10" s="744">
        <f>GETPIVOTDATA("Units",'AMMO Units'!$A$3,"Year",$M10,"Measure Index",$A10,"Savings Category","Regional_Market_2021PP")</f>
        <v>944.625</v>
      </c>
      <c r="O10" s="443">
        <f>GETPIVOTDATA("Units",'AMMO Units'!$A$3,"Year",$M10,"Measure Index",$A10,"Savings Category","Local_Incentives_2021PP")</f>
        <v>0</v>
      </c>
      <c r="P10" s="444" t="s">
        <v>1609</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2">
        <f>GETPIVOTDATA("Savings Rate",'AMMO Savings Rates'!$A$3,"Year",$M10,"Measure Index",$A10,"Savings Rate Type","Savings_Rate_2021PP")</f>
        <v>88.223883990000004</v>
      </c>
      <c r="S10" s="86" t="s">
        <v>1608</v>
      </c>
      <c r="T10" s="1765">
        <f t="shared" si="4"/>
        <v>1.330523670767569E-3</v>
      </c>
      <c r="U10" s="1766">
        <f t="shared" si="5"/>
        <v>0</v>
      </c>
      <c r="V10" s="1767">
        <f t="shared" ref="V10:V18" si="6">T10-U10</f>
        <v>1.330523670767569E-3</v>
      </c>
      <c r="W10" s="180"/>
    </row>
    <row r="11" spans="1:23" s="1376" customFormat="1" ht="15">
      <c r="A11" s="417" t="s">
        <v>1554</v>
      </c>
      <c r="B11" s="311" t="str">
        <f t="shared" si="0"/>
        <v>XMP_202001</v>
      </c>
      <c r="C11" s="311">
        <v>0</v>
      </c>
      <c r="D11" s="311">
        <v>0</v>
      </c>
      <c r="E11" s="311">
        <f t="shared" si="1"/>
        <v>1</v>
      </c>
      <c r="F11" s="311">
        <v>1</v>
      </c>
      <c r="G11" s="312" t="b">
        <v>1</v>
      </c>
      <c r="H11" s="314" t="str">
        <f t="shared" si="3"/>
        <v>Residential</v>
      </c>
      <c r="I11" s="314" t="str">
        <f>INDEX('AMMO Units'!B:B,MATCH($A11,'AMMO Units'!$E:$E,0))</f>
        <v>XMP Pumps</v>
      </c>
      <c r="J11" s="314" t="str">
        <f>INDEX('AMMO Units'!C:C,MATCH($A11,'AMMO Units'!$E:$E,0))</f>
        <v>Residential DHW Circulator</v>
      </c>
      <c r="K11" s="314" t="str">
        <f>INDEX('AMMO Units'!D:D,MATCH($A11,'AMMO Units'!$E:$E,0))</f>
        <v>Tier 2</v>
      </c>
      <c r="L11" s="1771"/>
      <c r="M11" s="24">
        <v>2022</v>
      </c>
      <c r="N11" s="744">
        <f>GETPIVOTDATA("Units",'AMMO Units'!$A$3,"Year",$M11,"Measure Index",$A11,"Savings Category","Regional_Market_2021PP")</f>
        <v>562.375</v>
      </c>
      <c r="O11" s="443">
        <f>GETPIVOTDATA("Units",'AMMO Units'!$A$3,"Year",$M11,"Measure Index",$A11,"Savings Category","Local_Incentives_2021PP")</f>
        <v>0</v>
      </c>
      <c r="P11" s="444" t="s">
        <v>1609</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2">
        <f>GETPIVOTDATA("Savings Rate",'AMMO Savings Rates'!$A$3,"Year",$M11,"Measure Index",$A11,"Savings Rate Type","Savings_Rate_2021PP")</f>
        <v>270.25194477999997</v>
      </c>
      <c r="S11" s="86" t="s">
        <v>1608</v>
      </c>
      <c r="T11" s="1765">
        <f t="shared" si="4"/>
        <v>2.4264527054108647E-3</v>
      </c>
      <c r="U11" s="1766">
        <f t="shared" si="5"/>
        <v>0</v>
      </c>
      <c r="V11" s="1767">
        <f t="shared" si="6"/>
        <v>2.4264527054108647E-3</v>
      </c>
      <c r="W11" s="180"/>
    </row>
    <row r="12" spans="1:23" s="1376" customFormat="1" ht="15">
      <c r="A12" s="417" t="s">
        <v>1555</v>
      </c>
      <c r="B12" s="311" t="str">
        <f t="shared" si="0"/>
        <v>XMP_202001</v>
      </c>
      <c r="C12" s="311">
        <v>0</v>
      </c>
      <c r="D12" s="311">
        <v>0</v>
      </c>
      <c r="E12" s="311">
        <f t="shared" si="1"/>
        <v>1</v>
      </c>
      <c r="F12" s="311">
        <v>1</v>
      </c>
      <c r="G12" s="312" t="b">
        <v>1</v>
      </c>
      <c r="H12" s="314" t="str">
        <f t="shared" si="3"/>
        <v>Residential</v>
      </c>
      <c r="I12" s="314" t="str">
        <f>INDEX('AMMO Units'!B:B,MATCH($A12,'AMMO Units'!$E:$E,0))</f>
        <v>XMP Pumps</v>
      </c>
      <c r="J12" s="314" t="str">
        <f>INDEX('AMMO Units'!C:C,MATCH($A12,'AMMO Units'!$E:$E,0))</f>
        <v>Residential DHW Circulator</v>
      </c>
      <c r="K12" s="314" t="str">
        <f>INDEX('AMMO Units'!D:D,MATCH($A12,'AMMO Units'!$E:$E,0))</f>
        <v>Tier 3</v>
      </c>
      <c r="L12" s="1771"/>
      <c r="M12" s="24">
        <v>2022</v>
      </c>
      <c r="N12" s="744">
        <f>GETPIVOTDATA("Units",'AMMO Units'!$A$3,"Year",$M12,"Measure Index",$A12,"Savings Category","Regional_Market_2021PP")</f>
        <v>1623.875</v>
      </c>
      <c r="O12" s="443">
        <f>GETPIVOTDATA("Units",'AMMO Units'!$A$3,"Year",$M12,"Measure Index",$A12,"Savings Category","Local_Incentives_2021PP")</f>
        <v>0</v>
      </c>
      <c r="P12" s="444" t="s">
        <v>1609</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2">
        <f>GETPIVOTDATA("Savings Rate",'AMMO Savings Rates'!$A$3,"Year",$M12,"Measure Index",$A12,"Savings Rate Type","Savings_Rate_2021PP")</f>
        <v>1613.5065321300001</v>
      </c>
      <c r="S12" s="86" t="s">
        <v>1608</v>
      </c>
      <c r="T12" s="1765">
        <f t="shared" si="4"/>
        <v>4.1831199730628349E-2</v>
      </c>
      <c r="U12" s="1766">
        <f t="shared" si="5"/>
        <v>0</v>
      </c>
      <c r="V12" s="1767">
        <f t="shared" si="6"/>
        <v>4.1831199730628349E-2</v>
      </c>
      <c r="W12" s="180"/>
    </row>
    <row r="13" spans="1:23" s="1376" customFormat="1" ht="15">
      <c r="A13" s="417" t="s">
        <v>1556</v>
      </c>
      <c r="B13" s="311" t="str">
        <f t="shared" si="0"/>
        <v>XMP_202001</v>
      </c>
      <c r="C13" s="311">
        <v>0</v>
      </c>
      <c r="D13" s="311">
        <v>0</v>
      </c>
      <c r="E13" s="311">
        <f t="shared" si="1"/>
        <v>1</v>
      </c>
      <c r="F13" s="311">
        <v>1</v>
      </c>
      <c r="G13" s="312" t="b">
        <v>1</v>
      </c>
      <c r="H13" s="314" t="str">
        <f t="shared" si="3"/>
        <v>Commercial</v>
      </c>
      <c r="I13" s="314" t="str">
        <f>INDEX('AMMO Units'!B:B,MATCH($A13,'AMMO Units'!$E:$E,0))</f>
        <v>XMP Pumps</v>
      </c>
      <c r="J13" s="314" t="str">
        <f>INDEX('AMMO Units'!C:C,MATCH($A13,'AMMO Units'!$E:$E,0))</f>
        <v>Commercial DHW Circulator</v>
      </c>
      <c r="K13" s="314" t="str">
        <f>INDEX('AMMO Units'!D:D,MATCH($A13,'AMMO Units'!$E:$E,0))</f>
        <v>Tier 1</v>
      </c>
      <c r="L13" s="1771">
        <f>VALUE(INDEX('AMMO Measures'!H:H,MATCH($A13,'AMMO Measures'!A:A,0)))</f>
        <v>11.5</v>
      </c>
      <c r="M13" s="24">
        <v>2022</v>
      </c>
      <c r="N13" s="744">
        <f>GETPIVOTDATA("Units",'AMMO Units'!$A$3,"Year",$M13,"Measure Index",$A13,"Savings Category","Regional_Market_2021PP")</f>
        <v>20.625</v>
      </c>
      <c r="O13" s="443">
        <f>GETPIVOTDATA("Units",'AMMO Units'!$A$3,"Year",$M13,"Measure Index",$A13,"Savings Category","Local_Incentives_2021PP")</f>
        <v>0</v>
      </c>
      <c r="P13" s="444" t="s">
        <v>1609</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2">
        <f>GETPIVOTDATA("Savings Rate",'AMMO Savings Rates'!$A$3,"Year",$M13,"Measure Index",$A13,"Savings Rate Type","Savings_Rate_2021PP")</f>
        <v>34.146078369999998</v>
      </c>
      <c r="S13" s="86" t="s">
        <v>1608</v>
      </c>
      <c r="T13" s="1765">
        <f t="shared" si="4"/>
        <v>1.1243765689568048E-5</v>
      </c>
      <c r="U13" s="1766">
        <f t="shared" si="5"/>
        <v>0</v>
      </c>
      <c r="V13" s="1767">
        <f t="shared" si="6"/>
        <v>1.1243765689568048E-5</v>
      </c>
      <c r="W13" s="180"/>
    </row>
    <row r="14" spans="1:23" s="1376" customFormat="1" ht="15" hidden="1">
      <c r="A14" s="417" t="s">
        <v>1557</v>
      </c>
      <c r="B14" s="311" t="str">
        <f t="shared" si="0"/>
        <v>XMP_202001</v>
      </c>
      <c r="C14" s="311">
        <v>0</v>
      </c>
      <c r="D14" s="311">
        <v>0</v>
      </c>
      <c r="E14" s="311">
        <f t="shared" si="1"/>
        <v>1</v>
      </c>
      <c r="F14" s="311">
        <v>1</v>
      </c>
      <c r="G14" s="312" t="b">
        <v>1</v>
      </c>
      <c r="H14" s="314" t="str">
        <f t="shared" si="3"/>
        <v>Commercial</v>
      </c>
      <c r="I14" s="314" t="str">
        <f>INDEX('AMMO Units'!B:B,MATCH($A14,'AMMO Units'!$E:$E,0))</f>
        <v>XMP Pumps</v>
      </c>
      <c r="J14" s="314" t="str">
        <f>INDEX('AMMO Units'!C:C,MATCH($A14,'AMMO Units'!$E:$E,0))</f>
        <v>Commercial DHW Circulator</v>
      </c>
      <c r="K14" s="314" t="str">
        <f>INDEX('AMMO Units'!D:D,MATCH($A14,'AMMO Units'!$E:$E,0))</f>
        <v>Tier 2</v>
      </c>
      <c r="L14" s="1771">
        <f>VALUE(INDEX('AMMO Measures'!H:H,MATCH($A14,'AMMO Measures'!A:A,0)))</f>
        <v>11.5</v>
      </c>
      <c r="M14" s="24">
        <v>2022</v>
      </c>
      <c r="N14" s="744">
        <f>GETPIVOTDATA("Units",'AMMO Units'!$A$3,"Year",$M14,"Measure Index",$A14,"Savings Category","Regional_Market_2021PP")</f>
        <v>0</v>
      </c>
      <c r="O14" s="443">
        <f>GETPIVOTDATA("Units",'AMMO Units'!$A$3,"Year",$M14,"Measure Index",$A14,"Savings Category","Local_Incentives_2021PP")</f>
        <v>0</v>
      </c>
      <c r="P14" s="444" t="s">
        <v>1609</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v>
      </c>
      <c r="R14" s="1472">
        <f>GETPIVOTDATA("Savings Rate",'AMMO Savings Rates'!$A$3,"Year",$M14,"Measure Index",$A14,"Savings Rate Type","Savings_Rate_2021PP")</f>
        <v>645.70325013000001</v>
      </c>
      <c r="S14" s="86" t="s">
        <v>1608</v>
      </c>
      <c r="T14" s="1765">
        <f t="shared" si="4"/>
        <v>0</v>
      </c>
      <c r="U14" s="1766">
        <f t="shared" si="5"/>
        <v>0</v>
      </c>
      <c r="V14" s="1767">
        <f t="shared" si="6"/>
        <v>0</v>
      </c>
      <c r="W14" s="180"/>
    </row>
    <row r="15" spans="1:23" s="1376" customFormat="1" ht="15">
      <c r="A15" s="417" t="s">
        <v>1558</v>
      </c>
      <c r="B15" s="311" t="str">
        <f t="shared" si="0"/>
        <v>XMP_202001</v>
      </c>
      <c r="C15" s="311">
        <v>0</v>
      </c>
      <c r="D15" s="311">
        <v>0</v>
      </c>
      <c r="E15" s="311">
        <f t="shared" si="1"/>
        <v>1</v>
      </c>
      <c r="F15" s="311">
        <v>1</v>
      </c>
      <c r="G15" s="312" t="b">
        <v>1</v>
      </c>
      <c r="H15" s="314" t="str">
        <f t="shared" si="3"/>
        <v>Commercial</v>
      </c>
      <c r="I15" s="314" t="str">
        <f>INDEX('AMMO Units'!B:B,MATCH($A15,'AMMO Units'!$E:$E,0))</f>
        <v>XMP Pumps</v>
      </c>
      <c r="J15" s="314" t="str">
        <f>INDEX('AMMO Units'!C:C,MATCH($A15,'AMMO Units'!$E:$E,0))</f>
        <v>Commercial DHW Circulator</v>
      </c>
      <c r="K15" s="314" t="str">
        <f>INDEX('AMMO Units'!D:D,MATCH($A15,'AMMO Units'!$E:$E,0))</f>
        <v>Tier 3</v>
      </c>
      <c r="L15" s="1771">
        <f>VALUE(INDEX('AMMO Measures'!H:H,MATCH($A15,'AMMO Measures'!A:A,0)))</f>
        <v>11.5</v>
      </c>
      <c r="M15" s="24">
        <v>2022</v>
      </c>
      <c r="N15" s="744">
        <f>GETPIVOTDATA("Units",'AMMO Units'!$A$3,"Year",$M15,"Measure Index",$A15,"Savings Category","Regional_Market_2021PP")</f>
        <v>16.5</v>
      </c>
      <c r="O15" s="443">
        <f>GETPIVOTDATA("Units",'AMMO Units'!$A$3,"Year",$M15,"Measure Index",$A15,"Savings Category","Local_Incentives_2021PP")</f>
        <v>0</v>
      </c>
      <c r="P15" s="444" t="s">
        <v>1609</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2">
        <f>GETPIVOTDATA("Savings Rate",'AMMO Savings Rates'!$A$3,"Year",$M15,"Measure Index",$A15,"Savings Rate Type","Savings_Rate_2021PP")</f>
        <v>2499.4300000500002</v>
      </c>
      <c r="S15" s="86" t="s">
        <v>1608</v>
      </c>
      <c r="T15" s="1765">
        <f t="shared" si="4"/>
        <v>6.5841833954741798E-4</v>
      </c>
      <c r="U15" s="1766">
        <f t="shared" si="5"/>
        <v>0</v>
      </c>
      <c r="V15" s="1767">
        <f t="shared" si="6"/>
        <v>6.5841833954741798E-4</v>
      </c>
      <c r="W15" s="180"/>
    </row>
    <row r="16" spans="1:23" s="1376" customFormat="1" ht="15">
      <c r="A16" s="417" t="s">
        <v>1559</v>
      </c>
      <c r="B16" s="311" t="str">
        <f t="shared" si="0"/>
        <v>XMP_202001</v>
      </c>
      <c r="C16" s="311">
        <v>0</v>
      </c>
      <c r="D16" s="311">
        <v>0</v>
      </c>
      <c r="E16" s="311">
        <f t="shared" si="1"/>
        <v>1</v>
      </c>
      <c r="F16" s="311">
        <v>1</v>
      </c>
      <c r="G16" s="312" t="b">
        <v>1</v>
      </c>
      <c r="H16" s="314" t="str">
        <f t="shared" si="3"/>
        <v>Commercial</v>
      </c>
      <c r="I16" s="314" t="str">
        <f>INDEX('AMMO Units'!B:B,MATCH($A16,'AMMO Units'!$E:$E,0))</f>
        <v>XMP Pumps</v>
      </c>
      <c r="J16" s="314" t="str">
        <f>INDEX('AMMO Units'!C:C,MATCH($A16,'AMMO Units'!$E:$E,0))</f>
        <v>Commercial CS Pump</v>
      </c>
      <c r="K16" s="314" t="str">
        <f>INDEX('AMMO Units'!D:D,MATCH($A16,'AMMO Units'!$E:$E,0))</f>
        <v>Single Tier</v>
      </c>
      <c r="L16" s="1771">
        <f>VALUE(INDEX('AMMO Measures'!H:H,MATCH($A16,'AMMO Measures'!A:A,0)))</f>
        <v>19</v>
      </c>
      <c r="M16" s="24">
        <v>2022</v>
      </c>
      <c r="N16" s="744">
        <f>GETPIVOTDATA("Units",'AMMO Units'!$A$3,"Year",$M16,"Measure Index",$A16,"Savings Category","Regional_Market_2021PP")</f>
        <v>1280.5448203200001</v>
      </c>
      <c r="O16" s="443">
        <f>GETPIVOTDATA("Units",'AMMO Units'!$A$3,"Year",$M16,"Measure Index",$A16,"Savings Category","Local_Incentives_2021PP")</f>
        <v>0</v>
      </c>
      <c r="P16" s="444" t="s">
        <v>1609</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2">
        <f>GETPIVOTDATA("Savings Rate",'AMMO Savings Rates'!$A$3,"Year",$M16,"Measure Index",$A16,"Savings Rate Type","Savings_Rate_2021PP")</f>
        <v>1523.1456348700001</v>
      </c>
      <c r="S16" s="86" t="s">
        <v>1605</v>
      </c>
      <c r="T16" s="1765">
        <f t="shared" si="4"/>
        <v>3.1139612986887284E-2</v>
      </c>
      <c r="U16" s="1766">
        <f t="shared" si="5"/>
        <v>0</v>
      </c>
      <c r="V16" s="1767">
        <f t="shared" si="6"/>
        <v>3.1139612986887284E-2</v>
      </c>
      <c r="W16" s="180"/>
    </row>
    <row r="17" spans="1:23" s="1376" customFormat="1" ht="15">
      <c r="A17" s="417" t="s">
        <v>1560</v>
      </c>
      <c r="B17" s="311" t="str">
        <f t="shared" si="0"/>
        <v>XMP_202001</v>
      </c>
      <c r="C17" s="311">
        <v>0</v>
      </c>
      <c r="D17" s="311">
        <v>0</v>
      </c>
      <c r="E17" s="311">
        <f t="shared" si="1"/>
        <v>1</v>
      </c>
      <c r="F17" s="311">
        <v>1</v>
      </c>
      <c r="G17" s="312" t="b">
        <v>1</v>
      </c>
      <c r="H17" s="314" t="str">
        <f t="shared" si="3"/>
        <v>Commercial</v>
      </c>
      <c r="I17" s="314" t="str">
        <f>INDEX('AMMO Units'!B:B,MATCH($A17,'AMMO Units'!$E:$E,0))</f>
        <v>XMP Pumps</v>
      </c>
      <c r="J17" s="314" t="str">
        <f>INDEX('AMMO Units'!C:C,MATCH($A17,'AMMO Units'!$E:$E,0))</f>
        <v>Commercial VS Pump</v>
      </c>
      <c r="K17" s="314" t="str">
        <f>INDEX('AMMO Units'!D:D,MATCH($A17,'AMMO Units'!$E:$E,0))</f>
        <v>Tier 1</v>
      </c>
      <c r="L17" s="1771">
        <f>VALUE(INDEX('AMMO Measures'!H:H,MATCH($A17,'AMMO Measures'!A:A,0)))</f>
        <v>19</v>
      </c>
      <c r="M17" s="24">
        <v>2022</v>
      </c>
      <c r="N17" s="744">
        <f>GETPIVOTDATA("Units",'AMMO Units'!$A$3,"Year",$M17,"Measure Index",$A17,"Savings Category","Regional_Market_2021PP")</f>
        <v>243.22911033</v>
      </c>
      <c r="O17" s="443">
        <f>GETPIVOTDATA("Units",'AMMO Units'!$A$3,"Year",$M17,"Measure Index",$A17,"Savings Category","Local_Incentives_2021PP")</f>
        <v>0</v>
      </c>
      <c r="P17" s="444" t="s">
        <v>1609</v>
      </c>
      <c r="Q17" s="44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472">
        <f>GETPIVOTDATA("Savings Rate",'AMMO Savings Rates'!$A$3,"Year",$M17,"Measure Index",$A17,"Savings Rate Type","Savings_Rate_2021PP")</f>
        <v>1187.56299171</v>
      </c>
      <c r="S17" s="86" t="s">
        <v>1606</v>
      </c>
      <c r="T17" s="1765">
        <f t="shared" si="4"/>
        <v>4.6115742245060893E-3</v>
      </c>
      <c r="U17" s="1766">
        <f t="shared" si="5"/>
        <v>0</v>
      </c>
      <c r="V17" s="1767">
        <f t="shared" si="6"/>
        <v>4.6115742245060893E-3</v>
      </c>
      <c r="W17" s="180"/>
    </row>
    <row r="18" spans="1:23" s="1376" customFormat="1" ht="15">
      <c r="A18" s="417" t="s">
        <v>1561</v>
      </c>
      <c r="B18" s="311" t="str">
        <f t="shared" si="0"/>
        <v>XMP_202001</v>
      </c>
      <c r="C18" s="311">
        <v>0</v>
      </c>
      <c r="D18" s="311">
        <v>0</v>
      </c>
      <c r="E18" s="311">
        <f t="shared" si="1"/>
        <v>1</v>
      </c>
      <c r="F18" s="311">
        <v>1</v>
      </c>
      <c r="G18" s="312" t="b">
        <v>1</v>
      </c>
      <c r="H18" s="314" t="str">
        <f t="shared" si="3"/>
        <v>Commercial</v>
      </c>
      <c r="I18" s="314" t="str">
        <f>INDEX('AMMO Units'!B:B,MATCH($A18,'AMMO Units'!$E:$E,0))</f>
        <v>XMP Pumps</v>
      </c>
      <c r="J18" s="314" t="str">
        <f>INDEX('AMMO Units'!C:C,MATCH($A18,'AMMO Units'!$E:$E,0))</f>
        <v>Commercial VS Pump</v>
      </c>
      <c r="K18" s="314" t="str">
        <f>INDEX('AMMO Units'!D:D,MATCH($A18,'AMMO Units'!$E:$E,0))</f>
        <v>Tier 2</v>
      </c>
      <c r="L18" s="1771">
        <f>VALUE(INDEX('AMMO Measures'!H:H,MATCH($A18,'AMMO Measures'!A:A,0)))</f>
        <v>19</v>
      </c>
      <c r="M18" s="24">
        <v>2022</v>
      </c>
      <c r="N18" s="744">
        <f>GETPIVOTDATA("Units",'AMMO Units'!$A$3,"Year",$M18,"Measure Index",$A18,"Savings Category","Regional_Market_2021PP")</f>
        <v>127.00254179</v>
      </c>
      <c r="O18" s="443">
        <f>GETPIVOTDATA("Units",'AMMO Units'!$A$3,"Year",$M18,"Measure Index",$A18,"Savings Category","Local_Incentives_2021PP")</f>
        <v>0</v>
      </c>
      <c r="P18" s="444" t="s">
        <v>1609</v>
      </c>
      <c r="Q18" s="445">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472">
        <f>GETPIVOTDATA("Savings Rate",'AMMO Savings Rates'!$A$3,"Year",$M18,"Measure Index",$A18,"Savings Rate Type","Savings_Rate_2021PP")</f>
        <v>553.12676630999999</v>
      </c>
      <c r="S18" s="86" t="s">
        <v>1607</v>
      </c>
      <c r="T18" s="1765">
        <f t="shared" si="4"/>
        <v>1.1215382363843574E-3</v>
      </c>
      <c r="U18" s="1766">
        <f t="shared" si="5"/>
        <v>0</v>
      </c>
      <c r="V18" s="1767">
        <f t="shared" si="6"/>
        <v>1.1215382363843574E-3</v>
      </c>
      <c r="W18" s="180"/>
    </row>
    <row r="19" spans="1:23" s="1376" customFormat="1" ht="15">
      <c r="A19" s="417" t="s">
        <v>1549</v>
      </c>
      <c r="B19" s="311" t="str">
        <f t="shared" ref="B19:B31" si="7">LEFT(A19,10)</f>
        <v>XMP_202001</v>
      </c>
      <c r="C19" s="311">
        <v>0</v>
      </c>
      <c r="D19" s="311">
        <v>0</v>
      </c>
      <c r="E19" s="311">
        <f t="shared" si="1"/>
        <v>1</v>
      </c>
      <c r="F19" s="311">
        <v>1</v>
      </c>
      <c r="G19" s="312" t="b">
        <v>1</v>
      </c>
      <c r="H19" s="314" t="str">
        <f t="shared" si="3"/>
        <v>Residential</v>
      </c>
      <c r="I19" s="314" t="str">
        <f>INDEX('AMMO Units'!B:B,MATCH($A19,'AMMO Units'!$E:$E,0))</f>
        <v>XMP Pumps</v>
      </c>
      <c r="J19" s="314" t="str">
        <f>INDEX('AMMO Units'!C:C,MATCH($A19,'AMMO Units'!$E:$E,0))</f>
        <v>Residential HH Circulator</v>
      </c>
      <c r="K19" s="314" t="str">
        <f>INDEX('AMMO Units'!D:D,MATCH($A19,'AMMO Units'!$E:$E,0))</f>
        <v>Tier 1</v>
      </c>
      <c r="L19" s="1771"/>
      <c r="M19" s="24">
        <v>2023</v>
      </c>
      <c r="N19" s="744">
        <f>GETPIVOTDATA("Units",'AMMO Units'!$A$3,"Year",$M19,"Measure Index",$A19,"Savings Category","Regional_Market_2021PP")</f>
        <v>778.9375</v>
      </c>
      <c r="O19" s="443">
        <f>GETPIVOTDATA("Units",'AMMO Units'!$A$3,"Year",$M19,"Measure Index",$A19,"Savings Category","Local_Incentives_2021PP")</f>
        <v>0</v>
      </c>
      <c r="P19" s="444" t="s">
        <v>1609</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2">
        <f>GETPIVOTDATA("Savings Rate",'AMMO Savings Rates'!$A$3,"Year",$M19,"Measure Index",$A19,"Savings Rate Type","Savings_Rate_2021PP")</f>
        <v>87.042615659999996</v>
      </c>
      <c r="S19" s="86" t="s">
        <v>1608</v>
      </c>
      <c r="T19" s="1765">
        <f t="shared" si="4"/>
        <v>1.0824592159728128E-3</v>
      </c>
      <c r="U19" s="1766">
        <f t="shared" si="5"/>
        <v>0</v>
      </c>
      <c r="V19" s="1767">
        <f t="shared" ref="V19:V31" si="8">T19-U19</f>
        <v>1.0824592159728128E-3</v>
      </c>
      <c r="W19" s="180"/>
    </row>
    <row r="20" spans="1:23" s="1376" customFormat="1" ht="15">
      <c r="A20" s="417" t="s">
        <v>1550</v>
      </c>
      <c r="B20" s="311" t="str">
        <f t="shared" si="7"/>
        <v>XMP_202001</v>
      </c>
      <c r="C20" s="311">
        <v>0</v>
      </c>
      <c r="D20" s="311">
        <v>0</v>
      </c>
      <c r="E20" s="311">
        <f t="shared" si="1"/>
        <v>1</v>
      </c>
      <c r="F20" s="311">
        <v>1</v>
      </c>
      <c r="G20" s="312" t="b">
        <v>1</v>
      </c>
      <c r="H20" s="314" t="str">
        <f t="shared" si="3"/>
        <v>Residential</v>
      </c>
      <c r="I20" s="314" t="str">
        <f>INDEX('AMMO Units'!B:B,MATCH($A20,'AMMO Units'!$E:$E,0))</f>
        <v>XMP Pumps</v>
      </c>
      <c r="J20" s="314" t="str">
        <f>INDEX('AMMO Units'!C:C,MATCH($A20,'AMMO Units'!$E:$E,0))</f>
        <v>Residential HH Circulator</v>
      </c>
      <c r="K20" s="314" t="str">
        <f>INDEX('AMMO Units'!D:D,MATCH($A20,'AMMO Units'!$E:$E,0))</f>
        <v>Tier 2</v>
      </c>
      <c r="L20" s="1771"/>
      <c r="M20" s="24">
        <v>2023</v>
      </c>
      <c r="N20" s="744">
        <f>GETPIVOTDATA("Units",'AMMO Units'!$A$3,"Year",$M20,"Measure Index",$A20,"Savings Category","Regional_Market_2021PP")</f>
        <v>1760.55</v>
      </c>
      <c r="O20" s="443">
        <f>GETPIVOTDATA("Units",'AMMO Units'!$A$3,"Year",$M20,"Measure Index",$A20,"Savings Category","Local_Incentives_2021PP")</f>
        <v>0</v>
      </c>
      <c r="P20" s="444" t="s">
        <v>1609</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2">
        <f>GETPIVOTDATA("Savings Rate",'AMMO Savings Rates'!$A$3,"Year",$M20,"Measure Index",$A20,"Savings Rate Type","Savings_Rate_2021PP")</f>
        <v>343.30448959</v>
      </c>
      <c r="S20" s="86" t="s">
        <v>1608</v>
      </c>
      <c r="T20" s="1765">
        <f t="shared" si="4"/>
        <v>9.6495007307211382E-3</v>
      </c>
      <c r="U20" s="1766">
        <f t="shared" si="5"/>
        <v>0</v>
      </c>
      <c r="V20" s="1767">
        <f t="shared" si="8"/>
        <v>9.6495007307211382E-3</v>
      </c>
      <c r="W20" s="180"/>
    </row>
    <row r="21" spans="1:23" s="1376" customFormat="1" ht="15">
      <c r="A21" s="417" t="s">
        <v>1551</v>
      </c>
      <c r="B21" s="311" t="str">
        <f t="shared" si="7"/>
        <v>XMP_202001</v>
      </c>
      <c r="C21" s="311">
        <v>0</v>
      </c>
      <c r="D21" s="311">
        <v>0</v>
      </c>
      <c r="E21" s="311">
        <f t="shared" si="1"/>
        <v>1</v>
      </c>
      <c r="F21" s="311">
        <v>1</v>
      </c>
      <c r="G21" s="312" t="b">
        <v>1</v>
      </c>
      <c r="H21" s="314" t="str">
        <f t="shared" si="3"/>
        <v>Commercial</v>
      </c>
      <c r="I21" s="314" t="str">
        <f>INDEX('AMMO Units'!B:B,MATCH($A21,'AMMO Units'!$E:$E,0))</f>
        <v>XMP Pumps</v>
      </c>
      <c r="J21" s="314" t="str">
        <f>INDEX('AMMO Units'!C:C,MATCH($A21,'AMMO Units'!$E:$E,0))</f>
        <v>Commercial HH Circulator</v>
      </c>
      <c r="K21" s="314" t="str">
        <f>INDEX('AMMO Units'!D:D,MATCH($A21,'AMMO Units'!$E:$E,0))</f>
        <v>Tier 1</v>
      </c>
      <c r="L21" s="1771">
        <f>VALUE(INDEX('AMMO Measures'!H:H,MATCH($A21,'AMMO Measures'!A:A,0)))</f>
        <v>11.5</v>
      </c>
      <c r="M21" s="24">
        <v>2023</v>
      </c>
      <c r="N21" s="744">
        <f>GETPIVOTDATA("Units",'AMMO Units'!$A$3,"Year",$M21,"Measure Index",$A21,"Savings Category","Regional_Market_2021PP")</f>
        <v>14.52</v>
      </c>
      <c r="O21" s="443">
        <f>GETPIVOTDATA("Units",'AMMO Units'!$A$3,"Year",$M21,"Measure Index",$A21,"Savings Category","Local_Incentives_2021PP")</f>
        <v>0</v>
      </c>
      <c r="P21" s="444" t="s">
        <v>1609</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2">
        <f>GETPIVOTDATA("Savings Rate",'AMMO Savings Rates'!$A$3,"Year",$M21,"Measure Index",$A21,"Savings Rate Type","Savings_Rate_2021PP")</f>
        <v>766.63359917000002</v>
      </c>
      <c r="S21" s="86" t="s">
        <v>1608</v>
      </c>
      <c r="T21" s="1765">
        <f t="shared" si="4"/>
        <v>1.7771801843983372E-4</v>
      </c>
      <c r="U21" s="1766">
        <f t="shared" si="5"/>
        <v>0</v>
      </c>
      <c r="V21" s="1767">
        <f t="shared" si="8"/>
        <v>1.7771801843983372E-4</v>
      </c>
      <c r="W21" s="180"/>
    </row>
    <row r="22" spans="1:23" s="1376" customFormat="1" ht="15">
      <c r="A22" s="417" t="s">
        <v>1552</v>
      </c>
      <c r="B22" s="311" t="str">
        <f t="shared" si="7"/>
        <v>XMP_202001</v>
      </c>
      <c r="C22" s="311">
        <v>0</v>
      </c>
      <c r="D22" s="311">
        <v>0</v>
      </c>
      <c r="E22" s="311">
        <f t="shared" si="1"/>
        <v>1</v>
      </c>
      <c r="F22" s="311">
        <v>1</v>
      </c>
      <c r="G22" s="312" t="b">
        <v>1</v>
      </c>
      <c r="H22" s="314" t="str">
        <f t="shared" si="3"/>
        <v>Commercial</v>
      </c>
      <c r="I22" s="314" t="str">
        <f>INDEX('AMMO Units'!B:B,MATCH($A22,'AMMO Units'!$E:$E,0))</f>
        <v>XMP Pumps</v>
      </c>
      <c r="J22" s="314" t="str">
        <f>INDEX('AMMO Units'!C:C,MATCH($A22,'AMMO Units'!$E:$E,0))</f>
        <v>Commercial HH Circulator</v>
      </c>
      <c r="K22" s="314" t="str">
        <f>INDEX('AMMO Units'!D:D,MATCH($A22,'AMMO Units'!$E:$E,0))</f>
        <v>Tier 2</v>
      </c>
      <c r="L22" s="1771">
        <f>VALUE(INDEX('AMMO Measures'!H:H,MATCH($A22,'AMMO Measures'!A:A,0)))</f>
        <v>11.5</v>
      </c>
      <c r="M22" s="24">
        <v>2023</v>
      </c>
      <c r="N22" s="744">
        <f>GETPIVOTDATA("Units",'AMMO Units'!$A$3,"Year",$M22,"Measure Index",$A22,"Savings Category","Regional_Market_2021PP")</f>
        <v>198.13749999999999</v>
      </c>
      <c r="O22" s="443">
        <f>GETPIVOTDATA("Units",'AMMO Units'!$A$3,"Year",$M22,"Measure Index",$A22,"Savings Category","Local_Incentives_2021PP")</f>
        <v>0</v>
      </c>
      <c r="P22" s="444" t="s">
        <v>1609</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2">
        <f>GETPIVOTDATA("Savings Rate",'AMMO Savings Rates'!$A$3,"Year",$M22,"Measure Index",$A22,"Savings Rate Type","Savings_Rate_2021PP")</f>
        <v>783.99738831000002</v>
      </c>
      <c r="S22" s="86" t="s">
        <v>1608</v>
      </c>
      <c r="T22" s="1765">
        <f t="shared" si="4"/>
        <v>2.4800377507984456E-3</v>
      </c>
      <c r="U22" s="1766">
        <f t="shared" si="5"/>
        <v>0</v>
      </c>
      <c r="V22" s="1767">
        <f t="shared" si="8"/>
        <v>2.4800377507984456E-3</v>
      </c>
      <c r="W22" s="180"/>
    </row>
    <row r="23" spans="1:23" ht="15">
      <c r="A23" s="417" t="s">
        <v>1553</v>
      </c>
      <c r="B23" s="311" t="str">
        <f t="shared" si="7"/>
        <v>XMP_202001</v>
      </c>
      <c r="C23" s="311">
        <v>0</v>
      </c>
      <c r="D23" s="311">
        <v>0</v>
      </c>
      <c r="E23" s="311">
        <f t="shared" si="1"/>
        <v>1</v>
      </c>
      <c r="F23" s="311">
        <v>1</v>
      </c>
      <c r="G23" s="312" t="b">
        <v>1</v>
      </c>
      <c r="H23" s="314" t="str">
        <f t="shared" si="3"/>
        <v>Residential</v>
      </c>
      <c r="I23" s="314" t="str">
        <f>INDEX('AMMO Units'!B:B,MATCH($A23,'AMMO Units'!$E:$E,0))</f>
        <v>XMP Pumps</v>
      </c>
      <c r="J23" s="314" t="str">
        <f>INDEX('AMMO Units'!C:C,MATCH($A23,'AMMO Units'!$E:$E,0))</f>
        <v>Residential DHW Circulator</v>
      </c>
      <c r="K23" s="314" t="str">
        <f>INDEX('AMMO Units'!D:D,MATCH($A23,'AMMO Units'!$E:$E,0))</f>
        <v>Tier 1</v>
      </c>
      <c r="L23" s="1771"/>
      <c r="M23" s="442">
        <v>2023</v>
      </c>
      <c r="N23" s="744">
        <f>GETPIVOTDATA("Units",'AMMO Units'!$A$3,"Year",$M23,"Measure Index",$A23,"Savings Category","Regional_Market_2021PP")</f>
        <v>1039.0875000000001</v>
      </c>
      <c r="O23" s="443">
        <f>GETPIVOTDATA("Units",'AMMO Units'!$A$3,"Year",$M23,"Measure Index",$A23,"Savings Category","Local_Incentives_2021PP")</f>
        <v>0</v>
      </c>
      <c r="P23" s="444" t="s">
        <v>1609</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2">
        <f>GETPIVOTDATA("Savings Rate",'AMMO Savings Rates'!$A$3,"Year",$M23,"Measure Index",$A23,"Savings Rate Type","Savings_Rate_2021PP")</f>
        <v>88.223883990000004</v>
      </c>
      <c r="S23" s="86" t="s">
        <v>1608</v>
      </c>
      <c r="T23" s="1765">
        <f t="shared" si="4"/>
        <v>1.4635760378443258E-3</v>
      </c>
      <c r="U23" s="1766">
        <f t="shared" si="5"/>
        <v>0</v>
      </c>
      <c r="V23" s="1767">
        <f t="shared" si="8"/>
        <v>1.4635760378443258E-3</v>
      </c>
      <c r="W23" s="180"/>
    </row>
    <row r="24" spans="1:23" ht="15">
      <c r="A24" s="417" t="s">
        <v>1554</v>
      </c>
      <c r="B24" s="311" t="str">
        <f t="shared" si="7"/>
        <v>XMP_202001</v>
      </c>
      <c r="C24" s="311">
        <v>0</v>
      </c>
      <c r="D24" s="311">
        <v>0</v>
      </c>
      <c r="E24" s="311">
        <f t="shared" si="1"/>
        <v>1</v>
      </c>
      <c r="F24" s="311">
        <v>1</v>
      </c>
      <c r="G24" s="312" t="b">
        <v>1</v>
      </c>
      <c r="H24" s="314" t="str">
        <f t="shared" si="3"/>
        <v>Residential</v>
      </c>
      <c r="I24" s="314" t="str">
        <f>INDEX('AMMO Units'!B:B,MATCH($A24,'AMMO Units'!$E:$E,0))</f>
        <v>XMP Pumps</v>
      </c>
      <c r="J24" s="314" t="str">
        <f>INDEX('AMMO Units'!C:C,MATCH($A24,'AMMO Units'!$E:$E,0))</f>
        <v>Residential DHW Circulator</v>
      </c>
      <c r="K24" s="314" t="str">
        <f>INDEX('AMMO Units'!D:D,MATCH($A24,'AMMO Units'!$E:$E,0))</f>
        <v>Tier 2</v>
      </c>
      <c r="L24" s="1771"/>
      <c r="M24" s="442">
        <v>2023</v>
      </c>
      <c r="N24" s="744">
        <f>GETPIVOTDATA("Units",'AMMO Units'!$A$3,"Year",$M24,"Measure Index",$A24,"Savings Category","Regional_Market_2021PP")</f>
        <v>618.61249999999995</v>
      </c>
      <c r="O24" s="443">
        <f>GETPIVOTDATA("Units",'AMMO Units'!$A$3,"Year",$M24,"Measure Index",$A24,"Savings Category","Local_Incentives_2021PP")</f>
        <v>0</v>
      </c>
      <c r="P24" s="444" t="s">
        <v>1609</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2">
        <f>GETPIVOTDATA("Savings Rate",'AMMO Savings Rates'!$A$3,"Year",$M24,"Measure Index",$A24,"Savings Rate Type","Savings_Rate_2021PP")</f>
        <v>270.25194477999997</v>
      </c>
      <c r="S24" s="86" t="s">
        <v>1608</v>
      </c>
      <c r="T24" s="1765">
        <f t="shared" si="4"/>
        <v>2.6690979759519512E-3</v>
      </c>
      <c r="U24" s="1766">
        <f t="shared" si="5"/>
        <v>0</v>
      </c>
      <c r="V24" s="1767">
        <f t="shared" si="8"/>
        <v>2.6690979759519512E-3</v>
      </c>
      <c r="W24" s="180"/>
    </row>
    <row r="25" spans="1:23" ht="15">
      <c r="A25" s="437" t="s">
        <v>1555</v>
      </c>
      <c r="B25" s="311" t="str">
        <f t="shared" si="7"/>
        <v>XMP_202001</v>
      </c>
      <c r="C25" s="311">
        <v>0</v>
      </c>
      <c r="D25" s="311">
        <v>0</v>
      </c>
      <c r="E25" s="311">
        <f t="shared" si="1"/>
        <v>1</v>
      </c>
      <c r="F25" s="311">
        <v>1</v>
      </c>
      <c r="G25" s="312" t="b">
        <v>1</v>
      </c>
      <c r="H25" s="314" t="str">
        <f t="shared" si="3"/>
        <v>Residential</v>
      </c>
      <c r="I25" s="314" t="str">
        <f>INDEX('AMMO Units'!B:B,MATCH($A25,'AMMO Units'!$E:$E,0))</f>
        <v>XMP Pumps</v>
      </c>
      <c r="J25" s="314" t="str">
        <f>INDEX('AMMO Units'!C:C,MATCH($A25,'AMMO Units'!$E:$E,0))</f>
        <v>Residential DHW Circulator</v>
      </c>
      <c r="K25" s="314" t="str">
        <f>INDEX('AMMO Units'!D:D,MATCH($A25,'AMMO Units'!$E:$E,0))</f>
        <v>Tier 3</v>
      </c>
      <c r="L25" s="1771"/>
      <c r="M25" s="442">
        <v>2023</v>
      </c>
      <c r="N25" s="744">
        <f>GETPIVOTDATA("Units",'AMMO Units'!$A$3,"Year",$M25,"Measure Index",$A25,"Savings Category","Regional_Market_2021PP")</f>
        <v>1786.2625</v>
      </c>
      <c r="O25" s="443">
        <f>GETPIVOTDATA("Units",'AMMO Units'!$A$3,"Year",$M25,"Measure Index",$A25,"Savings Category","Local_Incentives_2021PP")</f>
        <v>0</v>
      </c>
      <c r="P25" s="444" t="s">
        <v>1609</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2">
        <f>GETPIVOTDATA("Savings Rate",'AMMO Savings Rates'!$A$3,"Year",$M25,"Measure Index",$A25,"Savings Rate Type","Savings_Rate_2021PP")</f>
        <v>1613.5065321300001</v>
      </c>
      <c r="S25" s="86" t="s">
        <v>1608</v>
      </c>
      <c r="T25" s="1765">
        <f t="shared" si="4"/>
        <v>4.601431970369118E-2</v>
      </c>
      <c r="U25" s="1766">
        <f t="shared" si="5"/>
        <v>0</v>
      </c>
      <c r="V25" s="1767">
        <f t="shared" si="8"/>
        <v>4.601431970369118E-2</v>
      </c>
      <c r="W25" s="180"/>
    </row>
    <row r="26" spans="1:23" ht="15">
      <c r="A26" s="437" t="s">
        <v>1556</v>
      </c>
      <c r="B26" s="311" t="str">
        <f t="shared" si="7"/>
        <v>XMP_202001</v>
      </c>
      <c r="C26" s="311">
        <v>0</v>
      </c>
      <c r="D26" s="311">
        <v>0</v>
      </c>
      <c r="E26" s="311">
        <f t="shared" si="1"/>
        <v>1</v>
      </c>
      <c r="F26" s="311">
        <v>1</v>
      </c>
      <c r="G26" s="312" t="b">
        <v>1</v>
      </c>
      <c r="H26" s="314" t="str">
        <f t="shared" si="3"/>
        <v>Commercial</v>
      </c>
      <c r="I26" s="314" t="str">
        <f>INDEX('AMMO Units'!B:B,MATCH($A26,'AMMO Units'!$E:$E,0))</f>
        <v>XMP Pumps</v>
      </c>
      <c r="J26" s="314" t="str">
        <f>INDEX('AMMO Units'!C:C,MATCH($A26,'AMMO Units'!$E:$E,0))</f>
        <v>Commercial DHW Circulator</v>
      </c>
      <c r="K26" s="314" t="str">
        <f>INDEX('AMMO Units'!D:D,MATCH($A26,'AMMO Units'!$E:$E,0))</f>
        <v>Tier 1</v>
      </c>
      <c r="L26" s="314">
        <f>VALUE(INDEX('AMMO Measures'!H:H,MATCH($A26,'AMMO Measures'!A:A,0)))</f>
        <v>11.5</v>
      </c>
      <c r="M26" s="442">
        <v>2023</v>
      </c>
      <c r="N26" s="744">
        <f>GETPIVOTDATA("Units",'AMMO Units'!$A$3,"Year",$M26,"Measure Index",$A26,"Savings Category","Regional_Market_2021PP")</f>
        <v>22.6875</v>
      </c>
      <c r="O26" s="443">
        <f>GETPIVOTDATA("Units",'AMMO Units'!$A$3,"Year",$M26,"Measure Index",$A26,"Savings Category","Local_Incentives_2021PP")</f>
        <v>0</v>
      </c>
      <c r="P26" s="444" t="s">
        <v>1609</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2">
        <f>GETPIVOTDATA("Savings Rate",'AMMO Savings Rates'!$A$3,"Year",$M26,"Measure Index",$A26,"Savings Rate Type","Savings_Rate_2021PP")</f>
        <v>34.146078369999998</v>
      </c>
      <c r="S26" s="86" t="s">
        <v>1608</v>
      </c>
      <c r="T26" s="1765">
        <f t="shared" si="4"/>
        <v>1.2368142258524853E-5</v>
      </c>
      <c r="U26" s="1766">
        <f t="shared" si="5"/>
        <v>0</v>
      </c>
      <c r="V26" s="1767">
        <f t="shared" si="8"/>
        <v>1.2368142258524853E-5</v>
      </c>
      <c r="W26" s="180"/>
    </row>
    <row r="27" spans="1:23" ht="15" hidden="1">
      <c r="A27" s="437" t="s">
        <v>1557</v>
      </c>
      <c r="B27" s="311" t="str">
        <f t="shared" si="7"/>
        <v>XMP_202001</v>
      </c>
      <c r="C27" s="311">
        <v>0</v>
      </c>
      <c r="D27" s="311">
        <v>0</v>
      </c>
      <c r="E27" s="311">
        <f t="shared" si="1"/>
        <v>1</v>
      </c>
      <c r="F27" s="311">
        <v>1</v>
      </c>
      <c r="G27" s="312" t="b">
        <v>1</v>
      </c>
      <c r="H27" s="314" t="str">
        <f t="shared" si="3"/>
        <v>Commercial</v>
      </c>
      <c r="I27" s="314" t="str">
        <f>INDEX('AMMO Units'!B:B,MATCH($A27,'AMMO Units'!$E:$E,0))</f>
        <v>XMP Pumps</v>
      </c>
      <c r="J27" s="314" t="str">
        <f>INDEX('AMMO Units'!C:C,MATCH($A27,'AMMO Units'!$E:$E,0))</f>
        <v>Commercial DHW Circulator</v>
      </c>
      <c r="K27" s="314" t="str">
        <f>INDEX('AMMO Units'!D:D,MATCH($A27,'AMMO Units'!$E:$E,0))</f>
        <v>Tier 2</v>
      </c>
      <c r="L27" s="314">
        <f>VALUE(INDEX('AMMO Measures'!H:H,MATCH($A27,'AMMO Measures'!A:A,0)))</f>
        <v>11.5</v>
      </c>
      <c r="M27" s="442">
        <v>2023</v>
      </c>
      <c r="N27" s="744">
        <f>GETPIVOTDATA("Units",'AMMO Units'!$A$3,"Year",$M27,"Measure Index",$A27,"Savings Category","Regional_Market_2021PP")</f>
        <v>0</v>
      </c>
      <c r="O27" s="443">
        <f>GETPIVOTDATA("Units",'AMMO Units'!$A$3,"Year",$M27,"Measure Index",$A27,"Savings Category","Local_Incentives_2021PP")</f>
        <v>0</v>
      </c>
      <c r="P27" s="444" t="s">
        <v>1609</v>
      </c>
      <c r="Q27" s="445">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v>
      </c>
      <c r="R27" s="1472">
        <f>GETPIVOTDATA("Savings Rate",'AMMO Savings Rates'!$A$3,"Year",$M27,"Measure Index",$A27,"Savings Rate Type","Savings_Rate_2021PP")</f>
        <v>645.70325013000001</v>
      </c>
      <c r="S27" s="86" t="s">
        <v>1608</v>
      </c>
      <c r="T27" s="1765">
        <f t="shared" si="4"/>
        <v>0</v>
      </c>
      <c r="U27" s="1766">
        <f t="shared" si="5"/>
        <v>0</v>
      </c>
      <c r="V27" s="1767">
        <f t="shared" si="8"/>
        <v>0</v>
      </c>
      <c r="W27" s="180"/>
    </row>
    <row r="28" spans="1:23" ht="15">
      <c r="A28" s="437" t="s">
        <v>1558</v>
      </c>
      <c r="B28" s="311" t="str">
        <f t="shared" si="7"/>
        <v>XMP_202001</v>
      </c>
      <c r="C28" s="311">
        <v>0</v>
      </c>
      <c r="D28" s="311">
        <v>0</v>
      </c>
      <c r="E28" s="311">
        <f t="shared" si="1"/>
        <v>1</v>
      </c>
      <c r="F28" s="311">
        <v>1</v>
      </c>
      <c r="G28" s="312" t="b">
        <v>1</v>
      </c>
      <c r="H28" s="314" t="str">
        <f t="shared" si="3"/>
        <v>Commercial</v>
      </c>
      <c r="I28" s="314" t="str">
        <f>INDEX('AMMO Units'!B:B,MATCH($A28,'AMMO Units'!$E:$E,0))</f>
        <v>XMP Pumps</v>
      </c>
      <c r="J28" s="314" t="str">
        <f>INDEX('AMMO Units'!C:C,MATCH($A28,'AMMO Units'!$E:$E,0))</f>
        <v>Commercial DHW Circulator</v>
      </c>
      <c r="K28" s="314" t="str">
        <f>INDEX('AMMO Units'!D:D,MATCH($A28,'AMMO Units'!$E:$E,0))</f>
        <v>Tier 3</v>
      </c>
      <c r="L28" s="314">
        <f>VALUE(INDEX('AMMO Measures'!H:H,MATCH($A28,'AMMO Measures'!A:A,0)))</f>
        <v>11.5</v>
      </c>
      <c r="M28" s="442">
        <v>2023</v>
      </c>
      <c r="N28" s="744">
        <f>GETPIVOTDATA("Units",'AMMO Units'!$A$3,"Year",$M28,"Measure Index",$A28,"Savings Category","Regional_Market_2021PP")</f>
        <v>18.149999999999999</v>
      </c>
      <c r="O28" s="443">
        <f>GETPIVOTDATA("Units",'AMMO Units'!$A$3,"Year",$M28,"Measure Index",$A28,"Savings Category","Local_Incentives_2021PP")</f>
        <v>0</v>
      </c>
      <c r="P28" s="444" t="s">
        <v>1609</v>
      </c>
      <c r="Q28" s="445">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472">
        <f>GETPIVOTDATA("Savings Rate",'AMMO Savings Rates'!$A$3,"Year",$M28,"Measure Index",$A28,"Savings Rate Type","Savings_Rate_2021PP")</f>
        <v>2499.4300000500002</v>
      </c>
      <c r="S28" s="86" t="s">
        <v>1608</v>
      </c>
      <c r="T28" s="1765">
        <f t="shared" si="4"/>
        <v>7.242601735021598E-4</v>
      </c>
      <c r="U28" s="1766">
        <f t="shared" si="5"/>
        <v>0</v>
      </c>
      <c r="V28" s="1767">
        <f t="shared" si="8"/>
        <v>7.242601735021598E-4</v>
      </c>
      <c r="W28" s="180"/>
    </row>
    <row r="29" spans="1:23" ht="15">
      <c r="A29" s="437" t="s">
        <v>1559</v>
      </c>
      <c r="B29" s="311" t="str">
        <f t="shared" si="7"/>
        <v>XMP_202001</v>
      </c>
      <c r="C29" s="311">
        <v>0</v>
      </c>
      <c r="D29" s="311">
        <v>0</v>
      </c>
      <c r="E29" s="311">
        <f t="shared" si="1"/>
        <v>1</v>
      </c>
      <c r="F29" s="311">
        <v>1</v>
      </c>
      <c r="G29" s="312" t="b">
        <v>1</v>
      </c>
      <c r="H29" s="314" t="str">
        <f t="shared" si="3"/>
        <v>Commercial</v>
      </c>
      <c r="I29" s="314" t="str">
        <f>INDEX('AMMO Units'!B:B,MATCH($A29,'AMMO Units'!$E:$E,0))</f>
        <v>XMP Pumps</v>
      </c>
      <c r="J29" s="314" t="str">
        <f>INDEX('AMMO Units'!C:C,MATCH($A29,'AMMO Units'!$E:$E,0))</f>
        <v>Commercial CS Pump</v>
      </c>
      <c r="K29" s="314" t="str">
        <f>INDEX('AMMO Units'!D:D,MATCH($A29,'AMMO Units'!$E:$E,0))</f>
        <v>Single Tier</v>
      </c>
      <c r="L29" s="1777">
        <f>VALUE(INDEX('AMMO Measures'!H:H,MATCH($A29,'AMMO Measures'!A:A,0)))</f>
        <v>19</v>
      </c>
      <c r="M29" s="442">
        <v>2023</v>
      </c>
      <c r="N29" s="744">
        <f>GETPIVOTDATA("Units",'AMMO Units'!$A$3,"Year",$M29,"Measure Index",$A29,"Savings Category","Regional_Market_2021PP")</f>
        <v>1298.3988272300001</v>
      </c>
      <c r="O29" s="443">
        <f>GETPIVOTDATA("Units",'AMMO Units'!$A$3,"Year",$M29,"Measure Index",$A29,"Savings Category","Local_Incentives_2021PP")</f>
        <v>0</v>
      </c>
      <c r="P29" s="444" t="s">
        <v>1609</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2">
        <f>GETPIVOTDATA("Savings Rate",'AMMO Savings Rates'!$A$3,"Year",$M29,"Measure Index",$A29,"Savings Rate Type","Savings_Rate_2021PP")</f>
        <v>1523.1456348700001</v>
      </c>
      <c r="S29" s="86" t="s">
        <v>1605</v>
      </c>
      <c r="T29" s="1765">
        <f t="shared" si="4"/>
        <v>3.1573777302435165E-2</v>
      </c>
      <c r="U29" s="1766">
        <f t="shared" si="5"/>
        <v>0</v>
      </c>
      <c r="V29" s="1767">
        <f t="shared" si="8"/>
        <v>3.1573777302435165E-2</v>
      </c>
      <c r="W29" s="180"/>
    </row>
    <row r="30" spans="1:23" ht="15">
      <c r="A30" s="437" t="s">
        <v>1560</v>
      </c>
      <c r="B30" s="311" t="str">
        <f t="shared" si="7"/>
        <v>XMP_202001</v>
      </c>
      <c r="C30" s="311">
        <v>0</v>
      </c>
      <c r="D30" s="311">
        <v>0</v>
      </c>
      <c r="E30" s="311">
        <f t="shared" si="1"/>
        <v>1</v>
      </c>
      <c r="F30" s="311">
        <v>1</v>
      </c>
      <c r="G30" s="312" t="b">
        <v>1</v>
      </c>
      <c r="H30" s="314" t="str">
        <f t="shared" si="3"/>
        <v>Commercial</v>
      </c>
      <c r="I30" s="314" t="str">
        <f>INDEX('AMMO Units'!B:B,MATCH($A30,'AMMO Units'!$E:$E,0))</f>
        <v>XMP Pumps</v>
      </c>
      <c r="J30" s="314" t="str">
        <f>INDEX('AMMO Units'!C:C,MATCH($A30,'AMMO Units'!$E:$E,0))</f>
        <v>Commercial VS Pump</v>
      </c>
      <c r="K30" s="314" t="str">
        <f>INDEX('AMMO Units'!D:D,MATCH($A30,'AMMO Units'!$E:$E,0))</f>
        <v>Tier 1</v>
      </c>
      <c r="L30" s="314">
        <f>VALUE(INDEX('AMMO Measures'!H:H,MATCH($A30,'AMMO Measures'!A:A,0)))</f>
        <v>19</v>
      </c>
      <c r="M30" s="442">
        <v>2023</v>
      </c>
      <c r="N30" s="744">
        <f>GETPIVOTDATA("Units",'AMMO Units'!$A$3,"Year",$M30,"Measure Index",$A30,"Savings Category","Regional_Market_2021PP")</f>
        <v>246.62033424000001</v>
      </c>
      <c r="O30" s="443">
        <f>GETPIVOTDATA("Units",'AMMO Units'!$A$3,"Year",$M30,"Measure Index",$A30,"Savings Category","Local_Incentives_2021PP")</f>
        <v>0</v>
      </c>
      <c r="P30" s="444" t="s">
        <v>1609</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2">
        <f>GETPIVOTDATA("Savings Rate",'AMMO Savings Rates'!$A$3,"Year",$M30,"Measure Index",$A30,"Savings Rate Type","Savings_Rate_2021PP")</f>
        <v>1187.56299171</v>
      </c>
      <c r="S30" s="86" t="s">
        <v>1606</v>
      </c>
      <c r="T30" s="1765">
        <f t="shared" si="4"/>
        <v>4.6758711367945365E-3</v>
      </c>
      <c r="U30" s="1766">
        <f t="shared" si="5"/>
        <v>0</v>
      </c>
      <c r="V30" s="1767">
        <f t="shared" si="8"/>
        <v>4.6758711367945365E-3</v>
      </c>
      <c r="W30" s="180"/>
    </row>
    <row r="31" spans="1:23" ht="15">
      <c r="A31" s="437" t="s">
        <v>1561</v>
      </c>
      <c r="B31" s="311" t="str">
        <f t="shared" si="7"/>
        <v>XMP_202001</v>
      </c>
      <c r="C31" s="311">
        <v>0</v>
      </c>
      <c r="D31" s="311">
        <v>0</v>
      </c>
      <c r="E31" s="311">
        <f t="shared" si="1"/>
        <v>1</v>
      </c>
      <c r="F31" s="311">
        <v>1</v>
      </c>
      <c r="G31" s="312" t="b">
        <v>1</v>
      </c>
      <c r="H31" s="314" t="str">
        <f t="shared" si="3"/>
        <v>Commercial</v>
      </c>
      <c r="I31" s="314" t="str">
        <f>INDEX('AMMO Units'!B:B,MATCH($A31,'AMMO Units'!$E:$E,0))</f>
        <v>XMP Pumps</v>
      </c>
      <c r="J31" s="314" t="str">
        <f>INDEX('AMMO Units'!C:C,MATCH($A31,'AMMO Units'!$E:$E,0))</f>
        <v>Commercial VS Pump</v>
      </c>
      <c r="K31" s="314" t="str">
        <f>INDEX('AMMO Units'!D:D,MATCH($A31,'AMMO Units'!$E:$E,0))</f>
        <v>Tier 2</v>
      </c>
      <c r="L31" s="314">
        <f>VALUE(INDEX('AMMO Measures'!H:H,MATCH($A31,'AMMO Measures'!A:A,0)))</f>
        <v>19</v>
      </c>
      <c r="M31" s="442">
        <v>2023</v>
      </c>
      <c r="N31" s="744">
        <f>GETPIVOTDATA("Units",'AMMO Units'!$A$3,"Year",$M31,"Measure Index",$A31,"Savings Category","Regional_Market_2021PP")</f>
        <v>128.77327579000001</v>
      </c>
      <c r="O31" s="443">
        <f>GETPIVOTDATA("Units",'AMMO Units'!$A$3,"Year",$M31,"Measure Index",$A31,"Savings Category","Local_Incentives_2021PP")</f>
        <v>0</v>
      </c>
      <c r="P31" s="444" t="s">
        <v>1609</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2">
        <f>GETPIVOTDATA("Savings Rate",'AMMO Savings Rates'!$A$3,"Year",$M31,"Measure Index",$A31,"Savings Rate Type","Savings_Rate_2021PP")</f>
        <v>553.12676630999999</v>
      </c>
      <c r="S31" s="86" t="s">
        <v>1607</v>
      </c>
      <c r="T31" s="1765">
        <f t="shared" si="4"/>
        <v>1.1371752926154807E-3</v>
      </c>
      <c r="U31" s="1766">
        <f t="shared" si="5"/>
        <v>0</v>
      </c>
      <c r="V31" s="1767">
        <f t="shared" si="8"/>
        <v>1.1371752926154807E-3</v>
      </c>
      <c r="W31" s="180"/>
    </row>
    <row r="32" spans="1:23" s="1376" customFormat="1" ht="15" hidden="1">
      <c r="A32" s="437" t="s">
        <v>1549</v>
      </c>
      <c r="B32" s="311" t="s">
        <v>1563</v>
      </c>
      <c r="C32" s="311">
        <v>0</v>
      </c>
      <c r="D32" s="311">
        <v>0</v>
      </c>
      <c r="E32" s="311">
        <v>1</v>
      </c>
      <c r="F32" s="311">
        <v>1</v>
      </c>
      <c r="G32" s="311" t="b">
        <v>1</v>
      </c>
      <c r="H32" s="314" t="str">
        <f t="shared" ref="H32:H44" si="9">IF(LEFT(J32,3)="Res","Residential","Commercial")</f>
        <v>Residential</v>
      </c>
      <c r="I32" s="314" t="str">
        <f>INDEX('AMMO Units'!B:B,MATCH($A32,'AMMO Units'!$E:$E,0))</f>
        <v>XMP Pumps</v>
      </c>
      <c r="J32" s="314" t="str">
        <f>INDEX('AMMO Units'!C:C,MATCH($A32,'AMMO Units'!$E:$E,0))</f>
        <v>Residential HH Circulator</v>
      </c>
      <c r="K32" s="314" t="str">
        <f>INDEX('AMMO Units'!D:D,MATCH($A32,'AMMO Units'!$E:$E,0))</f>
        <v>Tier 1</v>
      </c>
      <c r="L32" s="314">
        <f>VALUE(INDEX('AMMO Measures'!H:H,MATCH($A32,'AMMO Measures'!A:A,0)))</f>
        <v>11.5</v>
      </c>
      <c r="M32" s="442">
        <v>2024</v>
      </c>
      <c r="N32" s="744">
        <f>GETPIVOTDATA("Units",'AMMO Units'!$A$3,"Year",$M32,"Measure Index",$A32,"Savings Category","Regional_Market_2021PP")</f>
        <v>856.83124999999995</v>
      </c>
      <c r="O32" s="443">
        <f>GETPIVOTDATA("Units",'AMMO Units'!$A$3,"Year",$M32,"Measure Index",$A32,"Savings Category","Local_Incentives_2021PP")</f>
        <v>0</v>
      </c>
      <c r="P32" s="444" t="s">
        <v>1609</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2">
        <f>GETPIVOTDATA("Savings Rate",'AMMO Savings Rates'!$A$3,"Year",$M32,"Measure Index",$A32,"Savings Rate Type","Savings_Rate_2021PP")</f>
        <v>87.042615659999996</v>
      </c>
      <c r="S32" s="86" t="s">
        <v>1607</v>
      </c>
      <c r="T32" s="1765">
        <f t="shared" ref="T32:T44" si="10">(N32)*Q32*R32/8760000</f>
        <v>1.190705137570094E-3</v>
      </c>
      <c r="U32" s="1766">
        <f t="shared" ref="U32:U44" si="11">IFERROR((O32/N32*O32)*Q32*R32/8760/1000,0)</f>
        <v>0</v>
      </c>
      <c r="V32" s="1767">
        <f t="shared" ref="V32:V44" si="12">T32-U32</f>
        <v>1.190705137570094E-3</v>
      </c>
      <c r="W32" s="180"/>
    </row>
    <row r="33" spans="1:23" s="1376" customFormat="1" ht="15" hidden="1">
      <c r="A33" s="437" t="s">
        <v>1550</v>
      </c>
      <c r="B33" s="311" t="s">
        <v>1563</v>
      </c>
      <c r="C33" s="311">
        <v>0</v>
      </c>
      <c r="D33" s="311">
        <v>0</v>
      </c>
      <c r="E33" s="311">
        <v>1</v>
      </c>
      <c r="F33" s="311">
        <v>1</v>
      </c>
      <c r="G33" s="311" t="b">
        <v>1</v>
      </c>
      <c r="H33" s="314" t="str">
        <f t="shared" si="9"/>
        <v>Residential</v>
      </c>
      <c r="I33" s="314" t="str">
        <f>INDEX('AMMO Units'!B:B,MATCH($A33,'AMMO Units'!$E:$E,0))</f>
        <v>XMP Pumps</v>
      </c>
      <c r="J33" s="314" t="str">
        <f>INDEX('AMMO Units'!C:C,MATCH($A33,'AMMO Units'!$E:$E,0))</f>
        <v>Residential HH Circulator</v>
      </c>
      <c r="K33" s="314" t="str">
        <f>INDEX('AMMO Units'!D:D,MATCH($A33,'AMMO Units'!$E:$E,0))</f>
        <v>Tier 2</v>
      </c>
      <c r="L33" s="314">
        <f>VALUE(INDEX('AMMO Measures'!H:H,MATCH($A33,'AMMO Measures'!A:A,0)))</f>
        <v>11.5</v>
      </c>
      <c r="M33" s="442">
        <v>2024</v>
      </c>
      <c r="N33" s="744">
        <f>GETPIVOTDATA("Units",'AMMO Units'!$A$3,"Year",$M33,"Measure Index",$A33,"Savings Category","Regional_Market_2021PP")</f>
        <v>1936.605</v>
      </c>
      <c r="O33" s="443">
        <f>GETPIVOTDATA("Units",'AMMO Units'!$A$3,"Year",$M33,"Measure Index",$A33,"Savings Category","Local_Incentives_2021PP")</f>
        <v>0</v>
      </c>
      <c r="P33" s="444" t="s">
        <v>1609</v>
      </c>
      <c r="Q33" s="445">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1472">
        <f>GETPIVOTDATA("Savings Rate",'AMMO Savings Rates'!$A$3,"Year",$M33,"Measure Index",$A33,"Savings Rate Type","Savings_Rate_2021PP")</f>
        <v>343.30448959</v>
      </c>
      <c r="S33" s="86" t="s">
        <v>1607</v>
      </c>
      <c r="T33" s="1765">
        <f t="shared" si="10"/>
        <v>1.0614450803793252E-2</v>
      </c>
      <c r="U33" s="1766">
        <f t="shared" si="11"/>
        <v>0</v>
      </c>
      <c r="V33" s="1767">
        <f t="shared" si="12"/>
        <v>1.0614450803793252E-2</v>
      </c>
      <c r="W33" s="180"/>
    </row>
    <row r="34" spans="1:23" s="1376" customFormat="1" ht="15" hidden="1">
      <c r="A34" s="437" t="s">
        <v>1551</v>
      </c>
      <c r="B34" s="311" t="s">
        <v>1563</v>
      </c>
      <c r="C34" s="311">
        <v>0</v>
      </c>
      <c r="D34" s="311">
        <v>0</v>
      </c>
      <c r="E34" s="311">
        <v>1</v>
      </c>
      <c r="F34" s="311">
        <v>1</v>
      </c>
      <c r="G34" s="311" t="b">
        <v>1</v>
      </c>
      <c r="H34" s="314" t="str">
        <f t="shared" si="9"/>
        <v>Commercial</v>
      </c>
      <c r="I34" s="314" t="str">
        <f>INDEX('AMMO Units'!B:B,MATCH($A34,'AMMO Units'!$E:$E,0))</f>
        <v>XMP Pumps</v>
      </c>
      <c r="J34" s="314" t="str">
        <f>INDEX('AMMO Units'!C:C,MATCH($A34,'AMMO Units'!$E:$E,0))</f>
        <v>Commercial HH Circulator</v>
      </c>
      <c r="K34" s="314" t="str">
        <f>INDEX('AMMO Units'!D:D,MATCH($A34,'AMMO Units'!$E:$E,0))</f>
        <v>Tier 1</v>
      </c>
      <c r="L34" s="314">
        <f>VALUE(INDEX('AMMO Measures'!H:H,MATCH($A34,'AMMO Measures'!A:A,0)))</f>
        <v>11.5</v>
      </c>
      <c r="M34" s="442">
        <v>2024</v>
      </c>
      <c r="N34" s="744">
        <f>GETPIVOTDATA("Units",'AMMO Units'!$A$3,"Year",$M34,"Measure Index",$A34,"Savings Category","Regional_Market_2021PP")</f>
        <v>14.52</v>
      </c>
      <c r="O34" s="443">
        <f>GETPIVOTDATA("Units",'AMMO Units'!$A$3,"Year",$M34,"Measure Index",$A34,"Savings Category","Local_Incentives_2021PP")</f>
        <v>0</v>
      </c>
      <c r="P34" s="444" t="s">
        <v>1609</v>
      </c>
      <c r="Q34" s="445">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472">
        <f>GETPIVOTDATA("Savings Rate",'AMMO Savings Rates'!$A$3,"Year",$M34,"Measure Index",$A34,"Savings Rate Type","Savings_Rate_2021PP")</f>
        <v>766.63359917000002</v>
      </c>
      <c r="S34" s="86" t="s">
        <v>1607</v>
      </c>
      <c r="T34" s="1765">
        <f t="shared" si="10"/>
        <v>1.7771801843983372E-4</v>
      </c>
      <c r="U34" s="1766">
        <f t="shared" si="11"/>
        <v>0</v>
      </c>
      <c r="V34" s="1767">
        <f t="shared" si="12"/>
        <v>1.7771801843983372E-4</v>
      </c>
      <c r="W34" s="180"/>
    </row>
    <row r="35" spans="1:23" s="1376" customFormat="1" ht="15" hidden="1">
      <c r="A35" s="437" t="s">
        <v>1552</v>
      </c>
      <c r="B35" s="311" t="s">
        <v>1563</v>
      </c>
      <c r="C35" s="311">
        <v>0</v>
      </c>
      <c r="D35" s="311">
        <v>0</v>
      </c>
      <c r="E35" s="311">
        <v>1</v>
      </c>
      <c r="F35" s="311">
        <v>1</v>
      </c>
      <c r="G35" s="311" t="b">
        <v>1</v>
      </c>
      <c r="H35" s="314" t="str">
        <f t="shared" si="9"/>
        <v>Commercial</v>
      </c>
      <c r="I35" s="314" t="str">
        <f>INDEX('AMMO Units'!B:B,MATCH($A35,'AMMO Units'!$E:$E,0))</f>
        <v>XMP Pumps</v>
      </c>
      <c r="J35" s="314" t="str">
        <f>INDEX('AMMO Units'!C:C,MATCH($A35,'AMMO Units'!$E:$E,0))</f>
        <v>Commercial HH Circulator</v>
      </c>
      <c r="K35" s="314" t="str">
        <f>INDEX('AMMO Units'!D:D,MATCH($A35,'AMMO Units'!$E:$E,0))</f>
        <v>Tier 2</v>
      </c>
      <c r="L35" s="314">
        <f>VALUE(INDEX('AMMO Measures'!H:H,MATCH($A35,'AMMO Measures'!A:A,0)))</f>
        <v>11.5</v>
      </c>
      <c r="M35" s="442">
        <v>2024</v>
      </c>
      <c r="N35" s="744">
        <f>GETPIVOTDATA("Units",'AMMO Units'!$A$3,"Year",$M35,"Measure Index",$A35,"Savings Category","Regional_Market_2021PP")</f>
        <v>217.95124999999999</v>
      </c>
      <c r="O35" s="443">
        <f>GETPIVOTDATA("Units",'AMMO Units'!$A$3,"Year",$M35,"Measure Index",$A35,"Savings Category","Local_Incentives_2021PP")</f>
        <v>0</v>
      </c>
      <c r="P35" s="444" t="s">
        <v>1609</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2">
        <f>GETPIVOTDATA("Savings Rate",'AMMO Savings Rates'!$A$3,"Year",$M35,"Measure Index",$A35,"Savings Rate Type","Savings_Rate_2021PP")</f>
        <v>783.99738831000002</v>
      </c>
      <c r="S35" s="86" t="s">
        <v>1607</v>
      </c>
      <c r="T35" s="1765">
        <f t="shared" si="10"/>
        <v>2.7280415258782902E-3</v>
      </c>
      <c r="U35" s="1766">
        <f t="shared" si="11"/>
        <v>0</v>
      </c>
      <c r="V35" s="1767">
        <f t="shared" si="12"/>
        <v>2.7280415258782902E-3</v>
      </c>
      <c r="W35" s="180"/>
    </row>
    <row r="36" spans="1:23" s="1376" customFormat="1" ht="15" hidden="1">
      <c r="A36" s="437" t="s">
        <v>1553</v>
      </c>
      <c r="B36" s="311" t="s">
        <v>1563</v>
      </c>
      <c r="C36" s="311">
        <v>0</v>
      </c>
      <c r="D36" s="311">
        <v>0</v>
      </c>
      <c r="E36" s="311">
        <v>1</v>
      </c>
      <c r="F36" s="311">
        <v>1</v>
      </c>
      <c r="G36" s="311" t="b">
        <v>1</v>
      </c>
      <c r="H36" s="314" t="str">
        <f t="shared" si="9"/>
        <v>Residential</v>
      </c>
      <c r="I36" s="314" t="str">
        <f>INDEX('AMMO Units'!B:B,MATCH($A36,'AMMO Units'!$E:$E,0))</f>
        <v>XMP Pumps</v>
      </c>
      <c r="J36" s="314" t="str">
        <f>INDEX('AMMO Units'!C:C,MATCH($A36,'AMMO Units'!$E:$E,0))</f>
        <v>Residential DHW Circulator</v>
      </c>
      <c r="K36" s="314" t="str">
        <f>INDEX('AMMO Units'!D:D,MATCH($A36,'AMMO Units'!$E:$E,0))</f>
        <v>Tier 1</v>
      </c>
      <c r="L36" s="314">
        <f>VALUE(INDEX('AMMO Measures'!H:H,MATCH($A36,'AMMO Measures'!A:A,0)))</f>
        <v>11.5</v>
      </c>
      <c r="M36" s="442">
        <v>2024</v>
      </c>
      <c r="N36" s="744">
        <f>GETPIVOTDATA("Units",'AMMO Units'!$A$3,"Year",$M36,"Measure Index",$A36,"Savings Category","Regional_Market_2021PP")</f>
        <v>1142.9962499999999</v>
      </c>
      <c r="O36" s="443">
        <f>GETPIVOTDATA("Units",'AMMO Units'!$A$3,"Year",$M36,"Measure Index",$A36,"Savings Category","Local_Incentives_2021PP")</f>
        <v>0</v>
      </c>
      <c r="P36" s="444" t="s">
        <v>1609</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2">
        <f>GETPIVOTDATA("Savings Rate",'AMMO Savings Rates'!$A$3,"Year",$M36,"Measure Index",$A36,"Savings Rate Type","Savings_Rate_2021PP")</f>
        <v>88.223883990000004</v>
      </c>
      <c r="S36" s="86" t="s">
        <v>1607</v>
      </c>
      <c r="T36" s="1765">
        <f t="shared" si="10"/>
        <v>1.6099336416287582E-3</v>
      </c>
      <c r="U36" s="1766">
        <f t="shared" si="11"/>
        <v>0</v>
      </c>
      <c r="V36" s="1767">
        <f t="shared" si="12"/>
        <v>1.6099336416287582E-3</v>
      </c>
      <c r="W36" s="180"/>
    </row>
    <row r="37" spans="1:23" s="1376" customFormat="1" ht="15" hidden="1">
      <c r="A37" s="437" t="s">
        <v>1554</v>
      </c>
      <c r="B37" s="311" t="s">
        <v>1563</v>
      </c>
      <c r="C37" s="311">
        <v>0</v>
      </c>
      <c r="D37" s="311">
        <v>0</v>
      </c>
      <c r="E37" s="311">
        <v>1</v>
      </c>
      <c r="F37" s="311">
        <v>1</v>
      </c>
      <c r="G37" s="311" t="b">
        <v>1</v>
      </c>
      <c r="H37" s="314" t="str">
        <f t="shared" si="9"/>
        <v>Residential</v>
      </c>
      <c r="I37" s="314" t="str">
        <f>INDEX('AMMO Units'!B:B,MATCH($A37,'AMMO Units'!$E:$E,0))</f>
        <v>XMP Pumps</v>
      </c>
      <c r="J37" s="314" t="str">
        <f>INDEX('AMMO Units'!C:C,MATCH($A37,'AMMO Units'!$E:$E,0))</f>
        <v>Residential DHW Circulator</v>
      </c>
      <c r="K37" s="314" t="str">
        <f>INDEX('AMMO Units'!D:D,MATCH($A37,'AMMO Units'!$E:$E,0))</f>
        <v>Tier 2</v>
      </c>
      <c r="L37" s="314">
        <f>VALUE(INDEX('AMMO Measures'!H:H,MATCH($A37,'AMMO Measures'!A:A,0)))</f>
        <v>11.5</v>
      </c>
      <c r="M37" s="442">
        <v>2024</v>
      </c>
      <c r="N37" s="744">
        <f>GETPIVOTDATA("Units",'AMMO Units'!$A$3,"Year",$M37,"Measure Index",$A37,"Savings Category","Regional_Market_2021PP")</f>
        <v>680.47375</v>
      </c>
      <c r="O37" s="443">
        <f>GETPIVOTDATA("Units",'AMMO Units'!$A$3,"Year",$M37,"Measure Index",$A37,"Savings Category","Local_Incentives_2021PP")</f>
        <v>0</v>
      </c>
      <c r="P37" s="444" t="s">
        <v>1609</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2">
        <f>GETPIVOTDATA("Savings Rate",'AMMO Savings Rates'!$A$3,"Year",$M37,"Measure Index",$A37,"Savings Rate Type","Savings_Rate_2021PP")</f>
        <v>270.25194477999997</v>
      </c>
      <c r="S37" s="86" t="s">
        <v>1607</v>
      </c>
      <c r="T37" s="1765">
        <f t="shared" si="10"/>
        <v>2.9360077735471461E-3</v>
      </c>
      <c r="U37" s="1766">
        <f t="shared" si="11"/>
        <v>0</v>
      </c>
      <c r="V37" s="1767">
        <f t="shared" si="12"/>
        <v>2.9360077735471461E-3</v>
      </c>
      <c r="W37" s="180"/>
    </row>
    <row r="38" spans="1:23" s="1376" customFormat="1" ht="15" hidden="1">
      <c r="A38" s="437" t="s">
        <v>1555</v>
      </c>
      <c r="B38" s="311" t="s">
        <v>1563</v>
      </c>
      <c r="C38" s="311">
        <v>0</v>
      </c>
      <c r="D38" s="311">
        <v>0</v>
      </c>
      <c r="E38" s="311">
        <v>1</v>
      </c>
      <c r="F38" s="311">
        <v>1</v>
      </c>
      <c r="G38" s="311" t="b">
        <v>1</v>
      </c>
      <c r="H38" s="314" t="str">
        <f t="shared" si="9"/>
        <v>Residential</v>
      </c>
      <c r="I38" s="314" t="str">
        <f>INDEX('AMMO Units'!B:B,MATCH($A38,'AMMO Units'!$E:$E,0))</f>
        <v>XMP Pumps</v>
      </c>
      <c r="J38" s="314" t="str">
        <f>INDEX('AMMO Units'!C:C,MATCH($A38,'AMMO Units'!$E:$E,0))</f>
        <v>Residential DHW Circulator</v>
      </c>
      <c r="K38" s="314" t="str">
        <f>INDEX('AMMO Units'!D:D,MATCH($A38,'AMMO Units'!$E:$E,0))</f>
        <v>Tier 3</v>
      </c>
      <c r="L38" s="314">
        <f>VALUE(INDEX('AMMO Measures'!H:H,MATCH($A38,'AMMO Measures'!A:A,0)))</f>
        <v>11.5</v>
      </c>
      <c r="M38" s="442">
        <v>2024</v>
      </c>
      <c r="N38" s="744">
        <f>GETPIVOTDATA("Units",'AMMO Units'!$A$3,"Year",$M38,"Measure Index",$A38,"Savings Category","Regional_Market_2021PP")</f>
        <v>1964.8887500000001</v>
      </c>
      <c r="O38" s="443">
        <f>GETPIVOTDATA("Units",'AMMO Units'!$A$3,"Year",$M38,"Measure Index",$A38,"Savings Category","Local_Incentives_2021PP")</f>
        <v>0</v>
      </c>
      <c r="P38" s="444" t="s">
        <v>1609</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2">
        <f>GETPIVOTDATA("Savings Rate",'AMMO Savings Rates'!$A$3,"Year",$M38,"Measure Index",$A38,"Savings Rate Type","Savings_Rate_2021PP")</f>
        <v>1613.5065321300001</v>
      </c>
      <c r="S38" s="86" t="s">
        <v>1607</v>
      </c>
      <c r="T38" s="1765">
        <f t="shared" si="10"/>
        <v>5.0615751674060315E-2</v>
      </c>
      <c r="U38" s="1766">
        <f t="shared" si="11"/>
        <v>0</v>
      </c>
      <c r="V38" s="1767">
        <f t="shared" si="12"/>
        <v>5.0615751674060315E-2</v>
      </c>
      <c r="W38" s="180"/>
    </row>
    <row r="39" spans="1:23" s="1376" customFormat="1" ht="15" hidden="1">
      <c r="A39" s="437" t="s">
        <v>1556</v>
      </c>
      <c r="B39" s="311" t="s">
        <v>1563</v>
      </c>
      <c r="C39" s="311">
        <v>0</v>
      </c>
      <c r="D39" s="311">
        <v>0</v>
      </c>
      <c r="E39" s="311">
        <v>1</v>
      </c>
      <c r="F39" s="311">
        <v>1</v>
      </c>
      <c r="G39" s="311" t="b">
        <v>1</v>
      </c>
      <c r="H39" s="314" t="str">
        <f t="shared" si="9"/>
        <v>Commercial</v>
      </c>
      <c r="I39" s="314" t="str">
        <f>INDEX('AMMO Units'!B:B,MATCH($A39,'AMMO Units'!$E:$E,0))</f>
        <v>XMP Pumps</v>
      </c>
      <c r="J39" s="314" t="str">
        <f>INDEX('AMMO Units'!C:C,MATCH($A39,'AMMO Units'!$E:$E,0))</f>
        <v>Commercial DHW Circulator</v>
      </c>
      <c r="K39" s="314" t="str">
        <f>INDEX('AMMO Units'!D:D,MATCH($A39,'AMMO Units'!$E:$E,0))</f>
        <v>Tier 1</v>
      </c>
      <c r="L39" s="314">
        <f>VALUE(INDEX('AMMO Measures'!H:H,MATCH($A39,'AMMO Measures'!A:A,0)))</f>
        <v>11.5</v>
      </c>
      <c r="M39" s="442">
        <v>2024</v>
      </c>
      <c r="N39" s="744">
        <f>GETPIVOTDATA("Units",'AMMO Units'!$A$3,"Year",$M39,"Measure Index",$A39,"Savings Category","Regional_Market_2021PP")</f>
        <v>24.956250000000001</v>
      </c>
      <c r="O39" s="443">
        <f>GETPIVOTDATA("Units",'AMMO Units'!$A$3,"Year",$M39,"Measure Index",$A39,"Savings Category","Local_Incentives_2021PP")</f>
        <v>0</v>
      </c>
      <c r="P39" s="444" t="s">
        <v>1609</v>
      </c>
      <c r="Q39" s="445">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1472">
        <f>GETPIVOTDATA("Savings Rate",'AMMO Savings Rates'!$A$3,"Year",$M39,"Measure Index",$A39,"Savings Rate Type","Savings_Rate_2021PP")</f>
        <v>34.146078369999998</v>
      </c>
      <c r="S39" s="86" t="s">
        <v>1607</v>
      </c>
      <c r="T39" s="1765">
        <f t="shared" si="10"/>
        <v>1.3604956484377338E-5</v>
      </c>
      <c r="U39" s="1766">
        <f t="shared" si="11"/>
        <v>0</v>
      </c>
      <c r="V39" s="1767">
        <f t="shared" si="12"/>
        <v>1.3604956484377338E-5</v>
      </c>
      <c r="W39" s="180"/>
    </row>
    <row r="40" spans="1:23" s="1376" customFormat="1" ht="15" hidden="1">
      <c r="A40" s="437" t="s">
        <v>1557</v>
      </c>
      <c r="B40" s="311" t="s">
        <v>1563</v>
      </c>
      <c r="C40" s="311">
        <v>0</v>
      </c>
      <c r="D40" s="311">
        <v>0</v>
      </c>
      <c r="E40" s="311">
        <v>1</v>
      </c>
      <c r="F40" s="311">
        <v>1</v>
      </c>
      <c r="G40" s="311" t="b">
        <v>1</v>
      </c>
      <c r="H40" s="314" t="str">
        <f t="shared" si="9"/>
        <v>Commercial</v>
      </c>
      <c r="I40" s="314" t="str">
        <f>INDEX('AMMO Units'!B:B,MATCH($A40,'AMMO Units'!$E:$E,0))</f>
        <v>XMP Pumps</v>
      </c>
      <c r="J40" s="314" t="str">
        <f>INDEX('AMMO Units'!C:C,MATCH($A40,'AMMO Units'!$E:$E,0))</f>
        <v>Commercial DHW Circulator</v>
      </c>
      <c r="K40" s="314" t="str">
        <f>INDEX('AMMO Units'!D:D,MATCH($A40,'AMMO Units'!$E:$E,0))</f>
        <v>Tier 2</v>
      </c>
      <c r="L40" s="314">
        <f>VALUE(INDEX('AMMO Measures'!H:H,MATCH($A40,'AMMO Measures'!A:A,0)))</f>
        <v>11.5</v>
      </c>
      <c r="M40" s="442">
        <v>2024</v>
      </c>
      <c r="N40" s="744">
        <f>GETPIVOTDATA("Units",'AMMO Units'!$A$3,"Year",$M40,"Measure Index",$A40,"Savings Category","Regional_Market_2021PP")</f>
        <v>0</v>
      </c>
      <c r="O40" s="443">
        <f>GETPIVOTDATA("Units",'AMMO Units'!$A$3,"Year",$M40,"Measure Index",$A40,"Savings Category","Local_Incentives_2021PP")</f>
        <v>0</v>
      </c>
      <c r="P40" s="444" t="s">
        <v>1609</v>
      </c>
      <c r="Q40" s="445">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v>
      </c>
      <c r="R40" s="1472">
        <f>GETPIVOTDATA("Savings Rate",'AMMO Savings Rates'!$A$3,"Year",$M40,"Measure Index",$A40,"Savings Rate Type","Savings_Rate_2021PP")</f>
        <v>645.70325013000001</v>
      </c>
      <c r="S40" s="86" t="s">
        <v>1607</v>
      </c>
      <c r="T40" s="1765">
        <f t="shared" si="10"/>
        <v>0</v>
      </c>
      <c r="U40" s="1766">
        <f t="shared" si="11"/>
        <v>0</v>
      </c>
      <c r="V40" s="1767">
        <f t="shared" si="12"/>
        <v>0</v>
      </c>
      <c r="W40" s="180"/>
    </row>
    <row r="41" spans="1:23" s="1376" customFormat="1" ht="15" hidden="1">
      <c r="A41" s="437" t="s">
        <v>1558</v>
      </c>
      <c r="B41" s="311" t="s">
        <v>1563</v>
      </c>
      <c r="C41" s="311">
        <v>0</v>
      </c>
      <c r="D41" s="311">
        <v>0</v>
      </c>
      <c r="E41" s="311">
        <v>1</v>
      </c>
      <c r="F41" s="311">
        <v>1</v>
      </c>
      <c r="G41" s="311" t="b">
        <v>1</v>
      </c>
      <c r="H41" s="314" t="str">
        <f t="shared" si="9"/>
        <v>Commercial</v>
      </c>
      <c r="I41" s="314" t="str">
        <f>INDEX('AMMO Units'!B:B,MATCH($A41,'AMMO Units'!$E:$E,0))</f>
        <v>XMP Pumps</v>
      </c>
      <c r="J41" s="314" t="str">
        <f>INDEX('AMMO Units'!C:C,MATCH($A41,'AMMO Units'!$E:$E,0))</f>
        <v>Commercial DHW Circulator</v>
      </c>
      <c r="K41" s="314" t="str">
        <f>INDEX('AMMO Units'!D:D,MATCH($A41,'AMMO Units'!$E:$E,0))</f>
        <v>Tier 3</v>
      </c>
      <c r="L41" s="314">
        <f>VALUE(INDEX('AMMO Measures'!H:H,MATCH($A41,'AMMO Measures'!A:A,0)))</f>
        <v>11.5</v>
      </c>
      <c r="M41" s="442">
        <v>2024</v>
      </c>
      <c r="N41" s="744">
        <f>GETPIVOTDATA("Units",'AMMO Units'!$A$3,"Year",$M41,"Measure Index",$A41,"Savings Category","Regional_Market_2021PP")</f>
        <v>19.965</v>
      </c>
      <c r="O41" s="443">
        <f>GETPIVOTDATA("Units",'AMMO Units'!$A$3,"Year",$M41,"Measure Index",$A41,"Savings Category","Local_Incentives_2021PP")</f>
        <v>0</v>
      </c>
      <c r="P41" s="444" t="s">
        <v>1609</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2">
        <f>GETPIVOTDATA("Savings Rate",'AMMO Savings Rates'!$A$3,"Year",$M41,"Measure Index",$A41,"Savings Rate Type","Savings_Rate_2021PP")</f>
        <v>2499.4300000500002</v>
      </c>
      <c r="S41" s="86" t="s">
        <v>1607</v>
      </c>
      <c r="T41" s="1765">
        <f t="shared" si="10"/>
        <v>7.9668619085237569E-4</v>
      </c>
      <c r="U41" s="1766">
        <f t="shared" si="11"/>
        <v>0</v>
      </c>
      <c r="V41" s="1767">
        <f t="shared" si="12"/>
        <v>7.9668619085237569E-4</v>
      </c>
      <c r="W41" s="180"/>
    </row>
    <row r="42" spans="1:23" s="1376" customFormat="1" ht="15" hidden="1">
      <c r="A42" s="437" t="s">
        <v>1559</v>
      </c>
      <c r="B42" s="311" t="s">
        <v>1563</v>
      </c>
      <c r="C42" s="311">
        <v>0</v>
      </c>
      <c r="D42" s="311">
        <v>0</v>
      </c>
      <c r="E42" s="311">
        <v>1</v>
      </c>
      <c r="F42" s="311">
        <v>1</v>
      </c>
      <c r="G42" s="311" t="b">
        <v>1</v>
      </c>
      <c r="H42" s="314" t="str">
        <f t="shared" si="9"/>
        <v>Commercial</v>
      </c>
      <c r="I42" s="314" t="str">
        <f>INDEX('AMMO Units'!B:B,MATCH($A42,'AMMO Units'!$E:$E,0))</f>
        <v>XMP Pumps</v>
      </c>
      <c r="J42" s="314" t="str">
        <f>INDEX('AMMO Units'!C:C,MATCH($A42,'AMMO Units'!$E:$E,0))</f>
        <v>Commercial CS Pump</v>
      </c>
      <c r="K42" s="314" t="str">
        <f>INDEX('AMMO Units'!D:D,MATCH($A42,'AMMO Units'!$E:$E,0))</f>
        <v>Single Tier</v>
      </c>
      <c r="L42" s="314">
        <f>VALUE(INDEX('AMMO Measures'!H:H,MATCH($A42,'AMMO Measures'!A:A,0)))</f>
        <v>19</v>
      </c>
      <c r="M42" s="442">
        <v>2024</v>
      </c>
      <c r="N42" s="744">
        <f>GETPIVOTDATA("Units",'AMMO Units'!$A$3,"Year",$M42,"Measure Index",$A42,"Savings Category","Regional_Market_2021PP")</f>
        <v>1317.0721559000001</v>
      </c>
      <c r="O42" s="443">
        <f>GETPIVOTDATA("Units",'AMMO Units'!$A$3,"Year",$M42,"Measure Index",$A42,"Savings Category","Local_Incentives_2021PP")</f>
        <v>0</v>
      </c>
      <c r="P42" s="444" t="s">
        <v>1609</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2">
        <f>GETPIVOTDATA("Savings Rate",'AMMO Savings Rates'!$A$3,"Year",$M42,"Measure Index",$A42,"Savings Rate Type","Savings_Rate_2021PP")</f>
        <v>1523.1456348700001</v>
      </c>
      <c r="S42" s="86" t="s">
        <v>1607</v>
      </c>
      <c r="T42" s="1765">
        <f t="shared" si="10"/>
        <v>3.2027865452052169E-2</v>
      </c>
      <c r="U42" s="1766">
        <f t="shared" si="11"/>
        <v>0</v>
      </c>
      <c r="V42" s="1767">
        <f t="shared" si="12"/>
        <v>3.2027865452052169E-2</v>
      </c>
      <c r="W42" s="180"/>
    </row>
    <row r="43" spans="1:23" s="1376" customFormat="1" ht="15" hidden="1">
      <c r="A43" s="437" t="s">
        <v>1560</v>
      </c>
      <c r="B43" s="311" t="s">
        <v>1563</v>
      </c>
      <c r="C43" s="311">
        <v>0</v>
      </c>
      <c r="D43" s="311">
        <v>0</v>
      </c>
      <c r="E43" s="311">
        <v>1</v>
      </c>
      <c r="F43" s="311">
        <v>1</v>
      </c>
      <c r="G43" s="311" t="b">
        <v>1</v>
      </c>
      <c r="H43" s="314" t="str">
        <f t="shared" si="9"/>
        <v>Commercial</v>
      </c>
      <c r="I43" s="314" t="str">
        <f>INDEX('AMMO Units'!B:B,MATCH($A43,'AMMO Units'!$E:$E,0))</f>
        <v>XMP Pumps</v>
      </c>
      <c r="J43" s="314" t="str">
        <f>INDEX('AMMO Units'!C:C,MATCH($A43,'AMMO Units'!$E:$E,0))</f>
        <v>Commercial VS Pump</v>
      </c>
      <c r="K43" s="314" t="str">
        <f>INDEX('AMMO Units'!D:D,MATCH($A43,'AMMO Units'!$E:$E,0))</f>
        <v>Tier 1</v>
      </c>
      <c r="L43" s="314">
        <f>VALUE(INDEX('AMMO Measures'!H:H,MATCH($A43,'AMMO Measures'!A:A,0)))</f>
        <v>19</v>
      </c>
      <c r="M43" s="442">
        <v>2024</v>
      </c>
      <c r="N43" s="744">
        <f>GETPIVOTDATA("Units",'AMMO Units'!$A$3,"Year",$M43,"Measure Index",$A43,"Savings Category","Regional_Market_2021PP")</f>
        <v>250.16718169000001</v>
      </c>
      <c r="O43" s="443">
        <f>GETPIVOTDATA("Units",'AMMO Units'!$A$3,"Year",$M43,"Measure Index",$A43,"Savings Category","Local_Incentives_2021PP")</f>
        <v>0</v>
      </c>
      <c r="P43" s="444" t="s">
        <v>1609</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2">
        <f>GETPIVOTDATA("Savings Rate",'AMMO Savings Rates'!$A$3,"Year",$M43,"Measure Index",$A43,"Savings Rate Type","Savings_Rate_2021PP")</f>
        <v>1187.56299171</v>
      </c>
      <c r="S43" s="86" t="s">
        <v>1607</v>
      </c>
      <c r="T43" s="1765">
        <f t="shared" si="10"/>
        <v>4.7431186395974836E-3</v>
      </c>
      <c r="U43" s="1766">
        <f t="shared" si="11"/>
        <v>0</v>
      </c>
      <c r="V43" s="1767">
        <f t="shared" si="12"/>
        <v>4.7431186395974836E-3</v>
      </c>
      <c r="W43" s="180"/>
    </row>
    <row r="44" spans="1:23" s="1376" customFormat="1" ht="15" hidden="1">
      <c r="A44" s="437" t="s">
        <v>1561</v>
      </c>
      <c r="B44" s="311" t="s">
        <v>1563</v>
      </c>
      <c r="C44" s="311">
        <v>0</v>
      </c>
      <c r="D44" s="311">
        <v>0</v>
      </c>
      <c r="E44" s="311">
        <v>1</v>
      </c>
      <c r="F44" s="311">
        <v>1</v>
      </c>
      <c r="G44" s="311" t="b">
        <v>1</v>
      </c>
      <c r="H44" s="314" t="str">
        <f t="shared" si="9"/>
        <v>Commercial</v>
      </c>
      <c r="I44" s="314" t="str">
        <f>INDEX('AMMO Units'!B:B,MATCH($A44,'AMMO Units'!$E:$E,0))</f>
        <v>XMP Pumps</v>
      </c>
      <c r="J44" s="314" t="str">
        <f>INDEX('AMMO Units'!C:C,MATCH($A44,'AMMO Units'!$E:$E,0))</f>
        <v>Commercial VS Pump</v>
      </c>
      <c r="K44" s="314" t="str">
        <f>INDEX('AMMO Units'!D:D,MATCH($A44,'AMMO Units'!$E:$E,0))</f>
        <v>Tier 2</v>
      </c>
      <c r="L44" s="314">
        <f>VALUE(INDEX('AMMO Measures'!H:H,MATCH($A44,'AMMO Measures'!A:A,0)))</f>
        <v>19</v>
      </c>
      <c r="M44" s="442">
        <v>2024</v>
      </c>
      <c r="N44" s="744">
        <f>GETPIVOTDATA("Units",'AMMO Units'!$A$3,"Year",$M44,"Measure Index",$A44,"Savings Category","Regional_Market_2021PP")</f>
        <v>130.62526892</v>
      </c>
      <c r="O44" s="443">
        <f>GETPIVOTDATA("Units",'AMMO Units'!$A$3,"Year",$M44,"Measure Index",$A44,"Savings Category","Local_Incentives_2021PP")</f>
        <v>0</v>
      </c>
      <c r="P44" s="444" t="s">
        <v>1609</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2">
        <f>GETPIVOTDATA("Savings Rate",'AMMO Savings Rates'!$A$3,"Year",$M44,"Measure Index",$A44,"Savings Rate Type","Savings_Rate_2021PP")</f>
        <v>553.12676630999999</v>
      </c>
      <c r="S44" s="86" t="s">
        <v>1607</v>
      </c>
      <c r="T44" s="1765">
        <f t="shared" si="10"/>
        <v>1.1535299346528865E-3</v>
      </c>
      <c r="U44" s="1766">
        <f t="shared" si="11"/>
        <v>0</v>
      </c>
      <c r="V44" s="1767">
        <f t="shared" si="12"/>
        <v>1.1535299346528865E-3</v>
      </c>
      <c r="W44" s="180"/>
    </row>
    <row r="45" spans="1:23" ht="12.75" hidden="1" customHeight="1">
      <c r="A45" s="8" t="s">
        <v>1549</v>
      </c>
      <c r="B45" s="8" t="s">
        <v>1563</v>
      </c>
      <c r="C45" s="10">
        <v>0</v>
      </c>
      <c r="D45" s="10">
        <v>0</v>
      </c>
      <c r="E45" s="10">
        <v>1</v>
      </c>
      <c r="F45" s="10">
        <v>1</v>
      </c>
      <c r="G45" s="8" t="b">
        <v>1</v>
      </c>
      <c r="H45" s="314" t="s">
        <v>236</v>
      </c>
      <c r="I45" s="314" t="s">
        <v>1758</v>
      </c>
      <c r="J45" s="314" t="s">
        <v>1567</v>
      </c>
      <c r="K45" s="314" t="s">
        <v>157</v>
      </c>
      <c r="L45" s="314">
        <v>11.5</v>
      </c>
      <c r="M45" s="442">
        <v>2025</v>
      </c>
      <c r="N45" s="744">
        <f>GETPIVOTDATA("Units",'AMMO Units'!$A$3,"Year",$M45,"Measure Index",$A45,"Savings Category","Regional_Market_2021PP")</f>
        <v>856.83124999999995</v>
      </c>
      <c r="O45" s="443">
        <f>GETPIVOTDATA("Units",'AMMO Units'!$A$3,"Year",$M45,"Measure Index",$A45,"Savings Category","Local_Incentives_2021PP")</f>
        <v>0</v>
      </c>
      <c r="P45" s="444" t="s">
        <v>1609</v>
      </c>
      <c r="Q45" s="445">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1472">
        <f>GETPIVOTDATA("Savings Rate",'AMMO Savings Rates'!$A$3,"Year",$M45,"Measure Index",$A45,"Savings Rate Type","Savings_Rate_2021PP")</f>
        <v>87.042615659999996</v>
      </c>
      <c r="S45" s="86" t="s">
        <v>1607</v>
      </c>
      <c r="T45" s="1765">
        <f t="shared" ref="T45:T57" si="13">(N45)*Q45*R45/8760000</f>
        <v>1.190705137570094E-3</v>
      </c>
      <c r="U45" s="1766">
        <f t="shared" ref="U45:U57" si="14">IFERROR((O45/N45*O45)*Q45*R45/8760/1000,0)</f>
        <v>0</v>
      </c>
      <c r="V45" s="1767">
        <f t="shared" ref="V45:V57" si="15">T45-U45</f>
        <v>1.190705137570094E-3</v>
      </c>
    </row>
    <row r="46" spans="1:23" s="1376" customFormat="1" ht="12.75" hidden="1" customHeight="1">
      <c r="A46" s="8" t="s">
        <v>1550</v>
      </c>
      <c r="B46" s="8" t="s">
        <v>1563</v>
      </c>
      <c r="C46" s="10">
        <v>0</v>
      </c>
      <c r="D46" s="10">
        <v>0</v>
      </c>
      <c r="E46" s="10">
        <v>1</v>
      </c>
      <c r="F46" s="10">
        <v>1</v>
      </c>
      <c r="G46" s="8" t="b">
        <v>1</v>
      </c>
      <c r="H46" s="314" t="s">
        <v>236</v>
      </c>
      <c r="I46" s="314" t="s">
        <v>1758</v>
      </c>
      <c r="J46" s="314" t="s">
        <v>1567</v>
      </c>
      <c r="K46" s="314" t="s">
        <v>158</v>
      </c>
      <c r="L46" s="314">
        <v>11.5</v>
      </c>
      <c r="M46" s="442">
        <v>2025</v>
      </c>
      <c r="N46" s="744">
        <f>GETPIVOTDATA("Units",'AMMO Units'!$A$3,"Year",$M46,"Measure Index",$A46,"Savings Category","Regional_Market_2021PP")</f>
        <v>1936.605</v>
      </c>
      <c r="O46" s="443">
        <f>GETPIVOTDATA("Units",'AMMO Units'!$A$3,"Year",$M46,"Measure Index",$A46,"Savings Category","Local_Incentives_2021PP")</f>
        <v>0</v>
      </c>
      <c r="P46" s="444" t="s">
        <v>1609</v>
      </c>
      <c r="Q46" s="445">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472">
        <f>GETPIVOTDATA("Savings Rate",'AMMO Savings Rates'!$A$3,"Year",$M46,"Measure Index",$A46,"Savings Rate Type","Savings_Rate_2021PP")</f>
        <v>343.30448959</v>
      </c>
      <c r="S46" s="86" t="s">
        <v>1607</v>
      </c>
      <c r="T46" s="1765">
        <f t="shared" si="13"/>
        <v>1.0614450803793252E-2</v>
      </c>
      <c r="U46" s="1766">
        <f t="shared" si="14"/>
        <v>0</v>
      </c>
      <c r="V46" s="1767">
        <f t="shared" si="15"/>
        <v>1.0614450803793252E-2</v>
      </c>
    </row>
    <row r="47" spans="1:23" s="1376" customFormat="1" ht="12.75" hidden="1" customHeight="1">
      <c r="A47" s="8" t="s">
        <v>1551</v>
      </c>
      <c r="B47" s="8" t="s">
        <v>1563</v>
      </c>
      <c r="C47" s="10">
        <v>0</v>
      </c>
      <c r="D47" s="10">
        <v>0</v>
      </c>
      <c r="E47" s="10">
        <v>1</v>
      </c>
      <c r="F47" s="10">
        <v>1</v>
      </c>
      <c r="G47" s="8" t="b">
        <v>1</v>
      </c>
      <c r="H47" s="314" t="s">
        <v>525</v>
      </c>
      <c r="I47" s="314" t="s">
        <v>1758</v>
      </c>
      <c r="J47" s="314" t="s">
        <v>1568</v>
      </c>
      <c r="K47" s="314" t="s">
        <v>157</v>
      </c>
      <c r="L47" s="314">
        <v>11.5</v>
      </c>
      <c r="M47" s="442">
        <v>2025</v>
      </c>
      <c r="N47" s="744">
        <f>GETPIVOTDATA("Units",'AMMO Units'!$A$3,"Year",$M47,"Measure Index",$A47,"Savings Category","Regional_Market_2021PP")</f>
        <v>14.52</v>
      </c>
      <c r="O47" s="443">
        <f>GETPIVOTDATA("Units",'AMMO Units'!$A$3,"Year",$M47,"Measure Index",$A47,"Savings Category","Local_Incentives_2021PP")</f>
        <v>0</v>
      </c>
      <c r="P47" s="444" t="s">
        <v>1609</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2">
        <f>GETPIVOTDATA("Savings Rate",'AMMO Savings Rates'!$A$3,"Year",$M47,"Measure Index",$A47,"Savings Rate Type","Savings_Rate_2021PP")</f>
        <v>766.63359917000002</v>
      </c>
      <c r="S47" s="86" t="s">
        <v>1607</v>
      </c>
      <c r="T47" s="1765">
        <f t="shared" si="13"/>
        <v>1.7771801843983372E-4</v>
      </c>
      <c r="U47" s="1766">
        <f t="shared" si="14"/>
        <v>0</v>
      </c>
      <c r="V47" s="1767">
        <f t="shared" si="15"/>
        <v>1.7771801843983372E-4</v>
      </c>
    </row>
    <row r="48" spans="1:23" s="1376" customFormat="1" ht="12.75" hidden="1" customHeight="1">
      <c r="A48" s="8" t="s">
        <v>1552</v>
      </c>
      <c r="B48" s="8" t="s">
        <v>1563</v>
      </c>
      <c r="C48" s="10">
        <v>0</v>
      </c>
      <c r="D48" s="10">
        <v>0</v>
      </c>
      <c r="E48" s="10">
        <v>1</v>
      </c>
      <c r="F48" s="10">
        <v>1</v>
      </c>
      <c r="G48" s="8" t="b">
        <v>1</v>
      </c>
      <c r="H48" s="314" t="s">
        <v>525</v>
      </c>
      <c r="I48" s="314" t="s">
        <v>1758</v>
      </c>
      <c r="J48" s="314" t="s">
        <v>1568</v>
      </c>
      <c r="K48" s="314" t="s">
        <v>158</v>
      </c>
      <c r="L48" s="314">
        <v>11.5</v>
      </c>
      <c r="M48" s="442">
        <v>2025</v>
      </c>
      <c r="N48" s="744">
        <f>GETPIVOTDATA("Units",'AMMO Units'!$A$3,"Year",$M48,"Measure Index",$A48,"Savings Category","Regional_Market_2021PP")</f>
        <v>217.95124999999999</v>
      </c>
      <c r="O48" s="443">
        <f>GETPIVOTDATA("Units",'AMMO Units'!$A$3,"Year",$M48,"Measure Index",$A48,"Savings Category","Local_Incentives_2021PP")</f>
        <v>0</v>
      </c>
      <c r="P48" s="444" t="s">
        <v>1609</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2">
        <f>GETPIVOTDATA("Savings Rate",'AMMO Savings Rates'!$A$3,"Year",$M48,"Measure Index",$A48,"Savings Rate Type","Savings_Rate_2021PP")</f>
        <v>783.99738831000002</v>
      </c>
      <c r="S48" s="86" t="s">
        <v>1607</v>
      </c>
      <c r="T48" s="1765">
        <f t="shared" si="13"/>
        <v>2.7280415258782902E-3</v>
      </c>
      <c r="U48" s="1766">
        <f t="shared" si="14"/>
        <v>0</v>
      </c>
      <c r="V48" s="1767">
        <f t="shared" si="15"/>
        <v>2.7280415258782902E-3</v>
      </c>
    </row>
    <row r="49" spans="1:22" s="1376" customFormat="1" ht="12.75" hidden="1" customHeight="1">
      <c r="A49" s="8" t="s">
        <v>1553</v>
      </c>
      <c r="B49" s="8" t="s">
        <v>1563</v>
      </c>
      <c r="C49" s="10">
        <v>0</v>
      </c>
      <c r="D49" s="10">
        <v>0</v>
      </c>
      <c r="E49" s="10">
        <v>1</v>
      </c>
      <c r="F49" s="10">
        <v>1</v>
      </c>
      <c r="G49" s="8" t="b">
        <v>1</v>
      </c>
      <c r="H49" s="314" t="s">
        <v>236</v>
      </c>
      <c r="I49" s="314" t="s">
        <v>1758</v>
      </c>
      <c r="J49" s="314" t="s">
        <v>1569</v>
      </c>
      <c r="K49" s="314" t="s">
        <v>157</v>
      </c>
      <c r="L49" s="314">
        <v>11.5</v>
      </c>
      <c r="M49" s="442">
        <v>2025</v>
      </c>
      <c r="N49" s="744">
        <f>GETPIVOTDATA("Units",'AMMO Units'!$A$3,"Year",$M49,"Measure Index",$A49,"Savings Category","Regional_Market_2021PP")</f>
        <v>1142.9962499999999</v>
      </c>
      <c r="O49" s="443">
        <f>GETPIVOTDATA("Units",'AMMO Units'!$A$3,"Year",$M49,"Measure Index",$A49,"Savings Category","Local_Incentives_2021PP")</f>
        <v>0</v>
      </c>
      <c r="P49" s="444" t="s">
        <v>1609</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2">
        <f>GETPIVOTDATA("Savings Rate",'AMMO Savings Rates'!$A$3,"Year",$M49,"Measure Index",$A49,"Savings Rate Type","Savings_Rate_2021PP")</f>
        <v>88.223883990000004</v>
      </c>
      <c r="S49" s="86" t="s">
        <v>1607</v>
      </c>
      <c r="T49" s="1765">
        <f t="shared" si="13"/>
        <v>1.6099336416287582E-3</v>
      </c>
      <c r="U49" s="1766">
        <f t="shared" si="14"/>
        <v>0</v>
      </c>
      <c r="V49" s="1767">
        <f t="shared" si="15"/>
        <v>1.6099336416287582E-3</v>
      </c>
    </row>
    <row r="50" spans="1:22" s="1376" customFormat="1" ht="12.75" hidden="1" customHeight="1">
      <c r="A50" s="8" t="s">
        <v>1554</v>
      </c>
      <c r="B50" s="8" t="s">
        <v>1563</v>
      </c>
      <c r="C50" s="10">
        <v>0</v>
      </c>
      <c r="D50" s="10">
        <v>0</v>
      </c>
      <c r="E50" s="10">
        <v>1</v>
      </c>
      <c r="F50" s="10">
        <v>1</v>
      </c>
      <c r="G50" s="8" t="b">
        <v>1</v>
      </c>
      <c r="H50" s="314" t="s">
        <v>236</v>
      </c>
      <c r="I50" s="314" t="s">
        <v>1758</v>
      </c>
      <c r="J50" s="314" t="s">
        <v>1569</v>
      </c>
      <c r="K50" s="314" t="s">
        <v>158</v>
      </c>
      <c r="L50" s="314">
        <v>11.5</v>
      </c>
      <c r="M50" s="442">
        <v>2025</v>
      </c>
      <c r="N50" s="744">
        <f>GETPIVOTDATA("Units",'AMMO Units'!$A$3,"Year",$M50,"Measure Index",$A50,"Savings Category","Regional_Market_2021PP")</f>
        <v>680.47375</v>
      </c>
      <c r="O50" s="443">
        <f>GETPIVOTDATA("Units",'AMMO Units'!$A$3,"Year",$M50,"Measure Index",$A50,"Savings Category","Local_Incentives_2021PP")</f>
        <v>0</v>
      </c>
      <c r="P50" s="444" t="s">
        <v>1609</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2">
        <f>GETPIVOTDATA("Savings Rate",'AMMO Savings Rates'!$A$3,"Year",$M50,"Measure Index",$A50,"Savings Rate Type","Savings_Rate_2021PP")</f>
        <v>270.25194477999997</v>
      </c>
      <c r="S50" s="86" t="s">
        <v>1607</v>
      </c>
      <c r="T50" s="1765">
        <f t="shared" si="13"/>
        <v>2.9360077735471461E-3</v>
      </c>
      <c r="U50" s="1766">
        <f t="shared" si="14"/>
        <v>0</v>
      </c>
      <c r="V50" s="1767">
        <f t="shared" si="15"/>
        <v>2.9360077735471461E-3</v>
      </c>
    </row>
    <row r="51" spans="1:22" s="1376" customFormat="1" ht="12.75" hidden="1" customHeight="1">
      <c r="A51" s="8" t="s">
        <v>1555</v>
      </c>
      <c r="B51" s="8" t="s">
        <v>1563</v>
      </c>
      <c r="C51" s="10">
        <v>0</v>
      </c>
      <c r="D51" s="10">
        <v>0</v>
      </c>
      <c r="E51" s="10">
        <v>1</v>
      </c>
      <c r="F51" s="10">
        <v>1</v>
      </c>
      <c r="G51" s="8" t="b">
        <v>1</v>
      </c>
      <c r="H51" s="314" t="s">
        <v>236</v>
      </c>
      <c r="I51" s="314" t="s">
        <v>1758</v>
      </c>
      <c r="J51" s="314" t="s">
        <v>1569</v>
      </c>
      <c r="K51" s="314" t="s">
        <v>818</v>
      </c>
      <c r="L51" s="314">
        <v>11.5</v>
      </c>
      <c r="M51" s="442">
        <v>2025</v>
      </c>
      <c r="N51" s="744">
        <f>GETPIVOTDATA("Units",'AMMO Units'!$A$3,"Year",$M51,"Measure Index",$A51,"Savings Category","Regional_Market_2021PP")</f>
        <v>1964.8887500000001</v>
      </c>
      <c r="O51" s="443">
        <f>GETPIVOTDATA("Units",'AMMO Units'!$A$3,"Year",$M51,"Measure Index",$A51,"Savings Category","Local_Incentives_2021PP")</f>
        <v>0</v>
      </c>
      <c r="P51" s="444" t="s">
        <v>1609</v>
      </c>
      <c r="Q51" s="445">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1472">
        <f>GETPIVOTDATA("Savings Rate",'AMMO Savings Rates'!$A$3,"Year",$M51,"Measure Index",$A51,"Savings Rate Type","Savings_Rate_2021PP")</f>
        <v>1613.5065321300001</v>
      </c>
      <c r="S51" s="86" t="s">
        <v>1607</v>
      </c>
      <c r="T51" s="1765">
        <f t="shared" si="13"/>
        <v>5.0615751674060315E-2</v>
      </c>
      <c r="U51" s="1766">
        <f t="shared" si="14"/>
        <v>0</v>
      </c>
      <c r="V51" s="1767">
        <f t="shared" si="15"/>
        <v>5.0615751674060315E-2</v>
      </c>
    </row>
    <row r="52" spans="1:22" s="1376" customFormat="1" ht="12.75" hidden="1" customHeight="1">
      <c r="A52" s="8" t="s">
        <v>1556</v>
      </c>
      <c r="B52" s="8" t="s">
        <v>1563</v>
      </c>
      <c r="C52" s="10">
        <v>0</v>
      </c>
      <c r="D52" s="10">
        <v>0</v>
      </c>
      <c r="E52" s="10">
        <v>1</v>
      </c>
      <c r="F52" s="10">
        <v>1</v>
      </c>
      <c r="G52" s="8" t="b">
        <v>1</v>
      </c>
      <c r="H52" s="314" t="s">
        <v>525</v>
      </c>
      <c r="I52" s="314" t="s">
        <v>1758</v>
      </c>
      <c r="J52" s="314" t="s">
        <v>1570</v>
      </c>
      <c r="K52" s="314" t="s">
        <v>157</v>
      </c>
      <c r="L52" s="314">
        <v>11.5</v>
      </c>
      <c r="M52" s="442">
        <v>2025</v>
      </c>
      <c r="N52" s="744">
        <f>GETPIVOTDATA("Units",'AMMO Units'!$A$3,"Year",$M52,"Measure Index",$A52,"Savings Category","Regional_Market_2021PP")</f>
        <v>24.956250000000001</v>
      </c>
      <c r="O52" s="443">
        <f>GETPIVOTDATA("Units",'AMMO Units'!$A$3,"Year",$M52,"Measure Index",$A52,"Savings Category","Local_Incentives_2021PP")</f>
        <v>0</v>
      </c>
      <c r="P52" s="444" t="s">
        <v>1609</v>
      </c>
      <c r="Q52" s="445">
        <f>IF(Selection!$A$2="regional",1,IF($N52=0,0,
(   INDEX('Funder Share Table'!$C:$C,MATCH(M52,'Funder Share Table'!$A:$A,0)) * INDEX('AMMO Measure Funding Cycles'!$D:$D, MATCH($A52&amp;M52,'AMMO Measure Funding Cycles'!$J:$J,0))
 + INDEX('Funder Share Table'!$D:$D,MATCH(M52,'Funder Share Table'!$A:$A,0)) * INDEX('AMMO Measure Funding Cycles'!$E:$E, MATCH($A52&amp;M52,'AMMO Measure Funding Cycles'!$J:$J,0))
 + INDEX('Funder Share Table'!$E:$E,MATCH(M52,'Funder Share Table'!$A:$A,0)) * INDEX('AMMO Measure Funding Cycles'!$F:$F, MATCH($A52&amp;M52,'AMMO Measure Funding Cycles'!$J:$J,0))
 + INDEX('Funder Share Table'!$F:$F,MATCH(M52,'Funder Share Table'!$A:$A,0)) * INDEX('AMMO Measure Funding Cycles'!$G:$G, MATCH($A52&amp;M52,'AMMO Measure Funding Cycles'!$J:$J,0))
 + INDEX('Funder Share Table'!$G:$G,MATCH(M52,'Funder Share Table'!$A:$A,0)) * INDEX('AMMO Measure Funding Cycles'!$H:$H, MATCH($A52&amp;M52,'AMMO Measure Funding Cycles'!$J:$J,0)))
))</f>
        <v>0.13985600000000001</v>
      </c>
      <c r="R52" s="1472">
        <f>GETPIVOTDATA("Savings Rate",'AMMO Savings Rates'!$A$3,"Year",$M52,"Measure Index",$A52,"Savings Rate Type","Savings_Rate_2021PP")</f>
        <v>34.146078369999998</v>
      </c>
      <c r="S52" s="86" t="s">
        <v>1607</v>
      </c>
      <c r="T52" s="1765">
        <f t="shared" si="13"/>
        <v>1.3604956484377338E-5</v>
      </c>
      <c r="U52" s="1766">
        <f t="shared" si="14"/>
        <v>0</v>
      </c>
      <c r="V52" s="1767">
        <f t="shared" si="15"/>
        <v>1.3604956484377338E-5</v>
      </c>
    </row>
    <row r="53" spans="1:22" s="1376" customFormat="1" ht="12.75" hidden="1" customHeight="1">
      <c r="A53" s="8" t="s">
        <v>1557</v>
      </c>
      <c r="B53" s="8" t="s">
        <v>1563</v>
      </c>
      <c r="C53" s="10">
        <v>0</v>
      </c>
      <c r="D53" s="10">
        <v>0</v>
      </c>
      <c r="E53" s="10">
        <v>1</v>
      </c>
      <c r="F53" s="10">
        <v>1</v>
      </c>
      <c r="G53" s="8" t="b">
        <v>1</v>
      </c>
      <c r="H53" s="314" t="s">
        <v>525</v>
      </c>
      <c r="I53" s="314" t="s">
        <v>1758</v>
      </c>
      <c r="J53" s="314" t="s">
        <v>1570</v>
      </c>
      <c r="K53" s="314" t="s">
        <v>158</v>
      </c>
      <c r="L53" s="314">
        <v>11.5</v>
      </c>
      <c r="M53" s="442">
        <v>2025</v>
      </c>
      <c r="N53" s="744">
        <f>GETPIVOTDATA("Units",'AMMO Units'!$A$3,"Year",$M53,"Measure Index",$A53,"Savings Category","Regional_Market_2021PP")</f>
        <v>0</v>
      </c>
      <c r="O53" s="443">
        <f>GETPIVOTDATA("Units",'AMMO Units'!$A$3,"Year",$M53,"Measure Index",$A53,"Savings Category","Local_Incentives_2021PP")</f>
        <v>0</v>
      </c>
      <c r="P53" s="444" t="s">
        <v>1609</v>
      </c>
      <c r="Q53" s="445">
        <f>IF(Selection!$A$2="regional",1,IF($N53=0,0,
(   INDEX('Funder Share Table'!$C:$C,MATCH(M53,'Funder Share Table'!$A:$A,0)) * INDEX('AMMO Measure Funding Cycles'!$D:$D, MATCH($A53&amp;M53,'AMMO Measure Funding Cycles'!$J:$J,0))
 + INDEX('Funder Share Table'!$D:$D,MATCH(M53,'Funder Share Table'!$A:$A,0)) * INDEX('AMMO Measure Funding Cycles'!$E:$E, MATCH($A53&amp;M53,'AMMO Measure Funding Cycles'!$J:$J,0))
 + INDEX('Funder Share Table'!$E:$E,MATCH(M53,'Funder Share Table'!$A:$A,0)) * INDEX('AMMO Measure Funding Cycles'!$F:$F, MATCH($A53&amp;M53,'AMMO Measure Funding Cycles'!$J:$J,0))
 + INDEX('Funder Share Table'!$F:$F,MATCH(M53,'Funder Share Table'!$A:$A,0)) * INDEX('AMMO Measure Funding Cycles'!$G:$G, MATCH($A53&amp;M53,'AMMO Measure Funding Cycles'!$J:$J,0))
 + INDEX('Funder Share Table'!$G:$G,MATCH(M53,'Funder Share Table'!$A:$A,0)) * INDEX('AMMO Measure Funding Cycles'!$H:$H, MATCH($A53&amp;M53,'AMMO Measure Funding Cycles'!$J:$J,0)))
))</f>
        <v>0</v>
      </c>
      <c r="R53" s="1472">
        <f>GETPIVOTDATA("Savings Rate",'AMMO Savings Rates'!$A$3,"Year",$M53,"Measure Index",$A53,"Savings Rate Type","Savings_Rate_2021PP")</f>
        <v>645.70325013000001</v>
      </c>
      <c r="S53" s="86" t="s">
        <v>1607</v>
      </c>
      <c r="T53" s="1765">
        <f t="shared" si="13"/>
        <v>0</v>
      </c>
      <c r="U53" s="1766">
        <f t="shared" si="14"/>
        <v>0</v>
      </c>
      <c r="V53" s="1767">
        <f t="shared" si="15"/>
        <v>0</v>
      </c>
    </row>
    <row r="54" spans="1:22" s="1376" customFormat="1" ht="12.75" hidden="1" customHeight="1">
      <c r="A54" s="8" t="s">
        <v>1558</v>
      </c>
      <c r="B54" s="8" t="s">
        <v>1563</v>
      </c>
      <c r="C54" s="10">
        <v>0</v>
      </c>
      <c r="D54" s="10">
        <v>0</v>
      </c>
      <c r="E54" s="10">
        <v>1</v>
      </c>
      <c r="F54" s="10">
        <v>1</v>
      </c>
      <c r="G54" s="8" t="b">
        <v>1</v>
      </c>
      <c r="H54" s="314" t="s">
        <v>525</v>
      </c>
      <c r="I54" s="314" t="s">
        <v>1758</v>
      </c>
      <c r="J54" s="314" t="s">
        <v>1570</v>
      </c>
      <c r="K54" s="314" t="s">
        <v>818</v>
      </c>
      <c r="L54" s="314">
        <v>11.5</v>
      </c>
      <c r="M54" s="442">
        <v>2025</v>
      </c>
      <c r="N54" s="744">
        <f>GETPIVOTDATA("Units",'AMMO Units'!$A$3,"Year",$M54,"Measure Index",$A54,"Savings Category","Regional_Market_2021PP")</f>
        <v>19.965</v>
      </c>
      <c r="O54" s="443">
        <f>GETPIVOTDATA("Units",'AMMO Units'!$A$3,"Year",$M54,"Measure Index",$A54,"Savings Category","Local_Incentives_2021PP")</f>
        <v>0</v>
      </c>
      <c r="P54" s="444" t="s">
        <v>1609</v>
      </c>
      <c r="Q54" s="445">
        <f>IF(Selection!$A$2="regional",1,IF($N54=0,0,
(   INDEX('Funder Share Table'!$C:$C,MATCH(M54,'Funder Share Table'!$A:$A,0)) * INDEX('AMMO Measure Funding Cycles'!$D:$D, MATCH($A54&amp;M54,'AMMO Measure Funding Cycles'!$J:$J,0))
 + INDEX('Funder Share Table'!$D:$D,MATCH(M54,'Funder Share Table'!$A:$A,0)) * INDEX('AMMO Measure Funding Cycles'!$E:$E, MATCH($A54&amp;M54,'AMMO Measure Funding Cycles'!$J:$J,0))
 + INDEX('Funder Share Table'!$E:$E,MATCH(M54,'Funder Share Table'!$A:$A,0)) * INDEX('AMMO Measure Funding Cycles'!$F:$F, MATCH($A54&amp;M54,'AMMO Measure Funding Cycles'!$J:$J,0))
 + INDEX('Funder Share Table'!$F:$F,MATCH(M54,'Funder Share Table'!$A:$A,0)) * INDEX('AMMO Measure Funding Cycles'!$G:$G, MATCH($A54&amp;M54,'AMMO Measure Funding Cycles'!$J:$J,0))
 + INDEX('Funder Share Table'!$G:$G,MATCH(M54,'Funder Share Table'!$A:$A,0)) * INDEX('AMMO Measure Funding Cycles'!$H:$H, MATCH($A54&amp;M54,'AMMO Measure Funding Cycles'!$J:$J,0)))
))</f>
        <v>0.13985600000000001</v>
      </c>
      <c r="R54" s="1472">
        <f>GETPIVOTDATA("Savings Rate",'AMMO Savings Rates'!$A$3,"Year",$M54,"Measure Index",$A54,"Savings Rate Type","Savings_Rate_2021PP")</f>
        <v>2499.4300000500002</v>
      </c>
      <c r="S54" s="86" t="s">
        <v>1607</v>
      </c>
      <c r="T54" s="1765">
        <f t="shared" si="13"/>
        <v>7.9668619085237569E-4</v>
      </c>
      <c r="U54" s="1766">
        <f t="shared" si="14"/>
        <v>0</v>
      </c>
      <c r="V54" s="1767">
        <f t="shared" si="15"/>
        <v>7.9668619085237569E-4</v>
      </c>
    </row>
    <row r="55" spans="1:22" s="1376" customFormat="1" ht="12.75" hidden="1" customHeight="1">
      <c r="A55" s="8" t="s">
        <v>1559</v>
      </c>
      <c r="B55" s="8" t="s">
        <v>1563</v>
      </c>
      <c r="C55" s="10">
        <v>0</v>
      </c>
      <c r="D55" s="10">
        <v>0</v>
      </c>
      <c r="E55" s="10">
        <v>1</v>
      </c>
      <c r="F55" s="10">
        <v>1</v>
      </c>
      <c r="G55" s="8" t="b">
        <v>1</v>
      </c>
      <c r="H55" s="314" t="s">
        <v>525</v>
      </c>
      <c r="I55" s="314" t="s">
        <v>1758</v>
      </c>
      <c r="J55" s="314" t="s">
        <v>1575</v>
      </c>
      <c r="K55" s="314" t="s">
        <v>334</v>
      </c>
      <c r="L55" s="314">
        <v>19</v>
      </c>
      <c r="M55" s="442">
        <v>2025</v>
      </c>
      <c r="N55" s="744">
        <f>GETPIVOTDATA("Units",'AMMO Units'!$A$3,"Year",$M55,"Measure Index",$A55,"Savings Category","Regional_Market_2021PP")</f>
        <v>1335.54435586</v>
      </c>
      <c r="O55" s="443">
        <f>GETPIVOTDATA("Units",'AMMO Units'!$A$3,"Year",$M55,"Measure Index",$A55,"Savings Category","Local_Incentives_2021PP")</f>
        <v>0</v>
      </c>
      <c r="P55" s="444" t="s">
        <v>1609</v>
      </c>
      <c r="Q55" s="445">
        <f>IF(Selection!$A$2="regional",1,IF($N55=0,0,
(   INDEX('Funder Share Table'!$C:$C,MATCH(M55,'Funder Share Table'!$A:$A,0)) * INDEX('AMMO Measure Funding Cycles'!$D:$D, MATCH($A55&amp;M55,'AMMO Measure Funding Cycles'!$J:$J,0))
 + INDEX('Funder Share Table'!$D:$D,MATCH(M55,'Funder Share Table'!$A:$A,0)) * INDEX('AMMO Measure Funding Cycles'!$E:$E, MATCH($A55&amp;M55,'AMMO Measure Funding Cycles'!$J:$J,0))
 + INDEX('Funder Share Table'!$E:$E,MATCH(M55,'Funder Share Table'!$A:$A,0)) * INDEX('AMMO Measure Funding Cycles'!$F:$F, MATCH($A55&amp;M55,'AMMO Measure Funding Cycles'!$J:$J,0))
 + INDEX('Funder Share Table'!$F:$F,MATCH(M55,'Funder Share Table'!$A:$A,0)) * INDEX('AMMO Measure Funding Cycles'!$G:$G, MATCH($A55&amp;M55,'AMMO Measure Funding Cycles'!$J:$J,0))
 + INDEX('Funder Share Table'!$G:$G,MATCH(M55,'Funder Share Table'!$A:$A,0)) * INDEX('AMMO Measure Funding Cycles'!$H:$H, MATCH($A55&amp;M55,'AMMO Measure Funding Cycles'!$J:$J,0)))
))</f>
        <v>0.13985600000000001</v>
      </c>
      <c r="R55" s="1472">
        <f>GETPIVOTDATA("Savings Rate",'AMMO Savings Rates'!$A$3,"Year",$M55,"Measure Index",$A55,"Savings Rate Type","Savings_Rate_2021PP")</f>
        <v>1523.1456348700001</v>
      </c>
      <c r="S55" s="86" t="s">
        <v>1607</v>
      </c>
      <c r="T55" s="1765">
        <f t="shared" si="13"/>
        <v>3.2477062659868015E-2</v>
      </c>
      <c r="U55" s="1766">
        <f t="shared" si="14"/>
        <v>0</v>
      </c>
      <c r="V55" s="1767">
        <f t="shared" si="15"/>
        <v>3.2477062659868015E-2</v>
      </c>
    </row>
    <row r="56" spans="1:22" s="1376" customFormat="1" ht="12.75" hidden="1" customHeight="1">
      <c r="A56" s="8" t="s">
        <v>1560</v>
      </c>
      <c r="B56" s="8" t="s">
        <v>1563</v>
      </c>
      <c r="C56" s="10">
        <v>0</v>
      </c>
      <c r="D56" s="10">
        <v>0</v>
      </c>
      <c r="E56" s="10">
        <v>1</v>
      </c>
      <c r="F56" s="10">
        <v>1</v>
      </c>
      <c r="G56" s="8" t="b">
        <v>1</v>
      </c>
      <c r="H56" s="314" t="s">
        <v>525</v>
      </c>
      <c r="I56" s="314" t="s">
        <v>1758</v>
      </c>
      <c r="J56" s="314" t="s">
        <v>1743</v>
      </c>
      <c r="K56" s="314" t="s">
        <v>157</v>
      </c>
      <c r="L56" s="314">
        <v>19</v>
      </c>
      <c r="M56" s="442">
        <v>2025</v>
      </c>
      <c r="N56" s="744">
        <f>GETPIVOTDATA("Units",'AMMO Units'!$A$3,"Year",$M56,"Measure Index",$A56,"Savings Category","Regional_Market_2021PP")</f>
        <v>253.67582636</v>
      </c>
      <c r="O56" s="443">
        <f>GETPIVOTDATA("Units",'AMMO Units'!$A$3,"Year",$M56,"Measure Index",$A56,"Savings Category","Local_Incentives_2021PP")</f>
        <v>0</v>
      </c>
      <c r="P56" s="444" t="s">
        <v>1609</v>
      </c>
      <c r="Q56" s="445">
        <f>IF(Selection!$A$2="regional",1,IF($N56=0,0,
(   INDEX('Funder Share Table'!$C:$C,MATCH(M56,'Funder Share Table'!$A:$A,0)) * INDEX('AMMO Measure Funding Cycles'!$D:$D, MATCH($A56&amp;M56,'AMMO Measure Funding Cycles'!$J:$J,0))
 + INDEX('Funder Share Table'!$D:$D,MATCH(M56,'Funder Share Table'!$A:$A,0)) * INDEX('AMMO Measure Funding Cycles'!$E:$E, MATCH($A56&amp;M56,'AMMO Measure Funding Cycles'!$J:$J,0))
 + INDEX('Funder Share Table'!$E:$E,MATCH(M56,'Funder Share Table'!$A:$A,0)) * INDEX('AMMO Measure Funding Cycles'!$F:$F, MATCH($A56&amp;M56,'AMMO Measure Funding Cycles'!$J:$J,0))
 + INDEX('Funder Share Table'!$F:$F,MATCH(M56,'Funder Share Table'!$A:$A,0)) * INDEX('AMMO Measure Funding Cycles'!$G:$G, MATCH($A56&amp;M56,'AMMO Measure Funding Cycles'!$J:$J,0))
 + INDEX('Funder Share Table'!$G:$G,MATCH(M56,'Funder Share Table'!$A:$A,0)) * INDEX('AMMO Measure Funding Cycles'!$H:$H, MATCH($A56&amp;M56,'AMMO Measure Funding Cycles'!$J:$J,0)))
))</f>
        <v>0.13985600000000001</v>
      </c>
      <c r="R56" s="1472">
        <f>GETPIVOTDATA("Savings Rate",'AMMO Savings Rates'!$A$3,"Year",$M56,"Measure Index",$A56,"Savings Rate Type","Savings_Rate_2021PP")</f>
        <v>1187.56299171</v>
      </c>
      <c r="S56" s="86" t="s">
        <v>1607</v>
      </c>
      <c r="T56" s="1765">
        <f t="shared" si="13"/>
        <v>4.8096418254989157E-3</v>
      </c>
      <c r="U56" s="1766">
        <f t="shared" si="14"/>
        <v>0</v>
      </c>
      <c r="V56" s="1767">
        <f t="shared" si="15"/>
        <v>4.8096418254989157E-3</v>
      </c>
    </row>
    <row r="57" spans="1:22" s="1376" customFormat="1" ht="12.75" hidden="1" customHeight="1">
      <c r="A57" s="8" t="s">
        <v>1561</v>
      </c>
      <c r="B57" s="8" t="s">
        <v>1563</v>
      </c>
      <c r="C57" s="10">
        <v>0</v>
      </c>
      <c r="D57" s="10">
        <v>0</v>
      </c>
      <c r="E57" s="10">
        <v>1</v>
      </c>
      <c r="F57" s="10">
        <v>1</v>
      </c>
      <c r="G57" s="8" t="b">
        <v>1</v>
      </c>
      <c r="H57" s="314" t="s">
        <v>525</v>
      </c>
      <c r="I57" s="314" t="s">
        <v>1758</v>
      </c>
      <c r="J57" s="314" t="s">
        <v>1743</v>
      </c>
      <c r="K57" s="314" t="s">
        <v>158</v>
      </c>
      <c r="L57" s="314">
        <v>19</v>
      </c>
      <c r="M57" s="442">
        <v>2025</v>
      </c>
      <c r="N57" s="744">
        <f>GETPIVOTDATA("Units",'AMMO Units'!$A$3,"Year",$M57,"Measure Index",$A57,"Savings Category","Regional_Market_2021PP")</f>
        <v>132.4573144</v>
      </c>
      <c r="O57" s="443">
        <f>GETPIVOTDATA("Units",'AMMO Units'!$A$3,"Year",$M57,"Measure Index",$A57,"Savings Category","Local_Incentives_2021PP")</f>
        <v>0</v>
      </c>
      <c r="P57" s="444" t="s">
        <v>1609</v>
      </c>
      <c r="Q57" s="445">
        <f>IF(Selection!$A$2="regional",1,IF($N57=0,0,
(   INDEX('Funder Share Table'!$C:$C,MATCH(M57,'Funder Share Table'!$A:$A,0)) * INDEX('AMMO Measure Funding Cycles'!$D:$D, MATCH($A57&amp;M57,'AMMO Measure Funding Cycles'!$J:$J,0))
 + INDEX('Funder Share Table'!$D:$D,MATCH(M57,'Funder Share Table'!$A:$A,0)) * INDEX('AMMO Measure Funding Cycles'!$E:$E, MATCH($A57&amp;M57,'AMMO Measure Funding Cycles'!$J:$J,0))
 + INDEX('Funder Share Table'!$E:$E,MATCH(M57,'Funder Share Table'!$A:$A,0)) * INDEX('AMMO Measure Funding Cycles'!$F:$F, MATCH($A57&amp;M57,'AMMO Measure Funding Cycles'!$J:$J,0))
 + INDEX('Funder Share Table'!$F:$F,MATCH(M57,'Funder Share Table'!$A:$A,0)) * INDEX('AMMO Measure Funding Cycles'!$G:$G, MATCH($A57&amp;M57,'AMMO Measure Funding Cycles'!$J:$J,0))
 + INDEX('Funder Share Table'!$G:$G,MATCH(M57,'Funder Share Table'!$A:$A,0)) * INDEX('AMMO Measure Funding Cycles'!$H:$H, MATCH($A57&amp;M57,'AMMO Measure Funding Cycles'!$J:$J,0)))
))</f>
        <v>0.13985600000000001</v>
      </c>
      <c r="R57" s="1472">
        <f>GETPIVOTDATA("Savings Rate",'AMMO Savings Rates'!$A$3,"Year",$M57,"Measure Index",$A57,"Savings Rate Type","Savings_Rate_2021PP")</f>
        <v>553.12676630999999</v>
      </c>
      <c r="S57" s="86" t="s">
        <v>1607</v>
      </c>
      <c r="T57" s="1765">
        <f t="shared" si="13"/>
        <v>1.1697084223245163E-3</v>
      </c>
      <c r="U57" s="1766">
        <f t="shared" si="14"/>
        <v>0</v>
      </c>
      <c r="V57" s="1767">
        <f t="shared" si="15"/>
        <v>1.1697084223245163E-3</v>
      </c>
    </row>
    <row r="58" spans="1:22" s="1376" customFormat="1" ht="12.75" customHeight="1">
      <c r="A58" s="8"/>
      <c r="B58" s="8"/>
      <c r="C58" s="10"/>
      <c r="D58" s="10"/>
      <c r="E58" s="10"/>
      <c r="F58" s="10"/>
      <c r="G58" s="8"/>
      <c r="N58" s="2"/>
      <c r="O58" s="2"/>
      <c r="P58" s="2"/>
      <c r="V58" s="3"/>
    </row>
    <row r="59" spans="1:22" ht="12.75" customHeight="1">
      <c r="H59" s="341" t="s">
        <v>840</v>
      </c>
      <c r="I59" s="5"/>
      <c r="J59" s="5"/>
      <c r="K59" s="5"/>
      <c r="L59" s="5"/>
      <c r="M59" s="76"/>
    </row>
    <row r="60" spans="1:22" ht="26.25" customHeight="1">
      <c r="H60" s="2617" t="s">
        <v>2597</v>
      </c>
      <c r="I60" s="2618"/>
      <c r="J60" s="2618"/>
      <c r="K60" s="2618"/>
      <c r="L60" s="2619"/>
      <c r="M60" s="2620"/>
    </row>
    <row r="64" spans="1:22" s="274" customFormat="1" ht="12.75" customHeight="1">
      <c r="A64" s="8"/>
      <c r="B64" s="8"/>
      <c r="C64" s="10"/>
      <c r="D64" s="10"/>
      <c r="E64" s="10"/>
      <c r="F64" s="10"/>
      <c r="G64" s="8"/>
      <c r="H64" s="639" t="s">
        <v>209</v>
      </c>
      <c r="N64" s="275"/>
      <c r="O64" s="275"/>
      <c r="P64" s="275"/>
      <c r="V64" s="276"/>
    </row>
    <row r="65" spans="1:22" s="274" customFormat="1" ht="12.75" customHeight="1">
      <c r="A65" s="8"/>
      <c r="B65" s="8"/>
      <c r="C65" s="10"/>
      <c r="D65" s="10"/>
      <c r="E65" s="10"/>
      <c r="F65" s="10"/>
      <c r="G65" s="8"/>
      <c r="H65" s="504" t="s">
        <v>1702</v>
      </c>
      <c r="N65" s="275"/>
      <c r="O65" s="275"/>
      <c r="P65" s="275"/>
      <c r="V65" s="276"/>
    </row>
    <row r="66" spans="1:22" s="274" customFormat="1" ht="129.75" customHeight="1">
      <c r="A66" s="8"/>
      <c r="B66" s="8"/>
      <c r="C66" s="10"/>
      <c r="D66" s="10"/>
      <c r="E66" s="10"/>
      <c r="F66" s="10"/>
      <c r="G66" s="8"/>
      <c r="H66" s="2608" t="s">
        <v>1704</v>
      </c>
      <c r="I66" s="2609"/>
      <c r="J66" s="2609"/>
      <c r="K66" s="2609"/>
      <c r="L66" s="2610"/>
      <c r="M66" s="2611"/>
      <c r="N66" s="275"/>
      <c r="O66" s="275"/>
      <c r="P66" s="275"/>
      <c r="V66" s="276"/>
    </row>
    <row r="67" spans="1:22" s="274" customFormat="1">
      <c r="A67" s="8"/>
      <c r="B67" s="8"/>
      <c r="C67" s="10"/>
      <c r="D67" s="10"/>
      <c r="E67" s="10"/>
      <c r="F67" s="10"/>
      <c r="G67" s="8"/>
      <c r="H67" s="1378"/>
      <c r="I67" s="1378"/>
      <c r="J67" s="1378"/>
      <c r="K67" s="1378"/>
      <c r="L67" s="1378"/>
      <c r="M67" s="1378"/>
      <c r="N67" s="275"/>
      <c r="O67" s="275"/>
      <c r="P67" s="275"/>
      <c r="V67" s="276"/>
    </row>
    <row r="68" spans="1:22" s="274" customFormat="1" ht="16.149999999999999" customHeight="1">
      <c r="A68" s="8"/>
      <c r="B68" s="8"/>
      <c r="C68" s="10"/>
      <c r="D68" s="10"/>
      <c r="E68" s="10"/>
      <c r="F68" s="10"/>
      <c r="G68" s="8"/>
      <c r="H68" s="504" t="s">
        <v>1703</v>
      </c>
      <c r="I68" s="1378"/>
      <c r="J68" s="1378"/>
      <c r="K68" s="1378"/>
      <c r="L68" s="1378"/>
      <c r="M68" s="1378"/>
      <c r="N68" s="275"/>
      <c r="O68" s="275"/>
      <c r="P68" s="275"/>
      <c r="V68" s="276"/>
    </row>
    <row r="69" spans="1:22" s="274" customFormat="1" ht="69" customHeight="1">
      <c r="A69" s="8"/>
      <c r="B69" s="8"/>
      <c r="C69" s="10"/>
      <c r="D69" s="10"/>
      <c r="E69" s="10"/>
      <c r="F69" s="10"/>
      <c r="G69" s="8"/>
      <c r="H69" s="2608" t="s">
        <v>1705</v>
      </c>
      <c r="I69" s="2609"/>
      <c r="J69" s="2609"/>
      <c r="K69" s="2609"/>
      <c r="L69" s="2610"/>
      <c r="M69" s="2611"/>
      <c r="N69" s="275"/>
      <c r="O69" s="275"/>
      <c r="P69" s="275"/>
      <c r="V69" s="276"/>
    </row>
  </sheetData>
  <autoFilter ref="A5:W57" xr:uid="{A162E6D2-7989-4CCC-A4E7-27DE04E2DD2F}">
    <filterColumn colId="12">
      <filters>
        <filter val="2022"/>
        <filter val="2023"/>
      </filters>
    </filterColumn>
    <filterColumn colId="19">
      <filters>
        <filter val="0.00"/>
        <filter val="0.01"/>
      </filters>
    </filterColumn>
  </autoFilter>
  <dataConsolidate/>
  <mergeCells count="9">
    <mergeCell ref="H69:M69"/>
    <mergeCell ref="R4:S4"/>
    <mergeCell ref="T4:V4"/>
    <mergeCell ref="H60:M60"/>
    <mergeCell ref="I2:M2"/>
    <mergeCell ref="A4:G4"/>
    <mergeCell ref="H4:M4"/>
    <mergeCell ref="N4:Q4"/>
    <mergeCell ref="H66:M66"/>
  </mergeCells>
  <hyperlinks>
    <hyperlink ref="H1" location="'Summary ALL'!A1" display="Summary Page" xr:uid="{7428E2E1-8F9A-40F1-B8FB-3F36B76CBB4C}"/>
  </hyperlinks>
  <pageMargins left="0.7" right="0.7" top="0.75" bottom="0.75" header="0.3" footer="0.3"/>
  <pageSetup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filterMode="1">
    <tabColor rgb="FF0083CA"/>
    <pageSetUpPr fitToPage="1"/>
  </sheetPr>
  <dimension ref="A1:AU508"/>
  <sheetViews>
    <sheetView showGridLines="0" topLeftCell="H1" zoomScale="90" zoomScaleNormal="90" workbookViewId="0">
      <selection activeCell="H1" sqref="H1"/>
    </sheetView>
  </sheetViews>
  <sheetFormatPr defaultColWidth="19.28515625" defaultRowHeight="12.75" customHeight="1" outlineLevelRow="1" outlineLevelCol="1"/>
  <cols>
    <col min="1" max="1" width="11.28515625" style="272" customWidth="1" outlineLevel="1"/>
    <col min="2" max="2" width="9.42578125" style="272" customWidth="1" outlineLevel="1"/>
    <col min="3" max="3" width="13.28515625" style="273" customWidth="1" outlineLevel="1"/>
    <col min="4" max="4" width="12" style="273" customWidth="1" outlineLevel="1"/>
    <col min="5" max="5" width="9.7109375" style="273" customWidth="1" outlineLevel="1"/>
    <col min="6" max="6" width="14.5703125" style="273" customWidth="1" outlineLevel="1"/>
    <col min="7" max="7" width="22.42578125" style="272" customWidth="1" outlineLevel="1"/>
    <col min="8" max="8" width="18.7109375" style="274" customWidth="1"/>
    <col min="9" max="9" width="30.28515625" style="274" customWidth="1"/>
    <col min="10" max="10" width="46.5703125" style="274" customWidth="1"/>
    <col min="11" max="11" width="9.28515625" style="274" customWidth="1"/>
    <col min="12" max="12" width="8.7109375" style="274" customWidth="1"/>
    <col min="13" max="15" width="9.28515625" style="275" customWidth="1"/>
    <col min="16" max="16" width="26.7109375" style="275" hidden="1" customWidth="1"/>
    <col min="17" max="17" width="19.28515625" style="274"/>
    <col min="18" max="18" width="14" style="274" customWidth="1"/>
    <col min="19" max="19" width="21.7109375" style="274" customWidth="1"/>
    <col min="20" max="20" width="11.7109375" style="274" customWidth="1"/>
    <col min="21" max="21" width="11.28515625" style="274" customWidth="1"/>
    <col min="22" max="22" width="11.28515625" style="276" customWidth="1"/>
    <col min="23" max="23" width="7.42578125" style="274" customWidth="1"/>
    <col min="24" max="16384" width="19.28515625" style="274"/>
  </cols>
  <sheetData>
    <row r="1" spans="1:47" ht="12.75" customHeight="1">
      <c r="H1" s="168" t="s">
        <v>674</v>
      </c>
      <c r="S1"/>
      <c r="T1"/>
    </row>
    <row r="2" spans="1:47" ht="36.75" customHeight="1">
      <c r="H2" s="630" t="str">
        <f>I6&amp;":"</f>
        <v>Heat Pump Water Heaters:</v>
      </c>
      <c r="I2" s="2568" t="str">
        <f>INDEX('AMMO Measures'!$I:$I,MATCH(LEFT(H2,LEN(H2)-1),'AMMO Measures'!$B:$B,0))</f>
        <v>Influence the passage of a 2025 federal standard requiring HPWHs for all electric storage tanks greater than 40 gallons in size.</v>
      </c>
      <c r="J2" s="2568"/>
      <c r="K2" s="2568"/>
      <c r="L2" s="2568"/>
    </row>
    <row r="3" spans="1:47" ht="16.5" customHeight="1">
      <c r="H3" s="486"/>
    </row>
    <row r="4" spans="1:47" s="270" customFormat="1" ht="15.75" customHeight="1">
      <c r="A4" s="2569" t="s">
        <v>131</v>
      </c>
      <c r="B4" s="2570"/>
      <c r="C4" s="2570"/>
      <c r="D4" s="2570"/>
      <c r="E4" s="2570"/>
      <c r="F4" s="2570"/>
      <c r="G4" s="2571"/>
      <c r="H4" s="2621" t="s">
        <v>7</v>
      </c>
      <c r="I4" s="2622"/>
      <c r="J4" s="2622"/>
      <c r="K4" s="2622"/>
      <c r="L4" s="2622"/>
      <c r="M4" s="2623" t="s">
        <v>127</v>
      </c>
      <c r="N4" s="2594"/>
      <c r="O4" s="2594"/>
      <c r="P4" s="2594"/>
      <c r="Q4" s="2624"/>
      <c r="R4" s="2572" t="s">
        <v>129</v>
      </c>
      <c r="S4" s="2573"/>
      <c r="T4" s="2587" t="s">
        <v>130</v>
      </c>
      <c r="U4" s="2588"/>
      <c r="V4" s="2589"/>
    </row>
    <row r="5" spans="1:47" s="491" customFormat="1" ht="60" customHeight="1" thickBot="1">
      <c r="A5" s="487" t="s">
        <v>0</v>
      </c>
      <c r="B5" s="488" t="s">
        <v>11</v>
      </c>
      <c r="C5" s="489" t="s">
        <v>1</v>
      </c>
      <c r="D5" s="489" t="s">
        <v>2</v>
      </c>
      <c r="E5" s="489" t="s">
        <v>211</v>
      </c>
      <c r="F5" s="489" t="s">
        <v>237</v>
      </c>
      <c r="G5" s="490" t="s">
        <v>12</v>
      </c>
      <c r="H5" s="586" t="s">
        <v>3</v>
      </c>
      <c r="I5" s="586" t="s">
        <v>4</v>
      </c>
      <c r="J5" s="586" t="s">
        <v>5</v>
      </c>
      <c r="K5" s="586" t="s">
        <v>6</v>
      </c>
      <c r="L5" s="586" t="s">
        <v>8</v>
      </c>
      <c r="M5" s="587" t="s">
        <v>214</v>
      </c>
      <c r="N5" s="586" t="s">
        <v>14</v>
      </c>
      <c r="O5" s="586" t="s">
        <v>15</v>
      </c>
      <c r="P5" s="586" t="s">
        <v>124</v>
      </c>
      <c r="Q5" s="507" t="str">
        <f>"Funder Share: "&amp;Selection!A2&amp;" "&amp;Selection!A3</f>
        <v>Funder Share: Puget Sound Energy Washington</v>
      </c>
      <c r="R5" s="587" t="s">
        <v>551</v>
      </c>
      <c r="S5" s="588" t="s">
        <v>125</v>
      </c>
      <c r="T5" s="587" t="s">
        <v>126</v>
      </c>
      <c r="U5" s="586" t="s">
        <v>18</v>
      </c>
      <c r="V5" s="589" t="s">
        <v>17</v>
      </c>
    </row>
    <row r="6" spans="1:47" ht="13.5" thickTop="1">
      <c r="A6" s="310" t="s">
        <v>55</v>
      </c>
      <c r="B6" s="311" t="str">
        <f t="shared" ref="B6:B21" si="0">LEFT(A6,10)</f>
        <v>RES_201202</v>
      </c>
      <c r="C6" s="311">
        <v>0</v>
      </c>
      <c r="D6" s="311">
        <v>0</v>
      </c>
      <c r="E6" s="311">
        <f t="shared" ref="E6:E53" si="1">COUNTIFS($A:$A,A6,$L:$L,L6)</f>
        <v>1</v>
      </c>
      <c r="F6" s="311">
        <v>1</v>
      </c>
      <c r="G6" s="312" t="b">
        <v>1</v>
      </c>
      <c r="H6" s="313" t="str">
        <f t="shared" ref="H6:H21" si="2">IF(LEFT(A6,3)="Res","Residential",IF(LEFT(A6,3)="Ind","industrial",IF(LEFT(A6,3)="Com","Commercial",IF(LEFT(A6,3)="AGR","Agriculture",""))))</f>
        <v>Residential</v>
      </c>
      <c r="I6" s="727" t="str">
        <f>INDEX('AMMO Measures'!B:B,MATCH($A6,'AMMO Measures'!$A:$A,0))</f>
        <v>Heat Pump Water Heaters</v>
      </c>
      <c r="J6" s="727" t="str">
        <f>INDEX('AMMO Measures'!C:C,MATCH($A6,'AMMO Measures'!$A:$A,0))</f>
        <v>HPWH (&lt;=55 gallons) Existing Construction</v>
      </c>
      <c r="K6" s="727" t="str">
        <f>INDEX('AMMO Measures'!D:D,MATCH($A6,'AMMO Measures'!$A:$A,0))</f>
        <v>Tier 1</v>
      </c>
      <c r="L6" s="24">
        <v>2022</v>
      </c>
      <c r="M6" s="744">
        <f>GETPIVOTDATA("Units",'AMMO Units'!$A$3,"Year",$L6,"Measure Index",$A6,"Savings Category","Regional_Market_2021PP")</f>
        <v>9900</v>
      </c>
      <c r="N6" s="443">
        <f>GETPIVOTDATA("Units",'AMMO Units'!$A$3,"Year",$L6,"Measure Index",$A6,"Savings Category","Local_Incentives_2021PP")</f>
        <v>5335</v>
      </c>
      <c r="O6" s="443">
        <f>GETPIVOTDATA("Units",'AMMO Units'!$A$3,"Year",$L6,"Measure Index",$A6,"Savings Category","Baseline_2021PP")</f>
        <v>346.5</v>
      </c>
      <c r="P6" s="1719" t="str">
        <f t="shared" ref="P6:P21"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
      </c>
      <c r="Q6" s="317">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R6" s="1473">
        <f>GETPIVOTDATA("Savings Rate",'AMMO Savings Rates'!$A$3,"Year",$L6,"Measure Index",$A6,"Savings Rate Type","Savings_Rate_2021PP")</f>
        <v>1049.1477771</v>
      </c>
      <c r="S6" s="86" t="s">
        <v>1247</v>
      </c>
      <c r="T6" s="318">
        <f t="shared" ref="T6:T21" si="4">(M6-O6)*Q6*R6/8760000</f>
        <v>0.16002070132419308</v>
      </c>
      <c r="U6" s="319">
        <f t="shared" ref="U6:U21" si="5">IFERROR((N6-O6/M6*N6)*Q6*R6/8760/1000,0)</f>
        <v>8.6233377935815161E-2</v>
      </c>
      <c r="V6" s="320">
        <f t="shared" ref="V6:V21" si="6">T6-U6</f>
        <v>7.3787323388377915E-2</v>
      </c>
      <c r="X6" s="321">
        <f>M6</f>
        <v>9900</v>
      </c>
    </row>
    <row r="7" spans="1:47" ht="12.75" hidden="1" customHeight="1">
      <c r="A7" s="310" t="s">
        <v>57</v>
      </c>
      <c r="B7" s="311" t="str">
        <f t="shared" si="0"/>
        <v>RES_201202</v>
      </c>
      <c r="C7" s="311">
        <v>0</v>
      </c>
      <c r="D7" s="311">
        <v>1</v>
      </c>
      <c r="E7" s="311">
        <f t="shared" si="1"/>
        <v>1</v>
      </c>
      <c r="F7" s="311">
        <v>1</v>
      </c>
      <c r="G7" s="312" t="b">
        <v>1</v>
      </c>
      <c r="H7" s="313" t="str">
        <f t="shared" si="2"/>
        <v>Residential</v>
      </c>
      <c r="I7" s="727" t="str">
        <f>INDEX('AMMO Measures'!B:B,MATCH($A7,'AMMO Measures'!$A:$A,0))</f>
        <v>Heat Pump Water Heaters</v>
      </c>
      <c r="J7" s="727" t="str">
        <f>INDEX('AMMO Measures'!C:C,MATCH($A7,'AMMO Measures'!$A:$A,0))</f>
        <v>HPWH (&gt;55 gallons) Existing Construction</v>
      </c>
      <c r="K7" s="727" t="str">
        <f>INDEX('AMMO Measures'!D:D,MATCH($A7,'AMMO Measures'!$A:$A,0))</f>
        <v>Tier 1</v>
      </c>
      <c r="L7" s="24">
        <v>2022</v>
      </c>
      <c r="M7" s="322">
        <f>GETPIVOTDATA("Units",'AMMO Units'!$A$3,"Year",$L7,"Measure Index",$A7,"Savings Category","Regional_Market_2021PP")</f>
        <v>4083</v>
      </c>
      <c r="N7" s="323">
        <f>GETPIVOTDATA("Units",'AMMO Units'!$A$3,"Year",$L7,"Measure Index",$A7,"Savings Category","Local_Incentives_2021PP")</f>
        <v>1446</v>
      </c>
      <c r="O7" s="323">
        <f>GETPIVOTDATA("Units",'AMMO Units'!$A$3,"Year",$L7,"Measure Index",$A7,"Savings Category","Baseline_2021PP")</f>
        <v>4083</v>
      </c>
      <c r="P7" s="1719" t="str">
        <f t="shared" si="3"/>
        <v/>
      </c>
      <c r="Q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4">
        <f>GETPIVOTDATA("Savings Rate",'AMMO Savings Rates'!$A$3,"Year",$L7,"Measure Index",$A7,"Savings Rate Type","Savings_Rate_2021PP")</f>
        <v>1049.1477771</v>
      </c>
      <c r="S7" s="2080" t="s">
        <v>1247</v>
      </c>
      <c r="T7" s="318">
        <f t="shared" si="4"/>
        <v>0</v>
      </c>
      <c r="U7" s="319">
        <f t="shared" si="5"/>
        <v>0</v>
      </c>
      <c r="V7" s="320">
        <f t="shared" si="6"/>
        <v>0</v>
      </c>
      <c r="X7" s="324" t="s">
        <v>807</v>
      </c>
    </row>
    <row r="8" spans="1:47">
      <c r="A8" s="310" t="s">
        <v>56</v>
      </c>
      <c r="B8" s="311" t="str">
        <f t="shared" si="0"/>
        <v>RES_201202</v>
      </c>
      <c r="C8" s="311">
        <v>0</v>
      </c>
      <c r="D8" s="311">
        <v>0</v>
      </c>
      <c r="E8" s="311">
        <f t="shared" si="1"/>
        <v>1</v>
      </c>
      <c r="F8" s="311">
        <v>1</v>
      </c>
      <c r="G8" s="312" t="b">
        <v>1</v>
      </c>
      <c r="H8" s="313" t="str">
        <f t="shared" si="2"/>
        <v>Residential</v>
      </c>
      <c r="I8" s="727" t="str">
        <f>INDEX('AMMO Measures'!B:B,MATCH($A8,'AMMO Measures'!$A:$A,0))</f>
        <v>Heat Pump Water Heaters</v>
      </c>
      <c r="J8" s="727" t="str">
        <f>INDEX('AMMO Measures'!C:C,MATCH($A8,'AMMO Measures'!$A:$A,0))</f>
        <v>HPWH (&lt;=55 gallons) Existing Construction</v>
      </c>
      <c r="K8" s="727" t="str">
        <f>INDEX('AMMO Measures'!D:D,MATCH($A8,'AMMO Measures'!$A:$A,0))</f>
        <v>Tier 2</v>
      </c>
      <c r="L8" s="24">
        <v>2022</v>
      </c>
      <c r="M8" s="322">
        <f>GETPIVOTDATA("Units",'AMMO Units'!$A$3,"Year",$L8,"Measure Index",$A8,"Savings Category","Regional_Market_2021PP")</f>
        <v>9723</v>
      </c>
      <c r="N8" s="323">
        <f>GETPIVOTDATA("Units",'AMMO Units'!$A$3,"Year",$L8,"Measure Index",$A8,"Savings Category","Local_Incentives_2021PP")</f>
        <v>5065</v>
      </c>
      <c r="O8" s="323">
        <f>GETPIVOTDATA("Units",'AMMO Units'!$A$3,"Year",$L8,"Measure Index",$A8,"Savings Category","Baseline_2021PP")</f>
        <v>340.30500000000001</v>
      </c>
      <c r="P8" s="1719" t="str">
        <f t="shared" si="3"/>
        <v/>
      </c>
      <c r="Q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4">
        <f>GETPIVOTDATA("Savings Rate",'AMMO Savings Rates'!$A$3,"Year",$L8,"Measure Index",$A8,"Savings Rate Type","Savings_Rate_2021PP")</f>
        <v>288.90995240000001</v>
      </c>
      <c r="S8" s="2080" t="s">
        <v>1249</v>
      </c>
      <c r="T8" s="318">
        <f t="shared" si="4"/>
        <v>4.3277991626214665E-2</v>
      </c>
      <c r="U8" s="319">
        <f t="shared" si="5"/>
        <v>2.25447935397282E-2</v>
      </c>
      <c r="V8" s="320">
        <f t="shared" si="6"/>
        <v>2.0733198086486465E-2</v>
      </c>
      <c r="X8" s="325"/>
    </row>
    <row r="9" spans="1:47">
      <c r="A9" s="272" t="s">
        <v>58</v>
      </c>
      <c r="B9" s="311" t="str">
        <f t="shared" si="0"/>
        <v>RES_201202</v>
      </c>
      <c r="C9" s="311">
        <v>0</v>
      </c>
      <c r="D9" s="311">
        <v>0</v>
      </c>
      <c r="E9" s="311">
        <f t="shared" si="1"/>
        <v>1</v>
      </c>
      <c r="F9" s="311">
        <v>1</v>
      </c>
      <c r="G9" s="312" t="b">
        <v>1</v>
      </c>
      <c r="H9" s="313" t="str">
        <f t="shared" si="2"/>
        <v>Residential</v>
      </c>
      <c r="I9" s="727" t="str">
        <f>INDEX('AMMO Measures'!B:B,MATCH($A9,'AMMO Measures'!$A:$A,0))</f>
        <v>Heat Pump Water Heaters</v>
      </c>
      <c r="J9" s="727" t="str">
        <f>INDEX('AMMO Measures'!C:C,MATCH($A9,'AMMO Measures'!$A:$A,0))</f>
        <v>HPWH (&gt;55 gallons) Existing Construction</v>
      </c>
      <c r="K9" s="727" t="str">
        <f>INDEX('AMMO Measures'!D:D,MATCH($A9,'AMMO Measures'!$A:$A,0))</f>
        <v>Tier 2</v>
      </c>
      <c r="L9" s="24">
        <v>2022</v>
      </c>
      <c r="M9" s="322">
        <f>GETPIVOTDATA("Units",'AMMO Units'!$A$3,"Year",$L9,"Measure Index",$A9,"Savings Category","Regional_Market_2021PP")</f>
        <v>4079</v>
      </c>
      <c r="N9" s="323">
        <f>GETPIVOTDATA("Units",'AMMO Units'!$A$3,"Year",$L9,"Measure Index",$A9,"Savings Category","Local_Incentives_2021PP")</f>
        <v>1547</v>
      </c>
      <c r="O9" s="323">
        <f>GETPIVOTDATA("Units",'AMMO Units'!$A$3,"Year",$L9,"Measure Index",$A9,"Savings Category","Baseline_2021PP")</f>
        <v>142.76499999999999</v>
      </c>
      <c r="P9" s="1719" t="str">
        <f t="shared" si="3"/>
        <v/>
      </c>
      <c r="Q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R9" s="1474">
        <f>GETPIVOTDATA("Savings Rate",'AMMO Savings Rates'!$A$3,"Year",$L9,"Measure Index",$A9,"Savings Rate Type","Savings_Rate_2021PP")</f>
        <v>288.90995240000001</v>
      </c>
      <c r="S9" s="2080" t="s">
        <v>1249</v>
      </c>
      <c r="T9" s="318">
        <f t="shared" si="4"/>
        <v>1.8156014382734714E-2</v>
      </c>
      <c r="U9" s="319">
        <f t="shared" si="5"/>
        <v>6.8858431601104692E-3</v>
      </c>
      <c r="V9" s="320">
        <f t="shared" si="6"/>
        <v>1.1270171222624244E-2</v>
      </c>
    </row>
    <row r="10" spans="1:47">
      <c r="A10" s="272" t="s">
        <v>762</v>
      </c>
      <c r="B10" s="311" t="str">
        <f t="shared" si="0"/>
        <v>RES_201202</v>
      </c>
      <c r="C10" s="311">
        <v>0</v>
      </c>
      <c r="D10" s="311">
        <v>0</v>
      </c>
      <c r="E10" s="311">
        <f t="shared" si="1"/>
        <v>1</v>
      </c>
      <c r="F10" s="311">
        <v>1</v>
      </c>
      <c r="G10" s="312" t="b">
        <v>1</v>
      </c>
      <c r="H10" s="313" t="str">
        <f t="shared" si="2"/>
        <v>Residential</v>
      </c>
      <c r="I10" s="727" t="str">
        <f>INDEX('AMMO Measures'!B:B,MATCH($A10,'AMMO Measures'!$A:$A,0))</f>
        <v>Heat Pump Water Heaters</v>
      </c>
      <c r="J10" s="727" t="str">
        <f>INDEX('AMMO Measures'!C:C,MATCH($A10,'AMMO Measures'!$A:$A,0))</f>
        <v>HPWH (&gt;55 gallons) Existing Construction</v>
      </c>
      <c r="K10" s="727" t="str">
        <f>INDEX('AMMO Measures'!D:D,MATCH($A10,'AMMO Measures'!$A:$A,0))</f>
        <v>Tier 3</v>
      </c>
      <c r="L10" s="24">
        <v>2022</v>
      </c>
      <c r="M10" s="322">
        <f>GETPIVOTDATA("Units",'AMMO Units'!$A$3,"Year",$L10,"Measure Index",$A10,"Savings Category","Regional_Market_2021PP")</f>
        <v>4051</v>
      </c>
      <c r="N10" s="323">
        <f>GETPIVOTDATA("Units",'AMMO Units'!$A$3,"Year",$L10,"Measure Index",$A10,"Savings Category","Local_Incentives_2021PP")</f>
        <v>1427</v>
      </c>
      <c r="O10" s="323">
        <f>GETPIVOTDATA("Units",'AMMO Units'!$A$3,"Year",$L10,"Measure Index",$A10,"Savings Category","Baseline_2021PP")</f>
        <v>141.785</v>
      </c>
      <c r="P10" s="1719" t="str">
        <f t="shared" si="3"/>
        <v/>
      </c>
      <c r="Q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4">
        <f>GETPIVOTDATA("Savings Rate",'AMMO Savings Rates'!$A$3,"Year",$L10,"Measure Index",$A10,"Savings Rate Type","Savings_Rate_2021PP")</f>
        <v>169.11900077000001</v>
      </c>
      <c r="S10" s="2081" t="s">
        <v>1250</v>
      </c>
      <c r="T10" s="318">
        <f t="shared" si="4"/>
        <v>1.055501748839403E-2</v>
      </c>
      <c r="U10" s="319">
        <f t="shared" si="5"/>
        <v>3.7180967553538087E-3</v>
      </c>
      <c r="V10" s="320">
        <f t="shared" si="6"/>
        <v>6.8369207330402212E-3</v>
      </c>
    </row>
    <row r="11" spans="1:47">
      <c r="A11" s="310" t="s">
        <v>763</v>
      </c>
      <c r="B11" s="311" t="str">
        <f t="shared" si="0"/>
        <v>RES_201202</v>
      </c>
      <c r="C11" s="311">
        <v>0</v>
      </c>
      <c r="D11" s="311">
        <v>0</v>
      </c>
      <c r="E11" s="311">
        <f t="shared" si="1"/>
        <v>1</v>
      </c>
      <c r="F11" s="311">
        <v>1</v>
      </c>
      <c r="G11" s="312" t="b">
        <v>1</v>
      </c>
      <c r="H11" s="313" t="str">
        <f t="shared" si="2"/>
        <v>Residential</v>
      </c>
      <c r="I11" s="727" t="str">
        <f>INDEX('AMMO Measures'!B:B,MATCH($A11,'AMMO Measures'!$A:$A,0))</f>
        <v>Heat Pump Water Heaters</v>
      </c>
      <c r="J11" s="727" t="str">
        <f>INDEX('AMMO Measures'!C:C,MATCH($A11,'AMMO Measures'!$A:$A,0))</f>
        <v>HPWH (&gt;55 gallons) Existing Construction</v>
      </c>
      <c r="K11" s="727" t="str">
        <f>INDEX('AMMO Measures'!D:D,MATCH($A11,'AMMO Measures'!$A:$A,0))</f>
        <v>Tier 4</v>
      </c>
      <c r="L11" s="24">
        <v>2022</v>
      </c>
      <c r="M11" s="322">
        <f>GETPIVOTDATA("Units",'AMMO Units'!$A$3,"Year",$L11,"Measure Index",$A11,"Savings Category","Regional_Market_2021PP")</f>
        <v>2450</v>
      </c>
      <c r="N11" s="323">
        <f>GETPIVOTDATA("Units",'AMMO Units'!$A$3,"Year",$L11,"Measure Index",$A11,"Savings Category","Local_Incentives_2021PP")</f>
        <v>863</v>
      </c>
      <c r="O11" s="323">
        <f>GETPIVOTDATA("Units",'AMMO Units'!$A$3,"Year",$L11,"Measure Index",$A11,"Savings Category","Baseline_2021PP")</f>
        <v>85.75</v>
      </c>
      <c r="P11" s="1719" t="str">
        <f t="shared" si="3"/>
        <v/>
      </c>
      <c r="Q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4">
        <f>K83</f>
        <v>298.07860697920228</v>
      </c>
      <c r="S11" s="86" t="s">
        <v>1251</v>
      </c>
      <c r="T11" s="318">
        <f t="shared" si="4"/>
        <v>1.1251261079814816E-2</v>
      </c>
      <c r="U11" s="319">
        <f t="shared" si="5"/>
        <v>3.9631993109715043E-3</v>
      </c>
      <c r="V11" s="320">
        <f t="shared" si="6"/>
        <v>7.2880617688433121E-3</v>
      </c>
    </row>
    <row r="12" spans="1:47">
      <c r="A12" s="272" t="s">
        <v>744</v>
      </c>
      <c r="B12" s="311" t="str">
        <f t="shared" si="0"/>
        <v>RES_201202</v>
      </c>
      <c r="C12" s="311">
        <v>0</v>
      </c>
      <c r="D12" s="311">
        <v>0</v>
      </c>
      <c r="E12" s="311">
        <f t="shared" si="1"/>
        <v>1</v>
      </c>
      <c r="F12" s="311">
        <v>1</v>
      </c>
      <c r="G12" s="312" t="b">
        <v>1</v>
      </c>
      <c r="H12" s="313" t="str">
        <f t="shared" si="2"/>
        <v>Residential</v>
      </c>
      <c r="I12" s="727" t="str">
        <f>INDEX('AMMO Measures'!B:B,MATCH($A12,'AMMO Measures'!$A:$A,0))</f>
        <v>Heat Pump Water Heaters</v>
      </c>
      <c r="J12" s="727" t="str">
        <f>INDEX('AMMO Measures'!C:C,MATCH($A12,'AMMO Measures'!$A:$A,0))</f>
        <v>HPWH (&lt;=55 gallons) New Construction</v>
      </c>
      <c r="K12" s="727" t="str">
        <f>INDEX('AMMO Measures'!D:D,MATCH($A12,'AMMO Measures'!$A:$A,0))</f>
        <v>Tier 1</v>
      </c>
      <c r="L12" s="24">
        <v>2022</v>
      </c>
      <c r="M12" s="322">
        <f>GETPIVOTDATA("Units",'AMMO Units'!$A$3,"Year",$L12,"Measure Index",$A12,"Savings Category","Regional_Market_2021PP")</f>
        <v>6632</v>
      </c>
      <c r="N12" s="323">
        <f>GETPIVOTDATA("Units",'AMMO Units'!$A$3,"Year",$L12,"Measure Index",$A12,"Savings Category","Local_Incentives_2021PP")</f>
        <v>2111</v>
      </c>
      <c r="O12" s="323">
        <f>GETPIVOTDATA("Units",'AMMO Units'!$A$3,"Year",$L12,"Measure Index",$A12,"Savings Category","Baseline_2021PP")</f>
        <v>663.2</v>
      </c>
      <c r="P12" s="1719" t="str">
        <f t="shared" si="3"/>
        <v/>
      </c>
      <c r="Q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4">
        <f>L84</f>
        <v>551.42220683795506</v>
      </c>
      <c r="S12" s="2080" t="s">
        <v>1247</v>
      </c>
      <c r="T12" s="318">
        <f t="shared" si="4"/>
        <v>5.2547042258835275E-2</v>
      </c>
      <c r="U12" s="319">
        <f t="shared" si="5"/>
        <v>1.6725996111037585E-2</v>
      </c>
      <c r="V12" s="320">
        <f t="shared" si="6"/>
        <v>3.5821046147797686E-2</v>
      </c>
    </row>
    <row r="13" spans="1:47">
      <c r="A13" s="272" t="s">
        <v>745</v>
      </c>
      <c r="B13" s="311" t="str">
        <f t="shared" si="0"/>
        <v>RES_201202</v>
      </c>
      <c r="C13" s="311">
        <v>0</v>
      </c>
      <c r="D13" s="311">
        <v>0</v>
      </c>
      <c r="E13" s="311">
        <f t="shared" si="1"/>
        <v>1</v>
      </c>
      <c r="F13" s="311">
        <v>1</v>
      </c>
      <c r="G13" s="312" t="b">
        <v>1</v>
      </c>
      <c r="H13" s="313" t="str">
        <f t="shared" si="2"/>
        <v>Residential</v>
      </c>
      <c r="I13" s="727" t="str">
        <f>INDEX('AMMO Measures'!B:B,MATCH($A13,'AMMO Measures'!$A:$A,0))</f>
        <v>Heat Pump Water Heaters</v>
      </c>
      <c r="J13" s="727" t="str">
        <f>INDEX('AMMO Measures'!C:C,MATCH($A13,'AMMO Measures'!$A:$A,0))</f>
        <v>HPWH (&lt;=55 gallons) New Construction</v>
      </c>
      <c r="K13" s="727" t="str">
        <f>INDEX('AMMO Measures'!D:D,MATCH($A13,'AMMO Measures'!$A:$A,0))</f>
        <v>Tier 2</v>
      </c>
      <c r="L13" s="24">
        <v>2022</v>
      </c>
      <c r="M13" s="322">
        <f>GETPIVOTDATA("Units",'AMMO Units'!$A$3,"Year",$L13,"Measure Index",$A13,"Savings Category","Regional_Market_2021PP")</f>
        <v>6513</v>
      </c>
      <c r="N13" s="323">
        <f>GETPIVOTDATA("Units",'AMMO Units'!$A$3,"Year",$L13,"Measure Index",$A13,"Savings Category","Local_Incentives_2021PP")</f>
        <v>2094</v>
      </c>
      <c r="O13" s="323">
        <f>GETPIVOTDATA("Units",'AMMO Units'!$A$3,"Year",$L13,"Measure Index",$A13,"Savings Category","Baseline_2021PP")</f>
        <v>651.29999999999995</v>
      </c>
      <c r="P13" s="1719" t="str">
        <f t="shared" si="3"/>
        <v/>
      </c>
      <c r="Q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4">
        <f>GETPIVOTDATA("Savings Rate",'AMMO Savings Rates'!$A$3,"Year",$L13,"Measure Index",$A13,"Savings Rate Type","Savings_Rate_2021PP")</f>
        <v>161.57515079999999</v>
      </c>
      <c r="S13" s="2080" t="s">
        <v>1249</v>
      </c>
      <c r="T13" s="318">
        <f t="shared" si="4"/>
        <v>1.5120813410201188E-2</v>
      </c>
      <c r="U13" s="319">
        <f t="shared" si="5"/>
        <v>4.8615051866975727E-3</v>
      </c>
      <c r="V13" s="320">
        <f t="shared" si="6"/>
        <v>1.0259308223503615E-2</v>
      </c>
      <c r="AA13" s="270"/>
      <c r="AB13" s="270"/>
    </row>
    <row r="14" spans="1:47">
      <c r="A14" s="272" t="s">
        <v>764</v>
      </c>
      <c r="B14" s="311" t="str">
        <f t="shared" si="0"/>
        <v>RES_201202</v>
      </c>
      <c r="C14" s="311">
        <v>0</v>
      </c>
      <c r="D14" s="311">
        <v>0</v>
      </c>
      <c r="E14" s="311">
        <f t="shared" si="1"/>
        <v>1</v>
      </c>
      <c r="F14" s="311">
        <v>1</v>
      </c>
      <c r="G14" s="312" t="b">
        <v>1</v>
      </c>
      <c r="H14" s="313" t="str">
        <f t="shared" si="2"/>
        <v>Residential</v>
      </c>
      <c r="I14" s="727" t="str">
        <f>INDEX('AMMO Measures'!B:B,MATCH($A14,'AMMO Measures'!$A:$A,0))</f>
        <v>Heat Pump Water Heaters</v>
      </c>
      <c r="J14" s="727" t="str">
        <f>INDEX('AMMO Measures'!C:C,MATCH($A14,'AMMO Measures'!$A:$A,0))</f>
        <v>HPWH (&lt;=55 gallons) New Construction</v>
      </c>
      <c r="K14" s="727" t="str">
        <f>INDEX('AMMO Measures'!D:D,MATCH($A14,'AMMO Measures'!$A:$A,0))</f>
        <v>Tier 3</v>
      </c>
      <c r="L14" s="24">
        <v>2022</v>
      </c>
      <c r="M14" s="322">
        <f>GETPIVOTDATA("Units",'AMMO Units'!$A$3,"Year",$L14,"Measure Index",$A14,"Savings Category","Regional_Market_2021PP")</f>
        <v>6468</v>
      </c>
      <c r="N14" s="323">
        <f>GETPIVOTDATA("Units",'AMMO Units'!$A$3,"Year",$L14,"Measure Index",$A14,"Savings Category","Local_Incentives_2021PP")</f>
        <v>2089</v>
      </c>
      <c r="O14" s="323">
        <f>GETPIVOTDATA("Units",'AMMO Units'!$A$3,"Year",$L14,"Measure Index",$A14,"Savings Category","Baseline_2021PP")</f>
        <v>646.79999999999995</v>
      </c>
      <c r="P14" s="1719" t="str">
        <f t="shared" si="3"/>
        <v/>
      </c>
      <c r="Q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4">
        <f>L86</f>
        <v>88.870777263379921</v>
      </c>
      <c r="S14" s="2081" t="s">
        <v>1250</v>
      </c>
      <c r="T14" s="318">
        <f t="shared" si="4"/>
        <v>8.2593999345779677E-3</v>
      </c>
      <c r="U14" s="319">
        <f t="shared" si="5"/>
        <v>2.6675767568542638E-3</v>
      </c>
      <c r="V14" s="320">
        <f t="shared" si="6"/>
        <v>5.5918231777237039E-3</v>
      </c>
      <c r="AA14" s="270"/>
      <c r="AB14" s="270"/>
    </row>
    <row r="15" spans="1:47">
      <c r="A15" s="272" t="s">
        <v>765</v>
      </c>
      <c r="B15" s="311" t="str">
        <f t="shared" si="0"/>
        <v>RES_201202</v>
      </c>
      <c r="C15" s="311">
        <v>0</v>
      </c>
      <c r="D15" s="311">
        <v>0</v>
      </c>
      <c r="E15" s="311">
        <f t="shared" si="1"/>
        <v>1</v>
      </c>
      <c r="F15" s="311">
        <v>1</v>
      </c>
      <c r="G15" s="312" t="b">
        <v>1</v>
      </c>
      <c r="H15" s="313" t="str">
        <f t="shared" si="2"/>
        <v>Residential</v>
      </c>
      <c r="I15" s="727" t="str">
        <f>INDEX('AMMO Measures'!B:B,MATCH($A15,'AMMO Measures'!$A:$A,0))</f>
        <v>Heat Pump Water Heaters</v>
      </c>
      <c r="J15" s="727" t="str">
        <f>INDEX('AMMO Measures'!C:C,MATCH($A15,'AMMO Measures'!$A:$A,0))</f>
        <v>HPWH (&lt;=55 gallons) New Construction</v>
      </c>
      <c r="K15" s="727" t="str">
        <f>INDEX('AMMO Measures'!D:D,MATCH($A15,'AMMO Measures'!$A:$A,0))</f>
        <v>Tier 4</v>
      </c>
      <c r="L15" s="24">
        <v>2022</v>
      </c>
      <c r="M15" s="322">
        <f>GETPIVOTDATA("Units",'AMMO Units'!$A$3,"Year",$L15,"Measure Index",$A15,"Savings Category","Regional_Market_2021PP")</f>
        <v>3979</v>
      </c>
      <c r="N15" s="323">
        <f>GETPIVOTDATA("Units",'AMMO Units'!$A$3,"Year",$L15,"Measure Index",$A15,"Savings Category","Local_Incentives_2021PP")</f>
        <v>1285</v>
      </c>
      <c r="O15" s="323">
        <f>GETPIVOTDATA("Units",'AMMO Units'!$A$3,"Year",$L15,"Measure Index",$A15,"Savings Category","Baseline_2021PP")</f>
        <v>397.9</v>
      </c>
      <c r="P15" s="1719" t="str">
        <f t="shared" si="3"/>
        <v/>
      </c>
      <c r="Q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4">
        <f>L85</f>
        <v>152.02811656917896</v>
      </c>
      <c r="S15" s="2081" t="s">
        <v>1251</v>
      </c>
      <c r="T15" s="318">
        <f t="shared" si="4"/>
        <v>8.6919528240315923E-3</v>
      </c>
      <c r="U15" s="319">
        <f t="shared" si="5"/>
        <v>2.8070267350793154E-3</v>
      </c>
      <c r="V15" s="320">
        <f t="shared" si="6"/>
        <v>5.8849260889522765E-3</v>
      </c>
      <c r="AA15" s="270"/>
      <c r="AB15" s="270"/>
    </row>
    <row r="16" spans="1:47" hidden="1">
      <c r="A16" s="326" t="s">
        <v>766</v>
      </c>
      <c r="B16" s="327" t="str">
        <f t="shared" si="0"/>
        <v>RES_201202</v>
      </c>
      <c r="C16" s="327">
        <v>0</v>
      </c>
      <c r="D16" s="327">
        <v>0</v>
      </c>
      <c r="E16" s="327">
        <f t="shared" si="1"/>
        <v>1</v>
      </c>
      <c r="F16" s="311">
        <v>1</v>
      </c>
      <c r="G16" s="328" t="b">
        <v>1</v>
      </c>
      <c r="H16" s="313" t="str">
        <f t="shared" si="2"/>
        <v>Residential</v>
      </c>
      <c r="I16" s="727" t="str">
        <f>INDEX('AMMO Measures'!B:B,MATCH($A16,'AMMO Measures'!$A:$A,0))</f>
        <v>Heat Pump Water Heaters</v>
      </c>
      <c r="J16" s="727" t="str">
        <f>INDEX('AMMO Measures'!C:C,MATCH($A16,'AMMO Measures'!$A:$A,0))</f>
        <v>HPWH (&gt;55 gallons) New Construction</v>
      </c>
      <c r="K16" s="727" t="str">
        <f>INDEX('AMMO Measures'!D:D,MATCH($A16,'AMMO Measures'!$A:$A,0))</f>
        <v>Tier 1</v>
      </c>
      <c r="L16" s="24">
        <v>2022</v>
      </c>
      <c r="M16" s="322">
        <f>GETPIVOTDATA("Units",'AMMO Units'!$A$3,"Year",$L16,"Measure Index",$A16,"Savings Category","Regional_Market_2021PP")</f>
        <v>2735</v>
      </c>
      <c r="N16" s="323">
        <f>GETPIVOTDATA("Units",'AMMO Units'!$A$3,"Year",$L16,"Measure Index",$A16,"Savings Category","Local_Incentives_2021PP")</f>
        <v>844</v>
      </c>
      <c r="O16" s="323">
        <f>GETPIVOTDATA("Units",'AMMO Units'!$A$3,"Year",$L16,"Measure Index",$A16,"Savings Category","Baseline_2021PP")</f>
        <v>2735</v>
      </c>
      <c r="P16" s="1719" t="str">
        <f t="shared" si="3"/>
        <v/>
      </c>
      <c r="Q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4">
        <f>M84</f>
        <v>420.89998641309217</v>
      </c>
      <c r="S16" s="86" t="s">
        <v>1247</v>
      </c>
      <c r="T16" s="318">
        <f t="shared" si="4"/>
        <v>0</v>
      </c>
      <c r="U16" s="319">
        <f t="shared" si="5"/>
        <v>0</v>
      </c>
      <c r="V16" s="320">
        <f t="shared" si="6"/>
        <v>0</v>
      </c>
      <c r="W16" s="329"/>
      <c r="X16" s="329"/>
      <c r="Y16" s="329"/>
      <c r="Z16" s="329"/>
      <c r="AA16" s="270"/>
      <c r="AB16" s="270"/>
      <c r="AC16" s="329"/>
      <c r="AD16" s="329"/>
      <c r="AE16" s="329"/>
      <c r="AF16" s="329"/>
      <c r="AG16" s="329"/>
      <c r="AH16" s="329"/>
      <c r="AI16" s="329"/>
      <c r="AJ16" s="329"/>
      <c r="AK16" s="329"/>
      <c r="AL16" s="329"/>
      <c r="AM16" s="329"/>
      <c r="AN16" s="329"/>
      <c r="AO16" s="329"/>
      <c r="AP16" s="329"/>
      <c r="AQ16" s="329"/>
      <c r="AR16" s="329"/>
      <c r="AS16" s="329"/>
      <c r="AT16" s="329"/>
      <c r="AU16" s="329"/>
    </row>
    <row r="17" spans="1:47">
      <c r="A17" s="272" t="s">
        <v>767</v>
      </c>
      <c r="B17" s="311" t="str">
        <f t="shared" si="0"/>
        <v>RES_201202</v>
      </c>
      <c r="C17" s="311">
        <v>0</v>
      </c>
      <c r="D17" s="311">
        <v>0</v>
      </c>
      <c r="E17" s="311">
        <f t="shared" si="1"/>
        <v>1</v>
      </c>
      <c r="F17" s="311">
        <v>1</v>
      </c>
      <c r="G17" s="312" t="b">
        <v>1</v>
      </c>
      <c r="H17" s="313" t="str">
        <f t="shared" si="2"/>
        <v>Residential</v>
      </c>
      <c r="I17" s="727" t="str">
        <f>INDEX('AMMO Measures'!B:B,MATCH($A17,'AMMO Measures'!$A:$A,0))</f>
        <v>Heat Pump Water Heaters</v>
      </c>
      <c r="J17" s="727" t="str">
        <f>INDEX('AMMO Measures'!C:C,MATCH($A17,'AMMO Measures'!$A:$A,0))</f>
        <v>HPWH (&gt;55 gallons) New Construction</v>
      </c>
      <c r="K17" s="727" t="str">
        <f>INDEX('AMMO Measures'!D:D,MATCH($A17,'AMMO Measures'!$A:$A,0))</f>
        <v>Tier 2</v>
      </c>
      <c r="L17" s="24">
        <v>2022</v>
      </c>
      <c r="M17" s="322">
        <f>GETPIVOTDATA("Units",'AMMO Units'!$A$3,"Year",$L17,"Measure Index",$A17,"Savings Category","Regional_Market_2021PP")</f>
        <v>2732</v>
      </c>
      <c r="N17" s="323">
        <f>GETPIVOTDATA("Units",'AMMO Units'!$A$3,"Year",$L17,"Measure Index",$A17,"Savings Category","Local_Incentives_2021PP")</f>
        <v>837</v>
      </c>
      <c r="O17" s="323">
        <f>GETPIVOTDATA("Units",'AMMO Units'!$A$3,"Year",$L17,"Measure Index",$A17,"Savings Category","Baseline_2021PP")</f>
        <v>273.2</v>
      </c>
      <c r="P17" s="1719" t="str">
        <f t="shared" si="3"/>
        <v/>
      </c>
      <c r="Q17" s="317">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4">
        <f>M85</f>
        <v>116.042900349096</v>
      </c>
      <c r="S17" s="2081" t="s">
        <v>1249</v>
      </c>
      <c r="T17" s="318">
        <f t="shared" si="4"/>
        <v>4.5553188000186685E-3</v>
      </c>
      <c r="U17" s="319">
        <f t="shared" si="5"/>
        <v>1.3956082853644309E-3</v>
      </c>
      <c r="V17" s="320">
        <f t="shared" si="6"/>
        <v>3.1597105146542377E-3</v>
      </c>
      <c r="AA17" s="270"/>
      <c r="AB17" s="270"/>
    </row>
    <row r="18" spans="1:47">
      <c r="A18" s="272" t="s">
        <v>768</v>
      </c>
      <c r="B18" s="311" t="str">
        <f t="shared" si="0"/>
        <v>RES_201202</v>
      </c>
      <c r="C18" s="311">
        <v>0</v>
      </c>
      <c r="D18" s="311">
        <v>0</v>
      </c>
      <c r="E18" s="311">
        <f t="shared" si="1"/>
        <v>1</v>
      </c>
      <c r="F18" s="311">
        <v>1</v>
      </c>
      <c r="G18" s="312" t="b">
        <v>1</v>
      </c>
      <c r="H18" s="313" t="str">
        <f t="shared" si="2"/>
        <v>Residential</v>
      </c>
      <c r="I18" s="727" t="str">
        <f>INDEX('AMMO Measures'!B:B,MATCH($A18,'AMMO Measures'!$A:$A,0))</f>
        <v>Heat Pump Water Heaters</v>
      </c>
      <c r="J18" s="727" t="str">
        <f>INDEX('AMMO Measures'!C:C,MATCH($A18,'AMMO Measures'!$A:$A,0))</f>
        <v>HPWH (&gt;55 gallons) New Construction</v>
      </c>
      <c r="K18" s="727" t="str">
        <f>INDEX('AMMO Measures'!D:D,MATCH($A18,'AMMO Measures'!$A:$A,0))</f>
        <v>Tier 3</v>
      </c>
      <c r="L18" s="24">
        <v>2022</v>
      </c>
      <c r="M18" s="322">
        <f>GETPIVOTDATA("Units",'AMMO Units'!$A$3,"Year",$L18,"Measure Index",$A18,"Savings Category","Regional_Market_2021PP")</f>
        <v>2714</v>
      </c>
      <c r="N18" s="323">
        <f>GETPIVOTDATA("Units",'AMMO Units'!$A$3,"Year",$L18,"Measure Index",$A18,"Savings Category","Local_Incentives_2021PP")</f>
        <v>836</v>
      </c>
      <c r="O18" s="323">
        <f>GETPIVOTDATA("Units",'AMMO Units'!$A$3,"Year",$L18,"Measure Index",$A18,"Savings Category","Baseline_2021PP")</f>
        <v>271.39999999999998</v>
      </c>
      <c r="P18" s="1719" t="str">
        <f t="shared" si="3"/>
        <v/>
      </c>
      <c r="Q18" s="317">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R18" s="1474">
        <f>M86</f>
        <v>67.834970153223921</v>
      </c>
      <c r="S18" s="2081" t="s">
        <v>1250</v>
      </c>
      <c r="T18" s="318">
        <f t="shared" si="4"/>
        <v>2.6453490686017354E-3</v>
      </c>
      <c r="U18" s="319">
        <f t="shared" si="5"/>
        <v>8.1485328715956179E-4</v>
      </c>
      <c r="V18" s="320">
        <f t="shared" si="6"/>
        <v>1.8304957814421737E-3</v>
      </c>
      <c r="AA18" s="270"/>
      <c r="AB18" s="270"/>
    </row>
    <row r="19" spans="1:47">
      <c r="A19" s="272" t="s">
        <v>769</v>
      </c>
      <c r="B19" s="311" t="str">
        <f t="shared" si="0"/>
        <v>RES_201202</v>
      </c>
      <c r="C19" s="311">
        <v>0</v>
      </c>
      <c r="D19" s="311">
        <v>0</v>
      </c>
      <c r="E19" s="311">
        <f t="shared" si="1"/>
        <v>1</v>
      </c>
      <c r="F19" s="311">
        <v>1</v>
      </c>
      <c r="G19" s="312" t="b">
        <v>1</v>
      </c>
      <c r="H19" s="313" t="str">
        <f t="shared" si="2"/>
        <v>Residential</v>
      </c>
      <c r="I19" s="727" t="str">
        <f>INDEX('AMMO Measures'!B:B,MATCH($A19,'AMMO Measures'!$A:$A,0))</f>
        <v>Heat Pump Water Heaters</v>
      </c>
      <c r="J19" s="727" t="str">
        <f>INDEX('AMMO Measures'!C:C,MATCH($A19,'AMMO Measures'!$A:$A,0))</f>
        <v>HPWH (&gt;55 gallons) New Construction</v>
      </c>
      <c r="K19" s="727" t="str">
        <f>INDEX('AMMO Measures'!D:D,MATCH($A19,'AMMO Measures'!$A:$A,0))</f>
        <v>Tier 4</v>
      </c>
      <c r="L19" s="24">
        <v>2022</v>
      </c>
      <c r="M19" s="322">
        <f>GETPIVOTDATA("Units",'AMMO Units'!$A$3,"Year",$L19,"Measure Index",$A19,"Savings Category","Regional_Market_2021PP")</f>
        <v>1641</v>
      </c>
      <c r="N19" s="323">
        <f>GETPIVOTDATA("Units",'AMMO Units'!$A$3,"Year",$L19,"Measure Index",$A19,"Savings Category","Local_Incentives_2021PP")</f>
        <v>505</v>
      </c>
      <c r="O19" s="323">
        <f>GETPIVOTDATA("Units",'AMMO Units'!$A$3,"Year",$L19,"Measure Index",$A19,"Savings Category","Baseline_2021PP")</f>
        <v>164.1</v>
      </c>
      <c r="P19" s="1719" t="str">
        <f t="shared" si="3"/>
        <v/>
      </c>
      <c r="Q19" s="317">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R19" s="1474">
        <f>M87</f>
        <v>119.64587815235947</v>
      </c>
      <c r="S19" s="2081" t="s">
        <v>1251</v>
      </c>
      <c r="T19" s="318">
        <f t="shared" si="4"/>
        <v>2.8211477308697419E-3</v>
      </c>
      <c r="U19" s="319">
        <f t="shared" si="5"/>
        <v>8.6817769901841534E-4</v>
      </c>
      <c r="V19" s="320">
        <f t="shared" si="6"/>
        <v>1.9529700318513265E-3</v>
      </c>
      <c r="AA19" s="270"/>
      <c r="AB19" s="270"/>
    </row>
    <row r="20" spans="1:47" s="329" customFormat="1">
      <c r="A20" s="272" t="s">
        <v>770</v>
      </c>
      <c r="B20" s="311" t="str">
        <f t="shared" si="0"/>
        <v>RES_201202</v>
      </c>
      <c r="C20" s="311">
        <v>0</v>
      </c>
      <c r="D20" s="311">
        <v>0</v>
      </c>
      <c r="E20" s="311">
        <f t="shared" si="1"/>
        <v>1</v>
      </c>
      <c r="F20" s="311">
        <v>1</v>
      </c>
      <c r="G20" s="312" t="b">
        <v>1</v>
      </c>
      <c r="H20" s="313" t="str">
        <f t="shared" si="2"/>
        <v>Residential</v>
      </c>
      <c r="I20" s="727" t="str">
        <f>INDEX('AMMO Measures'!B:B,MATCH($A20,'AMMO Measures'!$A:$A,0))</f>
        <v>Heat Pump Water Heaters</v>
      </c>
      <c r="J20" s="727" t="str">
        <f>INDEX('AMMO Measures'!C:C,MATCH($A20,'AMMO Measures'!$A:$A,0))</f>
        <v>HPWH (&lt;=55 gallons) Existing Construction</v>
      </c>
      <c r="K20" s="727" t="str">
        <f>INDEX('AMMO Measures'!D:D,MATCH($A20,'AMMO Measures'!$A:$A,0))</f>
        <v>Tier 3</v>
      </c>
      <c r="L20" s="24">
        <v>2022</v>
      </c>
      <c r="M20" s="322">
        <f>GETPIVOTDATA("Units",'AMMO Units'!$A$3,"Year",$L20,"Measure Index",$A20,"Savings Category","Regional_Market_2021PP")</f>
        <v>9657</v>
      </c>
      <c r="N20" s="323">
        <f>GETPIVOTDATA("Units",'AMMO Units'!$A$3,"Year",$L20,"Measure Index",$A20,"Savings Category","Local_Incentives_2021PP")</f>
        <v>5034</v>
      </c>
      <c r="O20" s="323">
        <f>GETPIVOTDATA("Units",'AMMO Units'!$A$3,"Year",$L20,"Measure Index",$A20,"Savings Category","Baseline_2021PP")</f>
        <v>337.995</v>
      </c>
      <c r="P20" s="1719" t="str">
        <f t="shared" si="3"/>
        <v/>
      </c>
      <c r="Q20" s="317">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0.13985600000000001</v>
      </c>
      <c r="R20" s="1474">
        <f>GETPIVOTDATA("Savings Rate",'AMMO Savings Rates'!$A$3,"Year",$L20,"Measure Index",$A20,"Savings Rate Type","Savings_Rate_2021PP")</f>
        <v>169.11900077000001</v>
      </c>
      <c r="S20" s="2081" t="s">
        <v>1250</v>
      </c>
      <c r="T20" s="318">
        <f t="shared" si="4"/>
        <v>2.5161640060582854E-2</v>
      </c>
      <c r="U20" s="319">
        <f t="shared" si="5"/>
        <v>1.3116257229468169E-2</v>
      </c>
      <c r="V20" s="320">
        <f t="shared" si="6"/>
        <v>1.2045382831114684E-2</v>
      </c>
      <c r="W20" s="274"/>
      <c r="X20" s="274"/>
      <c r="Y20" s="274"/>
      <c r="Z20" s="274"/>
      <c r="AA20" s="270"/>
      <c r="AB20" s="270"/>
      <c r="AC20" s="274"/>
      <c r="AD20" s="274"/>
      <c r="AE20" s="274"/>
      <c r="AF20" s="274"/>
      <c r="AG20" s="274"/>
      <c r="AH20" s="274"/>
      <c r="AI20" s="274"/>
      <c r="AJ20" s="274"/>
      <c r="AK20" s="274"/>
      <c r="AL20" s="274"/>
      <c r="AM20" s="274"/>
      <c r="AN20" s="274"/>
      <c r="AO20" s="274"/>
      <c r="AP20" s="274"/>
      <c r="AQ20" s="274"/>
      <c r="AR20" s="274"/>
      <c r="AS20" s="274"/>
      <c r="AT20" s="274"/>
      <c r="AU20" s="274"/>
    </row>
    <row r="21" spans="1:47">
      <c r="A21" s="272" t="s">
        <v>771</v>
      </c>
      <c r="B21" s="311" t="str">
        <f t="shared" si="0"/>
        <v>RES_201202</v>
      </c>
      <c r="C21" s="311">
        <v>0</v>
      </c>
      <c r="D21" s="311">
        <v>0</v>
      </c>
      <c r="E21" s="311">
        <f t="shared" si="1"/>
        <v>1</v>
      </c>
      <c r="F21" s="311">
        <v>1</v>
      </c>
      <c r="G21" s="312" t="b">
        <v>1</v>
      </c>
      <c r="H21" s="313" t="str">
        <f t="shared" si="2"/>
        <v>Residential</v>
      </c>
      <c r="I21" s="727" t="str">
        <f>INDEX('AMMO Measures'!B:B,MATCH($A21,'AMMO Measures'!$A:$A,0))</f>
        <v>Heat Pump Water Heaters</v>
      </c>
      <c r="J21" s="727" t="str">
        <f>INDEX('AMMO Measures'!C:C,MATCH($A21,'AMMO Measures'!$A:$A,0))</f>
        <v>HPWH (&lt;=55 gallons) Existing Construction</v>
      </c>
      <c r="K21" s="727" t="str">
        <f>INDEX('AMMO Measures'!D:D,MATCH($A21,'AMMO Measures'!$A:$A,0))</f>
        <v>Tier 4</v>
      </c>
      <c r="L21" s="24">
        <v>2022</v>
      </c>
      <c r="M21" s="322">
        <f>GETPIVOTDATA("Units",'AMMO Units'!$A$3,"Year",$L21,"Measure Index",$A21,"Savings Category","Regional_Market_2021PP")</f>
        <v>5940</v>
      </c>
      <c r="N21" s="323">
        <f>GETPIVOTDATA("Units",'AMMO Units'!$A$3,"Year",$L21,"Measure Index",$A21,"Savings Category","Local_Incentives_2021PP")</f>
        <v>3096</v>
      </c>
      <c r="O21" s="323">
        <f>GETPIVOTDATA("Units",'AMMO Units'!$A$3,"Year",$L21,"Measure Index",$A21,"Savings Category","Baseline_2021PP")</f>
        <v>207.9</v>
      </c>
      <c r="P21" s="1719" t="str">
        <f t="shared" si="3"/>
        <v/>
      </c>
      <c r="Q21" s="317">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R21" s="1474">
        <f>$K$83</f>
        <v>298.07860697920228</v>
      </c>
      <c r="S21" s="2081" t="s">
        <v>1251</v>
      </c>
      <c r="T21" s="318">
        <f t="shared" si="4"/>
        <v>2.7278567679224493E-2</v>
      </c>
      <c r="U21" s="319">
        <f t="shared" si="5"/>
        <v>1.4217920123717006E-2</v>
      </c>
      <c r="V21" s="320">
        <f t="shared" si="6"/>
        <v>1.3060647555507487E-2</v>
      </c>
      <c r="AA21" s="270"/>
      <c r="AB21" s="270"/>
    </row>
    <row r="22" spans="1:47" s="294" customFormat="1">
      <c r="A22" s="417" t="s">
        <v>55</v>
      </c>
      <c r="B22" s="311" t="str">
        <f t="shared" ref="B22:B37" si="7">LEFT(A22,10)</f>
        <v>RES_201202</v>
      </c>
      <c r="C22" s="311">
        <v>0</v>
      </c>
      <c r="D22" s="311">
        <v>0</v>
      </c>
      <c r="E22" s="311">
        <f t="shared" si="1"/>
        <v>1</v>
      </c>
      <c r="F22" s="311">
        <v>1</v>
      </c>
      <c r="G22" s="312" t="b">
        <v>1</v>
      </c>
      <c r="H22" s="348" t="str">
        <f t="shared" ref="H22:H37" si="8">IF(LEFT(A22,3)="Res","Residential",IF(LEFT(A22,3)="Ind","industrial",IF(LEFT(A22,3)="Com","Commercial",IF(LEFT(A22,3)="AGR","Agriculture",""))))</f>
        <v>Residential</v>
      </c>
      <c r="I22" s="727" t="str">
        <f>INDEX('AMMO Measures'!B:B,MATCH($A22,'AMMO Measures'!$A:$A,0))</f>
        <v>Heat Pump Water Heaters</v>
      </c>
      <c r="J22" s="727" t="str">
        <f>INDEX('AMMO Measures'!C:C,MATCH($A22,'AMMO Measures'!$A:$A,0))</f>
        <v>HPWH (&lt;=55 gallons) Existing Construction</v>
      </c>
      <c r="K22" s="727" t="str">
        <f>INDEX('AMMO Measures'!D:D,MATCH($A22,'AMMO Measures'!$A:$A,0))</f>
        <v>Tier 1</v>
      </c>
      <c r="L22" s="24">
        <v>2023</v>
      </c>
      <c r="M22" s="322">
        <f>GETPIVOTDATA("Units",'AMMO Units'!$A$3,"Year",$L22,"Measure Index",$A22,"Savings Category","Regional_Market_2021PP")</f>
        <v>12892</v>
      </c>
      <c r="N22" s="323">
        <f>GETPIVOTDATA("Units",'AMMO Units'!$A$3,"Year",$L22,"Measure Index",$A22,"Savings Category","Local_Incentives_2021PP")</f>
        <v>6947</v>
      </c>
      <c r="O22" s="323">
        <f>GETPIVOTDATA("Units",'AMMO Units'!$A$3,"Year",$L22,"Measure Index",$A22,"Savings Category","Baseline_2021PP")</f>
        <v>451.22</v>
      </c>
      <c r="P22" s="1719" t="str">
        <f t="shared" ref="P22:P37" si="9">IF($S$2="RTF","The savings rates for HPWHs are relative to the RTFs current practice baseline",IF(S$2="7th PP",IF(AND(LEFT(J22,7)="HPWH (&gt;",K22="Tier 1"),"7th PP assumes a 100% baseline saturation based on the 2015 standard for tier 1 tanks above 55gal","7th PP assumes a .10% baseline saturation based on the 2012 Residential Building Stock Assessment"),""))</f>
        <v/>
      </c>
      <c r="Q22" s="317">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R22" s="1474">
        <f>GETPIVOTDATA("Savings Rate",'AMMO Savings Rates'!$A$3,"Year",$L22,"Measure Index",$A22,"Savings Rate Type","Savings_Rate_2021PP")</f>
        <v>1049.1477771</v>
      </c>
      <c r="S22" s="2080" t="s">
        <v>1247</v>
      </c>
      <c r="T22" s="318">
        <f t="shared" ref="T22:T37" si="10">(M22-O22)*Q22*R22/8760000</f>
        <v>0.20838251327994922</v>
      </c>
      <c r="U22" s="319">
        <f t="shared" ref="U22:U37" si="11">IFERROR((N22-O22/M22*N22)*Q22*R22/8760/1000,0)</f>
        <v>0.11228927394941104</v>
      </c>
      <c r="V22" s="320">
        <f t="shared" ref="V22:V37" si="12">T22-U22</f>
        <v>9.6093239330538177E-2</v>
      </c>
    </row>
    <row r="23" spans="1:47" s="294" customFormat="1" hidden="1">
      <c r="A23" s="417" t="s">
        <v>57</v>
      </c>
      <c r="B23" s="311" t="str">
        <f t="shared" si="7"/>
        <v>RES_201202</v>
      </c>
      <c r="C23" s="311">
        <v>0</v>
      </c>
      <c r="D23" s="311">
        <v>1</v>
      </c>
      <c r="E23" s="311">
        <f t="shared" si="1"/>
        <v>1</v>
      </c>
      <c r="F23" s="311">
        <v>1</v>
      </c>
      <c r="G23" s="312" t="b">
        <v>1</v>
      </c>
      <c r="H23" s="348" t="str">
        <f t="shared" si="8"/>
        <v>Residential</v>
      </c>
      <c r="I23" s="727" t="str">
        <f>INDEX('AMMO Measures'!B:B,MATCH($A23,'AMMO Measures'!$A:$A,0))</f>
        <v>Heat Pump Water Heaters</v>
      </c>
      <c r="J23" s="727" t="str">
        <f>INDEX('AMMO Measures'!C:C,MATCH($A23,'AMMO Measures'!$A:$A,0))</f>
        <v>HPWH (&gt;55 gallons) Existing Construction</v>
      </c>
      <c r="K23" s="727" t="str">
        <f>INDEX('AMMO Measures'!D:D,MATCH($A23,'AMMO Measures'!$A:$A,0))</f>
        <v>Tier 1</v>
      </c>
      <c r="L23" s="24">
        <v>2023</v>
      </c>
      <c r="M23" s="322">
        <f>GETPIVOTDATA("Units",'AMMO Units'!$A$3,"Year",$L23,"Measure Index",$A23,"Savings Category","Regional_Market_2021PP")</f>
        <v>5525</v>
      </c>
      <c r="N23" s="323">
        <f>GETPIVOTDATA("Units",'AMMO Units'!$A$3,"Year",$L23,"Measure Index",$A23,"Savings Category","Local_Incentives_2021PP")</f>
        <v>1957</v>
      </c>
      <c r="O23" s="323">
        <f>GETPIVOTDATA("Units",'AMMO Units'!$A$3,"Year",$L23,"Measure Index",$A23,"Savings Category","Baseline_2021PP")</f>
        <v>5525</v>
      </c>
      <c r="P23" s="1719" t="str">
        <f t="shared" si="9"/>
        <v/>
      </c>
      <c r="Q23" s="317">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R23" s="1474">
        <f>GETPIVOTDATA("Savings Rate",'AMMO Savings Rates'!$A$3,"Year",$L23,"Measure Index",$A23,"Savings Rate Type","Savings_Rate_2021PP")</f>
        <v>1049.1477771</v>
      </c>
      <c r="S23" s="2080" t="s">
        <v>1247</v>
      </c>
      <c r="T23" s="318">
        <f t="shared" si="10"/>
        <v>0</v>
      </c>
      <c r="U23" s="319">
        <f t="shared" si="11"/>
        <v>0</v>
      </c>
      <c r="V23" s="320">
        <f t="shared" si="12"/>
        <v>0</v>
      </c>
    </row>
    <row r="24" spans="1:47" s="294" customFormat="1">
      <c r="A24" s="417" t="s">
        <v>56</v>
      </c>
      <c r="B24" s="311" t="str">
        <f t="shared" si="7"/>
        <v>RES_201202</v>
      </c>
      <c r="C24" s="311">
        <v>0</v>
      </c>
      <c r="D24" s="311">
        <v>0</v>
      </c>
      <c r="E24" s="311">
        <f t="shared" si="1"/>
        <v>1</v>
      </c>
      <c r="F24" s="311">
        <v>1</v>
      </c>
      <c r="G24" s="312" t="b">
        <v>1</v>
      </c>
      <c r="H24" s="348" t="str">
        <f t="shared" si="8"/>
        <v>Residential</v>
      </c>
      <c r="I24" s="727" t="str">
        <f>INDEX('AMMO Measures'!B:B,MATCH($A24,'AMMO Measures'!$A:$A,0))</f>
        <v>Heat Pump Water Heaters</v>
      </c>
      <c r="J24" s="727" t="str">
        <f>INDEX('AMMO Measures'!C:C,MATCH($A24,'AMMO Measures'!$A:$A,0))</f>
        <v>HPWH (&lt;=55 gallons) Existing Construction</v>
      </c>
      <c r="K24" s="727" t="str">
        <f>INDEX('AMMO Measures'!D:D,MATCH($A24,'AMMO Measures'!$A:$A,0))</f>
        <v>Tier 2</v>
      </c>
      <c r="L24" s="24">
        <v>2023</v>
      </c>
      <c r="M24" s="322">
        <f>GETPIVOTDATA("Units",'AMMO Units'!$A$3,"Year",$L24,"Measure Index",$A24,"Savings Category","Regional_Market_2021PP")</f>
        <v>12661</v>
      </c>
      <c r="N24" s="323">
        <f>GETPIVOTDATA("Units",'AMMO Units'!$A$3,"Year",$L24,"Measure Index",$A24,"Savings Category","Local_Incentives_2021PP")</f>
        <v>6595</v>
      </c>
      <c r="O24" s="323">
        <f>GETPIVOTDATA("Units",'AMMO Units'!$A$3,"Year",$L24,"Measure Index",$A24,"Savings Category","Baseline_2021PP")</f>
        <v>443.13499999999999</v>
      </c>
      <c r="P24" s="1719" t="str">
        <f t="shared" si="9"/>
        <v/>
      </c>
      <c r="Q24" s="317">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R24" s="1474">
        <f>GETPIVOTDATA("Savings Rate",'AMMO Savings Rates'!$A$3,"Year",$L24,"Measure Index",$A24,"Savings Rate Type","Savings_Rate_2021PP")</f>
        <v>288.90995240000001</v>
      </c>
      <c r="S24" s="2080" t="s">
        <v>1249</v>
      </c>
      <c r="T24" s="318">
        <f t="shared" si="10"/>
        <v>5.635530720760093E-2</v>
      </c>
      <c r="U24" s="319">
        <f t="shared" si="11"/>
        <v>2.9354968093683612E-2</v>
      </c>
      <c r="V24" s="320">
        <f t="shared" si="12"/>
        <v>2.7000339113917318E-2</v>
      </c>
    </row>
    <row r="25" spans="1:47" s="294" customFormat="1">
      <c r="A25" s="417" t="s">
        <v>58</v>
      </c>
      <c r="B25" s="311" t="str">
        <f t="shared" si="7"/>
        <v>RES_201202</v>
      </c>
      <c r="C25" s="311">
        <v>0</v>
      </c>
      <c r="D25" s="311">
        <v>0</v>
      </c>
      <c r="E25" s="311">
        <f t="shared" si="1"/>
        <v>1</v>
      </c>
      <c r="F25" s="311">
        <v>1</v>
      </c>
      <c r="G25" s="312" t="b">
        <v>1</v>
      </c>
      <c r="H25" s="348" t="str">
        <f t="shared" si="8"/>
        <v>Residential</v>
      </c>
      <c r="I25" s="727" t="str">
        <f>INDEX('AMMO Measures'!B:B,MATCH($A25,'AMMO Measures'!$A:$A,0))</f>
        <v>Heat Pump Water Heaters</v>
      </c>
      <c r="J25" s="727" t="str">
        <f>INDEX('AMMO Measures'!C:C,MATCH($A25,'AMMO Measures'!$A:$A,0))</f>
        <v>HPWH (&gt;55 gallons) Existing Construction</v>
      </c>
      <c r="K25" s="727" t="str">
        <f>INDEX('AMMO Measures'!D:D,MATCH($A25,'AMMO Measures'!$A:$A,0))</f>
        <v>Tier 2</v>
      </c>
      <c r="L25" s="24">
        <v>2023</v>
      </c>
      <c r="M25" s="322">
        <f>GETPIVOTDATA("Units",'AMMO Units'!$A$3,"Year",$L25,"Measure Index",$A25,"Savings Category","Regional_Market_2021PP")</f>
        <v>5519</v>
      </c>
      <c r="N25" s="323">
        <f>GETPIVOTDATA("Units",'AMMO Units'!$A$3,"Year",$L25,"Measure Index",$A25,"Savings Category","Local_Incentives_2021PP")</f>
        <v>2093</v>
      </c>
      <c r="O25" s="323">
        <f>GETPIVOTDATA("Units",'AMMO Units'!$A$3,"Year",$L25,"Measure Index",$A25,"Savings Category","Baseline_2021PP")</f>
        <v>193.16499999999999</v>
      </c>
      <c r="P25" s="1719" t="str">
        <f t="shared" si="9"/>
        <v/>
      </c>
      <c r="Q25" s="317">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R25" s="1474">
        <f>GETPIVOTDATA("Savings Rate",'AMMO Savings Rates'!$A$3,"Year",$L25,"Measure Index",$A25,"Savings Rate Type","Savings_Rate_2021PP")</f>
        <v>288.90995240000001</v>
      </c>
      <c r="S25" s="2080" t="s">
        <v>1249</v>
      </c>
      <c r="T25" s="318">
        <f t="shared" si="10"/>
        <v>2.4565590433516273E-2</v>
      </c>
      <c r="U25" s="319">
        <f t="shared" si="11"/>
        <v>9.3161407460318115E-3</v>
      </c>
      <c r="V25" s="320">
        <f t="shared" si="12"/>
        <v>1.5249449687484462E-2</v>
      </c>
    </row>
    <row r="26" spans="1:47" s="294" customFormat="1">
      <c r="A26" s="417" t="s">
        <v>762</v>
      </c>
      <c r="B26" s="311" t="str">
        <f t="shared" si="7"/>
        <v>RES_201202</v>
      </c>
      <c r="C26" s="311">
        <v>0</v>
      </c>
      <c r="D26" s="311">
        <v>0</v>
      </c>
      <c r="E26" s="311">
        <f t="shared" si="1"/>
        <v>1</v>
      </c>
      <c r="F26" s="311">
        <v>1</v>
      </c>
      <c r="G26" s="312" t="b">
        <v>1</v>
      </c>
      <c r="H26" s="348" t="str">
        <f t="shared" si="8"/>
        <v>Residential</v>
      </c>
      <c r="I26" s="727" t="str">
        <f>INDEX('AMMO Measures'!B:B,MATCH($A26,'AMMO Measures'!$A:$A,0))</f>
        <v>Heat Pump Water Heaters</v>
      </c>
      <c r="J26" s="727" t="str">
        <f>INDEX('AMMO Measures'!C:C,MATCH($A26,'AMMO Measures'!$A:$A,0))</f>
        <v>HPWH (&gt;55 gallons) Existing Construction</v>
      </c>
      <c r="K26" s="727" t="str">
        <f>INDEX('AMMO Measures'!D:D,MATCH($A26,'AMMO Measures'!$A:$A,0))</f>
        <v>Tier 3</v>
      </c>
      <c r="L26" s="24">
        <v>2023</v>
      </c>
      <c r="M26" s="322">
        <f>GETPIVOTDATA("Units",'AMMO Units'!$A$3,"Year",$L26,"Measure Index",$A26,"Savings Category","Regional_Market_2021PP")</f>
        <v>5482</v>
      </c>
      <c r="N26" s="323">
        <f>GETPIVOTDATA("Units",'AMMO Units'!$A$3,"Year",$L26,"Measure Index",$A26,"Savings Category","Local_Incentives_2021PP")</f>
        <v>1931</v>
      </c>
      <c r="O26" s="323">
        <f>GETPIVOTDATA("Units",'AMMO Units'!$A$3,"Year",$L26,"Measure Index",$A26,"Savings Category","Baseline_2021PP")</f>
        <v>191.87</v>
      </c>
      <c r="P26" s="1719" t="str">
        <f t="shared" si="9"/>
        <v/>
      </c>
      <c r="Q26" s="317">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0.13985600000000001</v>
      </c>
      <c r="R26" s="1474">
        <f>GETPIVOTDATA("Savings Rate",'AMMO Savings Rates'!$A$3,"Year",$L26,"Measure Index",$A26,"Savings Rate Type","Savings_Rate_2021PP")</f>
        <v>169.11900077000001</v>
      </c>
      <c r="S26" s="2081" t="s">
        <v>1250</v>
      </c>
      <c r="T26" s="318">
        <f t="shared" si="10"/>
        <v>1.4283536379011618E-2</v>
      </c>
      <c r="U26" s="319">
        <f t="shared" si="11"/>
        <v>5.031285798590193E-3</v>
      </c>
      <c r="V26" s="320">
        <f t="shared" si="12"/>
        <v>9.2522505804214263E-3</v>
      </c>
    </row>
    <row r="27" spans="1:47" s="294" customFormat="1">
      <c r="A27" s="417" t="s">
        <v>763</v>
      </c>
      <c r="B27" s="311" t="str">
        <f t="shared" si="7"/>
        <v>RES_201202</v>
      </c>
      <c r="C27" s="311">
        <v>0</v>
      </c>
      <c r="D27" s="311">
        <v>0</v>
      </c>
      <c r="E27" s="311">
        <f t="shared" si="1"/>
        <v>1</v>
      </c>
      <c r="F27" s="311">
        <v>1</v>
      </c>
      <c r="G27" s="312" t="b">
        <v>1</v>
      </c>
      <c r="H27" s="348" t="str">
        <f t="shared" si="8"/>
        <v>Residential</v>
      </c>
      <c r="I27" s="727" t="str">
        <f>INDEX('AMMO Measures'!B:B,MATCH($A27,'AMMO Measures'!$A:$A,0))</f>
        <v>Heat Pump Water Heaters</v>
      </c>
      <c r="J27" s="727" t="str">
        <f>INDEX('AMMO Measures'!C:C,MATCH($A27,'AMMO Measures'!$A:$A,0))</f>
        <v>HPWH (&gt;55 gallons) Existing Construction</v>
      </c>
      <c r="K27" s="727" t="str">
        <f>INDEX('AMMO Measures'!D:D,MATCH($A27,'AMMO Measures'!$A:$A,0))</f>
        <v>Tier 4</v>
      </c>
      <c r="L27" s="24">
        <v>2023</v>
      </c>
      <c r="M27" s="322">
        <f>GETPIVOTDATA("Units",'AMMO Units'!$A$3,"Year",$L27,"Measure Index",$A27,"Savings Category","Regional_Market_2021PP")</f>
        <v>4420</v>
      </c>
      <c r="N27" s="323">
        <f>GETPIVOTDATA("Units",'AMMO Units'!$A$3,"Year",$L27,"Measure Index",$A27,"Savings Category","Local_Incentives_2021PP")</f>
        <v>1557</v>
      </c>
      <c r="O27" s="323">
        <f>GETPIVOTDATA("Units",'AMMO Units'!$A$3,"Year",$L27,"Measure Index",$A27,"Savings Category","Baseline_2021PP")</f>
        <v>154.69999999999999</v>
      </c>
      <c r="P27" s="1719" t="str">
        <f t="shared" si="9"/>
        <v/>
      </c>
      <c r="Q27" s="317">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0.13985600000000001</v>
      </c>
      <c r="R27" s="1474">
        <f>$K$83</f>
        <v>298.07860697920228</v>
      </c>
      <c r="S27" s="2081" t="s">
        <v>1251</v>
      </c>
      <c r="T27" s="318">
        <f t="shared" si="10"/>
        <v>2.0298193458278154E-2</v>
      </c>
      <c r="U27" s="319">
        <f t="shared" si="11"/>
        <v>7.1502912250088436E-3</v>
      </c>
      <c r="V27" s="320">
        <f t="shared" si="12"/>
        <v>1.314790223326931E-2</v>
      </c>
    </row>
    <row r="28" spans="1:47" s="294" customFormat="1">
      <c r="A28" s="417" t="s">
        <v>744</v>
      </c>
      <c r="B28" s="311" t="str">
        <f t="shared" si="7"/>
        <v>RES_201202</v>
      </c>
      <c r="C28" s="311">
        <v>0</v>
      </c>
      <c r="D28" s="311">
        <v>0</v>
      </c>
      <c r="E28" s="311">
        <f t="shared" si="1"/>
        <v>1</v>
      </c>
      <c r="F28" s="311">
        <v>1</v>
      </c>
      <c r="G28" s="312" t="b">
        <v>1</v>
      </c>
      <c r="H28" s="348" t="str">
        <f t="shared" si="8"/>
        <v>Residential</v>
      </c>
      <c r="I28" s="727" t="str">
        <f>INDEX('AMMO Measures'!B:B,MATCH($A28,'AMMO Measures'!$A:$A,0))</f>
        <v>Heat Pump Water Heaters</v>
      </c>
      <c r="J28" s="727" t="str">
        <f>INDEX('AMMO Measures'!C:C,MATCH($A28,'AMMO Measures'!$A:$A,0))</f>
        <v>HPWH (&lt;=55 gallons) New Construction</v>
      </c>
      <c r="K28" s="727" t="str">
        <f>INDEX('AMMO Measures'!D:D,MATCH($A28,'AMMO Measures'!$A:$A,0))</f>
        <v>Tier 1</v>
      </c>
      <c r="L28" s="24">
        <v>2023</v>
      </c>
      <c r="M28" s="322">
        <f>GETPIVOTDATA("Units",'AMMO Units'!$A$3,"Year",$L28,"Measure Index",$A28,"Savings Category","Regional_Market_2021PP")</f>
        <v>5981</v>
      </c>
      <c r="N28" s="323">
        <f>GETPIVOTDATA("Units",'AMMO Units'!$A$3,"Year",$L28,"Measure Index",$A28,"Savings Category","Local_Incentives_2021PP")</f>
        <v>1904</v>
      </c>
      <c r="O28" s="323">
        <f>GETPIVOTDATA("Units",'AMMO Units'!$A$3,"Year",$L28,"Measure Index",$A28,"Savings Category","Baseline_2021PP")</f>
        <v>598.1</v>
      </c>
      <c r="P28" s="1719" t="str">
        <f t="shared" si="9"/>
        <v/>
      </c>
      <c r="Q28" s="317">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R28" s="1474">
        <f>N84</f>
        <v>543.2097466841235</v>
      </c>
      <c r="S28" s="2080" t="s">
        <v>1247</v>
      </c>
      <c r="T28" s="318">
        <f t="shared" si="10"/>
        <v>4.6683226262590673E-2</v>
      </c>
      <c r="U28" s="319">
        <f t="shared" si="11"/>
        <v>1.4861204280884905E-2</v>
      </c>
      <c r="V28" s="320">
        <f t="shared" si="12"/>
        <v>3.1822021981705764E-2</v>
      </c>
      <c r="AA28" s="420"/>
      <c r="AB28" s="420"/>
    </row>
    <row r="29" spans="1:47" s="294" customFormat="1">
      <c r="A29" s="417" t="s">
        <v>745</v>
      </c>
      <c r="B29" s="311" t="str">
        <f t="shared" si="7"/>
        <v>RES_201202</v>
      </c>
      <c r="C29" s="311">
        <v>0</v>
      </c>
      <c r="D29" s="311">
        <v>0</v>
      </c>
      <c r="E29" s="311">
        <f t="shared" si="1"/>
        <v>1</v>
      </c>
      <c r="F29" s="311">
        <v>1</v>
      </c>
      <c r="G29" s="312" t="b">
        <v>1</v>
      </c>
      <c r="H29" s="348" t="str">
        <f t="shared" si="8"/>
        <v>Residential</v>
      </c>
      <c r="I29" s="727" t="str">
        <f>INDEX('AMMO Measures'!B:B,MATCH($A29,'AMMO Measures'!$A:$A,0))</f>
        <v>Heat Pump Water Heaters</v>
      </c>
      <c r="J29" s="727" t="str">
        <f>INDEX('AMMO Measures'!C:C,MATCH($A29,'AMMO Measures'!$A:$A,0))</f>
        <v>HPWH (&lt;=55 gallons) New Construction</v>
      </c>
      <c r="K29" s="727" t="str">
        <f>INDEX('AMMO Measures'!D:D,MATCH($A29,'AMMO Measures'!$A:$A,0))</f>
        <v>Tier 2</v>
      </c>
      <c r="L29" s="24">
        <v>2023</v>
      </c>
      <c r="M29" s="322">
        <f>GETPIVOTDATA("Units",'AMMO Units'!$A$3,"Year",$L29,"Measure Index",$A29,"Savings Category","Regional_Market_2021PP")</f>
        <v>5874</v>
      </c>
      <c r="N29" s="323">
        <f>GETPIVOTDATA("Units",'AMMO Units'!$A$3,"Year",$L29,"Measure Index",$A29,"Savings Category","Local_Incentives_2021PP")</f>
        <v>1889</v>
      </c>
      <c r="O29" s="323">
        <f>GETPIVOTDATA("Units",'AMMO Units'!$A$3,"Year",$L29,"Measure Index",$A29,"Savings Category","Baseline_2021PP")</f>
        <v>587.4</v>
      </c>
      <c r="P29" s="1719" t="str">
        <f t="shared" si="9"/>
        <v/>
      </c>
      <c r="Q29" s="317">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R29" s="1474">
        <f>GETPIVOTDATA("Savings Rate",'AMMO Savings Rates'!$A$3,"Year",$L29,"Measure Index",$A29,"Savings Rate Type","Savings_Rate_2021PP")</f>
        <v>159.21720349</v>
      </c>
      <c r="S29" s="2080" t="s">
        <v>1249</v>
      </c>
      <c r="T29" s="318">
        <f t="shared" si="10"/>
        <v>1.3438272394023409E-2</v>
      </c>
      <c r="U29" s="319">
        <f t="shared" si="11"/>
        <v>4.3215690419322814E-3</v>
      </c>
      <c r="V29" s="320">
        <f t="shared" si="12"/>
        <v>9.1167033520911274E-3</v>
      </c>
    </row>
    <row r="30" spans="1:47" s="294" customFormat="1">
      <c r="A30" s="417" t="s">
        <v>764</v>
      </c>
      <c r="B30" s="311" t="str">
        <f t="shared" si="7"/>
        <v>RES_201202</v>
      </c>
      <c r="C30" s="311">
        <v>0</v>
      </c>
      <c r="D30" s="311">
        <v>0</v>
      </c>
      <c r="E30" s="311">
        <f t="shared" si="1"/>
        <v>1</v>
      </c>
      <c r="F30" s="311">
        <v>1</v>
      </c>
      <c r="G30" s="312" t="b">
        <v>1</v>
      </c>
      <c r="H30" s="348" t="str">
        <f t="shared" si="8"/>
        <v>Residential</v>
      </c>
      <c r="I30" s="727" t="str">
        <f>INDEX('AMMO Measures'!B:B,MATCH($A30,'AMMO Measures'!$A:$A,0))</f>
        <v>Heat Pump Water Heaters</v>
      </c>
      <c r="J30" s="727" t="str">
        <f>INDEX('AMMO Measures'!C:C,MATCH($A30,'AMMO Measures'!$A:$A,0))</f>
        <v>HPWH (&lt;=55 gallons) New Construction</v>
      </c>
      <c r="K30" s="727" t="str">
        <f>INDEX('AMMO Measures'!D:D,MATCH($A30,'AMMO Measures'!$A:$A,0))</f>
        <v>Tier 3</v>
      </c>
      <c r="L30" s="24">
        <v>2023</v>
      </c>
      <c r="M30" s="322">
        <f>GETPIVOTDATA("Units",'AMMO Units'!$A$3,"Year",$L30,"Measure Index",$A30,"Savings Category","Regional_Market_2021PP")</f>
        <v>5834</v>
      </c>
      <c r="N30" s="323">
        <f>GETPIVOTDATA("Units",'AMMO Units'!$A$3,"Year",$L30,"Measure Index",$A30,"Savings Category","Local_Incentives_2021PP")</f>
        <v>1884</v>
      </c>
      <c r="O30" s="323">
        <f>GETPIVOTDATA("Units",'AMMO Units'!$A$3,"Year",$L30,"Measure Index",$A30,"Savings Category","Baseline_2021PP")</f>
        <v>583.4</v>
      </c>
      <c r="P30" s="1719" t="str">
        <f t="shared" si="9"/>
        <v/>
      </c>
      <c r="Q30" s="317">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0.13985600000000001</v>
      </c>
      <c r="R30" s="1474">
        <f>N86</f>
        <v>87.547203950471925</v>
      </c>
      <c r="S30" s="2081" t="s">
        <v>1250</v>
      </c>
      <c r="T30" s="318">
        <f t="shared" si="10"/>
        <v>7.3388533811031657E-3</v>
      </c>
      <c r="U30" s="319">
        <f t="shared" si="11"/>
        <v>2.3699691069589243E-3</v>
      </c>
      <c r="V30" s="320">
        <f t="shared" si="12"/>
        <v>4.9688842741442418E-3</v>
      </c>
    </row>
    <row r="31" spans="1:47" s="294" customFormat="1">
      <c r="A31" s="417" t="s">
        <v>765</v>
      </c>
      <c r="B31" s="311" t="str">
        <f t="shared" si="7"/>
        <v>RES_201202</v>
      </c>
      <c r="C31" s="311">
        <v>0</v>
      </c>
      <c r="D31" s="311">
        <v>0</v>
      </c>
      <c r="E31" s="311">
        <f t="shared" si="1"/>
        <v>1</v>
      </c>
      <c r="F31" s="311">
        <v>1</v>
      </c>
      <c r="G31" s="312" t="b">
        <v>1</v>
      </c>
      <c r="H31" s="348" t="str">
        <f t="shared" si="8"/>
        <v>Residential</v>
      </c>
      <c r="I31" s="727" t="str">
        <f>INDEX('AMMO Measures'!B:B,MATCH($A31,'AMMO Measures'!$A:$A,0))</f>
        <v>Heat Pump Water Heaters</v>
      </c>
      <c r="J31" s="727" t="str">
        <f>INDEX('AMMO Measures'!C:C,MATCH($A31,'AMMO Measures'!$A:$A,0))</f>
        <v>HPWH (&lt;=55 gallons) New Construction</v>
      </c>
      <c r="K31" s="727" t="str">
        <f>INDEX('AMMO Measures'!D:D,MATCH($A31,'AMMO Measures'!$A:$A,0))</f>
        <v>Tier 4</v>
      </c>
      <c r="L31" s="24">
        <v>2023</v>
      </c>
      <c r="M31" s="322">
        <f>GETPIVOTDATA("Units",'AMMO Units'!$A$3,"Year",$L31,"Measure Index",$A31,"Savings Category","Regional_Market_2021PP")</f>
        <v>4785</v>
      </c>
      <c r="N31" s="323">
        <f>GETPIVOTDATA("Units",'AMMO Units'!$A$3,"Year",$L31,"Measure Index",$A31,"Savings Category","Local_Incentives_2021PP")</f>
        <v>1545</v>
      </c>
      <c r="O31" s="323">
        <f>GETPIVOTDATA("Units",'AMMO Units'!$A$3,"Year",$L31,"Measure Index",$A31,"Savings Category","Baseline_2021PP")</f>
        <v>478.5</v>
      </c>
      <c r="P31" s="1719" t="str">
        <f t="shared" si="9"/>
        <v/>
      </c>
      <c r="Q31" s="317">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0.13985600000000001</v>
      </c>
      <c r="R31" s="1474">
        <f>N85</f>
        <v>149.76392620088401</v>
      </c>
      <c r="S31" s="2081" t="s">
        <v>1251</v>
      </c>
      <c r="T31" s="318">
        <f t="shared" si="10"/>
        <v>1.0296951454753022E-2</v>
      </c>
      <c r="U31" s="319">
        <f t="shared" si="11"/>
        <v>3.3247210026318536E-3</v>
      </c>
      <c r="V31" s="320">
        <f t="shared" si="12"/>
        <v>6.972230452121168E-3</v>
      </c>
    </row>
    <row r="32" spans="1:47" s="420" customFormat="1" hidden="1">
      <c r="A32" s="419" t="s">
        <v>766</v>
      </c>
      <c r="B32" s="327" t="str">
        <f t="shared" si="7"/>
        <v>RES_201202</v>
      </c>
      <c r="C32" s="327">
        <v>0</v>
      </c>
      <c r="D32" s="327">
        <v>0</v>
      </c>
      <c r="E32" s="327">
        <f t="shared" si="1"/>
        <v>1</v>
      </c>
      <c r="F32" s="311">
        <v>1</v>
      </c>
      <c r="G32" s="328" t="b">
        <v>1</v>
      </c>
      <c r="H32" s="348" t="str">
        <f t="shared" si="8"/>
        <v>Residential</v>
      </c>
      <c r="I32" s="727" t="str">
        <f>INDEX('AMMO Measures'!B:B,MATCH($A32,'AMMO Measures'!$A:$A,0))</f>
        <v>Heat Pump Water Heaters</v>
      </c>
      <c r="J32" s="727" t="str">
        <f>INDEX('AMMO Measures'!C:C,MATCH($A32,'AMMO Measures'!$A:$A,0))</f>
        <v>HPWH (&gt;55 gallons) New Construction</v>
      </c>
      <c r="K32" s="727" t="str">
        <f>INDEX('AMMO Measures'!D:D,MATCH($A32,'AMMO Measures'!$A:$A,0))</f>
        <v>Tier 1</v>
      </c>
      <c r="L32" s="24">
        <v>2023</v>
      </c>
      <c r="M32" s="322">
        <f>GETPIVOTDATA("Units",'AMMO Units'!$A$3,"Year",$L32,"Measure Index",$A32,"Savings Category","Regional_Market_2021PP")</f>
        <v>2563</v>
      </c>
      <c r="N32" s="323">
        <f>GETPIVOTDATA("Units",'AMMO Units'!$A$3,"Year",$L32,"Measure Index",$A32,"Savings Category","Local_Incentives_2021PP")</f>
        <v>791</v>
      </c>
      <c r="O32" s="323">
        <f>GETPIVOTDATA("Units",'AMMO Units'!$A$3,"Year",$L32,"Measure Index",$A32,"Savings Category","Baseline_2021PP")</f>
        <v>2563</v>
      </c>
      <c r="P32" s="1719" t="str">
        <f t="shared" si="9"/>
        <v/>
      </c>
      <c r="Q32" s="317">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R32" s="1474">
        <f>O84</f>
        <v>406.986355437523</v>
      </c>
      <c r="S32" s="2080" t="s">
        <v>1247</v>
      </c>
      <c r="T32" s="318">
        <f t="shared" si="10"/>
        <v>0</v>
      </c>
      <c r="U32" s="319">
        <f t="shared" si="11"/>
        <v>0</v>
      </c>
      <c r="V32" s="320">
        <f t="shared" si="12"/>
        <v>0</v>
      </c>
      <c r="AA32" s="294"/>
      <c r="AB32" s="294"/>
    </row>
    <row r="33" spans="1:22" s="294" customFormat="1">
      <c r="A33" s="417" t="s">
        <v>767</v>
      </c>
      <c r="B33" s="311" t="str">
        <f t="shared" si="7"/>
        <v>RES_201202</v>
      </c>
      <c r="C33" s="311">
        <v>0</v>
      </c>
      <c r="D33" s="311">
        <v>0</v>
      </c>
      <c r="E33" s="311">
        <f t="shared" si="1"/>
        <v>1</v>
      </c>
      <c r="F33" s="311">
        <v>1</v>
      </c>
      <c r="G33" s="312" t="b">
        <v>1</v>
      </c>
      <c r="H33" s="348" t="str">
        <f t="shared" si="8"/>
        <v>Residential</v>
      </c>
      <c r="I33" s="727" t="str">
        <f>INDEX('AMMO Measures'!B:B,MATCH($A33,'AMMO Measures'!$A:$A,0))</f>
        <v>Heat Pump Water Heaters</v>
      </c>
      <c r="J33" s="727" t="str">
        <f>INDEX('AMMO Measures'!C:C,MATCH($A33,'AMMO Measures'!$A:$A,0))</f>
        <v>HPWH (&gt;55 gallons) New Construction</v>
      </c>
      <c r="K33" s="727" t="str">
        <f>INDEX('AMMO Measures'!D:D,MATCH($A33,'AMMO Measures'!$A:$A,0))</f>
        <v>Tier 2</v>
      </c>
      <c r="L33" s="24">
        <v>2023</v>
      </c>
      <c r="M33" s="322">
        <f>GETPIVOTDATA("Units",'AMMO Units'!$A$3,"Year",$L33,"Measure Index",$A33,"Savings Category","Regional_Market_2021PP")</f>
        <v>2560</v>
      </c>
      <c r="N33" s="323">
        <f>GETPIVOTDATA("Units",'AMMO Units'!$A$3,"Year",$L33,"Measure Index",$A33,"Savings Category","Local_Incentives_2021PP")</f>
        <v>784</v>
      </c>
      <c r="O33" s="323">
        <f>GETPIVOTDATA("Units",'AMMO Units'!$A$3,"Year",$L33,"Measure Index",$A33,"Savings Category","Baseline_2021PP")</f>
        <v>256</v>
      </c>
      <c r="P33" s="1719" t="str">
        <f t="shared" si="9"/>
        <v/>
      </c>
      <c r="Q33" s="317">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0.13985600000000001</v>
      </c>
      <c r="R33" s="1474">
        <f>O85</f>
        <v>112.20688669998307</v>
      </c>
      <c r="S33" s="2080" t="s">
        <v>1249</v>
      </c>
      <c r="T33" s="318">
        <f t="shared" si="10"/>
        <v>4.1274230390302242E-3</v>
      </c>
      <c r="U33" s="319">
        <f t="shared" si="11"/>
        <v>1.2640233057030063E-3</v>
      </c>
      <c r="V33" s="320">
        <f t="shared" si="12"/>
        <v>2.8633997333272179E-3</v>
      </c>
    </row>
    <row r="34" spans="1:22" s="294" customFormat="1">
      <c r="A34" s="417" t="s">
        <v>768</v>
      </c>
      <c r="B34" s="311" t="str">
        <f t="shared" si="7"/>
        <v>RES_201202</v>
      </c>
      <c r="C34" s="311">
        <v>0</v>
      </c>
      <c r="D34" s="311">
        <v>0</v>
      </c>
      <c r="E34" s="311">
        <f t="shared" si="1"/>
        <v>1</v>
      </c>
      <c r="F34" s="311">
        <v>1</v>
      </c>
      <c r="G34" s="312" t="b">
        <v>1</v>
      </c>
      <c r="H34" s="348" t="str">
        <f t="shared" si="8"/>
        <v>Residential</v>
      </c>
      <c r="I34" s="727" t="str">
        <f>INDEX('AMMO Measures'!B:B,MATCH($A34,'AMMO Measures'!$A:$A,0))</f>
        <v>Heat Pump Water Heaters</v>
      </c>
      <c r="J34" s="727" t="str">
        <f>INDEX('AMMO Measures'!C:C,MATCH($A34,'AMMO Measures'!$A:$A,0))</f>
        <v>HPWH (&gt;55 gallons) New Construction</v>
      </c>
      <c r="K34" s="727" t="str">
        <f>INDEX('AMMO Measures'!D:D,MATCH($A34,'AMMO Measures'!$A:$A,0))</f>
        <v>Tier 3</v>
      </c>
      <c r="L34" s="24">
        <v>2023</v>
      </c>
      <c r="M34" s="322">
        <f>GETPIVOTDATA("Units",'AMMO Units'!$A$3,"Year",$L34,"Measure Index",$A34,"Savings Category","Regional_Market_2021PP")</f>
        <v>2543</v>
      </c>
      <c r="N34" s="323">
        <f>GETPIVOTDATA("Units",'AMMO Units'!$A$3,"Year",$L34,"Measure Index",$A34,"Savings Category","Local_Incentives_2021PP")</f>
        <v>783</v>
      </c>
      <c r="O34" s="323">
        <f>GETPIVOTDATA("Units",'AMMO Units'!$A$3,"Year",$L34,"Measure Index",$A34,"Savings Category","Baseline_2021PP")</f>
        <v>254.3</v>
      </c>
      <c r="P34" s="1719" t="str">
        <f t="shared" si="9"/>
        <v/>
      </c>
      <c r="Q34" s="317">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0.13985600000000001</v>
      </c>
      <c r="R34" s="1474">
        <f>O86</f>
        <v>65.592559194758408</v>
      </c>
      <c r="S34" s="2081" t="s">
        <v>1250</v>
      </c>
      <c r="T34" s="318">
        <f t="shared" si="10"/>
        <v>2.3967373411727306E-3</v>
      </c>
      <c r="U34" s="319">
        <f t="shared" si="11"/>
        <v>7.3796513493442717E-4</v>
      </c>
      <c r="V34" s="320">
        <f t="shared" si="12"/>
        <v>1.6587722062383035E-3</v>
      </c>
    </row>
    <row r="35" spans="1:22" s="294" customFormat="1">
      <c r="A35" s="417" t="s">
        <v>769</v>
      </c>
      <c r="B35" s="311" t="str">
        <f t="shared" si="7"/>
        <v>RES_201202</v>
      </c>
      <c r="C35" s="311">
        <v>0</v>
      </c>
      <c r="D35" s="311">
        <v>0</v>
      </c>
      <c r="E35" s="311">
        <f t="shared" si="1"/>
        <v>1</v>
      </c>
      <c r="F35" s="311">
        <v>1</v>
      </c>
      <c r="G35" s="312" t="b">
        <v>1</v>
      </c>
      <c r="H35" s="348" t="str">
        <f t="shared" si="8"/>
        <v>Residential</v>
      </c>
      <c r="I35" s="727" t="str">
        <f>INDEX('AMMO Measures'!B:B,MATCH($A35,'AMMO Measures'!$A:$A,0))</f>
        <v>Heat Pump Water Heaters</v>
      </c>
      <c r="J35" s="727" t="str">
        <f>INDEX('AMMO Measures'!C:C,MATCH($A35,'AMMO Measures'!$A:$A,0))</f>
        <v>HPWH (&gt;55 gallons) New Construction</v>
      </c>
      <c r="K35" s="727" t="str">
        <f>INDEX('AMMO Measures'!D:D,MATCH($A35,'AMMO Measures'!$A:$A,0))</f>
        <v>Tier 4</v>
      </c>
      <c r="L35" s="24">
        <v>2023</v>
      </c>
      <c r="M35" s="322">
        <f>GETPIVOTDATA("Units",'AMMO Units'!$A$3,"Year",$L35,"Measure Index",$A35,"Savings Category","Regional_Market_2021PP")</f>
        <v>2050</v>
      </c>
      <c r="N35" s="323">
        <f>GETPIVOTDATA("Units",'AMMO Units'!$A$3,"Year",$L35,"Measure Index",$A35,"Savings Category","Local_Incentives_2021PP")</f>
        <v>631</v>
      </c>
      <c r="O35" s="323">
        <f>GETPIVOTDATA("Units",'AMMO Units'!$A$3,"Year",$L35,"Measure Index",$A35,"Savings Category","Baseline_2021PP")</f>
        <v>205</v>
      </c>
      <c r="P35" s="1719" t="str">
        <f t="shared" si="9"/>
        <v/>
      </c>
      <c r="Q35" s="317">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R35" s="1474">
        <f>O87</f>
        <v>115.69076137854705</v>
      </c>
      <c r="S35" s="2081" t="s">
        <v>1251</v>
      </c>
      <c r="T35" s="318">
        <f t="shared" si="10"/>
        <v>3.4077838975565813E-3</v>
      </c>
      <c r="U35" s="319">
        <f t="shared" si="11"/>
        <v>1.0489325070040015E-3</v>
      </c>
      <c r="V35" s="320">
        <f t="shared" si="12"/>
        <v>2.3588513905525798E-3</v>
      </c>
    </row>
    <row r="36" spans="1:22" s="294" customFormat="1">
      <c r="A36" s="417" t="s">
        <v>770</v>
      </c>
      <c r="B36" s="311" t="str">
        <f t="shared" si="7"/>
        <v>RES_201202</v>
      </c>
      <c r="C36" s="311">
        <v>0</v>
      </c>
      <c r="D36" s="311">
        <v>0</v>
      </c>
      <c r="E36" s="311">
        <f t="shared" si="1"/>
        <v>1</v>
      </c>
      <c r="F36" s="311">
        <v>1</v>
      </c>
      <c r="G36" s="312" t="b">
        <v>1</v>
      </c>
      <c r="H36" s="348" t="str">
        <f t="shared" si="8"/>
        <v>Residential</v>
      </c>
      <c r="I36" s="727" t="str">
        <f>INDEX('AMMO Measures'!B:B,MATCH($A36,'AMMO Measures'!$A:$A,0))</f>
        <v>Heat Pump Water Heaters</v>
      </c>
      <c r="J36" s="727" t="str">
        <f>INDEX('AMMO Measures'!C:C,MATCH($A36,'AMMO Measures'!$A:$A,0))</f>
        <v>HPWH (&lt;=55 gallons) Existing Construction</v>
      </c>
      <c r="K36" s="727" t="str">
        <f>INDEX('AMMO Measures'!D:D,MATCH($A36,'AMMO Measures'!$A:$A,0))</f>
        <v>Tier 3</v>
      </c>
      <c r="L36" s="24">
        <v>2023</v>
      </c>
      <c r="M36" s="322">
        <f>GETPIVOTDATA("Units",'AMMO Units'!$A$3,"Year",$L36,"Measure Index",$A36,"Savings Category","Regional_Market_2021PP")</f>
        <v>12575</v>
      </c>
      <c r="N36" s="323">
        <f>GETPIVOTDATA("Units",'AMMO Units'!$A$3,"Year",$L36,"Measure Index",$A36,"Savings Category","Local_Incentives_2021PP")</f>
        <v>6555</v>
      </c>
      <c r="O36" s="323">
        <f>GETPIVOTDATA("Units",'AMMO Units'!$A$3,"Year",$L36,"Measure Index",$A36,"Savings Category","Baseline_2021PP")</f>
        <v>440.125</v>
      </c>
      <c r="P36" s="1719" t="str">
        <f t="shared" si="9"/>
        <v/>
      </c>
      <c r="Q36" s="317">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R36" s="1474">
        <f>GETPIVOTDATA("Savings Rate",'AMMO Savings Rates'!$A$3,"Year",$L36,"Measure Index",$A36,"Savings Rate Type","Savings_Rate_2021PP")</f>
        <v>169.11900077000001</v>
      </c>
      <c r="S36" s="2081" t="s">
        <v>1250</v>
      </c>
      <c r="T36" s="318">
        <f t="shared" si="10"/>
        <v>3.2764587735510962E-2</v>
      </c>
      <c r="U36" s="319">
        <f t="shared" si="11"/>
        <v>1.7079274163520824E-2</v>
      </c>
      <c r="V36" s="320">
        <f t="shared" si="12"/>
        <v>1.5685313571990139E-2</v>
      </c>
    </row>
    <row r="37" spans="1:22" s="294" customFormat="1" ht="13.5" thickBot="1">
      <c r="A37" s="421" t="s">
        <v>771</v>
      </c>
      <c r="B37" s="422" t="str">
        <f t="shared" si="7"/>
        <v>RES_201202</v>
      </c>
      <c r="C37" s="422">
        <v>0</v>
      </c>
      <c r="D37" s="422">
        <v>0</v>
      </c>
      <c r="E37" s="422">
        <f t="shared" si="1"/>
        <v>1</v>
      </c>
      <c r="F37" s="422">
        <v>1</v>
      </c>
      <c r="G37" s="423" t="b">
        <v>1</v>
      </c>
      <c r="H37" s="348" t="str">
        <f t="shared" si="8"/>
        <v>Residential</v>
      </c>
      <c r="I37" s="727" t="str">
        <f>INDEX('AMMO Measures'!B:B,MATCH($A37,'AMMO Measures'!$A:$A,0))</f>
        <v>Heat Pump Water Heaters</v>
      </c>
      <c r="J37" s="727" t="str">
        <f>INDEX('AMMO Measures'!C:C,MATCH($A37,'AMMO Measures'!$A:$A,0))</f>
        <v>HPWH (&lt;=55 gallons) Existing Construction</v>
      </c>
      <c r="K37" s="727" t="str">
        <f>INDEX('AMMO Measures'!D:D,MATCH($A37,'AMMO Measures'!$A:$A,0))</f>
        <v>Tier 4</v>
      </c>
      <c r="L37" s="24">
        <v>2023</v>
      </c>
      <c r="M37" s="322">
        <f>GETPIVOTDATA("Units",'AMMO Units'!$A$3,"Year",$L37,"Measure Index",$A37,"Savings Category","Regional_Market_2021PP")</f>
        <v>10314</v>
      </c>
      <c r="N37" s="323">
        <f>GETPIVOTDATA("Units",'AMMO Units'!$A$3,"Year",$L37,"Measure Index",$A37,"Savings Category","Local_Incentives_2021PP")</f>
        <v>5376</v>
      </c>
      <c r="O37" s="323">
        <f>GETPIVOTDATA("Units",'AMMO Units'!$A$3,"Year",$L37,"Measure Index",$A37,"Savings Category","Baseline_2021PP")</f>
        <v>360.99</v>
      </c>
      <c r="P37" s="1719" t="str">
        <f t="shared" si="9"/>
        <v/>
      </c>
      <c r="Q37" s="317">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R37" s="1474">
        <f>$K$83</f>
        <v>298.07860697920228</v>
      </c>
      <c r="S37" s="2081" t="s">
        <v>1251</v>
      </c>
      <c r="T37" s="318">
        <f t="shared" si="10"/>
        <v>4.7365512970289798E-2</v>
      </c>
      <c r="U37" s="319">
        <f t="shared" si="11"/>
        <v>2.4688481455136507E-2</v>
      </c>
      <c r="V37" s="320">
        <f t="shared" si="12"/>
        <v>2.2677031515153292E-2</v>
      </c>
    </row>
    <row r="38" spans="1:22" s="294" customFormat="1" hidden="1">
      <c r="A38" s="272" t="s">
        <v>55</v>
      </c>
      <c r="B38" s="311" t="str">
        <f t="shared" ref="B38:B53" si="13">LEFT(A38,10)</f>
        <v>RES_201202</v>
      </c>
      <c r="C38" s="311">
        <v>0</v>
      </c>
      <c r="D38" s="311">
        <v>0</v>
      </c>
      <c r="E38" s="311">
        <f t="shared" si="1"/>
        <v>1</v>
      </c>
      <c r="F38" s="311">
        <v>1</v>
      </c>
      <c r="G38" s="311" t="b">
        <v>1</v>
      </c>
      <c r="H38" s="348" t="str">
        <f t="shared" ref="H38:H53" si="14">IF(LEFT(A38,3)="Res","Residential",IF(LEFT(A38,3)="Ind","industrial",IF(LEFT(A38,3)="Com","Commercial",IF(LEFT(A38,3)="AGR","Agriculture",""))))</f>
        <v>Residential</v>
      </c>
      <c r="I38" s="727" t="str">
        <f>INDEX('AMMO Measures'!B:B,MATCH($A38,'AMMO Measures'!$A:$A,0))</f>
        <v>Heat Pump Water Heaters</v>
      </c>
      <c r="J38" s="727" t="str">
        <f>INDEX('AMMO Measures'!C:C,MATCH($A38,'AMMO Measures'!$A:$A,0))</f>
        <v>HPWH (&lt;=55 gallons) Existing Construction</v>
      </c>
      <c r="K38" s="727" t="str">
        <f>INDEX('AMMO Measures'!D:D,MATCH($A38,'AMMO Measures'!$A:$A,0))</f>
        <v>Tier 1</v>
      </c>
      <c r="L38" s="24">
        <v>2024</v>
      </c>
      <c r="M38" s="322">
        <f>GETPIVOTDATA("Units",'AMMO Units'!$A$3,"Year",$L38,"Measure Index",$A38,"Savings Category","Regional_Market_2021PP")</f>
        <v>16915</v>
      </c>
      <c r="N38" s="323">
        <f>GETPIVOTDATA("Units",'AMMO Units'!$A$3,"Year",$L38,"Measure Index",$A38,"Savings Category","Local_Incentives_2021PP")</f>
        <v>9115</v>
      </c>
      <c r="O38" s="323">
        <f>GETPIVOTDATA("Units",'AMMO Units'!$A$3,"Year",$L38,"Measure Index",$A38,"Savings Category","Baseline_2021PP")</f>
        <v>592.02499999999998</v>
      </c>
      <c r="P38" s="1719"/>
      <c r="Q38" s="317">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0.13985600000000001</v>
      </c>
      <c r="R38" s="1474">
        <f>GETPIVOTDATA("Savings Rate",'AMMO Savings Rates'!$A$3,"Year",$L38,"Measure Index",$A38,"Savings Rate Type","Savings_Rate_2021PP")</f>
        <v>1049.1477771</v>
      </c>
      <c r="S38" s="1720" t="s">
        <v>1247</v>
      </c>
      <c r="T38" s="318">
        <f t="shared" ref="T38:T53" si="15">(M38-O38)*Q38*R38/8760000</f>
        <v>0.27340910736350765</v>
      </c>
      <c r="U38" s="319">
        <f t="shared" ref="U38:U53" si="16">IFERROR((N38-O38/M38*N38)*Q38*R38/8760/1000,0)</f>
        <v>0.1473321911686889</v>
      </c>
      <c r="V38" s="320">
        <f t="shared" ref="V38:V53" si="17">T38-U38</f>
        <v>0.12607691619481876</v>
      </c>
    </row>
    <row r="39" spans="1:22" s="294" customFormat="1" hidden="1">
      <c r="A39" s="272" t="s">
        <v>57</v>
      </c>
      <c r="B39" s="311" t="str">
        <f t="shared" si="13"/>
        <v>RES_201202</v>
      </c>
      <c r="C39" s="311">
        <v>0</v>
      </c>
      <c r="D39" s="311">
        <v>0</v>
      </c>
      <c r="E39" s="311">
        <f t="shared" si="1"/>
        <v>1</v>
      </c>
      <c r="F39" s="311">
        <v>1</v>
      </c>
      <c r="G39" s="311" t="b">
        <v>1</v>
      </c>
      <c r="H39" s="348" t="str">
        <f t="shared" si="14"/>
        <v>Residential</v>
      </c>
      <c r="I39" s="727" t="str">
        <f>INDEX('AMMO Measures'!B:B,MATCH($A39,'AMMO Measures'!$A:$A,0))</f>
        <v>Heat Pump Water Heaters</v>
      </c>
      <c r="J39" s="727" t="str">
        <f>INDEX('AMMO Measures'!C:C,MATCH($A39,'AMMO Measures'!$A:$A,0))</f>
        <v>HPWH (&gt;55 gallons) Existing Construction</v>
      </c>
      <c r="K39" s="727" t="str">
        <f>INDEX('AMMO Measures'!D:D,MATCH($A39,'AMMO Measures'!$A:$A,0))</f>
        <v>Tier 1</v>
      </c>
      <c r="L39" s="24">
        <v>2024</v>
      </c>
      <c r="M39" s="322">
        <f>GETPIVOTDATA("Units",'AMMO Units'!$A$3,"Year",$L39,"Measure Index",$A39,"Savings Category","Regional_Market_2021PP")</f>
        <v>7250</v>
      </c>
      <c r="N39" s="323">
        <f>GETPIVOTDATA("Units",'AMMO Units'!$A$3,"Year",$L39,"Measure Index",$A39,"Savings Category","Local_Incentives_2021PP")</f>
        <v>2568</v>
      </c>
      <c r="O39" s="323">
        <f>GETPIVOTDATA("Units",'AMMO Units'!$A$3,"Year",$L39,"Measure Index",$A39,"Savings Category","Baseline_2021PP")</f>
        <v>7250</v>
      </c>
      <c r="P39" s="1719"/>
      <c r="Q39" s="317">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0.13985600000000001</v>
      </c>
      <c r="R39" s="1474">
        <f>GETPIVOTDATA("Savings Rate",'AMMO Savings Rates'!$A$3,"Year",$L39,"Measure Index",$A39,"Savings Rate Type","Savings_Rate_2021PP")</f>
        <v>1049.1477771</v>
      </c>
      <c r="S39" s="1720" t="s">
        <v>1247</v>
      </c>
      <c r="T39" s="318">
        <f t="shared" si="15"/>
        <v>0</v>
      </c>
      <c r="U39" s="319">
        <f t="shared" si="16"/>
        <v>0</v>
      </c>
      <c r="V39" s="320">
        <f t="shared" si="17"/>
        <v>0</v>
      </c>
    </row>
    <row r="40" spans="1:22" s="294" customFormat="1" hidden="1">
      <c r="A40" s="272" t="s">
        <v>56</v>
      </c>
      <c r="B40" s="311" t="str">
        <f t="shared" si="13"/>
        <v>RES_201202</v>
      </c>
      <c r="C40" s="311">
        <v>0</v>
      </c>
      <c r="D40" s="311">
        <v>0</v>
      </c>
      <c r="E40" s="311">
        <f t="shared" si="1"/>
        <v>1</v>
      </c>
      <c r="F40" s="311">
        <v>1</v>
      </c>
      <c r="G40" s="311" t="b">
        <v>1</v>
      </c>
      <c r="H40" s="348" t="str">
        <f t="shared" si="14"/>
        <v>Residential</v>
      </c>
      <c r="I40" s="727" t="str">
        <f>INDEX('AMMO Measures'!B:B,MATCH($A40,'AMMO Measures'!$A:$A,0))</f>
        <v>Heat Pump Water Heaters</v>
      </c>
      <c r="J40" s="727" t="str">
        <f>INDEX('AMMO Measures'!C:C,MATCH($A40,'AMMO Measures'!$A:$A,0))</f>
        <v>HPWH (&lt;=55 gallons) Existing Construction</v>
      </c>
      <c r="K40" s="727" t="str">
        <f>INDEX('AMMO Measures'!D:D,MATCH($A40,'AMMO Measures'!$A:$A,0))</f>
        <v>Tier 2</v>
      </c>
      <c r="L40" s="24">
        <v>2024</v>
      </c>
      <c r="M40" s="322">
        <f>GETPIVOTDATA("Units",'AMMO Units'!$A$3,"Year",$L40,"Measure Index",$A40,"Savings Category","Regional_Market_2021PP")</f>
        <v>16915</v>
      </c>
      <c r="N40" s="323">
        <f>GETPIVOTDATA("Units",'AMMO Units'!$A$3,"Year",$L40,"Measure Index",$A40,"Savings Category","Local_Incentives_2021PP")</f>
        <v>8811</v>
      </c>
      <c r="O40" s="323">
        <f>GETPIVOTDATA("Units",'AMMO Units'!$A$3,"Year",$L40,"Measure Index",$A40,"Savings Category","Baseline_2021PP")</f>
        <v>592.02499999999998</v>
      </c>
      <c r="P40" s="1719"/>
      <c r="Q40" s="317">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R40" s="1474">
        <f>GETPIVOTDATA("Savings Rate",'AMMO Savings Rates'!$A$3,"Year",$L40,"Measure Index",$A40,"Savings Rate Type","Savings_Rate_2021PP")</f>
        <v>288.90995240000001</v>
      </c>
      <c r="S40" s="1720" t="s">
        <v>1249</v>
      </c>
      <c r="T40" s="318">
        <f t="shared" si="15"/>
        <v>7.5290263124284801E-2</v>
      </c>
      <c r="U40" s="319">
        <f t="shared" si="16"/>
        <v>3.9218593460719674E-2</v>
      </c>
      <c r="V40" s="320">
        <f t="shared" si="17"/>
        <v>3.6071669663565127E-2</v>
      </c>
    </row>
    <row r="41" spans="1:22" s="294" customFormat="1" hidden="1">
      <c r="A41" s="272" t="s">
        <v>58</v>
      </c>
      <c r="B41" s="311" t="str">
        <f t="shared" si="13"/>
        <v>RES_201202</v>
      </c>
      <c r="C41" s="311">
        <v>0</v>
      </c>
      <c r="D41" s="311">
        <v>0</v>
      </c>
      <c r="E41" s="311">
        <f t="shared" si="1"/>
        <v>1</v>
      </c>
      <c r="F41" s="311">
        <v>1</v>
      </c>
      <c r="G41" s="311" t="b">
        <v>1</v>
      </c>
      <c r="H41" s="348" t="str">
        <f t="shared" si="14"/>
        <v>Residential</v>
      </c>
      <c r="I41" s="727" t="str">
        <f>INDEX('AMMO Measures'!B:B,MATCH($A41,'AMMO Measures'!$A:$A,0))</f>
        <v>Heat Pump Water Heaters</v>
      </c>
      <c r="J41" s="727" t="str">
        <f>INDEX('AMMO Measures'!C:C,MATCH($A41,'AMMO Measures'!$A:$A,0))</f>
        <v>HPWH (&gt;55 gallons) Existing Construction</v>
      </c>
      <c r="K41" s="727" t="str">
        <f>INDEX('AMMO Measures'!D:D,MATCH($A41,'AMMO Measures'!$A:$A,0))</f>
        <v>Tier 2</v>
      </c>
      <c r="L41" s="24">
        <v>2024</v>
      </c>
      <c r="M41" s="322">
        <f>GETPIVOTDATA("Units",'AMMO Units'!$A$3,"Year",$L41,"Measure Index",$A41,"Savings Category","Regional_Market_2021PP")</f>
        <v>7250</v>
      </c>
      <c r="N41" s="323">
        <f>GETPIVOTDATA("Units",'AMMO Units'!$A$3,"Year",$L41,"Measure Index",$A41,"Savings Category","Local_Incentives_2021PP")</f>
        <v>2749</v>
      </c>
      <c r="O41" s="323">
        <f>GETPIVOTDATA("Units",'AMMO Units'!$A$3,"Year",$L41,"Measure Index",$A41,"Savings Category","Baseline_2021PP")</f>
        <v>253.75</v>
      </c>
      <c r="P41" s="1719"/>
      <c r="Q41" s="317">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R41" s="1474">
        <f>GETPIVOTDATA("Savings Rate",'AMMO Savings Rates'!$A$3,"Year",$L41,"Measure Index",$A41,"Savings Rate Type","Savings_Rate_2021PP")</f>
        <v>288.90995240000001</v>
      </c>
      <c r="S41" s="1720" t="s">
        <v>1249</v>
      </c>
      <c r="T41" s="318">
        <f t="shared" si="15"/>
        <v>3.2270434977893281E-2</v>
      </c>
      <c r="U41" s="319">
        <f t="shared" si="16"/>
        <v>1.2236058724721189E-2</v>
      </c>
      <c r="V41" s="320">
        <f t="shared" si="17"/>
        <v>2.0034376253172094E-2</v>
      </c>
    </row>
    <row r="42" spans="1:22" s="294" customFormat="1" hidden="1">
      <c r="A42" s="272" t="s">
        <v>762</v>
      </c>
      <c r="B42" s="311" t="str">
        <f t="shared" si="13"/>
        <v>RES_201202</v>
      </c>
      <c r="C42" s="311">
        <v>0</v>
      </c>
      <c r="D42" s="311">
        <v>0</v>
      </c>
      <c r="E42" s="311">
        <f t="shared" si="1"/>
        <v>1</v>
      </c>
      <c r="F42" s="311">
        <v>1</v>
      </c>
      <c r="G42" s="311" t="b">
        <v>1</v>
      </c>
      <c r="H42" s="348" t="str">
        <f t="shared" si="14"/>
        <v>Residential</v>
      </c>
      <c r="I42" s="727" t="str">
        <f>INDEX('AMMO Measures'!B:B,MATCH($A42,'AMMO Measures'!$A:$A,0))</f>
        <v>Heat Pump Water Heaters</v>
      </c>
      <c r="J42" s="727" t="str">
        <f>INDEX('AMMO Measures'!C:C,MATCH($A42,'AMMO Measures'!$A:$A,0))</f>
        <v>HPWH (&gt;55 gallons) Existing Construction</v>
      </c>
      <c r="K42" s="727" t="str">
        <f>INDEX('AMMO Measures'!D:D,MATCH($A42,'AMMO Measures'!$A:$A,0))</f>
        <v>Tier 3</v>
      </c>
      <c r="L42" s="24">
        <v>2024</v>
      </c>
      <c r="M42" s="322">
        <f>GETPIVOTDATA("Units",'AMMO Units'!$A$3,"Year",$L42,"Measure Index",$A42,"Savings Category","Regional_Market_2021PP")</f>
        <v>7250</v>
      </c>
      <c r="N42" s="323">
        <f>GETPIVOTDATA("Units",'AMMO Units'!$A$3,"Year",$L42,"Measure Index",$A42,"Savings Category","Local_Incentives_2021PP")</f>
        <v>2554</v>
      </c>
      <c r="O42" s="323">
        <f>GETPIVOTDATA("Units",'AMMO Units'!$A$3,"Year",$L42,"Measure Index",$A42,"Savings Category","Baseline_2021PP")</f>
        <v>253.75</v>
      </c>
      <c r="P42" s="1719"/>
      <c r="Q42" s="317">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R42" s="1474">
        <f>GETPIVOTDATA("Savings Rate",'AMMO Savings Rates'!$A$3,"Year",$L42,"Measure Index",$A42,"Savings Rate Type","Savings_Rate_2021PP")</f>
        <v>169.11900077000001</v>
      </c>
      <c r="S42" s="1720" t="s">
        <v>1250</v>
      </c>
      <c r="T42" s="318">
        <f t="shared" si="15"/>
        <v>1.8890120165602743E-2</v>
      </c>
      <c r="U42" s="319">
        <f t="shared" si="16"/>
        <v>6.6545333659240574E-3</v>
      </c>
      <c r="V42" s="320">
        <f t="shared" si="17"/>
        <v>1.2235586799678686E-2</v>
      </c>
    </row>
    <row r="43" spans="1:22" s="294" customFormat="1" hidden="1">
      <c r="A43" s="272" t="s">
        <v>763</v>
      </c>
      <c r="B43" s="311" t="str">
        <f t="shared" si="13"/>
        <v>RES_201202</v>
      </c>
      <c r="C43" s="311">
        <v>0</v>
      </c>
      <c r="D43" s="311">
        <v>0</v>
      </c>
      <c r="E43" s="311">
        <f t="shared" si="1"/>
        <v>1</v>
      </c>
      <c r="F43" s="311">
        <v>1</v>
      </c>
      <c r="G43" s="311" t="b">
        <v>1</v>
      </c>
      <c r="H43" s="348" t="str">
        <f t="shared" si="14"/>
        <v>Residential</v>
      </c>
      <c r="I43" s="727" t="str">
        <f>INDEX('AMMO Measures'!B:B,MATCH($A43,'AMMO Measures'!$A:$A,0))</f>
        <v>Heat Pump Water Heaters</v>
      </c>
      <c r="J43" s="727" t="str">
        <f>INDEX('AMMO Measures'!C:C,MATCH($A43,'AMMO Measures'!$A:$A,0))</f>
        <v>HPWH (&gt;55 gallons) Existing Construction</v>
      </c>
      <c r="K43" s="727" t="str">
        <f>INDEX('AMMO Measures'!D:D,MATCH($A43,'AMMO Measures'!$A:$A,0))</f>
        <v>Tier 4</v>
      </c>
      <c r="L43" s="24">
        <v>2024</v>
      </c>
      <c r="M43" s="322">
        <f>GETPIVOTDATA("Units",'AMMO Units'!$A$3,"Year",$L43,"Measure Index",$A43,"Savings Category","Regional_Market_2021PP")</f>
        <v>7250</v>
      </c>
      <c r="N43" s="323">
        <f>GETPIVOTDATA("Units",'AMMO Units'!$A$3,"Year",$L43,"Measure Index",$A43,"Savings Category","Local_Incentives_2021PP")</f>
        <v>2554</v>
      </c>
      <c r="O43" s="323">
        <f>GETPIVOTDATA("Units",'AMMO Units'!$A$3,"Year",$L43,"Measure Index",$A43,"Savings Category","Baseline_2021PP")</f>
        <v>253.75</v>
      </c>
      <c r="P43" s="1719"/>
      <c r="Q43" s="317">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R43" s="1474">
        <f>$K$83</f>
        <v>298.07860697920228</v>
      </c>
      <c r="S43" s="1720" t="s">
        <v>1251</v>
      </c>
      <c r="T43" s="318">
        <f t="shared" si="15"/>
        <v>3.329454809332956E-2</v>
      </c>
      <c r="U43" s="319">
        <f t="shared" si="16"/>
        <v>1.1728865631774303E-2</v>
      </c>
      <c r="V43" s="320">
        <f t="shared" si="17"/>
        <v>2.1565682461555255E-2</v>
      </c>
    </row>
    <row r="44" spans="1:22" s="294" customFormat="1" hidden="1">
      <c r="A44" s="272" t="s">
        <v>744</v>
      </c>
      <c r="B44" s="311" t="str">
        <f t="shared" si="13"/>
        <v>RES_201202</v>
      </c>
      <c r="C44" s="311">
        <v>0</v>
      </c>
      <c r="D44" s="311">
        <v>0</v>
      </c>
      <c r="E44" s="311">
        <f t="shared" si="1"/>
        <v>1</v>
      </c>
      <c r="F44" s="311">
        <v>1</v>
      </c>
      <c r="G44" s="311" t="b">
        <v>1</v>
      </c>
      <c r="H44" s="348" t="str">
        <f t="shared" si="14"/>
        <v>Residential</v>
      </c>
      <c r="I44" s="727" t="str">
        <f>INDEX('AMMO Measures'!B:B,MATCH($A44,'AMMO Measures'!$A:$A,0))</f>
        <v>Heat Pump Water Heaters</v>
      </c>
      <c r="J44" s="727" t="str">
        <f>INDEX('AMMO Measures'!C:C,MATCH($A44,'AMMO Measures'!$A:$A,0))</f>
        <v>HPWH (&lt;=55 gallons) New Construction</v>
      </c>
      <c r="K44" s="727" t="str">
        <f>INDEX('AMMO Measures'!D:D,MATCH($A44,'AMMO Measures'!$A:$A,0))</f>
        <v>Tier 1</v>
      </c>
      <c r="L44" s="24">
        <v>2024</v>
      </c>
      <c r="M44" s="322">
        <f>GETPIVOTDATA("Units",'AMMO Units'!$A$3,"Year",$L44,"Measure Index",$A44,"Savings Category","Regional_Market_2021PP")</f>
        <v>5041</v>
      </c>
      <c r="N44" s="323">
        <f>GETPIVOTDATA("Units",'AMMO Units'!$A$3,"Year",$L44,"Measure Index",$A44,"Savings Category","Local_Incentives_2021PP")</f>
        <v>1904</v>
      </c>
      <c r="O44" s="323">
        <f>GETPIVOTDATA("Units",'AMMO Units'!$A$3,"Year",$L44,"Measure Index",$A44,"Savings Category","Baseline_2021PP")</f>
        <v>504.1</v>
      </c>
      <c r="P44" s="1719"/>
      <c r="Q44" s="317">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R44" s="1474">
        <f>GETPIVOTDATA("Savings Rate",'AMMO Savings Rates'!$A$3,"Year",$L44,"Measure Index",$A44,"Savings Rate Type","Savings_Rate_2021PP")</f>
        <v>564.82716061999997</v>
      </c>
      <c r="S44" s="1720" t="s">
        <v>1247</v>
      </c>
      <c r="T44" s="318">
        <f t="shared" si="15"/>
        <v>4.0912100346653026E-2</v>
      </c>
      <c r="U44" s="319">
        <f t="shared" si="16"/>
        <v>1.5452616357870928E-2</v>
      </c>
      <c r="V44" s="320">
        <f t="shared" si="17"/>
        <v>2.5459483988782096E-2</v>
      </c>
    </row>
    <row r="45" spans="1:22" s="294" customFormat="1" hidden="1">
      <c r="A45" s="272" t="s">
        <v>745</v>
      </c>
      <c r="B45" s="311" t="str">
        <f t="shared" si="13"/>
        <v>RES_201202</v>
      </c>
      <c r="C45" s="311">
        <v>0</v>
      </c>
      <c r="D45" s="311">
        <v>0</v>
      </c>
      <c r="E45" s="311">
        <f t="shared" si="1"/>
        <v>1</v>
      </c>
      <c r="F45" s="311">
        <v>1</v>
      </c>
      <c r="G45" s="311" t="b">
        <v>1</v>
      </c>
      <c r="H45" s="348" t="str">
        <f t="shared" si="14"/>
        <v>Residential</v>
      </c>
      <c r="I45" s="727" t="str">
        <f>INDEX('AMMO Measures'!B:B,MATCH($A45,'AMMO Measures'!$A:$A,0))</f>
        <v>Heat Pump Water Heaters</v>
      </c>
      <c r="J45" s="727" t="str">
        <f>INDEX('AMMO Measures'!C:C,MATCH($A45,'AMMO Measures'!$A:$A,0))</f>
        <v>HPWH (&lt;=55 gallons) New Construction</v>
      </c>
      <c r="K45" s="727" t="str">
        <f>INDEX('AMMO Measures'!D:D,MATCH($A45,'AMMO Measures'!$A:$A,0))</f>
        <v>Tier 2</v>
      </c>
      <c r="L45" s="24">
        <v>2024</v>
      </c>
      <c r="M45" s="322">
        <f>GETPIVOTDATA("Units",'AMMO Units'!$A$3,"Year",$L45,"Measure Index",$A45,"Savings Category","Regional_Market_2021PP")</f>
        <v>5041</v>
      </c>
      <c r="N45" s="323">
        <f>GETPIVOTDATA("Units",'AMMO Units'!$A$3,"Year",$L45,"Measure Index",$A45,"Savings Category","Local_Incentives_2021PP")</f>
        <v>1889</v>
      </c>
      <c r="O45" s="323">
        <f>GETPIVOTDATA("Units",'AMMO Units'!$A$3,"Year",$L45,"Measure Index",$A45,"Savings Category","Baseline_2021PP")</f>
        <v>504.1</v>
      </c>
      <c r="P45" s="1719"/>
      <c r="Q45" s="317">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R45" s="1474">
        <f>GETPIVOTDATA("Savings Rate",'AMMO Savings Rates'!$A$3,"Year",$L45,"Measure Index",$A45,"Savings Rate Type","Savings_Rate_2021PP")</f>
        <v>155.53975489000001</v>
      </c>
      <c r="S45" s="1720" t="s">
        <v>1249</v>
      </c>
      <c r="T45" s="318">
        <f t="shared" si="15"/>
        <v>1.1266204077311808E-2</v>
      </c>
      <c r="U45" s="319">
        <f t="shared" si="16"/>
        <v>4.2217535215318402E-3</v>
      </c>
      <c r="V45" s="320">
        <f t="shared" si="17"/>
        <v>7.0444505557799679E-3</v>
      </c>
    </row>
    <row r="46" spans="1:22" s="294" customFormat="1" hidden="1">
      <c r="A46" s="272" t="s">
        <v>764</v>
      </c>
      <c r="B46" s="311" t="str">
        <f t="shared" si="13"/>
        <v>RES_201202</v>
      </c>
      <c r="C46" s="311">
        <v>0</v>
      </c>
      <c r="D46" s="311">
        <v>0</v>
      </c>
      <c r="E46" s="311">
        <f t="shared" si="1"/>
        <v>1</v>
      </c>
      <c r="F46" s="311">
        <v>1</v>
      </c>
      <c r="G46" s="311" t="b">
        <v>1</v>
      </c>
      <c r="H46" s="348" t="str">
        <f t="shared" si="14"/>
        <v>Residential</v>
      </c>
      <c r="I46" s="727" t="str">
        <f>INDEX('AMMO Measures'!B:B,MATCH($A46,'AMMO Measures'!$A:$A,0))</f>
        <v>Heat Pump Water Heaters</v>
      </c>
      <c r="J46" s="727" t="str">
        <f>INDEX('AMMO Measures'!C:C,MATCH($A46,'AMMO Measures'!$A:$A,0))</f>
        <v>HPWH (&lt;=55 gallons) New Construction</v>
      </c>
      <c r="K46" s="727" t="str">
        <f>INDEX('AMMO Measures'!D:D,MATCH($A46,'AMMO Measures'!$A:$A,0))</f>
        <v>Tier 3</v>
      </c>
      <c r="L46" s="24">
        <v>2024</v>
      </c>
      <c r="M46" s="322">
        <f>GETPIVOTDATA("Units",'AMMO Units'!$A$3,"Year",$L46,"Measure Index",$A46,"Savings Category","Regional_Market_2021PP")</f>
        <v>5041</v>
      </c>
      <c r="N46" s="323">
        <f>GETPIVOTDATA("Units",'AMMO Units'!$A$3,"Year",$L46,"Measure Index",$A46,"Savings Category","Local_Incentives_2021PP")</f>
        <v>1884</v>
      </c>
      <c r="O46" s="323">
        <f>GETPIVOTDATA("Units",'AMMO Units'!$A$3,"Year",$L46,"Measure Index",$A46,"Savings Category","Baseline_2021PP")</f>
        <v>504.1</v>
      </c>
      <c r="P46" s="1719"/>
      <c r="Q46" s="317">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R46" s="1474">
        <f>GETPIVOTDATA("Savings Rate",'AMMO Savings Rates'!$A$3,"Year",$L46,"Measure Index",$A46,"Savings Rate Type","Savings_Rate_2021PP")</f>
        <v>91.048188920000001</v>
      </c>
      <c r="S46" s="1720" t="s">
        <v>1250</v>
      </c>
      <c r="T46" s="318">
        <f t="shared" si="15"/>
        <v>6.5948893771100364E-3</v>
      </c>
      <c r="U46" s="319">
        <f t="shared" si="16"/>
        <v>2.4647434212408865E-3</v>
      </c>
      <c r="V46" s="320">
        <f t="shared" si="17"/>
        <v>4.1301459558691495E-3</v>
      </c>
    </row>
    <row r="47" spans="1:22" s="294" customFormat="1" hidden="1">
      <c r="A47" s="272" t="s">
        <v>765</v>
      </c>
      <c r="B47" s="311" t="str">
        <f t="shared" si="13"/>
        <v>RES_201202</v>
      </c>
      <c r="C47" s="311">
        <v>0</v>
      </c>
      <c r="D47" s="311">
        <v>0</v>
      </c>
      <c r="E47" s="311">
        <f t="shared" si="1"/>
        <v>1</v>
      </c>
      <c r="F47" s="311">
        <v>1</v>
      </c>
      <c r="G47" s="311" t="b">
        <v>1</v>
      </c>
      <c r="H47" s="348" t="str">
        <f t="shared" si="14"/>
        <v>Residential</v>
      </c>
      <c r="I47" s="727" t="str">
        <f>INDEX('AMMO Measures'!B:B,MATCH($A47,'AMMO Measures'!$A:$A,0))</f>
        <v>Heat Pump Water Heaters</v>
      </c>
      <c r="J47" s="727" t="str">
        <f>INDEX('AMMO Measures'!C:C,MATCH($A47,'AMMO Measures'!$A:$A,0))</f>
        <v>HPWH (&lt;=55 gallons) New Construction</v>
      </c>
      <c r="K47" s="727" t="str">
        <f>INDEX('AMMO Measures'!D:D,MATCH($A47,'AMMO Measures'!$A:$A,0))</f>
        <v>Tier 4</v>
      </c>
      <c r="L47" s="24">
        <v>2024</v>
      </c>
      <c r="M47" s="322">
        <f>GETPIVOTDATA("Units",'AMMO Units'!$A$3,"Year",$L47,"Measure Index",$A47,"Savings Category","Regional_Market_2021PP")</f>
        <v>5041</v>
      </c>
      <c r="N47" s="323">
        <f>GETPIVOTDATA("Units",'AMMO Units'!$A$3,"Year",$L47,"Measure Index",$A47,"Savings Category","Local_Incentives_2021PP")</f>
        <v>1628</v>
      </c>
      <c r="O47" s="323">
        <f>GETPIVOTDATA("Units",'AMMO Units'!$A$3,"Year",$L47,"Measure Index",$A47,"Savings Category","Baseline_2021PP")</f>
        <v>504.1</v>
      </c>
      <c r="P47" s="1719"/>
      <c r="Q47" s="317">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R47" s="1474">
        <f>GETPIVOTDATA("Savings Rate",'AMMO Savings Rates'!$A$3,"Year",$L47,"Measure Index",$A47,"Savings Rate Type","Savings_Rate_2021PP")</f>
        <v>156.16948336999999</v>
      </c>
      <c r="S47" s="1720" t="s">
        <v>1251</v>
      </c>
      <c r="T47" s="318">
        <f t="shared" si="15"/>
        <v>1.1311817172008997E-2</v>
      </c>
      <c r="U47" s="319">
        <f t="shared" si="16"/>
        <v>3.6531716635648977E-3</v>
      </c>
      <c r="V47" s="320">
        <f t="shared" si="17"/>
        <v>7.6586455084440997E-3</v>
      </c>
    </row>
    <row r="48" spans="1:22" s="294" customFormat="1" hidden="1">
      <c r="A48" s="272" t="s">
        <v>766</v>
      </c>
      <c r="B48" s="311" t="str">
        <f t="shared" si="13"/>
        <v>RES_201202</v>
      </c>
      <c r="C48" s="311">
        <v>0</v>
      </c>
      <c r="D48" s="311">
        <v>0</v>
      </c>
      <c r="E48" s="311">
        <f t="shared" si="1"/>
        <v>1</v>
      </c>
      <c r="F48" s="311">
        <v>1</v>
      </c>
      <c r="G48" s="311" t="b">
        <v>1</v>
      </c>
      <c r="H48" s="348" t="str">
        <f t="shared" si="14"/>
        <v>Residential</v>
      </c>
      <c r="I48" s="727" t="str">
        <f>INDEX('AMMO Measures'!B:B,MATCH($A48,'AMMO Measures'!$A:$A,0))</f>
        <v>Heat Pump Water Heaters</v>
      </c>
      <c r="J48" s="727" t="str">
        <f>INDEX('AMMO Measures'!C:C,MATCH($A48,'AMMO Measures'!$A:$A,0))</f>
        <v>HPWH (&gt;55 gallons) New Construction</v>
      </c>
      <c r="K48" s="727" t="str">
        <f>INDEX('AMMO Measures'!D:D,MATCH($A48,'AMMO Measures'!$A:$A,0))</f>
        <v>Tier 1</v>
      </c>
      <c r="L48" s="24">
        <v>2024</v>
      </c>
      <c r="M48" s="322">
        <f>GETPIVOTDATA("Units",'AMMO Units'!$A$3,"Year",$L48,"Measure Index",$A48,"Savings Category","Regional_Market_2021PP")</f>
        <v>2160</v>
      </c>
      <c r="N48" s="323">
        <f>GETPIVOTDATA("Units",'AMMO Units'!$A$3,"Year",$L48,"Measure Index",$A48,"Savings Category","Local_Incentives_2021PP")</f>
        <v>791</v>
      </c>
      <c r="O48" s="323">
        <f>GETPIVOTDATA("Units",'AMMO Units'!$A$3,"Year",$L48,"Measure Index",$A48,"Savings Category","Baseline_2021PP")</f>
        <v>2160</v>
      </c>
      <c r="P48" s="1719"/>
      <c r="Q48" s="317">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R48" s="1474">
        <f>GETPIVOTDATA("Savings Rate",'AMMO Savings Rates'!$A$3,"Year",$L48,"Measure Index",$A48,"Savings Rate Type","Savings_Rate_2021PP")</f>
        <v>291.20049375000002</v>
      </c>
      <c r="S48" s="1720" t="s">
        <v>1247</v>
      </c>
      <c r="T48" s="318">
        <f t="shared" si="15"/>
        <v>0</v>
      </c>
      <c r="U48" s="319">
        <f t="shared" si="16"/>
        <v>0</v>
      </c>
      <c r="V48" s="320">
        <f t="shared" si="17"/>
        <v>0</v>
      </c>
    </row>
    <row r="49" spans="1:22" s="294" customFormat="1" hidden="1">
      <c r="A49" s="272" t="s">
        <v>767</v>
      </c>
      <c r="B49" s="311" t="str">
        <f t="shared" si="13"/>
        <v>RES_201202</v>
      </c>
      <c r="C49" s="311">
        <v>0</v>
      </c>
      <c r="D49" s="311">
        <v>0</v>
      </c>
      <c r="E49" s="311">
        <f t="shared" si="1"/>
        <v>1</v>
      </c>
      <c r="F49" s="311">
        <v>1</v>
      </c>
      <c r="G49" s="311" t="b">
        <v>1</v>
      </c>
      <c r="H49" s="348" t="str">
        <f t="shared" si="14"/>
        <v>Residential</v>
      </c>
      <c r="I49" s="727" t="str">
        <f>INDEX('AMMO Measures'!B:B,MATCH($A49,'AMMO Measures'!$A:$A,0))</f>
        <v>Heat Pump Water Heaters</v>
      </c>
      <c r="J49" s="727" t="str">
        <f>INDEX('AMMO Measures'!C:C,MATCH($A49,'AMMO Measures'!$A:$A,0))</f>
        <v>HPWH (&gt;55 gallons) New Construction</v>
      </c>
      <c r="K49" s="727" t="str">
        <f>INDEX('AMMO Measures'!D:D,MATCH($A49,'AMMO Measures'!$A:$A,0))</f>
        <v>Tier 2</v>
      </c>
      <c r="L49" s="24">
        <v>2024</v>
      </c>
      <c r="M49" s="322">
        <f>GETPIVOTDATA("Units",'AMMO Units'!$A$3,"Year",$L49,"Measure Index",$A49,"Savings Category","Regional_Market_2021PP")</f>
        <v>2160</v>
      </c>
      <c r="N49" s="323">
        <f>GETPIVOTDATA("Units",'AMMO Units'!$A$3,"Year",$L49,"Measure Index",$A49,"Savings Category","Local_Incentives_2021PP")</f>
        <v>784</v>
      </c>
      <c r="O49" s="323">
        <f>GETPIVOTDATA("Units",'AMMO Units'!$A$3,"Year",$L49,"Measure Index",$A49,"Savings Category","Baseline_2021PP")</f>
        <v>216</v>
      </c>
      <c r="P49" s="1719"/>
      <c r="Q49" s="317">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R49" s="1474">
        <f>GETPIVOTDATA("Savings Rate",'AMMO Savings Rates'!$A$3,"Year",$L49,"Measure Index",$A49,"Savings Rate Type","Savings_Rate_2021PP")</f>
        <v>80.189581129999993</v>
      </c>
      <c r="S49" s="1720" t="s">
        <v>1249</v>
      </c>
      <c r="T49" s="318">
        <f t="shared" si="15"/>
        <v>2.4888069006572594E-3</v>
      </c>
      <c r="U49" s="319">
        <f t="shared" si="16"/>
        <v>9.0334472690522746E-4</v>
      </c>
      <c r="V49" s="320">
        <f t="shared" si="17"/>
        <v>1.585462173752032E-3</v>
      </c>
    </row>
    <row r="50" spans="1:22" s="294" customFormat="1" hidden="1">
      <c r="A50" s="272" t="s">
        <v>768</v>
      </c>
      <c r="B50" s="311" t="str">
        <f t="shared" si="13"/>
        <v>RES_201202</v>
      </c>
      <c r="C50" s="311">
        <v>0</v>
      </c>
      <c r="D50" s="311">
        <v>0</v>
      </c>
      <c r="E50" s="311">
        <f t="shared" si="1"/>
        <v>1</v>
      </c>
      <c r="F50" s="311">
        <v>1</v>
      </c>
      <c r="G50" s="311" t="b">
        <v>1</v>
      </c>
      <c r="H50" s="348" t="str">
        <f t="shared" si="14"/>
        <v>Residential</v>
      </c>
      <c r="I50" s="727" t="str">
        <f>INDEX('AMMO Measures'!B:B,MATCH($A50,'AMMO Measures'!$A:$A,0))</f>
        <v>Heat Pump Water Heaters</v>
      </c>
      <c r="J50" s="727" t="str">
        <f>INDEX('AMMO Measures'!C:C,MATCH($A50,'AMMO Measures'!$A:$A,0))</f>
        <v>HPWH (&gt;55 gallons) New Construction</v>
      </c>
      <c r="K50" s="727" t="str">
        <f>INDEX('AMMO Measures'!D:D,MATCH($A50,'AMMO Measures'!$A:$A,0))</f>
        <v>Tier 3</v>
      </c>
      <c r="L50" s="24">
        <v>2024</v>
      </c>
      <c r="M50" s="322">
        <f>GETPIVOTDATA("Units",'AMMO Units'!$A$3,"Year",$L50,"Measure Index",$A50,"Savings Category","Regional_Market_2021PP")</f>
        <v>2160</v>
      </c>
      <c r="N50" s="323">
        <f>GETPIVOTDATA("Units",'AMMO Units'!$A$3,"Year",$L50,"Measure Index",$A50,"Savings Category","Local_Incentives_2021PP")</f>
        <v>783</v>
      </c>
      <c r="O50" s="323">
        <f>GETPIVOTDATA("Units",'AMMO Units'!$A$3,"Year",$L50,"Measure Index",$A50,"Savings Category","Baseline_2021PP")</f>
        <v>216</v>
      </c>
      <c r="P50" s="1719"/>
      <c r="Q50" s="317">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R50" s="1474">
        <f>GETPIVOTDATA("Savings Rate",'AMMO Savings Rates'!$A$3,"Year",$L50,"Measure Index",$A50,"Savings Rate Type","Savings_Rate_2021PP")</f>
        <v>46.940514579999999</v>
      </c>
      <c r="S50" s="1720" t="s">
        <v>1250</v>
      </c>
      <c r="T50" s="318">
        <f t="shared" si="15"/>
        <v>1.4568710169181886E-3</v>
      </c>
      <c r="U50" s="319">
        <f t="shared" si="16"/>
        <v>5.2811574363284357E-4</v>
      </c>
      <c r="V50" s="320">
        <f t="shared" si="17"/>
        <v>9.2875527328534506E-4</v>
      </c>
    </row>
    <row r="51" spans="1:22" s="294" customFormat="1" hidden="1">
      <c r="A51" s="272" t="s">
        <v>769</v>
      </c>
      <c r="B51" s="311" t="str">
        <f t="shared" si="13"/>
        <v>RES_201202</v>
      </c>
      <c r="C51" s="311">
        <v>0</v>
      </c>
      <c r="D51" s="311">
        <v>0</v>
      </c>
      <c r="E51" s="311">
        <f t="shared" si="1"/>
        <v>1</v>
      </c>
      <c r="F51" s="311">
        <v>1</v>
      </c>
      <c r="G51" s="311" t="b">
        <v>1</v>
      </c>
      <c r="H51" s="348" t="str">
        <f t="shared" si="14"/>
        <v>Residential</v>
      </c>
      <c r="I51" s="727" t="str">
        <f>INDEX('AMMO Measures'!B:B,MATCH($A51,'AMMO Measures'!$A:$A,0))</f>
        <v>Heat Pump Water Heaters</v>
      </c>
      <c r="J51" s="727" t="str">
        <f>INDEX('AMMO Measures'!C:C,MATCH($A51,'AMMO Measures'!$A:$A,0))</f>
        <v>HPWH (&gt;55 gallons) New Construction</v>
      </c>
      <c r="K51" s="727" t="str">
        <f>INDEX('AMMO Measures'!D:D,MATCH($A51,'AMMO Measures'!$A:$A,0))</f>
        <v>Tier 4</v>
      </c>
      <c r="L51" s="24">
        <v>2024</v>
      </c>
      <c r="M51" s="322">
        <f>GETPIVOTDATA("Units",'AMMO Units'!$A$3,"Year",$L51,"Measure Index",$A51,"Savings Category","Regional_Market_2021PP")</f>
        <v>2160</v>
      </c>
      <c r="N51" s="323">
        <f>GETPIVOTDATA("Units",'AMMO Units'!$A$3,"Year",$L51,"Measure Index",$A51,"Savings Category","Local_Incentives_2021PP")</f>
        <v>665</v>
      </c>
      <c r="O51" s="323">
        <f>GETPIVOTDATA("Units",'AMMO Units'!$A$3,"Year",$L51,"Measure Index",$A51,"Savings Category","Baseline_2021PP")</f>
        <v>216</v>
      </c>
      <c r="P51" s="1719"/>
      <c r="Q51" s="317">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R51" s="1474">
        <f>GETPIVOTDATA("Savings Rate",'AMMO Savings Rates'!$A$3,"Year",$L51,"Measure Index",$A51,"Savings Rate Type","Savings_Rate_2021PP")</f>
        <v>80.514241940000005</v>
      </c>
      <c r="S51" s="1720" t="s">
        <v>1251</v>
      </c>
      <c r="T51" s="318">
        <f t="shared" si="15"/>
        <v>2.498883247894827E-3</v>
      </c>
      <c r="U51" s="319">
        <f t="shared" si="16"/>
        <v>7.6933211104169457E-4</v>
      </c>
      <c r="V51" s="320">
        <f t="shared" si="17"/>
        <v>1.7295511368531323E-3</v>
      </c>
    </row>
    <row r="52" spans="1:22" s="294" customFormat="1" hidden="1">
      <c r="A52" s="272" t="s">
        <v>770</v>
      </c>
      <c r="B52" s="311" t="str">
        <f t="shared" si="13"/>
        <v>RES_201202</v>
      </c>
      <c r="C52" s="311">
        <v>0</v>
      </c>
      <c r="D52" s="311">
        <v>0</v>
      </c>
      <c r="E52" s="311">
        <f t="shared" si="1"/>
        <v>1</v>
      </c>
      <c r="F52" s="311">
        <v>1</v>
      </c>
      <c r="G52" s="311" t="b">
        <v>1</v>
      </c>
      <c r="H52" s="348" t="str">
        <f t="shared" si="14"/>
        <v>Residential</v>
      </c>
      <c r="I52" s="727" t="str">
        <f>INDEX('AMMO Measures'!B:B,MATCH($A52,'AMMO Measures'!$A:$A,0))</f>
        <v>Heat Pump Water Heaters</v>
      </c>
      <c r="J52" s="727" t="str">
        <f>INDEX('AMMO Measures'!C:C,MATCH($A52,'AMMO Measures'!$A:$A,0))</f>
        <v>HPWH (&lt;=55 gallons) Existing Construction</v>
      </c>
      <c r="K52" s="727" t="str">
        <f>INDEX('AMMO Measures'!D:D,MATCH($A52,'AMMO Measures'!$A:$A,0))</f>
        <v>Tier 3</v>
      </c>
      <c r="L52" s="24">
        <v>2024</v>
      </c>
      <c r="M52" s="322">
        <f>GETPIVOTDATA("Units",'AMMO Units'!$A$3,"Year",$L52,"Measure Index",$A52,"Savings Category","Regional_Market_2021PP")</f>
        <v>16915</v>
      </c>
      <c r="N52" s="323">
        <f>GETPIVOTDATA("Units",'AMMO Units'!$A$3,"Year",$L52,"Measure Index",$A52,"Savings Category","Local_Incentives_2021PP")</f>
        <v>8817</v>
      </c>
      <c r="O52" s="323">
        <f>GETPIVOTDATA("Units",'AMMO Units'!$A$3,"Year",$L52,"Measure Index",$A52,"Savings Category","Baseline_2021PP")</f>
        <v>592.02499999999998</v>
      </c>
      <c r="P52" s="1719"/>
      <c r="Q52" s="317">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R52" s="1474">
        <f>GETPIVOTDATA("Savings Rate",'AMMO Savings Rates'!$A$3,"Year",$L52,"Measure Index",$A52,"Savings Rate Type","Savings_Rate_2021PP")</f>
        <v>169.11900077000001</v>
      </c>
      <c r="S52" s="1720" t="s">
        <v>1250</v>
      </c>
      <c r="T52" s="318">
        <f t="shared" si="15"/>
        <v>4.4072604496713158E-2</v>
      </c>
      <c r="U52" s="319">
        <f t="shared" si="16"/>
        <v>2.297299165518888E-2</v>
      </c>
      <c r="V52" s="320">
        <f t="shared" si="17"/>
        <v>2.1099612841524278E-2</v>
      </c>
    </row>
    <row r="53" spans="1:22" s="294" customFormat="1" hidden="1">
      <c r="A53" s="272" t="s">
        <v>771</v>
      </c>
      <c r="B53" s="311" t="str">
        <f t="shared" si="13"/>
        <v>RES_201202</v>
      </c>
      <c r="C53" s="311">
        <v>0</v>
      </c>
      <c r="D53" s="311">
        <v>0</v>
      </c>
      <c r="E53" s="311">
        <f t="shared" si="1"/>
        <v>1</v>
      </c>
      <c r="F53" s="311">
        <v>1</v>
      </c>
      <c r="G53" s="311" t="b">
        <v>1</v>
      </c>
      <c r="H53" s="348" t="str">
        <f t="shared" si="14"/>
        <v>Residential</v>
      </c>
      <c r="I53" s="727" t="str">
        <f>INDEX('AMMO Measures'!B:B,MATCH($A53,'AMMO Measures'!$A:$A,0))</f>
        <v>Heat Pump Water Heaters</v>
      </c>
      <c r="J53" s="727" t="str">
        <f>INDEX('AMMO Measures'!C:C,MATCH($A53,'AMMO Measures'!$A:$A,0))</f>
        <v>HPWH (&lt;=55 gallons) Existing Construction</v>
      </c>
      <c r="K53" s="727" t="str">
        <f>INDEX('AMMO Measures'!D:D,MATCH($A53,'AMMO Measures'!$A:$A,0))</f>
        <v>Tier 4</v>
      </c>
      <c r="L53" s="24">
        <v>2024</v>
      </c>
      <c r="M53" s="322">
        <f>GETPIVOTDATA("Units",'AMMO Units'!$A$3,"Year",$L53,"Measure Index",$A53,"Savings Category","Regional_Market_2021PP")</f>
        <v>16915</v>
      </c>
      <c r="N53" s="323">
        <f>GETPIVOTDATA("Units",'AMMO Units'!$A$3,"Year",$L53,"Measure Index",$A53,"Savings Category","Local_Incentives_2021PP")</f>
        <v>8817</v>
      </c>
      <c r="O53" s="323">
        <f>GETPIVOTDATA("Units",'AMMO Units'!$A$3,"Year",$L53,"Measure Index",$A53,"Savings Category","Baseline_2021PP")</f>
        <v>592.02499999999998</v>
      </c>
      <c r="P53" s="1719"/>
      <c r="Q53" s="317">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R53" s="1474">
        <f>$K$83</f>
        <v>298.07860697920228</v>
      </c>
      <c r="S53" s="1720" t="s">
        <v>1251</v>
      </c>
      <c r="T53" s="318">
        <f t="shared" si="15"/>
        <v>7.7679624965333718E-2</v>
      </c>
      <c r="U53" s="319">
        <f t="shared" si="16"/>
        <v>4.0490762832949882E-2</v>
      </c>
      <c r="V53" s="320">
        <f t="shared" si="17"/>
        <v>3.7188862132383836E-2</v>
      </c>
    </row>
    <row r="54" spans="1:22" s="294" customFormat="1" hidden="1">
      <c r="A54" s="272" t="s">
        <v>55</v>
      </c>
      <c r="B54" s="311" t="s">
        <v>250</v>
      </c>
      <c r="C54" s="311">
        <v>0</v>
      </c>
      <c r="D54" s="311">
        <v>0</v>
      </c>
      <c r="E54" s="311">
        <v>1</v>
      </c>
      <c r="F54" s="311">
        <v>1</v>
      </c>
      <c r="G54" s="311" t="b">
        <v>1</v>
      </c>
      <c r="H54" s="348" t="s">
        <v>236</v>
      </c>
      <c r="I54" s="727" t="str">
        <f>INDEX('AMMO Measures'!B:B,MATCH($A54,'AMMO Measures'!$A:$A,0))</f>
        <v>Heat Pump Water Heaters</v>
      </c>
      <c r="J54" s="727" t="str">
        <f>INDEX('AMMO Measures'!C:C,MATCH($A54,'AMMO Measures'!$A:$A,0))</f>
        <v>HPWH (&lt;=55 gallons) Existing Construction</v>
      </c>
      <c r="K54" s="727" t="str">
        <f>INDEX('AMMO Measures'!D:D,MATCH($A54,'AMMO Measures'!$A:$A,0))</f>
        <v>Tier 1</v>
      </c>
      <c r="L54" s="24">
        <v>2025</v>
      </c>
      <c r="M54" s="322">
        <f>GETPIVOTDATA("Units",'AMMO Units'!$A$3,"Year",$L54,"Measure Index",$A54,"Savings Category","Regional_Market_2021PP")</f>
        <v>29797.44829344</v>
      </c>
      <c r="N54" s="323">
        <f>GETPIVOTDATA("Units",'AMMO Units'!$A$3,"Year",$L54,"Measure Index",$A54,"Savings Category","Local_Incentives_2021PP")</f>
        <v>14123.57836947</v>
      </c>
      <c r="O54" s="323">
        <f>GETPIVOTDATA("Units",'AMMO Units'!$A$3,"Year",$L54,"Measure Index",$A54,"Savings Category","Baseline_2021PP")</f>
        <v>1042.91069027</v>
      </c>
      <c r="P54" s="1719"/>
      <c r="Q54" s="317">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R54" s="1474">
        <f>GETPIVOTDATA("Savings Rate",'AMMO Savings Rates'!$A$3,"Year",$L54,"Measure Index",$A54,"Savings Rate Type","Savings_Rate_2021PP")</f>
        <v>1049.1477771</v>
      </c>
      <c r="S54" s="1720" t="s">
        <v>1251</v>
      </c>
      <c r="T54" s="318">
        <f t="shared" ref="T54:T69" si="18">(M54-O54)*Q54*R54/8760000</f>
        <v>0.48163722965532485</v>
      </c>
      <c r="U54" s="319">
        <f t="shared" ref="U54:U69" si="19">IFERROR((N54-O54/M54*N54)*Q54*R54/8760/1000,0)</f>
        <v>0.22828938544341662</v>
      </c>
      <c r="V54" s="320">
        <f t="shared" ref="V54:V69" si="20">T54-U54</f>
        <v>0.25334784421190826</v>
      </c>
    </row>
    <row r="55" spans="1:22" s="294" customFormat="1" hidden="1">
      <c r="A55" s="272" t="s">
        <v>57</v>
      </c>
      <c r="B55" s="311" t="s">
        <v>250</v>
      </c>
      <c r="C55" s="311">
        <v>0</v>
      </c>
      <c r="D55" s="311">
        <v>0</v>
      </c>
      <c r="E55" s="311">
        <v>1</v>
      </c>
      <c r="F55" s="311">
        <v>1</v>
      </c>
      <c r="G55" s="311" t="b">
        <v>1</v>
      </c>
      <c r="H55" s="348" t="s">
        <v>236</v>
      </c>
      <c r="I55" s="727" t="str">
        <f>INDEX('AMMO Measures'!B:B,MATCH($A55,'AMMO Measures'!$A:$A,0))</f>
        <v>Heat Pump Water Heaters</v>
      </c>
      <c r="J55" s="727" t="str">
        <f>INDEX('AMMO Measures'!C:C,MATCH($A55,'AMMO Measures'!$A:$A,0))</f>
        <v>HPWH (&gt;55 gallons) Existing Construction</v>
      </c>
      <c r="K55" s="727" t="str">
        <f>INDEX('AMMO Measures'!D:D,MATCH($A55,'AMMO Measures'!$A:$A,0))</f>
        <v>Tier 1</v>
      </c>
      <c r="L55" s="24">
        <v>2025</v>
      </c>
      <c r="M55" s="322">
        <f>GETPIVOTDATA("Units",'AMMO Units'!$A$3,"Year",$L55,"Measure Index",$A55,"Savings Category","Regional_Market_2021PP")</f>
        <v>10955.448453380001</v>
      </c>
      <c r="N55" s="323">
        <f>GETPIVOTDATA("Units",'AMMO Units'!$A$3,"Year",$L55,"Measure Index",$A55,"Savings Category","Local_Incentives_2021PP")</f>
        <v>5169.4945754199998</v>
      </c>
      <c r="O55" s="323">
        <f>GETPIVOTDATA("Units",'AMMO Units'!$A$3,"Year",$L55,"Measure Index",$A55,"Savings Category","Baseline_2021PP")</f>
        <v>10955.448453380001</v>
      </c>
      <c r="P55" s="1719"/>
      <c r="Q55" s="317">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R55" s="1474">
        <f>GETPIVOTDATA("Savings Rate",'AMMO Savings Rates'!$A$3,"Year",$L55,"Measure Index",$A55,"Savings Rate Type","Savings_Rate_2021PP")</f>
        <v>1049.1477771</v>
      </c>
      <c r="S55" s="1720" t="s">
        <v>1251</v>
      </c>
      <c r="T55" s="318">
        <f t="shared" si="18"/>
        <v>0</v>
      </c>
      <c r="U55" s="319">
        <f t="shared" si="19"/>
        <v>0</v>
      </c>
      <c r="V55" s="320">
        <f t="shared" si="20"/>
        <v>0</v>
      </c>
    </row>
    <row r="56" spans="1:22" s="294" customFormat="1" hidden="1">
      <c r="A56" s="272" t="s">
        <v>56</v>
      </c>
      <c r="B56" s="311" t="s">
        <v>250</v>
      </c>
      <c r="C56" s="311">
        <v>0</v>
      </c>
      <c r="D56" s="311">
        <v>0</v>
      </c>
      <c r="E56" s="311">
        <v>1</v>
      </c>
      <c r="F56" s="311">
        <v>1</v>
      </c>
      <c r="G56" s="311" t="b">
        <v>1</v>
      </c>
      <c r="H56" s="348" t="s">
        <v>236</v>
      </c>
      <c r="I56" s="727" t="str">
        <f>INDEX('AMMO Measures'!B:B,MATCH($A56,'AMMO Measures'!$A:$A,0))</f>
        <v>Heat Pump Water Heaters</v>
      </c>
      <c r="J56" s="727" t="str">
        <f>INDEX('AMMO Measures'!C:C,MATCH($A56,'AMMO Measures'!$A:$A,0))</f>
        <v>HPWH (&lt;=55 gallons) Existing Construction</v>
      </c>
      <c r="K56" s="727" t="str">
        <f>INDEX('AMMO Measures'!D:D,MATCH($A56,'AMMO Measures'!$A:$A,0))</f>
        <v>Tier 2</v>
      </c>
      <c r="L56" s="24">
        <v>2025</v>
      </c>
      <c r="M56" s="322">
        <f>GETPIVOTDATA("Units",'AMMO Units'!$A$3,"Year",$L56,"Measure Index",$A56,"Savings Category","Regional_Market_2021PP")</f>
        <v>29499.4738105</v>
      </c>
      <c r="N56" s="323">
        <f>GETPIVOTDATA("Units",'AMMO Units'!$A$3,"Year",$L56,"Measure Index",$A56,"Savings Category","Local_Incentives_2021PP")</f>
        <v>11916.606683710001</v>
      </c>
      <c r="O56" s="323">
        <f>GETPIVOTDATA("Units",'AMMO Units'!$A$3,"Year",$L56,"Measure Index",$A56,"Savings Category","Baseline_2021PP")</f>
        <v>1032.48158337</v>
      </c>
      <c r="P56" s="1719"/>
      <c r="Q56" s="317">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R56" s="1474">
        <f>GETPIVOTDATA("Savings Rate",'AMMO Savings Rates'!$A$3,"Year",$L56,"Measure Index",$A56,"Savings Rate Type","Savings_Rate_2021PP")</f>
        <v>288.90995240000001</v>
      </c>
      <c r="S56" s="1720" t="s">
        <v>1251</v>
      </c>
      <c r="T56" s="318">
        <f t="shared" si="18"/>
        <v>0.13130494503223758</v>
      </c>
      <c r="U56" s="319">
        <f t="shared" si="19"/>
        <v>5.3041942226725272E-2</v>
      </c>
      <c r="V56" s="320">
        <f t="shared" si="20"/>
        <v>7.8263002805512308E-2</v>
      </c>
    </row>
    <row r="57" spans="1:22" s="294" customFormat="1" hidden="1">
      <c r="A57" s="272" t="s">
        <v>58</v>
      </c>
      <c r="B57" s="311" t="s">
        <v>250</v>
      </c>
      <c r="C57" s="311">
        <v>0</v>
      </c>
      <c r="D57" s="311">
        <v>0</v>
      </c>
      <c r="E57" s="311">
        <v>1</v>
      </c>
      <c r="F57" s="311">
        <v>1</v>
      </c>
      <c r="G57" s="311" t="b">
        <v>1</v>
      </c>
      <c r="H57" s="348" t="s">
        <v>236</v>
      </c>
      <c r="I57" s="727" t="str">
        <f>INDEX('AMMO Measures'!B:B,MATCH($A57,'AMMO Measures'!$A:$A,0))</f>
        <v>Heat Pump Water Heaters</v>
      </c>
      <c r="J57" s="727" t="str">
        <f>INDEX('AMMO Measures'!C:C,MATCH($A57,'AMMO Measures'!$A:$A,0))</f>
        <v>HPWH (&gt;55 gallons) Existing Construction</v>
      </c>
      <c r="K57" s="727" t="str">
        <f>INDEX('AMMO Measures'!D:D,MATCH($A57,'AMMO Measures'!$A:$A,0))</f>
        <v>Tier 2</v>
      </c>
      <c r="L57" s="24">
        <v>2025</v>
      </c>
      <c r="M57" s="322">
        <f>GETPIVOTDATA("Units",'AMMO Units'!$A$3,"Year",$L57,"Measure Index",$A57,"Savings Category","Regional_Market_2021PP")</f>
        <v>10955.448453380001</v>
      </c>
      <c r="N57" s="323">
        <f>GETPIVOTDATA("Units",'AMMO Units'!$A$3,"Year",$L57,"Measure Index",$A57,"Savings Category","Local_Incentives_2021PP")</f>
        <v>4940.7199039500001</v>
      </c>
      <c r="O57" s="323">
        <f>GETPIVOTDATA("Units",'AMMO Units'!$A$3,"Year",$L57,"Measure Index",$A57,"Savings Category","Baseline_2021PP")</f>
        <v>383.44069587000001</v>
      </c>
      <c r="P57" s="1719"/>
      <c r="Q57" s="317">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R57" s="1474">
        <f>GETPIVOTDATA("Savings Rate",'AMMO Savings Rates'!$A$3,"Year",$L57,"Measure Index",$A57,"Savings Rate Type","Savings_Rate_2021PP")</f>
        <v>288.90995240000001</v>
      </c>
      <c r="S57" s="1720" t="s">
        <v>1251</v>
      </c>
      <c r="T57" s="318">
        <f t="shared" si="18"/>
        <v>4.8763736133572953E-2</v>
      </c>
      <c r="U57" s="319">
        <f t="shared" si="19"/>
        <v>2.1991611090258753E-2</v>
      </c>
      <c r="V57" s="320">
        <f t="shared" si="20"/>
        <v>2.67721250433142E-2</v>
      </c>
    </row>
    <row r="58" spans="1:22" s="294" customFormat="1" hidden="1">
      <c r="A58" s="272" t="s">
        <v>762</v>
      </c>
      <c r="B58" s="311" t="s">
        <v>250</v>
      </c>
      <c r="C58" s="311">
        <v>0</v>
      </c>
      <c r="D58" s="311">
        <v>0</v>
      </c>
      <c r="E58" s="311">
        <v>1</v>
      </c>
      <c r="F58" s="311">
        <v>1</v>
      </c>
      <c r="G58" s="311" t="b">
        <v>1</v>
      </c>
      <c r="H58" s="348" t="s">
        <v>236</v>
      </c>
      <c r="I58" s="727" t="str">
        <f>INDEX('AMMO Measures'!B:B,MATCH($A58,'AMMO Measures'!$A:$A,0))</f>
        <v>Heat Pump Water Heaters</v>
      </c>
      <c r="J58" s="727" t="str">
        <f>INDEX('AMMO Measures'!C:C,MATCH($A58,'AMMO Measures'!$A:$A,0))</f>
        <v>HPWH (&gt;55 gallons) Existing Construction</v>
      </c>
      <c r="K58" s="727" t="str">
        <f>INDEX('AMMO Measures'!D:D,MATCH($A58,'AMMO Measures'!$A:$A,0))</f>
        <v>Tier 3</v>
      </c>
      <c r="L58" s="24">
        <v>2025</v>
      </c>
      <c r="M58" s="322">
        <f>GETPIVOTDATA("Units",'AMMO Units'!$A$3,"Year",$L58,"Measure Index",$A58,"Savings Category","Regional_Market_2021PP")</f>
        <v>10955.448453380001</v>
      </c>
      <c r="N58" s="323">
        <f>GETPIVOTDATA("Units",'AMMO Units'!$A$3,"Year",$L58,"Measure Index",$A58,"Savings Category","Local_Incentives_2021PP")</f>
        <v>4940.7199039500001</v>
      </c>
      <c r="O58" s="323">
        <f>GETPIVOTDATA("Units",'AMMO Units'!$A$3,"Year",$L58,"Measure Index",$A58,"Savings Category","Baseline_2021PP")</f>
        <v>383.44069587000001</v>
      </c>
      <c r="P58" s="1719"/>
      <c r="Q58" s="317">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R58" s="1474">
        <f>GETPIVOTDATA("Savings Rate",'AMMO Savings Rates'!$A$3,"Year",$L58,"Measure Index",$A58,"Savings Rate Type","Savings_Rate_2021PP")</f>
        <v>169.11900077000001</v>
      </c>
      <c r="S58" s="1720" t="s">
        <v>1251</v>
      </c>
      <c r="T58" s="318">
        <f t="shared" si="18"/>
        <v>2.8544791414121605E-2</v>
      </c>
      <c r="U58" s="319">
        <f t="shared" si="19"/>
        <v>1.2873212784853205E-2</v>
      </c>
      <c r="V58" s="320">
        <f t="shared" si="20"/>
        <v>1.56715786292684E-2</v>
      </c>
    </row>
    <row r="59" spans="1:22" s="294" customFormat="1" hidden="1">
      <c r="A59" s="272" t="s">
        <v>763</v>
      </c>
      <c r="B59" s="311" t="s">
        <v>250</v>
      </c>
      <c r="C59" s="311">
        <v>0</v>
      </c>
      <c r="D59" s="311">
        <v>0</v>
      </c>
      <c r="E59" s="311">
        <v>1</v>
      </c>
      <c r="F59" s="311">
        <v>1</v>
      </c>
      <c r="G59" s="311" t="b">
        <v>1</v>
      </c>
      <c r="H59" s="348" t="s">
        <v>236</v>
      </c>
      <c r="I59" s="727" t="str">
        <f>INDEX('AMMO Measures'!B:B,MATCH($A59,'AMMO Measures'!$A:$A,0))</f>
        <v>Heat Pump Water Heaters</v>
      </c>
      <c r="J59" s="727" t="str">
        <f>INDEX('AMMO Measures'!C:C,MATCH($A59,'AMMO Measures'!$A:$A,0))</f>
        <v>HPWH (&gt;55 gallons) Existing Construction</v>
      </c>
      <c r="K59" s="727" t="str">
        <f>INDEX('AMMO Measures'!D:D,MATCH($A59,'AMMO Measures'!$A:$A,0))</f>
        <v>Tier 4</v>
      </c>
      <c r="L59" s="24">
        <v>2025</v>
      </c>
      <c r="M59" s="322">
        <f>GETPIVOTDATA("Units",'AMMO Units'!$A$3,"Year",$L59,"Measure Index",$A59,"Savings Category","Regional_Market_2021PP")</f>
        <v>109.55448453</v>
      </c>
      <c r="N59" s="323">
        <f>GETPIVOTDATA("Units",'AMMO Units'!$A$3,"Year",$L59,"Measure Index",$A59,"Savings Category","Local_Incentives_2021PP")</f>
        <v>91.295403780000001</v>
      </c>
      <c r="O59" s="323">
        <f>GETPIVOTDATA("Units",'AMMO Units'!$A$3,"Year",$L59,"Measure Index",$A59,"Savings Category","Baseline_2021PP")</f>
        <v>3.8344069599999999</v>
      </c>
      <c r="P59" s="1719"/>
      <c r="Q59" s="317">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R59" s="1474">
        <f>$K$83</f>
        <v>298.07860697920228</v>
      </c>
      <c r="S59" s="1720" t="s">
        <v>1251</v>
      </c>
      <c r="T59" s="318">
        <f t="shared" si="18"/>
        <v>5.0311269709986004E-4</v>
      </c>
      <c r="U59" s="319">
        <f t="shared" si="19"/>
        <v>4.1926058093951185E-4</v>
      </c>
      <c r="V59" s="320">
        <f t="shared" si="20"/>
        <v>8.3852116160348196E-5</v>
      </c>
    </row>
    <row r="60" spans="1:22" s="294" customFormat="1" hidden="1">
      <c r="A60" s="272" t="s">
        <v>744</v>
      </c>
      <c r="B60" s="311" t="s">
        <v>250</v>
      </c>
      <c r="C60" s="311">
        <v>0</v>
      </c>
      <c r="D60" s="311">
        <v>0</v>
      </c>
      <c r="E60" s="311">
        <v>1</v>
      </c>
      <c r="F60" s="311">
        <v>1</v>
      </c>
      <c r="G60" s="311" t="b">
        <v>1</v>
      </c>
      <c r="H60" s="348" t="s">
        <v>236</v>
      </c>
      <c r="I60" s="727" t="str">
        <f>INDEX('AMMO Measures'!B:B,MATCH($A60,'AMMO Measures'!$A:$A,0))</f>
        <v>Heat Pump Water Heaters</v>
      </c>
      <c r="J60" s="727" t="str">
        <f>INDEX('AMMO Measures'!C:C,MATCH($A60,'AMMO Measures'!$A:$A,0))</f>
        <v>HPWH (&lt;=55 gallons) New Construction</v>
      </c>
      <c r="K60" s="727" t="str">
        <f>INDEX('AMMO Measures'!D:D,MATCH($A60,'AMMO Measures'!$A:$A,0))</f>
        <v>Tier 1</v>
      </c>
      <c r="L60" s="24">
        <v>2025</v>
      </c>
      <c r="M60" s="322">
        <f>GETPIVOTDATA("Units",'AMMO Units'!$A$3,"Year",$L60,"Measure Index",$A60,"Savings Category","Regional_Market_2021PP")</f>
        <v>5992.5725431000001</v>
      </c>
      <c r="N60" s="323">
        <f>GETPIVOTDATA("Units",'AMMO Units'!$A$3,"Year",$L60,"Measure Index",$A60,"Savings Category","Local_Incentives_2021PP")</f>
        <v>1904</v>
      </c>
      <c r="O60" s="323">
        <f>GETPIVOTDATA("Units",'AMMO Units'!$A$3,"Year",$L60,"Measure Index",$A60,"Savings Category","Baseline_2021PP")</f>
        <v>599.25725431000001</v>
      </c>
      <c r="P60" s="1719"/>
      <c r="Q60" s="317">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R60" s="1474">
        <f>GETPIVOTDATA("Savings Rate",'AMMO Savings Rates'!$A$3,"Year",$L60,"Measure Index",$A60,"Savings Rate Type","Savings_Rate_2021PP")</f>
        <v>576.24648145000003</v>
      </c>
      <c r="S60" s="1720" t="s">
        <v>1251</v>
      </c>
      <c r="T60" s="318">
        <f t="shared" si="18"/>
        <v>4.9618210002531478E-2</v>
      </c>
      <c r="U60" s="319">
        <f t="shared" si="19"/>
        <v>1.5765027651371298E-2</v>
      </c>
      <c r="V60" s="320">
        <f t="shared" si="20"/>
        <v>3.385318235116018E-2</v>
      </c>
    </row>
    <row r="61" spans="1:22" s="294" customFormat="1" hidden="1">
      <c r="A61" s="272" t="s">
        <v>745</v>
      </c>
      <c r="B61" s="311" t="s">
        <v>250</v>
      </c>
      <c r="C61" s="311">
        <v>0</v>
      </c>
      <c r="D61" s="311">
        <v>0</v>
      </c>
      <c r="E61" s="311">
        <v>1</v>
      </c>
      <c r="F61" s="311">
        <v>1</v>
      </c>
      <c r="G61" s="311" t="b">
        <v>1</v>
      </c>
      <c r="H61" s="348" t="s">
        <v>236</v>
      </c>
      <c r="I61" s="727" t="str">
        <f>INDEX('AMMO Measures'!B:B,MATCH($A61,'AMMO Measures'!$A:$A,0))</f>
        <v>Heat Pump Water Heaters</v>
      </c>
      <c r="J61" s="727" t="str">
        <f>INDEX('AMMO Measures'!C:C,MATCH($A61,'AMMO Measures'!$A:$A,0))</f>
        <v>HPWH (&lt;=55 gallons) New Construction</v>
      </c>
      <c r="K61" s="727" t="str">
        <f>INDEX('AMMO Measures'!D:D,MATCH($A61,'AMMO Measures'!$A:$A,0))</f>
        <v>Tier 2</v>
      </c>
      <c r="L61" s="24">
        <v>2025</v>
      </c>
      <c r="M61" s="322">
        <f>GETPIVOTDATA("Units",'AMMO Units'!$A$3,"Year",$L61,"Measure Index",$A61,"Savings Category","Regional_Market_2021PP")</f>
        <v>5932.64681767</v>
      </c>
      <c r="N61" s="323">
        <f>GETPIVOTDATA("Units",'AMMO Units'!$A$3,"Year",$L61,"Measure Index",$A61,"Savings Category","Local_Incentives_2021PP")</f>
        <v>1889</v>
      </c>
      <c r="O61" s="323">
        <f>GETPIVOTDATA("Units",'AMMO Units'!$A$3,"Year",$L61,"Measure Index",$A61,"Savings Category","Baseline_2021PP")</f>
        <v>593.26468177000004</v>
      </c>
      <c r="P61" s="1719"/>
      <c r="Q61" s="317">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R61" s="1474">
        <f>GETPIVOTDATA("Savings Rate",'AMMO Savings Rates'!$A$3,"Year",$L61,"Measure Index",$A61,"Savings Rate Type","Savings_Rate_2021PP")</f>
        <v>158.68435997</v>
      </c>
      <c r="S61" s="1720" t="s">
        <v>1251</v>
      </c>
      <c r="T61" s="318">
        <f t="shared" si="18"/>
        <v>1.3527019789379759E-2</v>
      </c>
      <c r="U61" s="319">
        <f t="shared" si="19"/>
        <v>4.3071062828199703E-3</v>
      </c>
      <c r="V61" s="320">
        <f t="shared" si="20"/>
        <v>9.2199135065597886E-3</v>
      </c>
    </row>
    <row r="62" spans="1:22" s="294" customFormat="1" hidden="1">
      <c r="A62" s="272" t="s">
        <v>764</v>
      </c>
      <c r="B62" s="311" t="s">
        <v>250</v>
      </c>
      <c r="C62" s="311">
        <v>0</v>
      </c>
      <c r="D62" s="311">
        <v>0</v>
      </c>
      <c r="E62" s="311">
        <v>1</v>
      </c>
      <c r="F62" s="311">
        <v>1</v>
      </c>
      <c r="G62" s="311" t="b">
        <v>1</v>
      </c>
      <c r="H62" s="348" t="s">
        <v>236</v>
      </c>
      <c r="I62" s="727" t="str">
        <f>INDEX('AMMO Measures'!B:B,MATCH($A62,'AMMO Measures'!$A:$A,0))</f>
        <v>Heat Pump Water Heaters</v>
      </c>
      <c r="J62" s="727" t="str">
        <f>INDEX('AMMO Measures'!C:C,MATCH($A62,'AMMO Measures'!$A:$A,0))</f>
        <v>HPWH (&lt;=55 gallons) New Construction</v>
      </c>
      <c r="K62" s="727" t="str">
        <f>INDEX('AMMO Measures'!D:D,MATCH($A62,'AMMO Measures'!$A:$A,0))</f>
        <v>Tier 3</v>
      </c>
      <c r="L62" s="24">
        <v>2025</v>
      </c>
      <c r="M62" s="322">
        <f>GETPIVOTDATA("Units",'AMMO Units'!$A$3,"Year",$L62,"Measure Index",$A62,"Savings Category","Regional_Market_2021PP")</f>
        <v>5932.64681767</v>
      </c>
      <c r="N62" s="323">
        <f>GETPIVOTDATA("Units",'AMMO Units'!$A$3,"Year",$L62,"Measure Index",$A62,"Savings Category","Local_Incentives_2021PP")</f>
        <v>1884</v>
      </c>
      <c r="O62" s="323">
        <f>GETPIVOTDATA("Units",'AMMO Units'!$A$3,"Year",$L62,"Measure Index",$A62,"Savings Category","Baseline_2021PP")</f>
        <v>593.26468177000004</v>
      </c>
      <c r="P62" s="1719"/>
      <c r="Q62" s="317">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R62" s="1474">
        <f>GETPIVOTDATA("Savings Rate",'AMMO Savings Rates'!$A$3,"Year",$L62,"Measure Index",$A62,"Savings Rate Type","Savings_Rate_2021PP")</f>
        <v>92.888944030000005</v>
      </c>
      <c r="S62" s="1720" t="s">
        <v>1251</v>
      </c>
      <c r="T62" s="318">
        <f t="shared" si="18"/>
        <v>7.9183013647088334E-3</v>
      </c>
      <c r="U62" s="319">
        <f t="shared" si="19"/>
        <v>2.5145740559978928E-3</v>
      </c>
      <c r="V62" s="320">
        <f t="shared" si="20"/>
        <v>5.403727308710941E-3</v>
      </c>
    </row>
    <row r="63" spans="1:22" s="294" customFormat="1" hidden="1">
      <c r="A63" s="272" t="s">
        <v>765</v>
      </c>
      <c r="B63" s="311" t="s">
        <v>250</v>
      </c>
      <c r="C63" s="311">
        <v>0</v>
      </c>
      <c r="D63" s="311">
        <v>0</v>
      </c>
      <c r="E63" s="311">
        <v>1</v>
      </c>
      <c r="F63" s="311">
        <v>1</v>
      </c>
      <c r="G63" s="311" t="b">
        <v>1</v>
      </c>
      <c r="H63" s="348" t="s">
        <v>236</v>
      </c>
      <c r="I63" s="727" t="str">
        <f>INDEX('AMMO Measures'!B:B,MATCH($A63,'AMMO Measures'!$A:$A,0))</f>
        <v>Heat Pump Water Heaters</v>
      </c>
      <c r="J63" s="727" t="str">
        <f>INDEX('AMMO Measures'!C:C,MATCH($A63,'AMMO Measures'!$A:$A,0))</f>
        <v>HPWH (&lt;=55 gallons) New Construction</v>
      </c>
      <c r="K63" s="727" t="str">
        <f>INDEX('AMMO Measures'!D:D,MATCH($A63,'AMMO Measures'!$A:$A,0))</f>
        <v>Tier 4</v>
      </c>
      <c r="L63" s="24">
        <v>2025</v>
      </c>
      <c r="M63" s="322">
        <f>GETPIVOTDATA("Units",'AMMO Units'!$A$3,"Year",$L63,"Measure Index",$A63,"Savings Category","Regional_Market_2021PP")</f>
        <v>59.92572543</v>
      </c>
      <c r="N63" s="323">
        <f>GETPIVOTDATA("Units",'AMMO Units'!$A$3,"Year",$L63,"Measure Index",$A63,"Savings Category","Local_Incentives_2021PP")</f>
        <v>0</v>
      </c>
      <c r="O63" s="323">
        <f>GETPIVOTDATA("Units",'AMMO Units'!$A$3,"Year",$L63,"Measure Index",$A63,"Savings Category","Baseline_2021PP")</f>
        <v>5.9925725400000003</v>
      </c>
      <c r="P63" s="1719"/>
      <c r="Q63" s="317">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R63" s="1474">
        <f>GETPIVOTDATA("Savings Rate",'AMMO Savings Rates'!$A$3,"Year",$L63,"Measure Index",$A63,"Savings Rate Type","Savings_Rate_2021PP")</f>
        <v>159.32681991000001</v>
      </c>
      <c r="S63" s="1720" t="s">
        <v>1251</v>
      </c>
      <c r="T63" s="318">
        <f t="shared" si="18"/>
        <v>1.37189759315236E-4</v>
      </c>
      <c r="U63" s="319">
        <f t="shared" si="19"/>
        <v>0</v>
      </c>
      <c r="V63" s="320">
        <f t="shared" si="20"/>
        <v>1.37189759315236E-4</v>
      </c>
    </row>
    <row r="64" spans="1:22" s="294" customFormat="1" hidden="1">
      <c r="A64" s="272" t="s">
        <v>766</v>
      </c>
      <c r="B64" s="311" t="s">
        <v>250</v>
      </c>
      <c r="C64" s="311">
        <v>0</v>
      </c>
      <c r="D64" s="311">
        <v>0</v>
      </c>
      <c r="E64" s="311">
        <v>1</v>
      </c>
      <c r="F64" s="311">
        <v>1</v>
      </c>
      <c r="G64" s="311" t="b">
        <v>1</v>
      </c>
      <c r="H64" s="348" t="s">
        <v>236</v>
      </c>
      <c r="I64" s="727" t="str">
        <f>INDEX('AMMO Measures'!B:B,MATCH($A64,'AMMO Measures'!$A:$A,0))</f>
        <v>Heat Pump Water Heaters</v>
      </c>
      <c r="J64" s="727" t="str">
        <f>INDEX('AMMO Measures'!C:C,MATCH($A64,'AMMO Measures'!$A:$A,0))</f>
        <v>HPWH (&gt;55 gallons) New Construction</v>
      </c>
      <c r="K64" s="727" t="str">
        <f>INDEX('AMMO Measures'!D:D,MATCH($A64,'AMMO Measures'!$A:$A,0))</f>
        <v>Tier 1</v>
      </c>
      <c r="L64" s="24">
        <v>2025</v>
      </c>
      <c r="M64" s="322">
        <f>GETPIVOTDATA("Units",'AMMO Units'!$A$3,"Year",$L64,"Measure Index",$A64,"Savings Category","Regional_Market_2021PP")</f>
        <v>5016.3105743400001</v>
      </c>
      <c r="N64" s="323">
        <f>GETPIVOTDATA("Units",'AMMO Units'!$A$3,"Year",$L64,"Measure Index",$A64,"Savings Category","Local_Incentives_2021PP")</f>
        <v>791</v>
      </c>
      <c r="O64" s="323">
        <f>GETPIVOTDATA("Units",'AMMO Units'!$A$3,"Year",$L64,"Measure Index",$A64,"Savings Category","Baseline_2021PP")</f>
        <v>5016.3105743400001</v>
      </c>
      <c r="P64" s="1719"/>
      <c r="Q64" s="317">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R64" s="1474">
        <f>GETPIVOTDATA("Savings Rate",'AMMO Savings Rates'!$A$3,"Year",$L64,"Measure Index",$A64,"Savings Rate Type","Savings_Rate_2021PP")</f>
        <v>492.45087756999999</v>
      </c>
      <c r="S64" s="1720" t="s">
        <v>1251</v>
      </c>
      <c r="T64" s="318">
        <f t="shared" si="18"/>
        <v>0</v>
      </c>
      <c r="U64" s="319">
        <f t="shared" si="19"/>
        <v>0</v>
      </c>
      <c r="V64" s="320">
        <f t="shared" si="20"/>
        <v>0</v>
      </c>
    </row>
    <row r="65" spans="1:28" s="294" customFormat="1" hidden="1">
      <c r="A65" s="272" t="s">
        <v>767</v>
      </c>
      <c r="B65" s="311" t="s">
        <v>250</v>
      </c>
      <c r="C65" s="311">
        <v>0</v>
      </c>
      <c r="D65" s="311">
        <v>0</v>
      </c>
      <c r="E65" s="311">
        <v>1</v>
      </c>
      <c r="F65" s="311">
        <v>1</v>
      </c>
      <c r="G65" s="311" t="b">
        <v>1</v>
      </c>
      <c r="H65" s="348" t="s">
        <v>236</v>
      </c>
      <c r="I65" s="727" t="str">
        <f>INDEX('AMMO Measures'!B:B,MATCH($A65,'AMMO Measures'!$A:$A,0))</f>
        <v>Heat Pump Water Heaters</v>
      </c>
      <c r="J65" s="727" t="str">
        <f>INDEX('AMMO Measures'!C:C,MATCH($A65,'AMMO Measures'!$A:$A,0))</f>
        <v>HPWH (&gt;55 gallons) New Construction</v>
      </c>
      <c r="K65" s="727" t="str">
        <f>INDEX('AMMO Measures'!D:D,MATCH($A65,'AMMO Measures'!$A:$A,0))</f>
        <v>Tier 2</v>
      </c>
      <c r="L65" s="24">
        <v>2025</v>
      </c>
      <c r="M65" s="322">
        <f>GETPIVOTDATA("Units",'AMMO Units'!$A$3,"Year",$L65,"Measure Index",$A65,"Savings Category","Regional_Market_2021PP")</f>
        <v>5016.3105743400001</v>
      </c>
      <c r="N65" s="323">
        <f>GETPIVOTDATA("Units",'AMMO Units'!$A$3,"Year",$L65,"Measure Index",$A65,"Savings Category","Local_Incentives_2021PP")</f>
        <v>784</v>
      </c>
      <c r="O65" s="323">
        <f>GETPIVOTDATA("Units",'AMMO Units'!$A$3,"Year",$L65,"Measure Index",$A65,"Savings Category","Baseline_2021PP")</f>
        <v>501.63105743</v>
      </c>
      <c r="P65" s="1719"/>
      <c r="Q65" s="317">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R65" s="1474">
        <f>GETPIVOTDATA("Savings Rate",'AMMO Savings Rates'!$A$3,"Year",$L65,"Measure Index",$A65,"Savings Rate Type","Savings_Rate_2021PP")</f>
        <v>135.60907501</v>
      </c>
      <c r="S65" s="1720" t="s">
        <v>1251</v>
      </c>
      <c r="T65" s="318">
        <f t="shared" si="18"/>
        <v>9.7744578216618205E-3</v>
      </c>
      <c r="U65" s="319">
        <f t="shared" si="19"/>
        <v>1.5276516114018951E-3</v>
      </c>
      <c r="V65" s="320">
        <f t="shared" si="20"/>
        <v>8.2468062102599247E-3</v>
      </c>
    </row>
    <row r="66" spans="1:28" s="294" customFormat="1" hidden="1">
      <c r="A66" s="272" t="s">
        <v>768</v>
      </c>
      <c r="B66" s="311" t="s">
        <v>250</v>
      </c>
      <c r="C66" s="311">
        <v>0</v>
      </c>
      <c r="D66" s="311">
        <v>0</v>
      </c>
      <c r="E66" s="311">
        <v>1</v>
      </c>
      <c r="F66" s="311">
        <v>1</v>
      </c>
      <c r="G66" s="311" t="b">
        <v>1</v>
      </c>
      <c r="H66" s="348" t="s">
        <v>236</v>
      </c>
      <c r="I66" s="727" t="str">
        <f>INDEX('AMMO Measures'!B:B,MATCH($A66,'AMMO Measures'!$A:$A,0))</f>
        <v>Heat Pump Water Heaters</v>
      </c>
      <c r="J66" s="727" t="str">
        <f>INDEX('AMMO Measures'!C:C,MATCH($A66,'AMMO Measures'!$A:$A,0))</f>
        <v>HPWH (&gt;55 gallons) New Construction</v>
      </c>
      <c r="K66" s="727" t="str">
        <f>INDEX('AMMO Measures'!D:D,MATCH($A66,'AMMO Measures'!$A:$A,0))</f>
        <v>Tier 3</v>
      </c>
      <c r="L66" s="24">
        <v>2025</v>
      </c>
      <c r="M66" s="322">
        <f>GETPIVOTDATA("Units",'AMMO Units'!$A$3,"Year",$L66,"Measure Index",$A66,"Savings Category","Regional_Market_2021PP")</f>
        <v>5016.3105743400001</v>
      </c>
      <c r="N66" s="323">
        <f>GETPIVOTDATA("Units",'AMMO Units'!$A$3,"Year",$L66,"Measure Index",$A66,"Savings Category","Local_Incentives_2021PP")</f>
        <v>783</v>
      </c>
      <c r="O66" s="323">
        <f>GETPIVOTDATA("Units",'AMMO Units'!$A$3,"Year",$L66,"Measure Index",$A66,"Savings Category","Baseline_2021PP")</f>
        <v>501.63105743</v>
      </c>
      <c r="P66" s="1719"/>
      <c r="Q66" s="317">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R66" s="1474">
        <f>GETPIVOTDATA("Savings Rate",'AMMO Savings Rates'!$A$3,"Year",$L66,"Measure Index",$A66,"Savings Rate Type","Savings_Rate_2021PP")</f>
        <v>79.381381880000006</v>
      </c>
      <c r="S66" s="1720" t="s">
        <v>1251</v>
      </c>
      <c r="T66" s="318">
        <f t="shared" si="18"/>
        <v>5.7216669972424286E-3</v>
      </c>
      <c r="U66" s="319">
        <f t="shared" si="19"/>
        <v>8.9309965809488724E-4</v>
      </c>
      <c r="V66" s="320">
        <f t="shared" si="20"/>
        <v>4.8285673391475414E-3</v>
      </c>
    </row>
    <row r="67" spans="1:28" s="294" customFormat="1" hidden="1">
      <c r="A67" s="272" t="s">
        <v>769</v>
      </c>
      <c r="B67" s="311" t="s">
        <v>250</v>
      </c>
      <c r="C67" s="311">
        <v>0</v>
      </c>
      <c r="D67" s="311">
        <v>0</v>
      </c>
      <c r="E67" s="311">
        <v>1</v>
      </c>
      <c r="F67" s="311">
        <v>1</v>
      </c>
      <c r="G67" s="311" t="b">
        <v>1</v>
      </c>
      <c r="H67" s="348" t="s">
        <v>236</v>
      </c>
      <c r="I67" s="727" t="str">
        <f>INDEX('AMMO Measures'!B:B,MATCH($A67,'AMMO Measures'!$A:$A,0))</f>
        <v>Heat Pump Water Heaters</v>
      </c>
      <c r="J67" s="727" t="str">
        <f>INDEX('AMMO Measures'!C:C,MATCH($A67,'AMMO Measures'!$A:$A,0))</f>
        <v>HPWH (&gt;55 gallons) New Construction</v>
      </c>
      <c r="K67" s="727" t="str">
        <f>INDEX('AMMO Measures'!D:D,MATCH($A67,'AMMO Measures'!$A:$A,0))</f>
        <v>Tier 4</v>
      </c>
      <c r="L67" s="24">
        <v>2025</v>
      </c>
      <c r="M67" s="322">
        <f>GETPIVOTDATA("Units",'AMMO Units'!$A$3,"Year",$L67,"Measure Index",$A67,"Savings Category","Regional_Market_2021PP")</f>
        <v>50.163105739999999</v>
      </c>
      <c r="N67" s="323">
        <f>GETPIVOTDATA("Units",'AMMO Units'!$A$3,"Year",$L67,"Measure Index",$A67,"Savings Category","Local_Incentives_2021PP")</f>
        <v>0</v>
      </c>
      <c r="O67" s="323">
        <f>GETPIVOTDATA("Units",'AMMO Units'!$A$3,"Year",$L67,"Measure Index",$A67,"Savings Category","Baseline_2021PP")</f>
        <v>5.0163105699999999</v>
      </c>
      <c r="P67" s="1719"/>
      <c r="Q67" s="317">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R67" s="1474">
        <f>GETPIVOTDATA("Savings Rate",'AMMO Savings Rates'!$A$3,"Year",$L67,"Measure Index",$A67,"Savings Rate Type","Savings_Rate_2021PP")</f>
        <v>136.15811083</v>
      </c>
      <c r="S67" s="1720" t="s">
        <v>1251</v>
      </c>
      <c r="T67" s="318">
        <f t="shared" si="18"/>
        <v>9.8140313346535329E-5</v>
      </c>
      <c r="U67" s="319">
        <f t="shared" si="19"/>
        <v>0</v>
      </c>
      <c r="V67" s="320">
        <f t="shared" si="20"/>
        <v>9.8140313346535329E-5</v>
      </c>
    </row>
    <row r="68" spans="1:28" s="294" customFormat="1" hidden="1">
      <c r="A68" s="272" t="s">
        <v>770</v>
      </c>
      <c r="B68" s="311" t="s">
        <v>250</v>
      </c>
      <c r="C68" s="311">
        <v>0</v>
      </c>
      <c r="D68" s="311">
        <v>0</v>
      </c>
      <c r="E68" s="311">
        <v>1</v>
      </c>
      <c r="F68" s="311">
        <v>1</v>
      </c>
      <c r="G68" s="311" t="b">
        <v>1</v>
      </c>
      <c r="H68" s="348" t="s">
        <v>236</v>
      </c>
      <c r="I68" s="727" t="str">
        <f>INDEX('AMMO Measures'!B:B,MATCH($A68,'AMMO Measures'!$A:$A,0))</f>
        <v>Heat Pump Water Heaters</v>
      </c>
      <c r="J68" s="727" t="str">
        <f>INDEX('AMMO Measures'!C:C,MATCH($A68,'AMMO Measures'!$A:$A,0))</f>
        <v>HPWH (&lt;=55 gallons) Existing Construction</v>
      </c>
      <c r="K68" s="727" t="str">
        <f>INDEX('AMMO Measures'!D:D,MATCH($A68,'AMMO Measures'!$A:$A,0))</f>
        <v>Tier 3</v>
      </c>
      <c r="L68" s="24">
        <v>2025</v>
      </c>
      <c r="M68" s="322">
        <f>GETPIVOTDATA("Units",'AMMO Units'!$A$3,"Year",$L68,"Measure Index",$A68,"Savings Category","Regional_Market_2021PP")</f>
        <v>29499.4738105</v>
      </c>
      <c r="N68" s="323">
        <f>GETPIVOTDATA("Units",'AMMO Units'!$A$3,"Year",$L68,"Measure Index",$A68,"Savings Category","Local_Incentives_2021PP")</f>
        <v>5899.8947620999998</v>
      </c>
      <c r="O68" s="323">
        <f>GETPIVOTDATA("Units",'AMMO Units'!$A$3,"Year",$L68,"Measure Index",$A68,"Savings Category","Baseline_2021PP")</f>
        <v>1032.48158337</v>
      </c>
      <c r="P68" s="1719"/>
      <c r="Q68" s="317">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R68" s="1474">
        <f>GETPIVOTDATA("Savings Rate",'AMMO Savings Rates'!$A$3,"Year",$L68,"Measure Index",$A68,"Savings Rate Type","Savings_Rate_2021PP")</f>
        <v>169.11900077000001</v>
      </c>
      <c r="S68" s="1720" t="s">
        <v>1251</v>
      </c>
      <c r="T68" s="318">
        <f t="shared" si="18"/>
        <v>7.6861876565840981E-2</v>
      </c>
      <c r="U68" s="319">
        <f t="shared" si="19"/>
        <v>1.5372375313168197E-2</v>
      </c>
      <c r="V68" s="320">
        <f t="shared" si="20"/>
        <v>6.1489501252672787E-2</v>
      </c>
    </row>
    <row r="69" spans="1:28" s="294" customFormat="1" hidden="1">
      <c r="A69" s="272" t="s">
        <v>771</v>
      </c>
      <c r="B69" s="311" t="s">
        <v>250</v>
      </c>
      <c r="C69" s="311">
        <v>0</v>
      </c>
      <c r="D69" s="311">
        <v>0</v>
      </c>
      <c r="E69" s="311">
        <v>1</v>
      </c>
      <c r="F69" s="311">
        <v>1</v>
      </c>
      <c r="G69" s="311" t="b">
        <v>1</v>
      </c>
      <c r="H69" s="348" t="s">
        <v>236</v>
      </c>
      <c r="I69" s="727" t="str">
        <f>INDEX('AMMO Measures'!B:B,MATCH($A69,'AMMO Measures'!$A:$A,0))</f>
        <v>Heat Pump Water Heaters</v>
      </c>
      <c r="J69" s="727" t="str">
        <f>INDEX('AMMO Measures'!C:C,MATCH($A69,'AMMO Measures'!$A:$A,0))</f>
        <v>HPWH (&lt;=55 gallons) Existing Construction</v>
      </c>
      <c r="K69" s="727" t="str">
        <f>INDEX('AMMO Measures'!D:D,MATCH($A69,'AMMO Measures'!$A:$A,0))</f>
        <v>Tier 4</v>
      </c>
      <c r="L69" s="24">
        <v>2025</v>
      </c>
      <c r="M69" s="322">
        <f>GETPIVOTDATA("Units",'AMMO Units'!$A$3,"Year",$L69,"Measure Index",$A69,"Savings Category","Regional_Market_2021PP")</f>
        <v>297.97448293000002</v>
      </c>
      <c r="N69" s="323">
        <f>GETPIVOTDATA("Units",'AMMO Units'!$A$3,"Year",$L69,"Measure Index",$A69,"Savings Category","Local_Incentives_2021PP")</f>
        <v>140.60378082</v>
      </c>
      <c r="O69" s="323">
        <f>GETPIVOTDATA("Units",'AMMO Units'!$A$3,"Year",$L69,"Measure Index",$A69,"Savings Category","Baseline_2021PP")</f>
        <v>10.429106900000001</v>
      </c>
      <c r="P69" s="1719"/>
      <c r="Q69" s="317">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R69" s="1474">
        <f>$K$83</f>
        <v>298.07860697920228</v>
      </c>
      <c r="S69" s="1720" t="s">
        <v>1251</v>
      </c>
      <c r="T69" s="318">
        <f t="shared" si="18"/>
        <v>1.3684035520808099E-3</v>
      </c>
      <c r="U69" s="319">
        <f t="shared" si="19"/>
        <v>6.4570197829751346E-4</v>
      </c>
      <c r="V69" s="320">
        <f t="shared" si="20"/>
        <v>7.2270157378329645E-4</v>
      </c>
    </row>
    <row r="70" spans="1:28" ht="12.75" customHeight="1">
      <c r="F70" s="311"/>
      <c r="AA70" s="270"/>
      <c r="AB70" s="270"/>
    </row>
    <row r="71" spans="1:28" ht="12.75" customHeight="1">
      <c r="F71" s="311"/>
      <c r="AA71" s="270"/>
      <c r="AB71" s="270"/>
    </row>
    <row r="72" spans="1:28" ht="12.75" customHeight="1" outlineLevel="1">
      <c r="F72" s="311"/>
      <c r="H72" s="504" t="s">
        <v>1215</v>
      </c>
      <c r="AA72" s="270"/>
      <c r="AB72" s="270"/>
    </row>
    <row r="73" spans="1:28" ht="12.75" customHeight="1" outlineLevel="1">
      <c r="F73" s="311"/>
      <c r="H73" s="2631" t="s">
        <v>1172</v>
      </c>
      <c r="I73" s="2632"/>
      <c r="J73" s="2632"/>
      <c r="K73" s="2632"/>
      <c r="L73" s="2632"/>
      <c r="M73" s="2632"/>
      <c r="N73" s="2632"/>
      <c r="O73" s="2632"/>
      <c r="P73" s="2632"/>
      <c r="Q73" s="2632"/>
      <c r="R73" s="2632"/>
      <c r="S73" s="2632"/>
      <c r="T73" s="2632"/>
      <c r="U73" s="2632"/>
      <c r="V73" s="2633"/>
      <c r="AA73" s="270"/>
      <c r="AB73" s="270"/>
    </row>
    <row r="74" spans="1:28" ht="35.25" customHeight="1" outlineLevel="1">
      <c r="F74" s="311"/>
      <c r="H74" s="2634"/>
      <c r="I74" s="2635"/>
      <c r="J74" s="2635"/>
      <c r="K74" s="2635"/>
      <c r="L74" s="2635"/>
      <c r="M74" s="2635"/>
      <c r="N74" s="2635"/>
      <c r="O74" s="2635"/>
      <c r="P74" s="2635"/>
      <c r="Q74" s="2635"/>
      <c r="R74" s="2635"/>
      <c r="S74" s="2635"/>
      <c r="T74" s="2635"/>
      <c r="U74" s="2635"/>
      <c r="V74" s="2636"/>
    </row>
    <row r="75" spans="1:28" ht="12.75" customHeight="1" outlineLevel="1">
      <c r="F75" s="311"/>
      <c r="I75" s="294"/>
      <c r="J75" s="510"/>
    </row>
    <row r="76" spans="1:28" ht="12.75" customHeight="1" outlineLevel="1">
      <c r="F76" s="311"/>
      <c r="H76" s="2638" t="s">
        <v>979</v>
      </c>
      <c r="I76" s="2638"/>
      <c r="J76" s="2638"/>
      <c r="K76" s="2638"/>
      <c r="L76" s="2638"/>
      <c r="M76" s="2638"/>
      <c r="N76" s="2638"/>
      <c r="O76" s="2638"/>
      <c r="P76"/>
      <c r="Q76"/>
      <c r="R76"/>
      <c r="S76"/>
    </row>
    <row r="77" spans="1:28" s="270" customFormat="1" ht="12.75" customHeight="1" outlineLevel="1">
      <c r="H77" s="2639"/>
      <c r="I77" s="2639"/>
      <c r="J77" s="2639"/>
      <c r="K77" s="2639"/>
      <c r="L77" s="2639"/>
      <c r="M77" s="2639"/>
      <c r="N77" s="2639"/>
      <c r="O77" s="2639"/>
      <c r="P77"/>
      <c r="Q77"/>
      <c r="R77"/>
      <c r="S77"/>
    </row>
    <row r="78" spans="1:28" ht="12.75" customHeight="1" outlineLevel="1">
      <c r="F78" s="311"/>
      <c r="H78" s="2629" t="s">
        <v>985</v>
      </c>
      <c r="I78" s="2629" t="s">
        <v>731</v>
      </c>
      <c r="J78" s="2629" t="s">
        <v>734</v>
      </c>
      <c r="K78" s="2630" t="s">
        <v>972</v>
      </c>
      <c r="L78" s="2629">
        <v>2022</v>
      </c>
      <c r="M78" s="2629"/>
      <c r="N78" s="2629">
        <v>2023</v>
      </c>
      <c r="O78" s="2629"/>
      <c r="P78"/>
      <c r="Q78"/>
      <c r="R78"/>
      <c r="S78"/>
      <c r="AA78" s="270"/>
      <c r="AB78" s="270"/>
    </row>
    <row r="79" spans="1:28" ht="12.75" customHeight="1" outlineLevel="1">
      <c r="F79" s="311"/>
      <c r="H79" s="2629" t="s">
        <v>986</v>
      </c>
      <c r="I79" s="2629" t="s">
        <v>731</v>
      </c>
      <c r="J79" s="2629"/>
      <c r="K79" s="2630"/>
      <c r="L79" s="511" t="s">
        <v>973</v>
      </c>
      <c r="M79" s="511" t="s">
        <v>974</v>
      </c>
      <c r="N79" s="511" t="s">
        <v>973</v>
      </c>
      <c r="O79" s="511" t="s">
        <v>974</v>
      </c>
      <c r="P79"/>
      <c r="Q79"/>
      <c r="R79"/>
      <c r="S79"/>
      <c r="AA79" s="270"/>
      <c r="AB79" s="270"/>
    </row>
    <row r="80" spans="1:28" ht="12.75" customHeight="1" outlineLevel="1">
      <c r="F80" s="311"/>
      <c r="H80" s="512" t="s">
        <v>969</v>
      </c>
      <c r="I80" s="513" t="s">
        <v>157</v>
      </c>
      <c r="J80" s="2643" t="s">
        <v>820</v>
      </c>
      <c r="K80" s="514">
        <f>$Q$216</f>
        <v>1048.6051301141754</v>
      </c>
      <c r="L80" s="514"/>
      <c r="M80" s="514"/>
      <c r="N80" s="514"/>
      <c r="O80" s="514"/>
      <c r="P80"/>
      <c r="Q80"/>
      <c r="R80"/>
      <c r="S80"/>
      <c r="AA80" s="270"/>
      <c r="AB80" s="270"/>
    </row>
    <row r="81" spans="6:28" ht="12.75" customHeight="1" outlineLevel="1">
      <c r="F81" s="311"/>
      <c r="H81" s="512" t="s">
        <v>969</v>
      </c>
      <c r="I81" s="513" t="s">
        <v>158</v>
      </c>
      <c r="J81" s="2644"/>
      <c r="K81" s="514">
        <f>$Q$218</f>
        <v>289.10236290662215</v>
      </c>
      <c r="L81" s="514"/>
      <c r="M81" s="514"/>
      <c r="N81" s="514"/>
      <c r="O81" s="514"/>
      <c r="P81"/>
      <c r="Q81"/>
      <c r="R81"/>
      <c r="S81"/>
      <c r="AA81" s="270"/>
      <c r="AB81" s="270"/>
    </row>
    <row r="82" spans="6:28" ht="12.75" customHeight="1" outlineLevel="1">
      <c r="F82" s="311"/>
      <c r="H82" s="512" t="s">
        <v>969</v>
      </c>
      <c r="I82" s="513" t="s">
        <v>818</v>
      </c>
      <c r="J82" s="2644"/>
      <c r="K82" s="515">
        <f>$Q$220</f>
        <v>169</v>
      </c>
      <c r="L82" s="515"/>
      <c r="M82" s="515"/>
      <c r="N82" s="515"/>
      <c r="O82" s="515"/>
      <c r="P82"/>
      <c r="Q82"/>
      <c r="R82"/>
      <c r="S82"/>
    </row>
    <row r="83" spans="6:28" ht="12.75" customHeight="1" outlineLevel="1">
      <c r="F83" s="311"/>
      <c r="H83" s="512" t="s">
        <v>969</v>
      </c>
      <c r="I83" s="513" t="s">
        <v>819</v>
      </c>
      <c r="J83" s="2645"/>
      <c r="K83" s="515">
        <f>$K$252</f>
        <v>298.07860697920228</v>
      </c>
      <c r="L83" s="515"/>
      <c r="M83" s="515"/>
      <c r="N83" s="515"/>
      <c r="O83" s="515"/>
      <c r="P83"/>
      <c r="Q83"/>
      <c r="R83"/>
      <c r="S83"/>
    </row>
    <row r="84" spans="6:28" ht="12.75" customHeight="1" outlineLevel="1">
      <c r="F84" s="311"/>
      <c r="H84" s="512" t="s">
        <v>970</v>
      </c>
      <c r="I84" s="513" t="s">
        <v>157</v>
      </c>
      <c r="J84" s="2640" t="s">
        <v>978</v>
      </c>
      <c r="K84" s="516"/>
      <c r="L84" s="516">
        <f t="shared" ref="L84:M87" si="21">$K80*T$266</f>
        <v>551.42220683795506</v>
      </c>
      <c r="M84" s="516">
        <f t="shared" si="21"/>
        <v>420.89998641309217</v>
      </c>
      <c r="N84" s="516">
        <f t="shared" ref="N84:O87" si="22">$K80*T$267</f>
        <v>543.2097466841235</v>
      </c>
      <c r="O84" s="516">
        <f t="shared" si="22"/>
        <v>406.986355437523</v>
      </c>
      <c r="P84"/>
      <c r="Q84"/>
      <c r="R84"/>
      <c r="S84"/>
    </row>
    <row r="85" spans="6:28" ht="12.75" customHeight="1" outlineLevel="1">
      <c r="F85" s="311"/>
      <c r="H85" s="512" t="s">
        <v>970</v>
      </c>
      <c r="I85" s="513" t="s">
        <v>158</v>
      </c>
      <c r="J85" s="2641"/>
      <c r="K85" s="516"/>
      <c r="L85" s="516">
        <f t="shared" si="21"/>
        <v>152.02811656917896</v>
      </c>
      <c r="M85" s="516">
        <f t="shared" si="21"/>
        <v>116.042900349096</v>
      </c>
      <c r="N85" s="516">
        <f t="shared" si="22"/>
        <v>149.76392620088401</v>
      </c>
      <c r="O85" s="516">
        <f t="shared" si="22"/>
        <v>112.20688669998307</v>
      </c>
      <c r="P85"/>
      <c r="Q85"/>
      <c r="R85"/>
      <c r="S85"/>
    </row>
    <row r="86" spans="6:28" ht="12.75" customHeight="1" outlineLevel="1">
      <c r="F86" s="311"/>
      <c r="H86" s="512" t="s">
        <v>970</v>
      </c>
      <c r="I86" s="513" t="s">
        <v>818</v>
      </c>
      <c r="J86" s="2641"/>
      <c r="K86" s="516"/>
      <c r="L86" s="516">
        <f t="shared" si="21"/>
        <v>88.870777263379921</v>
      </c>
      <c r="M86" s="516">
        <f t="shared" si="21"/>
        <v>67.834970153223921</v>
      </c>
      <c r="N86" s="516">
        <f t="shared" si="22"/>
        <v>87.547203950471925</v>
      </c>
      <c r="O86" s="516">
        <f t="shared" si="22"/>
        <v>65.592559194758408</v>
      </c>
      <c r="P86"/>
      <c r="Q86"/>
      <c r="R86"/>
      <c r="S86"/>
    </row>
    <row r="87" spans="6:28" ht="12.75" customHeight="1" outlineLevel="1">
      <c r="F87" s="311"/>
      <c r="H87" s="512" t="s">
        <v>970</v>
      </c>
      <c r="I87" s="513" t="s">
        <v>819</v>
      </c>
      <c r="J87" s="2642"/>
      <c r="K87" s="516"/>
      <c r="L87" s="516">
        <f t="shared" si="21"/>
        <v>156.74838750193638</v>
      </c>
      <c r="M87" s="516">
        <f t="shared" si="21"/>
        <v>119.64587815235947</v>
      </c>
      <c r="N87" s="516">
        <f t="shared" si="22"/>
        <v>154.4138970324307</v>
      </c>
      <c r="O87" s="516">
        <f t="shared" si="22"/>
        <v>115.69076137854705</v>
      </c>
      <c r="P87"/>
      <c r="Q87"/>
      <c r="R87"/>
      <c r="S87"/>
    </row>
    <row r="88" spans="6:28" ht="12" customHeight="1" outlineLevel="1">
      <c r="F88" s="311"/>
      <c r="L88" s="517" t="str">
        <f>"HPWH (&lt;=55 gallons) New Construction"&amp;$L$78</f>
        <v>HPWH (&lt;=55 gallons) New Construction2022</v>
      </c>
      <c r="M88" s="517" t="str">
        <f>"HPWH (&gt;55 gallons) New Construction"&amp;$L$78</f>
        <v>HPWH (&gt;55 gallons) New Construction2022</v>
      </c>
      <c r="N88" s="517" t="str">
        <f>"HPWH (&lt;=55 gallons) New Construction"&amp;$N$78</f>
        <v>HPWH (&lt;=55 gallons) New Construction2023</v>
      </c>
      <c r="O88" s="517" t="str">
        <f>"HPWH (&gt;55 gallons) New Construction"&amp;$N$78</f>
        <v>HPWH (&gt;55 gallons) New Construction2023</v>
      </c>
      <c r="P88"/>
      <c r="Q88"/>
      <c r="R88"/>
      <c r="S88"/>
    </row>
    <row r="89" spans="6:28" ht="12" customHeight="1" outlineLevel="1">
      <c r="F89" s="311"/>
      <c r="H89" s="2637" t="s">
        <v>992</v>
      </c>
      <c r="I89" s="2637"/>
      <c r="J89" s="2637"/>
      <c r="K89" s="2637"/>
      <c r="L89" s="2637"/>
      <c r="M89" s="2637"/>
      <c r="N89" s="2637"/>
      <c r="O89" s="2637"/>
      <c r="P89"/>
      <c r="Q89"/>
      <c r="R89"/>
      <c r="S89"/>
    </row>
    <row r="90" spans="6:28" ht="53.25" customHeight="1" outlineLevel="1">
      <c r="F90" s="311"/>
      <c r="H90" s="2637"/>
      <c r="I90" s="2637"/>
      <c r="J90" s="2637"/>
      <c r="K90" s="2637"/>
      <c r="L90" s="2637"/>
      <c r="M90" s="2637"/>
      <c r="N90" s="2637"/>
      <c r="O90" s="2637"/>
    </row>
    <row r="91" spans="6:28" ht="12" customHeight="1" outlineLevel="1">
      <c r="F91" s="311"/>
      <c r="H91" s="518" t="s">
        <v>993</v>
      </c>
      <c r="L91" s="517"/>
      <c r="M91" s="517"/>
      <c r="N91" s="517"/>
      <c r="O91" s="517"/>
    </row>
    <row r="92" spans="6:28" ht="12" customHeight="1" outlineLevel="1">
      <c r="F92" s="311"/>
      <c r="L92" s="517"/>
      <c r="M92" s="517"/>
      <c r="N92" s="517"/>
      <c r="O92" s="517"/>
    </row>
    <row r="93" spans="6:28" ht="12.75" customHeight="1" outlineLevel="1">
      <c r="N93" s="274"/>
      <c r="O93" s="274"/>
      <c r="P93" s="274"/>
      <c r="Z93" s="519"/>
      <c r="AA93" s="519"/>
      <c r="AB93" s="519"/>
    </row>
    <row r="94" spans="6:28" ht="27" customHeight="1" outlineLevel="1" thickBot="1">
      <c r="F94" s="311"/>
      <c r="H94" s="497" t="s">
        <v>1040</v>
      </c>
      <c r="I94" s="497"/>
      <c r="J94" s="497"/>
      <c r="K94" s="497"/>
      <c r="L94" s="497"/>
      <c r="M94" s="497"/>
      <c r="N94" s="497"/>
      <c r="O94" s="497"/>
      <c r="P94" s="497"/>
      <c r="Q94" s="497"/>
      <c r="R94" s="497"/>
      <c r="S94" s="497"/>
      <c r="T94" s="497"/>
      <c r="U94" s="497"/>
      <c r="V94" s="497"/>
      <c r="W94" s="497"/>
    </row>
    <row r="95" spans="6:28" ht="12.75" customHeight="1" outlineLevel="1" thickTop="1">
      <c r="N95" s="274"/>
      <c r="O95" s="274"/>
      <c r="P95" s="274"/>
      <c r="Z95" s="519"/>
      <c r="AA95" s="519"/>
      <c r="AB95" s="519"/>
    </row>
    <row r="96" spans="6:28" ht="12.75" customHeight="1" outlineLevel="1">
      <c r="H96" s="274" t="s">
        <v>1167</v>
      </c>
      <c r="N96" s="274"/>
      <c r="O96" s="274"/>
      <c r="P96" s="274"/>
      <c r="Z96" s="519"/>
      <c r="AA96" s="519"/>
      <c r="AB96" s="519"/>
    </row>
    <row r="97" spans="8:47" ht="12.75" customHeight="1" outlineLevel="1" thickBot="1">
      <c r="N97" s="274"/>
      <c r="O97" s="274"/>
      <c r="P97" s="274"/>
      <c r="Z97" s="519"/>
      <c r="AA97" s="519"/>
      <c r="AB97" s="519"/>
    </row>
    <row r="98" spans="8:47" ht="12.75" customHeight="1" outlineLevel="1" thickTop="1" thickBot="1">
      <c r="H98" s="270" t="s">
        <v>589</v>
      </c>
      <c r="I98" s="499" t="s">
        <v>1316</v>
      </c>
      <c r="J98" s="274" t="s">
        <v>1320</v>
      </c>
      <c r="N98" s="274"/>
      <c r="O98" s="274"/>
      <c r="P98" s="274"/>
      <c r="Y98" s="270"/>
      <c r="Z98" s="270"/>
      <c r="AA98" s="270"/>
      <c r="AB98" s="519"/>
    </row>
    <row r="99" spans="8:47" ht="12.75" customHeight="1" outlineLevel="1" thickTop="1" thickBot="1">
      <c r="N99" s="274"/>
      <c r="O99" s="274"/>
      <c r="P99" s="274"/>
      <c r="Y99" s="270"/>
      <c r="Z99" s="270"/>
      <c r="AA99" s="270"/>
      <c r="AB99" s="519"/>
    </row>
    <row r="100" spans="8:47" ht="12.75" customHeight="1" outlineLevel="1" thickBot="1">
      <c r="H100" s="2626" t="s">
        <v>646</v>
      </c>
      <c r="I100" s="2627"/>
      <c r="J100" s="2627"/>
      <c r="K100" s="2628"/>
      <c r="L100" s="520"/>
      <c r="M100" s="274"/>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row>
    <row r="101" spans="8:47" ht="12.75" customHeight="1" outlineLevel="1">
      <c r="M101" s="274"/>
      <c r="N101" s="270"/>
      <c r="O101" s="270"/>
      <c r="P101" s="270"/>
      <c r="Q101" s="270"/>
      <c r="R101" s="270"/>
      <c r="S101" s="270"/>
      <c r="T101" s="270"/>
      <c r="U101" s="270"/>
      <c r="V101" s="270"/>
      <c r="W101" s="270"/>
      <c r="X101" s="521"/>
      <c r="Y101" s="270"/>
      <c r="Z101" s="270"/>
      <c r="AA101" s="270"/>
      <c r="AC101" s="270"/>
      <c r="AD101" s="270"/>
      <c r="AE101" s="270"/>
      <c r="AF101" s="270"/>
      <c r="AG101" s="270"/>
      <c r="AH101" s="270"/>
      <c r="AI101" s="270"/>
      <c r="AJ101" s="270"/>
    </row>
    <row r="102" spans="8:47" ht="12.75" customHeight="1" outlineLevel="1">
      <c r="H102" s="274" t="s">
        <v>827</v>
      </c>
      <c r="I102" s="2625" t="s">
        <v>828</v>
      </c>
      <c r="J102" s="2625"/>
      <c r="K102" s="2625"/>
      <c r="M102" s="274"/>
      <c r="N102" s="270"/>
      <c r="O102" s="270"/>
      <c r="P102" s="270"/>
      <c r="Q102" s="270"/>
      <c r="R102" s="270"/>
      <c r="S102" s="270"/>
      <c r="T102" s="270"/>
      <c r="U102" s="270"/>
      <c r="V102" s="270"/>
      <c r="W102" s="270"/>
      <c r="X102" s="270"/>
      <c r="Y102" s="270"/>
      <c r="Z102" s="270"/>
      <c r="AA102" s="270"/>
      <c r="AC102" s="270"/>
      <c r="AD102" s="270"/>
      <c r="AE102" s="270"/>
      <c r="AF102" s="270"/>
      <c r="AG102" s="270"/>
      <c r="AH102" s="270"/>
      <c r="AI102" s="270"/>
      <c r="AJ102" s="270"/>
    </row>
    <row r="103" spans="8:47" ht="12.75" customHeight="1" outlineLevel="1">
      <c r="I103" s="570" t="s">
        <v>643</v>
      </c>
      <c r="J103" s="570" t="s">
        <v>644</v>
      </c>
      <c r="K103" s="570" t="s">
        <v>645</v>
      </c>
      <c r="M103" s="274"/>
      <c r="N103" s="2650" t="s">
        <v>829</v>
      </c>
      <c r="O103" s="2651"/>
      <c r="P103" s="2651"/>
      <c r="Q103" s="2651"/>
      <c r="R103" s="2652"/>
      <c r="S103" s="2653" t="s">
        <v>830</v>
      </c>
      <c r="T103" s="2654"/>
      <c r="U103" s="2654"/>
      <c r="V103" s="2654"/>
      <c r="W103" s="2655"/>
      <c r="X103" s="571" t="s">
        <v>826</v>
      </c>
      <c r="Y103" s="270"/>
      <c r="Z103" s="270"/>
      <c r="AA103" s="270"/>
      <c r="AD103" s="521"/>
      <c r="AE103" s="521"/>
      <c r="AF103" s="521"/>
      <c r="AH103" s="521"/>
      <c r="AI103" s="521"/>
      <c r="AJ103" s="521"/>
    </row>
    <row r="104" spans="8:47" ht="12.75" customHeight="1" outlineLevel="1">
      <c r="H104" s="570" t="s">
        <v>1041</v>
      </c>
      <c r="I104" s="522">
        <v>911.88228122151418</v>
      </c>
      <c r="J104" s="522">
        <v>0</v>
      </c>
      <c r="K104" s="522">
        <v>0</v>
      </c>
      <c r="L104" s="522"/>
      <c r="M104" s="522"/>
      <c r="N104" s="572" t="s">
        <v>1080</v>
      </c>
      <c r="O104" s="523" t="s">
        <v>608</v>
      </c>
      <c r="P104" s="523" t="s">
        <v>609</v>
      </c>
      <c r="Q104" s="523" t="s">
        <v>619</v>
      </c>
      <c r="R104" s="523"/>
      <c r="S104" s="524" t="str">
        <f t="shared" ref="S104:S119" si="23">N104</f>
        <v>Tier1</v>
      </c>
      <c r="T104" s="524" t="str">
        <f t="shared" ref="T104:T119" si="24">IF(O104="basmnt","Unheated Basement",IF(O104="indor2","Interior",IF(O104="ducted","Interior - Exhaust Ducted",O104)))</f>
        <v>garage</v>
      </c>
      <c r="U104" s="524" t="str">
        <f t="shared" ref="U104:U119" si="25">P104</f>
        <v>HZ1</v>
      </c>
      <c r="V104" s="524" t="str">
        <f t="shared" ref="V104:V119" si="26">IF(OR(R104="0-55gallons",R104="&gt;55gallons",R104="AnySize"),IF(Q104="resistheat","Electric Resistance",IF(Q104="hp85","Heat Pump HSPF 8.5",Q104)),"Any")</f>
        <v>Any</v>
      </c>
      <c r="W104" s="524" t="str">
        <f t="shared" ref="W104:W119" si="27">IF(V104="Any",Q104,R104)</f>
        <v>AnySize</v>
      </c>
      <c r="X104" s="525">
        <f t="shared" ref="X104:X135" si="28">IF(S104="tier1",IFERROR(INDEX($L$202:$N$206,MATCH(T104&amp;V104,$K$202:$K$206,0),MATCH(U104,$L$200:$N$200,0)),""),IFERROR(INDEX($T$202:$V$209,MATCH(T104&amp;V104,$S$202:$S$209,0),MATCH(U104,$T$200:$V$200,0)),""))</f>
        <v>0.30443599999999998</v>
      </c>
      <c r="Y104" s="270"/>
      <c r="Z104" s="270"/>
      <c r="AA104" s="270"/>
      <c r="AC104" s="526"/>
      <c r="AD104" s="527"/>
      <c r="AE104" s="527"/>
      <c r="AF104" s="527"/>
      <c r="AG104" s="526"/>
      <c r="AH104" s="527"/>
      <c r="AI104" s="527"/>
      <c r="AJ104" s="527"/>
    </row>
    <row r="105" spans="8:47" ht="12.75" customHeight="1" outlineLevel="1">
      <c r="H105" s="570" t="s">
        <v>1042</v>
      </c>
      <c r="I105" s="522">
        <v>756.37411054433676</v>
      </c>
      <c r="J105" s="522">
        <v>0</v>
      </c>
      <c r="K105" s="522">
        <v>0</v>
      </c>
      <c r="L105" s="522"/>
      <c r="M105" s="522"/>
      <c r="N105" s="572" t="s">
        <v>1080</v>
      </c>
      <c r="O105" s="523" t="s">
        <v>608</v>
      </c>
      <c r="P105" s="523" t="s">
        <v>610</v>
      </c>
      <c r="Q105" s="523" t="s">
        <v>619</v>
      </c>
      <c r="R105" s="523"/>
      <c r="S105" s="524" t="str">
        <f t="shared" si="23"/>
        <v>Tier1</v>
      </c>
      <c r="T105" s="524" t="str">
        <f t="shared" si="24"/>
        <v>garage</v>
      </c>
      <c r="U105" s="524" t="str">
        <f t="shared" si="25"/>
        <v>HZ2</v>
      </c>
      <c r="V105" s="524" t="str">
        <f t="shared" si="26"/>
        <v>Any</v>
      </c>
      <c r="W105" s="524" t="str">
        <f t="shared" si="27"/>
        <v>AnySize</v>
      </c>
      <c r="X105" s="525">
        <f t="shared" si="28"/>
        <v>3.4254E-2</v>
      </c>
      <c r="Y105" s="270"/>
      <c r="Z105" s="270"/>
      <c r="AA105" s="270"/>
      <c r="AC105" s="526"/>
      <c r="AD105" s="527"/>
      <c r="AE105" s="527"/>
      <c r="AF105" s="527"/>
      <c r="AG105" s="526"/>
      <c r="AH105" s="527"/>
      <c r="AI105" s="527"/>
      <c r="AJ105" s="527"/>
    </row>
    <row r="106" spans="8:47" ht="12.75" customHeight="1" outlineLevel="1">
      <c r="H106" s="570" t="s">
        <v>1043</v>
      </c>
      <c r="I106" s="522">
        <v>574.54029655327577</v>
      </c>
      <c r="J106" s="522">
        <v>0</v>
      </c>
      <c r="K106" s="522">
        <v>0</v>
      </c>
      <c r="L106" s="522"/>
      <c r="M106" s="522"/>
      <c r="N106" s="572" t="s">
        <v>1080</v>
      </c>
      <c r="O106" s="523" t="s">
        <v>608</v>
      </c>
      <c r="P106" s="523" t="s">
        <v>611</v>
      </c>
      <c r="Q106" s="523" t="s">
        <v>619</v>
      </c>
      <c r="R106" s="523"/>
      <c r="S106" s="524" t="str">
        <f t="shared" si="23"/>
        <v>Tier1</v>
      </c>
      <c r="T106" s="524" t="str">
        <f t="shared" si="24"/>
        <v>garage</v>
      </c>
      <c r="U106" s="524" t="str">
        <f t="shared" si="25"/>
        <v>HZ3</v>
      </c>
      <c r="V106" s="524" t="str">
        <f t="shared" si="26"/>
        <v>Any</v>
      </c>
      <c r="W106" s="524" t="str">
        <f t="shared" si="27"/>
        <v>AnySize</v>
      </c>
      <c r="X106" s="525">
        <f t="shared" si="28"/>
        <v>7.1999999999999998E-3</v>
      </c>
      <c r="Y106" s="270"/>
      <c r="Z106" s="270"/>
      <c r="AA106" s="270"/>
      <c r="AC106" s="526"/>
      <c r="AD106" s="527"/>
      <c r="AE106" s="527"/>
      <c r="AF106" s="527"/>
      <c r="AG106" s="526"/>
      <c r="AH106" s="527"/>
      <c r="AI106" s="527"/>
      <c r="AJ106" s="527"/>
    </row>
    <row r="107" spans="8:47" ht="12.75" customHeight="1" outlineLevel="1">
      <c r="H107" s="570" t="s">
        <v>1044</v>
      </c>
      <c r="I107" s="522">
        <v>958.53748830240897</v>
      </c>
      <c r="J107" s="522">
        <v>0</v>
      </c>
      <c r="K107" s="522">
        <v>0</v>
      </c>
      <c r="L107" s="522"/>
      <c r="M107" s="522"/>
      <c r="N107" s="572" t="s">
        <v>1080</v>
      </c>
      <c r="O107" s="523" t="s">
        <v>612</v>
      </c>
      <c r="P107" s="523" t="s">
        <v>609</v>
      </c>
      <c r="Q107" s="523" t="s">
        <v>619</v>
      </c>
      <c r="R107" s="523"/>
      <c r="S107" s="524" t="str">
        <f t="shared" si="23"/>
        <v>Tier1</v>
      </c>
      <c r="T107" s="524" t="str">
        <f t="shared" si="24"/>
        <v>Unheated Basement</v>
      </c>
      <c r="U107" s="524" t="str">
        <f t="shared" si="25"/>
        <v>HZ1</v>
      </c>
      <c r="V107" s="524" t="str">
        <f t="shared" si="26"/>
        <v>Any</v>
      </c>
      <c r="W107" s="524" t="str">
        <f t="shared" si="27"/>
        <v>AnySize</v>
      </c>
      <c r="X107" s="525">
        <f t="shared" si="28"/>
        <v>0.22664399999999998</v>
      </c>
      <c r="Y107" s="270"/>
      <c r="Z107" s="270"/>
      <c r="AA107" s="270"/>
      <c r="AC107" s="526"/>
      <c r="AD107" s="527"/>
      <c r="AE107" s="527"/>
      <c r="AF107" s="527"/>
      <c r="AG107" s="526"/>
      <c r="AH107" s="527"/>
      <c r="AI107" s="527"/>
      <c r="AJ107" s="527"/>
    </row>
    <row r="108" spans="8:47" ht="12.75" customHeight="1" outlineLevel="1">
      <c r="H108" s="570" t="s">
        <v>1045</v>
      </c>
      <c r="I108" s="522">
        <v>933.73518844900934</v>
      </c>
      <c r="J108" s="522">
        <v>0</v>
      </c>
      <c r="K108" s="522">
        <v>0</v>
      </c>
      <c r="L108" s="522"/>
      <c r="M108" s="522"/>
      <c r="N108" s="572" t="s">
        <v>1080</v>
      </c>
      <c r="O108" s="523" t="s">
        <v>612</v>
      </c>
      <c r="P108" s="523" t="s">
        <v>610</v>
      </c>
      <c r="Q108" s="523" t="s">
        <v>619</v>
      </c>
      <c r="R108" s="523"/>
      <c r="S108" s="524" t="str">
        <f t="shared" si="23"/>
        <v>Tier1</v>
      </c>
      <c r="T108" s="524" t="str">
        <f t="shared" si="24"/>
        <v>Unheated Basement</v>
      </c>
      <c r="U108" s="524" t="str">
        <f t="shared" si="25"/>
        <v>HZ2</v>
      </c>
      <c r="V108" s="524" t="str">
        <f t="shared" si="26"/>
        <v>Any</v>
      </c>
      <c r="W108" s="524" t="str">
        <f t="shared" si="27"/>
        <v>AnySize</v>
      </c>
      <c r="X108" s="525">
        <f t="shared" si="28"/>
        <v>8.3039999999999989E-2</v>
      </c>
      <c r="Y108" s="270"/>
      <c r="Z108" s="270"/>
      <c r="AA108" s="270"/>
      <c r="AC108" s="526"/>
      <c r="AD108" s="527"/>
      <c r="AE108" s="527"/>
      <c r="AF108" s="527"/>
      <c r="AG108" s="526"/>
      <c r="AH108" s="527"/>
      <c r="AI108" s="527"/>
      <c r="AJ108" s="527"/>
    </row>
    <row r="109" spans="8:47" ht="12.75" customHeight="1" outlineLevel="1">
      <c r="H109" s="570" t="s">
        <v>1046</v>
      </c>
      <c r="I109" s="522">
        <v>865.16667636827003</v>
      </c>
      <c r="J109" s="522">
        <v>0</v>
      </c>
      <c r="K109" s="522">
        <v>0</v>
      </c>
      <c r="L109" s="522"/>
      <c r="M109" s="522"/>
      <c r="N109" s="572" t="s">
        <v>1080</v>
      </c>
      <c r="O109" s="523" t="s">
        <v>612</v>
      </c>
      <c r="P109" s="523" t="s">
        <v>611</v>
      </c>
      <c r="Q109" s="523" t="s">
        <v>619</v>
      </c>
      <c r="R109" s="523"/>
      <c r="S109" s="524" t="str">
        <f t="shared" si="23"/>
        <v>Tier1</v>
      </c>
      <c r="T109" s="524" t="str">
        <f t="shared" si="24"/>
        <v>Unheated Basement</v>
      </c>
      <c r="U109" s="524" t="str">
        <f t="shared" si="25"/>
        <v>HZ3</v>
      </c>
      <c r="V109" s="524" t="str">
        <f t="shared" si="26"/>
        <v>Any</v>
      </c>
      <c r="W109" s="524" t="str">
        <f t="shared" si="27"/>
        <v>AnySize</v>
      </c>
      <c r="X109" s="525">
        <f t="shared" si="28"/>
        <v>4.9279999999999997E-2</v>
      </c>
      <c r="Y109" s="270"/>
      <c r="Z109" s="270"/>
      <c r="AA109" s="270"/>
      <c r="AC109" s="526"/>
      <c r="AD109" s="527"/>
      <c r="AE109" s="527"/>
      <c r="AF109" s="527"/>
      <c r="AG109" s="526"/>
      <c r="AH109" s="527"/>
      <c r="AI109" s="527"/>
      <c r="AJ109" s="527"/>
    </row>
    <row r="110" spans="8:47" ht="12.75" customHeight="1" outlineLevel="1">
      <c r="H110" s="570" t="s">
        <v>1047</v>
      </c>
      <c r="I110" s="522">
        <v>1087.4309261352419</v>
      </c>
      <c r="J110" s="522">
        <v>-16.693160849865031</v>
      </c>
      <c r="K110" s="522">
        <v>15.487681402120463</v>
      </c>
      <c r="L110" s="522"/>
      <c r="M110" s="522"/>
      <c r="N110" s="572" t="s">
        <v>1080</v>
      </c>
      <c r="O110" s="523" t="s">
        <v>613</v>
      </c>
      <c r="P110" s="523" t="s">
        <v>609</v>
      </c>
      <c r="Q110" s="523" t="s">
        <v>614</v>
      </c>
      <c r="R110" s="523" t="s">
        <v>619</v>
      </c>
      <c r="S110" s="524" t="str">
        <f t="shared" si="23"/>
        <v>Tier1</v>
      </c>
      <c r="T110" s="524" t="str">
        <f t="shared" si="24"/>
        <v>Interior</v>
      </c>
      <c r="U110" s="524" t="str">
        <f t="shared" si="25"/>
        <v>HZ1</v>
      </c>
      <c r="V110" s="524" t="str">
        <f t="shared" si="26"/>
        <v>gas</v>
      </c>
      <c r="W110" s="524" t="str">
        <f t="shared" si="27"/>
        <v>AnySize</v>
      </c>
      <c r="X110" s="525">
        <f t="shared" si="28"/>
        <v>0.13917587199999995</v>
      </c>
      <c r="Y110" s="270"/>
      <c r="Z110" s="270"/>
      <c r="AA110" s="270"/>
      <c r="AC110" s="526"/>
      <c r="AD110" s="527"/>
      <c r="AE110" s="527"/>
      <c r="AF110" s="527"/>
      <c r="AG110" s="526"/>
      <c r="AH110" s="527"/>
      <c r="AI110" s="527"/>
      <c r="AJ110" s="527"/>
    </row>
    <row r="111" spans="8:47" ht="12.75" customHeight="1" outlineLevel="1">
      <c r="H111" s="570" t="s">
        <v>1048</v>
      </c>
      <c r="I111" s="522">
        <v>1089.4767939877675</v>
      </c>
      <c r="J111" s="522">
        <v>-406.13095639294374</v>
      </c>
      <c r="K111" s="522">
        <v>0</v>
      </c>
      <c r="L111" s="522"/>
      <c r="M111" s="522"/>
      <c r="N111" s="572" t="s">
        <v>1080</v>
      </c>
      <c r="O111" s="523" t="s">
        <v>613</v>
      </c>
      <c r="P111" s="523" t="s">
        <v>609</v>
      </c>
      <c r="Q111" s="523" t="s">
        <v>615</v>
      </c>
      <c r="R111" s="523" t="s">
        <v>619</v>
      </c>
      <c r="S111" s="524" t="str">
        <f t="shared" si="23"/>
        <v>Tier1</v>
      </c>
      <c r="T111" s="524" t="str">
        <f t="shared" si="24"/>
        <v>Interior</v>
      </c>
      <c r="U111" s="524" t="str">
        <f t="shared" si="25"/>
        <v>HZ1</v>
      </c>
      <c r="V111" s="524" t="str">
        <f t="shared" si="26"/>
        <v>Electric Resistance</v>
      </c>
      <c r="W111" s="524" t="str">
        <f t="shared" si="27"/>
        <v>AnySize</v>
      </c>
      <c r="X111" s="525">
        <f t="shared" si="28"/>
        <v>4.3145388E-2</v>
      </c>
      <c r="Y111" s="270"/>
      <c r="Z111" s="270"/>
      <c r="AA111" s="270"/>
      <c r="AC111" s="526"/>
      <c r="AD111" s="527"/>
      <c r="AE111" s="527"/>
      <c r="AF111" s="527"/>
      <c r="AG111" s="526"/>
      <c r="AH111" s="527"/>
      <c r="AI111" s="527"/>
      <c r="AJ111" s="527"/>
    </row>
    <row r="112" spans="8:47" ht="12.75" customHeight="1" outlineLevel="1">
      <c r="H112" s="570" t="s">
        <v>1049</v>
      </c>
      <c r="I112" s="522">
        <v>1085.3377717870469</v>
      </c>
      <c r="J112" s="522">
        <v>-198.00794564330073</v>
      </c>
      <c r="K112" s="522">
        <v>31.188304510157305</v>
      </c>
      <c r="L112" s="522"/>
      <c r="M112" s="522"/>
      <c r="N112" s="572" t="s">
        <v>1080</v>
      </c>
      <c r="O112" s="523" t="s">
        <v>613</v>
      </c>
      <c r="P112" s="523" t="s">
        <v>609</v>
      </c>
      <c r="Q112" s="523" t="s">
        <v>616</v>
      </c>
      <c r="R112" s="523" t="s">
        <v>619</v>
      </c>
      <c r="S112" s="524" t="str">
        <f t="shared" si="23"/>
        <v>Tier1</v>
      </c>
      <c r="T112" s="524" t="str">
        <f t="shared" si="24"/>
        <v>Interior</v>
      </c>
      <c r="U112" s="524" t="str">
        <f t="shared" si="25"/>
        <v>HZ1</v>
      </c>
      <c r="V112" s="524" t="str">
        <f t="shared" si="26"/>
        <v>Heat Pump HSPF 8.5</v>
      </c>
      <c r="W112" s="524" t="str">
        <f t="shared" si="27"/>
        <v>AnySize</v>
      </c>
      <c r="X112" s="525">
        <f t="shared" si="28"/>
        <v>3.4577047999999999E-2</v>
      </c>
      <c r="Y112" s="270"/>
      <c r="Z112" s="270"/>
      <c r="AA112" s="270"/>
      <c r="AC112" s="526"/>
      <c r="AD112" s="527"/>
      <c r="AE112" s="527"/>
      <c r="AF112" s="527"/>
      <c r="AG112" s="526"/>
      <c r="AH112" s="527"/>
      <c r="AI112" s="527"/>
      <c r="AJ112" s="527"/>
    </row>
    <row r="113" spans="8:36" ht="12.75" customHeight="1" outlineLevel="1">
      <c r="H113" s="570" t="s">
        <v>1050</v>
      </c>
      <c r="I113" s="522">
        <v>1085.0924804248079</v>
      </c>
      <c r="J113" s="522">
        <v>-14.917253025085133</v>
      </c>
      <c r="K113" s="522">
        <v>18.204859393912002</v>
      </c>
      <c r="L113" s="522"/>
      <c r="M113" s="522"/>
      <c r="N113" s="572" t="s">
        <v>1080</v>
      </c>
      <c r="O113" s="523" t="s">
        <v>613</v>
      </c>
      <c r="P113" s="523" t="s">
        <v>610</v>
      </c>
      <c r="Q113" s="523" t="s">
        <v>614</v>
      </c>
      <c r="R113" s="523" t="s">
        <v>619</v>
      </c>
      <c r="S113" s="524" t="str">
        <f t="shared" si="23"/>
        <v>Tier1</v>
      </c>
      <c r="T113" s="524" t="str">
        <f t="shared" si="24"/>
        <v>Interior</v>
      </c>
      <c r="U113" s="524" t="str">
        <f t="shared" si="25"/>
        <v>HZ2</v>
      </c>
      <c r="V113" s="524" t="str">
        <f t="shared" si="26"/>
        <v>gas</v>
      </c>
      <c r="W113" s="524" t="str">
        <f t="shared" si="27"/>
        <v>AnySize</v>
      </c>
      <c r="X113" s="525">
        <f t="shared" si="28"/>
        <v>3.5740969599999992E-2</v>
      </c>
      <c r="Y113" s="270"/>
      <c r="Z113" s="270"/>
      <c r="AA113" s="270"/>
      <c r="AC113" s="526"/>
      <c r="AD113" s="527"/>
      <c r="AE113" s="527"/>
      <c r="AF113" s="527"/>
      <c r="AG113" s="526"/>
      <c r="AH113" s="527"/>
      <c r="AI113" s="527"/>
      <c r="AJ113" s="527"/>
    </row>
    <row r="114" spans="8:36" ht="12.75" customHeight="1" outlineLevel="1">
      <c r="H114" s="570" t="s">
        <v>1051</v>
      </c>
      <c r="I114" s="522">
        <v>1087.1153249549591</v>
      </c>
      <c r="J114" s="522">
        <v>-352.8480844010486</v>
      </c>
      <c r="K114" s="522">
        <v>0</v>
      </c>
      <c r="L114" s="522"/>
      <c r="M114" s="522"/>
      <c r="N114" s="572" t="s">
        <v>1080</v>
      </c>
      <c r="O114" s="523" t="s">
        <v>613</v>
      </c>
      <c r="P114" s="523" t="s">
        <v>610</v>
      </c>
      <c r="Q114" s="523" t="s">
        <v>615</v>
      </c>
      <c r="R114" s="523" t="s">
        <v>619</v>
      </c>
      <c r="S114" s="524" t="str">
        <f t="shared" si="23"/>
        <v>Tier1</v>
      </c>
      <c r="T114" s="524" t="str">
        <f t="shared" si="24"/>
        <v>Interior</v>
      </c>
      <c r="U114" s="524" t="str">
        <f t="shared" si="25"/>
        <v>HZ2</v>
      </c>
      <c r="V114" s="524" t="str">
        <f t="shared" si="26"/>
        <v>Electric Resistance</v>
      </c>
      <c r="W114" s="524" t="str">
        <f t="shared" si="27"/>
        <v>AnySize</v>
      </c>
      <c r="X114" s="525">
        <f t="shared" si="28"/>
        <v>1.10799234E-2</v>
      </c>
      <c r="Y114" s="270"/>
      <c r="Z114" s="270"/>
      <c r="AA114" s="270"/>
      <c r="AC114" s="526"/>
      <c r="AD114" s="527"/>
      <c r="AE114" s="527"/>
      <c r="AF114" s="527"/>
      <c r="AG114" s="526"/>
      <c r="AH114" s="527"/>
      <c r="AI114" s="527"/>
      <c r="AJ114" s="527"/>
    </row>
    <row r="115" spans="8:36" ht="12.75" customHeight="1" outlineLevel="1">
      <c r="H115" s="570" t="s">
        <v>1052</v>
      </c>
      <c r="I115" s="522">
        <v>1082.5549406370565</v>
      </c>
      <c r="J115" s="522">
        <v>-226.33661966169618</v>
      </c>
      <c r="K115" s="522">
        <v>36.647115975199554</v>
      </c>
      <c r="L115" s="522"/>
      <c r="M115" s="522"/>
      <c r="N115" s="572" t="s">
        <v>1080</v>
      </c>
      <c r="O115" s="523" t="s">
        <v>613</v>
      </c>
      <c r="P115" s="523" t="s">
        <v>610</v>
      </c>
      <c r="Q115" s="523" t="s">
        <v>616</v>
      </c>
      <c r="R115" s="523" t="s">
        <v>619</v>
      </c>
      <c r="S115" s="524" t="str">
        <f t="shared" si="23"/>
        <v>Tier1</v>
      </c>
      <c r="T115" s="524" t="str">
        <f t="shared" si="24"/>
        <v>Interior</v>
      </c>
      <c r="U115" s="524" t="str">
        <f t="shared" si="25"/>
        <v>HZ2</v>
      </c>
      <c r="V115" s="524" t="str">
        <f t="shared" si="26"/>
        <v>Heat Pump HSPF 8.5</v>
      </c>
      <c r="W115" s="524" t="str">
        <f t="shared" si="27"/>
        <v>AnySize</v>
      </c>
      <c r="X115" s="525">
        <f t="shared" si="28"/>
        <v>8.8795364000000005E-3</v>
      </c>
      <c r="Y115" s="270"/>
      <c r="Z115" s="270"/>
      <c r="AA115" s="270"/>
      <c r="AC115" s="526"/>
      <c r="AD115" s="527"/>
      <c r="AE115" s="527"/>
      <c r="AF115" s="527"/>
      <c r="AG115" s="526"/>
      <c r="AH115" s="527"/>
      <c r="AI115" s="527"/>
      <c r="AJ115" s="527"/>
    </row>
    <row r="116" spans="8:36" ht="12.75" customHeight="1" outlineLevel="1">
      <c r="H116" s="570" t="s">
        <v>1053</v>
      </c>
      <c r="I116" s="522">
        <v>1030.5597308525425</v>
      </c>
      <c r="J116" s="522">
        <v>-13.096083703739211</v>
      </c>
      <c r="K116" s="522">
        <v>17.456717038293782</v>
      </c>
      <c r="L116" s="522"/>
      <c r="M116" s="522"/>
      <c r="N116" s="572" t="s">
        <v>1080</v>
      </c>
      <c r="O116" s="523" t="s">
        <v>613</v>
      </c>
      <c r="P116" s="523" t="s">
        <v>611</v>
      </c>
      <c r="Q116" s="523" t="s">
        <v>614</v>
      </c>
      <c r="R116" s="523" t="s">
        <v>619</v>
      </c>
      <c r="S116" s="524" t="str">
        <f t="shared" si="23"/>
        <v>Tier1</v>
      </c>
      <c r="T116" s="524" t="str">
        <f t="shared" si="24"/>
        <v>Interior</v>
      </c>
      <c r="U116" s="524" t="str">
        <f t="shared" si="25"/>
        <v>HZ3</v>
      </c>
      <c r="V116" s="524" t="str">
        <f t="shared" si="26"/>
        <v>gas</v>
      </c>
      <c r="W116" s="524" t="str">
        <f t="shared" si="27"/>
        <v>AnySize</v>
      </c>
      <c r="X116" s="525">
        <f t="shared" si="28"/>
        <v>1.5090431999999996E-2</v>
      </c>
      <c r="Y116" s="270"/>
      <c r="Z116" s="270"/>
      <c r="AA116" s="270"/>
      <c r="AC116" s="526"/>
      <c r="AD116" s="527"/>
      <c r="AE116" s="527"/>
      <c r="AF116" s="527"/>
      <c r="AG116" s="526"/>
      <c r="AH116" s="527"/>
      <c r="AI116" s="527"/>
      <c r="AJ116" s="527"/>
    </row>
    <row r="117" spans="8:36" ht="12.75" customHeight="1" outlineLevel="1">
      <c r="H117" s="570" t="s">
        <v>1054</v>
      </c>
      <c r="I117" s="522">
        <v>1033.8882116392974</v>
      </c>
      <c r="J117" s="522">
        <v>-307.80966471877002</v>
      </c>
      <c r="K117" s="522">
        <v>0</v>
      </c>
      <c r="L117" s="522"/>
      <c r="M117" s="522"/>
      <c r="N117" s="572" t="s">
        <v>1080</v>
      </c>
      <c r="O117" s="523" t="s">
        <v>613</v>
      </c>
      <c r="P117" s="523" t="s">
        <v>611</v>
      </c>
      <c r="Q117" s="523" t="s">
        <v>615</v>
      </c>
      <c r="R117" s="523" t="s">
        <v>619</v>
      </c>
      <c r="S117" s="524" t="str">
        <f t="shared" si="23"/>
        <v>Tier1</v>
      </c>
      <c r="T117" s="524" t="str">
        <f t="shared" si="24"/>
        <v>Interior</v>
      </c>
      <c r="U117" s="524" t="str">
        <f t="shared" si="25"/>
        <v>HZ3</v>
      </c>
      <c r="V117" s="524" t="str">
        <f t="shared" si="26"/>
        <v>Electric Resistance</v>
      </c>
      <c r="W117" s="524" t="str">
        <f t="shared" si="27"/>
        <v>AnySize</v>
      </c>
      <c r="X117" s="525">
        <f t="shared" si="28"/>
        <v>4.6781280000000001E-3</v>
      </c>
      <c r="Y117" s="270"/>
      <c r="Z117" s="270"/>
      <c r="AA117" s="270"/>
      <c r="AC117" s="526"/>
      <c r="AD117" s="527"/>
      <c r="AE117" s="527"/>
      <c r="AF117" s="527"/>
      <c r="AG117" s="526"/>
      <c r="AH117" s="527"/>
      <c r="AI117" s="527"/>
      <c r="AJ117" s="527"/>
    </row>
    <row r="118" spans="8:36" ht="12.75" customHeight="1" outlineLevel="1">
      <c r="H118" s="570" t="s">
        <v>1055</v>
      </c>
      <c r="I118" s="522">
        <v>1027.1783311086767</v>
      </c>
      <c r="J118" s="522">
        <v>-224.4339757980577</v>
      </c>
      <c r="K118" s="522">
        <v>35.134123246563249</v>
      </c>
      <c r="L118" s="522"/>
      <c r="M118" s="522"/>
      <c r="N118" s="572" t="s">
        <v>1080</v>
      </c>
      <c r="O118" s="523" t="s">
        <v>613</v>
      </c>
      <c r="P118" s="523" t="s">
        <v>611</v>
      </c>
      <c r="Q118" s="523" t="s">
        <v>616</v>
      </c>
      <c r="R118" s="523" t="s">
        <v>619</v>
      </c>
      <c r="S118" s="524" t="str">
        <f t="shared" si="23"/>
        <v>Tier1</v>
      </c>
      <c r="T118" s="524" t="str">
        <f t="shared" si="24"/>
        <v>Interior</v>
      </c>
      <c r="U118" s="524" t="str">
        <f t="shared" si="25"/>
        <v>HZ3</v>
      </c>
      <c r="V118" s="524" t="str">
        <f t="shared" si="26"/>
        <v>Heat Pump HSPF 8.5</v>
      </c>
      <c r="W118" s="524" t="str">
        <f t="shared" si="27"/>
        <v>AnySize</v>
      </c>
      <c r="X118" s="525">
        <f t="shared" si="28"/>
        <v>3.7490880000000002E-3</v>
      </c>
      <c r="Y118" s="270"/>
      <c r="Z118" s="270"/>
      <c r="AA118" s="270"/>
      <c r="AC118" s="526"/>
      <c r="AD118" s="527"/>
      <c r="AE118" s="527"/>
      <c r="AF118" s="527"/>
      <c r="AG118" s="526"/>
      <c r="AH118" s="527"/>
      <c r="AI118" s="527"/>
      <c r="AJ118" s="527"/>
    </row>
    <row r="119" spans="8:36" ht="12.75" customHeight="1" outlineLevel="1">
      <c r="H119" s="570" t="s">
        <v>1056</v>
      </c>
      <c r="I119" s="522">
        <v>1213.6986602939171</v>
      </c>
      <c r="J119" s="522">
        <v>0</v>
      </c>
      <c r="K119" s="522">
        <v>0</v>
      </c>
      <c r="L119" s="522"/>
      <c r="M119" s="522"/>
      <c r="N119" s="572" t="s">
        <v>1081</v>
      </c>
      <c r="O119" s="523" t="s">
        <v>608</v>
      </c>
      <c r="P119" s="523" t="s">
        <v>609</v>
      </c>
      <c r="Q119" s="523" t="s">
        <v>619</v>
      </c>
      <c r="R119" s="523"/>
      <c r="S119" s="524" t="str">
        <f t="shared" si="23"/>
        <v>Tier2</v>
      </c>
      <c r="T119" s="524" t="str">
        <f t="shared" si="24"/>
        <v>garage</v>
      </c>
      <c r="U119" s="524" t="str">
        <f t="shared" si="25"/>
        <v>HZ1</v>
      </c>
      <c r="V119" s="524" t="str">
        <f t="shared" si="26"/>
        <v>Any</v>
      </c>
      <c r="W119" s="524" t="str">
        <f t="shared" si="27"/>
        <v>AnySize</v>
      </c>
      <c r="X119" s="525">
        <f t="shared" si="28"/>
        <v>0.30443599999999998</v>
      </c>
      <c r="Y119" s="270"/>
      <c r="Z119" s="270"/>
      <c r="AA119" s="270"/>
      <c r="AC119" s="526"/>
      <c r="AD119" s="527"/>
      <c r="AE119" s="527"/>
      <c r="AF119" s="527"/>
      <c r="AG119" s="526"/>
      <c r="AH119" s="527"/>
      <c r="AI119" s="527"/>
      <c r="AJ119" s="527"/>
    </row>
    <row r="120" spans="8:36" ht="12.75" customHeight="1" outlineLevel="1">
      <c r="H120" s="570" t="s">
        <v>1057</v>
      </c>
      <c r="I120" s="522">
        <v>1158.9394031555457</v>
      </c>
      <c r="J120" s="522">
        <v>0</v>
      </c>
      <c r="K120" s="522">
        <v>0</v>
      </c>
      <c r="L120" s="522"/>
      <c r="M120" s="522"/>
      <c r="N120" s="572" t="s">
        <v>1081</v>
      </c>
      <c r="O120" s="523" t="s">
        <v>608</v>
      </c>
      <c r="P120" s="523" t="s">
        <v>610</v>
      </c>
      <c r="Q120" s="523" t="s">
        <v>619</v>
      </c>
      <c r="R120" s="523"/>
      <c r="S120" s="524" t="str">
        <f t="shared" ref="S120:S127" si="29">N120</f>
        <v>Tier2</v>
      </c>
      <c r="T120" s="524" t="str">
        <f t="shared" ref="T120:T127" si="30">IF(O120="basmnt","Unheated Basement",IF(O120="indor2","Interior",IF(O120="ducted","Interior - Exhaust Ducted",O120)))</f>
        <v>garage</v>
      </c>
      <c r="U120" s="524" t="str">
        <f t="shared" ref="U120:U127" si="31">P120</f>
        <v>HZ2</v>
      </c>
      <c r="V120" s="524" t="str">
        <f t="shared" ref="V120:V127" si="32">IF(OR(R120="0-55gallons",R120="&gt;55gallons",R120="AnySize"),IF(Q120="resistheat","Electric Resistance",IF(Q120="hp85","Heat Pump HSPF 8.5",Q120)),"Any")</f>
        <v>Any</v>
      </c>
      <c r="W120" s="524" t="str">
        <f t="shared" ref="W120:W127" si="33">IF(V120="Any",Q120,R120)</f>
        <v>AnySize</v>
      </c>
      <c r="X120" s="525">
        <f t="shared" si="28"/>
        <v>3.4254E-2</v>
      </c>
      <c r="Y120" s="270"/>
      <c r="Z120" s="270"/>
      <c r="AA120" s="270"/>
      <c r="AC120" s="526"/>
      <c r="AD120" s="527"/>
      <c r="AE120" s="527"/>
      <c r="AF120" s="527"/>
      <c r="AG120" s="526"/>
      <c r="AH120" s="527"/>
      <c r="AI120" s="527"/>
      <c r="AJ120" s="527"/>
    </row>
    <row r="121" spans="8:36" ht="12.75" customHeight="1" outlineLevel="1">
      <c r="H121" s="570" t="s">
        <v>1058</v>
      </c>
      <c r="I121" s="522">
        <v>1066.8038453768486</v>
      </c>
      <c r="J121" s="522">
        <v>0</v>
      </c>
      <c r="K121" s="522">
        <v>0</v>
      </c>
      <c r="L121" s="522"/>
      <c r="M121" s="522"/>
      <c r="N121" s="572" t="s">
        <v>1081</v>
      </c>
      <c r="O121" s="523" t="s">
        <v>608</v>
      </c>
      <c r="P121" s="523" t="s">
        <v>611</v>
      </c>
      <c r="Q121" s="523" t="s">
        <v>619</v>
      </c>
      <c r="R121" s="523"/>
      <c r="S121" s="524" t="str">
        <f t="shared" si="29"/>
        <v>Tier2</v>
      </c>
      <c r="T121" s="524" t="str">
        <f t="shared" si="30"/>
        <v>garage</v>
      </c>
      <c r="U121" s="524" t="str">
        <f t="shared" si="31"/>
        <v>HZ3</v>
      </c>
      <c r="V121" s="524" t="str">
        <f t="shared" si="32"/>
        <v>Any</v>
      </c>
      <c r="W121" s="524" t="str">
        <f t="shared" si="33"/>
        <v>AnySize</v>
      </c>
      <c r="X121" s="525">
        <f t="shared" si="28"/>
        <v>7.1999999999999998E-3</v>
      </c>
      <c r="Y121" s="270"/>
      <c r="Z121" s="270"/>
      <c r="AA121" s="270"/>
      <c r="AC121" s="526"/>
      <c r="AD121" s="527"/>
      <c r="AE121" s="527"/>
      <c r="AF121" s="527"/>
      <c r="AG121" s="526"/>
      <c r="AH121" s="527"/>
      <c r="AI121" s="527"/>
      <c r="AJ121" s="527"/>
    </row>
    <row r="122" spans="8:36" ht="12.75" customHeight="1" outlineLevel="1">
      <c r="H122" s="570" t="s">
        <v>1059</v>
      </c>
      <c r="I122" s="522">
        <v>1229.9358878996647</v>
      </c>
      <c r="J122" s="522">
        <v>0</v>
      </c>
      <c r="K122" s="522">
        <v>0</v>
      </c>
      <c r="L122" s="522"/>
      <c r="M122" s="522"/>
      <c r="N122" s="572" t="s">
        <v>1081</v>
      </c>
      <c r="O122" s="523" t="s">
        <v>612</v>
      </c>
      <c r="P122" s="523" t="s">
        <v>609</v>
      </c>
      <c r="Q122" s="523" t="s">
        <v>619</v>
      </c>
      <c r="R122" s="523"/>
      <c r="S122" s="524" t="str">
        <f t="shared" si="29"/>
        <v>Tier2</v>
      </c>
      <c r="T122" s="524" t="str">
        <f t="shared" si="30"/>
        <v>Unheated Basement</v>
      </c>
      <c r="U122" s="524" t="str">
        <f t="shared" si="31"/>
        <v>HZ1</v>
      </c>
      <c r="V122" s="524" t="str">
        <f t="shared" si="32"/>
        <v>Any</v>
      </c>
      <c r="W122" s="524" t="str">
        <f t="shared" si="33"/>
        <v>AnySize</v>
      </c>
      <c r="X122" s="525">
        <f t="shared" si="28"/>
        <v>0.22664399999999998</v>
      </c>
      <c r="Y122" s="270"/>
      <c r="Z122" s="270"/>
      <c r="AA122" s="270"/>
      <c r="AC122" s="526"/>
      <c r="AD122" s="527"/>
      <c r="AE122" s="527"/>
      <c r="AF122" s="527"/>
      <c r="AG122" s="526"/>
      <c r="AH122" s="527"/>
      <c r="AI122" s="527"/>
      <c r="AJ122" s="527"/>
    </row>
    <row r="123" spans="8:36" ht="12.75" customHeight="1" outlineLevel="1">
      <c r="H123" s="570" t="s">
        <v>1060</v>
      </c>
      <c r="I123" s="522">
        <v>1226.1214862921922</v>
      </c>
      <c r="J123" s="522">
        <v>0</v>
      </c>
      <c r="K123" s="522">
        <v>0</v>
      </c>
      <c r="L123" s="522"/>
      <c r="M123" s="522"/>
      <c r="N123" s="572" t="s">
        <v>1081</v>
      </c>
      <c r="O123" s="523" t="s">
        <v>612</v>
      </c>
      <c r="P123" s="523" t="s">
        <v>610</v>
      </c>
      <c r="Q123" s="523" t="s">
        <v>619</v>
      </c>
      <c r="R123" s="523"/>
      <c r="S123" s="524" t="str">
        <f t="shared" si="29"/>
        <v>Tier2</v>
      </c>
      <c r="T123" s="524" t="str">
        <f t="shared" si="30"/>
        <v>Unheated Basement</v>
      </c>
      <c r="U123" s="524" t="str">
        <f t="shared" si="31"/>
        <v>HZ2</v>
      </c>
      <c r="V123" s="524" t="str">
        <f t="shared" si="32"/>
        <v>Any</v>
      </c>
      <c r="W123" s="524" t="str">
        <f t="shared" si="33"/>
        <v>AnySize</v>
      </c>
      <c r="X123" s="525">
        <f t="shared" si="28"/>
        <v>8.3039999999999989E-2</v>
      </c>
      <c r="Y123" s="270"/>
      <c r="Z123" s="270"/>
      <c r="AA123" s="270"/>
      <c r="AC123" s="526"/>
      <c r="AD123" s="527"/>
      <c r="AE123" s="527"/>
      <c r="AF123" s="527"/>
      <c r="AG123" s="526"/>
      <c r="AH123" s="527"/>
      <c r="AI123" s="527"/>
      <c r="AJ123" s="527"/>
    </row>
    <row r="124" spans="8:36" ht="12.75" customHeight="1" outlineLevel="1">
      <c r="H124" s="570" t="s">
        <v>1061</v>
      </c>
      <c r="I124" s="522">
        <v>1207.3350937133284</v>
      </c>
      <c r="J124" s="522">
        <v>0</v>
      </c>
      <c r="K124" s="522">
        <v>0</v>
      </c>
      <c r="L124" s="522"/>
      <c r="M124" s="522"/>
      <c r="N124" s="572" t="s">
        <v>1081</v>
      </c>
      <c r="O124" s="523" t="s">
        <v>612</v>
      </c>
      <c r="P124" s="523" t="s">
        <v>611</v>
      </c>
      <c r="Q124" s="523" t="s">
        <v>619</v>
      </c>
      <c r="R124" s="523"/>
      <c r="S124" s="524" t="str">
        <f t="shared" si="29"/>
        <v>Tier2</v>
      </c>
      <c r="T124" s="524" t="str">
        <f t="shared" si="30"/>
        <v>Unheated Basement</v>
      </c>
      <c r="U124" s="524" t="str">
        <f t="shared" si="31"/>
        <v>HZ3</v>
      </c>
      <c r="V124" s="524" t="str">
        <f t="shared" si="32"/>
        <v>Any</v>
      </c>
      <c r="W124" s="524" t="str">
        <f t="shared" si="33"/>
        <v>AnySize</v>
      </c>
      <c r="X124" s="525">
        <f t="shared" si="28"/>
        <v>4.9279999999999997E-2</v>
      </c>
      <c r="Y124" s="270"/>
      <c r="Z124" s="270"/>
      <c r="AA124" s="270"/>
      <c r="AC124" s="526"/>
      <c r="AD124" s="527"/>
      <c r="AE124" s="527"/>
      <c r="AF124" s="527"/>
      <c r="AG124" s="526"/>
      <c r="AH124" s="527"/>
      <c r="AI124" s="527"/>
      <c r="AJ124" s="527"/>
    </row>
    <row r="125" spans="8:36" ht="12.75" customHeight="1" outlineLevel="1">
      <c r="H125" s="570" t="s">
        <v>1062</v>
      </c>
      <c r="I125" s="522">
        <v>1402.2956028477115</v>
      </c>
      <c r="J125" s="522">
        <v>-26.093964063162279</v>
      </c>
      <c r="K125" s="522">
        <v>20.03422513740491</v>
      </c>
      <c r="L125" s="522"/>
      <c r="M125" s="522"/>
      <c r="N125" s="572" t="s">
        <v>1081</v>
      </c>
      <c r="O125" s="523" t="s">
        <v>613</v>
      </c>
      <c r="P125" s="523" t="s">
        <v>609</v>
      </c>
      <c r="Q125" s="523" t="s">
        <v>614</v>
      </c>
      <c r="R125" s="523" t="s">
        <v>619</v>
      </c>
      <c r="S125" s="524" t="str">
        <f t="shared" si="29"/>
        <v>Tier2</v>
      </c>
      <c r="T125" s="524" t="str">
        <f t="shared" si="30"/>
        <v>Interior</v>
      </c>
      <c r="U125" s="524" t="str">
        <f t="shared" si="31"/>
        <v>HZ1</v>
      </c>
      <c r="V125" s="524" t="str">
        <f t="shared" si="32"/>
        <v>gas</v>
      </c>
      <c r="W125" s="524" t="str">
        <f t="shared" si="33"/>
        <v>AnySize</v>
      </c>
      <c r="X125" s="525">
        <f t="shared" si="28"/>
        <v>0.13360883711999993</v>
      </c>
      <c r="Y125" s="270"/>
      <c r="Z125" s="270"/>
      <c r="AA125" s="270"/>
      <c r="AC125" s="526"/>
      <c r="AD125" s="527"/>
      <c r="AE125" s="527"/>
      <c r="AF125" s="527"/>
      <c r="AG125" s="526"/>
      <c r="AH125" s="527"/>
      <c r="AI125" s="527"/>
      <c r="AJ125" s="527"/>
    </row>
    <row r="126" spans="8:36" ht="12.75" customHeight="1" outlineLevel="1">
      <c r="H126" s="570" t="s">
        <v>1063</v>
      </c>
      <c r="I126" s="522">
        <v>1404.2340608088812</v>
      </c>
      <c r="J126" s="522">
        <v>-634.24364937005885</v>
      </c>
      <c r="K126" s="522">
        <v>0</v>
      </c>
      <c r="L126" s="522"/>
      <c r="M126" s="522"/>
      <c r="N126" s="572" t="s">
        <v>1081</v>
      </c>
      <c r="O126" s="523" t="s">
        <v>613</v>
      </c>
      <c r="P126" s="523" t="s">
        <v>609</v>
      </c>
      <c r="Q126" s="523" t="s">
        <v>615</v>
      </c>
      <c r="R126" s="523" t="s">
        <v>619</v>
      </c>
      <c r="S126" s="524" t="str">
        <f t="shared" si="29"/>
        <v>Tier2</v>
      </c>
      <c r="T126" s="524" t="str">
        <f t="shared" si="30"/>
        <v>Interior</v>
      </c>
      <c r="U126" s="524" t="str">
        <f t="shared" si="31"/>
        <v>HZ1</v>
      </c>
      <c r="V126" s="524" t="str">
        <f t="shared" si="32"/>
        <v>Electric Resistance</v>
      </c>
      <c r="W126" s="524" t="str">
        <f t="shared" si="33"/>
        <v>AnySize</v>
      </c>
      <c r="X126" s="525">
        <f t="shared" si="28"/>
        <v>4.141957248E-2</v>
      </c>
      <c r="Y126" s="270"/>
      <c r="Z126" s="270"/>
      <c r="AA126" s="270"/>
      <c r="AC126" s="526"/>
      <c r="AD126" s="527"/>
      <c r="AE126" s="527"/>
      <c r="AF126" s="527"/>
      <c r="AG126" s="526"/>
      <c r="AH126" s="527"/>
      <c r="AI126" s="527"/>
      <c r="AJ126" s="527"/>
    </row>
    <row r="127" spans="8:36" ht="12.75" customHeight="1" outlineLevel="1">
      <c r="H127" s="570" t="s">
        <v>1064</v>
      </c>
      <c r="I127" s="522">
        <v>1400.3384615937446</v>
      </c>
      <c r="J127" s="522">
        <v>-312.20056841463031</v>
      </c>
      <c r="K127" s="522">
        <v>40.329002440049393</v>
      </c>
      <c r="L127" s="522"/>
      <c r="M127" s="522"/>
      <c r="N127" s="572" t="s">
        <v>1081</v>
      </c>
      <c r="O127" s="523" t="s">
        <v>613</v>
      </c>
      <c r="P127" s="523" t="s">
        <v>609</v>
      </c>
      <c r="Q127" s="523" t="s">
        <v>616</v>
      </c>
      <c r="R127" s="523" t="s">
        <v>619</v>
      </c>
      <c r="S127" s="524" t="str">
        <f t="shared" si="29"/>
        <v>Tier2</v>
      </c>
      <c r="T127" s="524" t="str">
        <f t="shared" si="30"/>
        <v>Interior</v>
      </c>
      <c r="U127" s="524" t="str">
        <f t="shared" si="31"/>
        <v>HZ1</v>
      </c>
      <c r="V127" s="524" t="str">
        <f t="shared" si="32"/>
        <v>Heat Pump HSPF 8.5</v>
      </c>
      <c r="W127" s="524" t="str">
        <f t="shared" si="33"/>
        <v>AnySize</v>
      </c>
      <c r="X127" s="525">
        <f t="shared" si="28"/>
        <v>3.3193966079999998E-2</v>
      </c>
      <c r="Y127" s="270"/>
      <c r="Z127" s="270"/>
      <c r="AA127" s="270"/>
      <c r="AC127" s="526"/>
      <c r="AD127" s="527"/>
      <c r="AE127" s="527"/>
      <c r="AF127" s="527"/>
      <c r="AG127" s="526"/>
      <c r="AH127" s="527"/>
      <c r="AI127" s="527"/>
      <c r="AJ127" s="527"/>
    </row>
    <row r="128" spans="8:36" ht="12.75" customHeight="1" outlineLevel="1">
      <c r="H128" s="570" t="s">
        <v>1065</v>
      </c>
      <c r="I128" s="522">
        <v>1420.8651717716643</v>
      </c>
      <c r="J128" s="522">
        <v>-23.917120390073016</v>
      </c>
      <c r="K128" s="522">
        <v>23.568373682292304</v>
      </c>
      <c r="L128" s="522"/>
      <c r="M128" s="522"/>
      <c r="N128" s="572" t="s">
        <v>1081</v>
      </c>
      <c r="O128" s="523" t="s">
        <v>613</v>
      </c>
      <c r="P128" s="523" t="s">
        <v>610</v>
      </c>
      <c r="Q128" s="523" t="s">
        <v>614</v>
      </c>
      <c r="R128" s="523" t="s">
        <v>619</v>
      </c>
      <c r="S128" s="524" t="str">
        <f t="shared" ref="S128:S166" si="34">N128</f>
        <v>Tier2</v>
      </c>
      <c r="T128" s="524" t="str">
        <f t="shared" ref="T128:T166" si="35">IF(O128="basmnt","Unheated Basement",IF(O128="indor2","Interior",IF(O128="ducted","Interior - Exhaust Ducted",O128)))</f>
        <v>Interior</v>
      </c>
      <c r="U128" s="524" t="str">
        <f t="shared" ref="U128:U166" si="36">P128</f>
        <v>HZ2</v>
      </c>
      <c r="V128" s="524" t="str">
        <f t="shared" ref="V128:V166" si="37">IF(OR(R128="0-55gallons",R128="&gt;55gallons",R128="AnySize"),IF(Q128="resistheat","Electric Resistance",IF(Q128="hp85","Heat Pump HSPF 8.5",Q128)),"Any")</f>
        <v>gas</v>
      </c>
      <c r="W128" s="524" t="str">
        <f t="shared" ref="W128:W166" si="38">IF(V128="Any",Q128,R128)</f>
        <v>AnySize</v>
      </c>
      <c r="X128" s="525">
        <f t="shared" si="28"/>
        <v>3.4311330815999991E-2</v>
      </c>
      <c r="Y128" s="270"/>
      <c r="Z128" s="270"/>
      <c r="AA128" s="270"/>
      <c r="AC128" s="526"/>
      <c r="AD128" s="527"/>
      <c r="AE128" s="527"/>
      <c r="AF128" s="527"/>
      <c r="AG128" s="526"/>
      <c r="AH128" s="527"/>
      <c r="AI128" s="527"/>
      <c r="AJ128" s="527"/>
    </row>
    <row r="129" spans="8:36" ht="12.75" customHeight="1" outlineLevel="1">
      <c r="H129" s="570" t="s">
        <v>1066</v>
      </c>
      <c r="I129" s="522">
        <v>1424.5270156013257</v>
      </c>
      <c r="J129" s="522">
        <v>-566.06371321185702</v>
      </c>
      <c r="K129" s="522">
        <v>0</v>
      </c>
      <c r="L129" s="522"/>
      <c r="M129" s="522"/>
      <c r="N129" s="572" t="s">
        <v>1081</v>
      </c>
      <c r="O129" s="523" t="s">
        <v>613</v>
      </c>
      <c r="P129" s="523" t="s">
        <v>610</v>
      </c>
      <c r="Q129" s="523" t="s">
        <v>615</v>
      </c>
      <c r="R129" s="523" t="s">
        <v>619</v>
      </c>
      <c r="S129" s="524" t="str">
        <f t="shared" si="34"/>
        <v>Tier2</v>
      </c>
      <c r="T129" s="524" t="str">
        <f t="shared" si="35"/>
        <v>Interior</v>
      </c>
      <c r="U129" s="524" t="str">
        <f t="shared" si="36"/>
        <v>HZ2</v>
      </c>
      <c r="V129" s="524" t="str">
        <f t="shared" si="37"/>
        <v>Electric Resistance</v>
      </c>
      <c r="W129" s="524" t="str">
        <f t="shared" si="38"/>
        <v>AnySize</v>
      </c>
      <c r="X129" s="525">
        <f t="shared" si="28"/>
        <v>1.0636726464000001E-2</v>
      </c>
      <c r="Y129" s="270"/>
      <c r="Z129" s="270"/>
      <c r="AA129" s="270"/>
      <c r="AC129" s="526"/>
      <c r="AD129" s="527"/>
      <c r="AE129" s="527"/>
      <c r="AF129" s="527"/>
      <c r="AG129" s="526"/>
      <c r="AH129" s="527"/>
      <c r="AI129" s="527"/>
      <c r="AJ129" s="527"/>
    </row>
    <row r="130" spans="8:36" ht="12.75" customHeight="1" outlineLevel="1">
      <c r="H130" s="570" t="s">
        <v>1067</v>
      </c>
      <c r="I130" s="522">
        <v>1417.1907386707376</v>
      </c>
      <c r="J130" s="522">
        <v>-363.85146458013639</v>
      </c>
      <c r="K130" s="522">
        <v>47.440504235144886</v>
      </c>
      <c r="L130" s="522"/>
      <c r="M130" s="522"/>
      <c r="N130" s="572" t="s">
        <v>1081</v>
      </c>
      <c r="O130" s="523" t="s">
        <v>613</v>
      </c>
      <c r="P130" s="523" t="s">
        <v>610</v>
      </c>
      <c r="Q130" s="523" t="s">
        <v>616</v>
      </c>
      <c r="R130" s="523" t="s">
        <v>619</v>
      </c>
      <c r="S130" s="524" t="str">
        <f t="shared" si="34"/>
        <v>Tier2</v>
      </c>
      <c r="T130" s="524" t="str">
        <f t="shared" si="35"/>
        <v>Interior</v>
      </c>
      <c r="U130" s="524" t="str">
        <f t="shared" si="36"/>
        <v>HZ2</v>
      </c>
      <c r="V130" s="524" t="str">
        <f t="shared" si="37"/>
        <v>Heat Pump HSPF 8.5</v>
      </c>
      <c r="W130" s="524" t="str">
        <f t="shared" si="38"/>
        <v>AnySize</v>
      </c>
      <c r="X130" s="525">
        <f t="shared" si="28"/>
        <v>8.5243549439999993E-3</v>
      </c>
      <c r="Y130" s="270"/>
      <c r="Z130" s="270"/>
      <c r="AA130" s="270"/>
      <c r="AC130" s="526"/>
      <c r="AD130" s="527"/>
      <c r="AE130" s="527"/>
      <c r="AF130" s="527"/>
      <c r="AG130" s="526"/>
      <c r="AH130" s="527"/>
      <c r="AI130" s="527"/>
      <c r="AJ130" s="527"/>
    </row>
    <row r="131" spans="8:36" ht="12.75" customHeight="1" outlineLevel="1">
      <c r="H131" s="570" t="s">
        <v>1068</v>
      </c>
      <c r="I131" s="522">
        <v>1425.4102665312882</v>
      </c>
      <c r="J131" s="522">
        <v>-21.670483433781165</v>
      </c>
      <c r="K131" s="522">
        <v>25.603898179885366</v>
      </c>
      <c r="L131" s="522"/>
      <c r="M131" s="522"/>
      <c r="N131" s="572" t="s">
        <v>1081</v>
      </c>
      <c r="O131" s="523" t="s">
        <v>613</v>
      </c>
      <c r="P131" s="523" t="s">
        <v>611</v>
      </c>
      <c r="Q131" s="523" t="s">
        <v>614</v>
      </c>
      <c r="R131" s="523" t="s">
        <v>619</v>
      </c>
      <c r="S131" s="524" t="str">
        <f t="shared" si="34"/>
        <v>Tier2</v>
      </c>
      <c r="T131" s="524" t="str">
        <f t="shared" si="35"/>
        <v>Interior</v>
      </c>
      <c r="U131" s="524" t="str">
        <f t="shared" si="36"/>
        <v>HZ3</v>
      </c>
      <c r="V131" s="524" t="str">
        <f t="shared" si="37"/>
        <v>gas</v>
      </c>
      <c r="W131" s="524" t="str">
        <f t="shared" si="38"/>
        <v>AnySize</v>
      </c>
      <c r="X131" s="525">
        <f t="shared" si="28"/>
        <v>1.4486814719999996E-2</v>
      </c>
      <c r="Y131" s="270"/>
      <c r="Z131" s="270"/>
      <c r="AA131" s="270"/>
      <c r="AC131" s="526"/>
      <c r="AD131" s="527"/>
      <c r="AE131" s="527"/>
      <c r="AF131" s="527"/>
      <c r="AG131" s="526"/>
      <c r="AH131" s="527"/>
      <c r="AI131" s="527"/>
      <c r="AJ131" s="527"/>
    </row>
    <row r="132" spans="8:36" ht="12.75" customHeight="1" outlineLevel="1">
      <c r="H132" s="570" t="s">
        <v>1069</v>
      </c>
      <c r="I132" s="522">
        <v>1427.1389373625309</v>
      </c>
      <c r="J132" s="522">
        <v>-509.02833224044093</v>
      </c>
      <c r="K132" s="522">
        <v>0</v>
      </c>
      <c r="L132" s="522"/>
      <c r="M132" s="522"/>
      <c r="N132" s="572" t="s">
        <v>1081</v>
      </c>
      <c r="O132" s="523" t="s">
        <v>613</v>
      </c>
      <c r="P132" s="523" t="s">
        <v>611</v>
      </c>
      <c r="Q132" s="523" t="s">
        <v>615</v>
      </c>
      <c r="R132" s="523" t="s">
        <v>619</v>
      </c>
      <c r="S132" s="524" t="str">
        <f t="shared" si="34"/>
        <v>Tier2</v>
      </c>
      <c r="T132" s="524" t="str">
        <f t="shared" si="35"/>
        <v>Interior</v>
      </c>
      <c r="U132" s="524" t="str">
        <f t="shared" si="36"/>
        <v>HZ3</v>
      </c>
      <c r="V132" s="524" t="str">
        <f t="shared" si="37"/>
        <v>Electric Resistance</v>
      </c>
      <c r="W132" s="524" t="str">
        <f t="shared" si="38"/>
        <v>AnySize</v>
      </c>
      <c r="X132" s="525">
        <f t="shared" si="28"/>
        <v>4.49100288E-3</v>
      </c>
      <c r="Y132" s="270"/>
      <c r="Z132" s="270"/>
      <c r="AA132" s="270"/>
      <c r="AC132" s="526"/>
      <c r="AD132" s="527"/>
      <c r="AE132" s="527"/>
      <c r="AF132" s="527"/>
      <c r="AG132" s="526"/>
      <c r="AH132" s="527"/>
      <c r="AI132" s="527"/>
      <c r="AJ132" s="527"/>
    </row>
    <row r="133" spans="8:36" ht="12.75" customHeight="1" outlineLevel="1">
      <c r="H133" s="570" t="s">
        <v>1070</v>
      </c>
      <c r="I133" s="522">
        <v>1423.6620165859017</v>
      </c>
      <c r="J133" s="522">
        <v>-375.18742962017444</v>
      </c>
      <c r="K133" s="522">
        <v>51.535600266961318</v>
      </c>
      <c r="L133" s="522"/>
      <c r="M133" s="522"/>
      <c r="N133" s="572" t="s">
        <v>1081</v>
      </c>
      <c r="O133" s="523" t="s">
        <v>613</v>
      </c>
      <c r="P133" s="523" t="s">
        <v>611</v>
      </c>
      <c r="Q133" s="523" t="s">
        <v>616</v>
      </c>
      <c r="R133" s="523" t="s">
        <v>619</v>
      </c>
      <c r="S133" s="524" t="str">
        <f t="shared" si="34"/>
        <v>Tier2</v>
      </c>
      <c r="T133" s="524" t="str">
        <f t="shared" si="35"/>
        <v>Interior</v>
      </c>
      <c r="U133" s="524" t="str">
        <f t="shared" si="36"/>
        <v>HZ3</v>
      </c>
      <c r="V133" s="524" t="str">
        <f t="shared" si="37"/>
        <v>Heat Pump HSPF 8.5</v>
      </c>
      <c r="W133" s="524" t="str">
        <f t="shared" si="38"/>
        <v>AnySize</v>
      </c>
      <c r="X133" s="525">
        <f t="shared" si="28"/>
        <v>3.5991244800000002E-3</v>
      </c>
      <c r="Y133" s="270"/>
      <c r="Z133" s="270"/>
      <c r="AA133" s="270"/>
      <c r="AC133" s="526"/>
      <c r="AD133" s="527"/>
      <c r="AE133" s="527"/>
      <c r="AF133" s="527"/>
      <c r="AG133" s="526"/>
      <c r="AH133" s="527"/>
      <c r="AI133" s="527"/>
      <c r="AJ133" s="527"/>
    </row>
    <row r="134" spans="8:36" ht="12.75" customHeight="1" outlineLevel="1">
      <c r="H134" s="570" t="s">
        <v>1071</v>
      </c>
      <c r="I134" s="522">
        <v>1405.281958826419</v>
      </c>
      <c r="J134" s="522">
        <v>-20.466498610272048</v>
      </c>
      <c r="K134" s="522">
        <v>-6.7010825683982578</v>
      </c>
      <c r="L134" s="522"/>
      <c r="M134" s="522"/>
      <c r="N134" s="572" t="s">
        <v>1081</v>
      </c>
      <c r="O134" s="523" t="s">
        <v>617</v>
      </c>
      <c r="P134" s="523" t="s">
        <v>609</v>
      </c>
      <c r="Q134" s="523" t="s">
        <v>614</v>
      </c>
      <c r="R134" s="523" t="s">
        <v>619</v>
      </c>
      <c r="S134" s="524" t="str">
        <f t="shared" si="34"/>
        <v>Tier2</v>
      </c>
      <c r="T134" s="524" t="str">
        <f t="shared" si="35"/>
        <v>Interior - Exhaust Ducted</v>
      </c>
      <c r="U134" s="524" t="str">
        <f t="shared" si="36"/>
        <v>HZ1</v>
      </c>
      <c r="V134" s="524" t="str">
        <f t="shared" si="37"/>
        <v>gas</v>
      </c>
      <c r="W134" s="524" t="str">
        <f t="shared" si="38"/>
        <v>AnySize</v>
      </c>
      <c r="X134" s="525">
        <f t="shared" si="28"/>
        <v>5.5670348799999984E-3</v>
      </c>
      <c r="Y134" s="270"/>
      <c r="Z134" s="270"/>
      <c r="AA134" s="270"/>
      <c r="AC134" s="526"/>
      <c r="AD134" s="527"/>
      <c r="AE134" s="527"/>
      <c r="AF134" s="527"/>
      <c r="AG134" s="526"/>
      <c r="AH134" s="527"/>
      <c r="AI134" s="527"/>
      <c r="AJ134" s="527"/>
    </row>
    <row r="135" spans="8:36" ht="12.75" customHeight="1" outlineLevel="1">
      <c r="H135" s="570" t="s">
        <v>1072</v>
      </c>
      <c r="I135" s="522">
        <v>1407.8692988177538</v>
      </c>
      <c r="J135" s="522">
        <v>-488.92667247028612</v>
      </c>
      <c r="K135" s="522">
        <v>0</v>
      </c>
      <c r="L135" s="522"/>
      <c r="M135" s="522"/>
      <c r="N135" s="572" t="s">
        <v>1081</v>
      </c>
      <c r="O135" s="523" t="s">
        <v>617</v>
      </c>
      <c r="P135" s="523" t="s">
        <v>609</v>
      </c>
      <c r="Q135" s="523" t="s">
        <v>615</v>
      </c>
      <c r="R135" s="523" t="s">
        <v>619</v>
      </c>
      <c r="S135" s="524" t="str">
        <f t="shared" si="34"/>
        <v>Tier2</v>
      </c>
      <c r="T135" s="524" t="str">
        <f t="shared" si="35"/>
        <v>Interior - Exhaust Ducted</v>
      </c>
      <c r="U135" s="524" t="str">
        <f t="shared" si="36"/>
        <v>HZ1</v>
      </c>
      <c r="V135" s="524" t="str">
        <f t="shared" si="37"/>
        <v>Electric Resistance</v>
      </c>
      <c r="W135" s="524" t="str">
        <f t="shared" si="38"/>
        <v>AnySize</v>
      </c>
      <c r="X135" s="525">
        <f t="shared" si="28"/>
        <v>1.72581552E-3</v>
      </c>
      <c r="Y135" s="270"/>
      <c r="Z135" s="270"/>
      <c r="AA135" s="270"/>
      <c r="AC135" s="526"/>
      <c r="AD135" s="527"/>
      <c r="AE135" s="527"/>
      <c r="AF135" s="527"/>
      <c r="AG135" s="526"/>
      <c r="AH135" s="527"/>
      <c r="AI135" s="527"/>
      <c r="AJ135" s="527"/>
    </row>
    <row r="136" spans="8:36" ht="12.75" customHeight="1" outlineLevel="1">
      <c r="H136" s="570" t="s">
        <v>1073</v>
      </c>
      <c r="I136" s="522">
        <v>1402.6671112323397</v>
      </c>
      <c r="J136" s="522">
        <v>-290.24196178652772</v>
      </c>
      <c r="K136" s="522">
        <v>-13.465394372785985</v>
      </c>
      <c r="L136" s="522"/>
      <c r="M136" s="522"/>
      <c r="N136" s="572" t="s">
        <v>1081</v>
      </c>
      <c r="O136" s="523" t="s">
        <v>617</v>
      </c>
      <c r="P136" s="523" t="s">
        <v>609</v>
      </c>
      <c r="Q136" s="523" t="s">
        <v>616</v>
      </c>
      <c r="R136" s="523" t="s">
        <v>619</v>
      </c>
      <c r="S136" s="524" t="str">
        <f t="shared" si="34"/>
        <v>Tier2</v>
      </c>
      <c r="T136" s="524" t="str">
        <f t="shared" si="35"/>
        <v>Interior - Exhaust Ducted</v>
      </c>
      <c r="U136" s="524" t="str">
        <f t="shared" si="36"/>
        <v>HZ1</v>
      </c>
      <c r="V136" s="524" t="str">
        <f t="shared" si="37"/>
        <v>Heat Pump HSPF 8.5</v>
      </c>
      <c r="W136" s="524" t="str">
        <f t="shared" si="38"/>
        <v>AnySize</v>
      </c>
      <c r="X136" s="525">
        <f t="shared" ref="X136:X166" si="39">IF(S136="tier1",IFERROR(INDEX($L$202:$N$206,MATCH(T136&amp;V136,$K$202:$K$206,0),MATCH(U136,$L$200:$N$200,0)),""),IFERROR(INDEX($T$202:$V$209,MATCH(T136&amp;V136,$S$202:$S$209,0),MATCH(U136,$T$200:$V$200,0)),""))</f>
        <v>1.38308192E-3</v>
      </c>
      <c r="Y136" s="270"/>
      <c r="Z136" s="270"/>
      <c r="AA136" s="270"/>
      <c r="AC136" s="526"/>
      <c r="AD136" s="527"/>
      <c r="AE136" s="527"/>
      <c r="AF136" s="527"/>
      <c r="AG136" s="526"/>
      <c r="AH136" s="527"/>
      <c r="AI136" s="527"/>
      <c r="AJ136" s="527"/>
    </row>
    <row r="137" spans="8:36" ht="12.75" customHeight="1" outlineLevel="1">
      <c r="H137" s="570" t="s">
        <v>1074</v>
      </c>
      <c r="I137" s="522">
        <v>1424.0802037428043</v>
      </c>
      <c r="J137" s="522">
        <v>-23.493181795222473</v>
      </c>
      <c r="K137" s="522">
        <v>-7.021391680314168</v>
      </c>
      <c r="L137" s="522"/>
      <c r="M137" s="522"/>
      <c r="N137" s="572" t="s">
        <v>1081</v>
      </c>
      <c r="O137" s="523" t="s">
        <v>617</v>
      </c>
      <c r="P137" s="523" t="s">
        <v>610</v>
      </c>
      <c r="Q137" s="523" t="s">
        <v>614</v>
      </c>
      <c r="R137" s="523" t="s">
        <v>619</v>
      </c>
      <c r="S137" s="524" t="str">
        <f t="shared" si="34"/>
        <v>Tier2</v>
      </c>
      <c r="T137" s="524" t="str">
        <f t="shared" si="35"/>
        <v>Interior - Exhaust Ducted</v>
      </c>
      <c r="U137" s="524" t="str">
        <f t="shared" si="36"/>
        <v>HZ2</v>
      </c>
      <c r="V137" s="524" t="str">
        <f t="shared" si="37"/>
        <v>gas</v>
      </c>
      <c r="W137" s="524" t="str">
        <f t="shared" si="38"/>
        <v>AnySize</v>
      </c>
      <c r="X137" s="525">
        <f t="shared" si="39"/>
        <v>1.4296387839999997E-3</v>
      </c>
      <c r="Y137" s="270"/>
      <c r="Z137" s="270"/>
      <c r="AA137" s="270"/>
      <c r="AC137" s="526"/>
      <c r="AD137" s="527"/>
      <c r="AE137" s="527"/>
      <c r="AF137" s="527"/>
      <c r="AG137" s="526"/>
      <c r="AH137" s="527"/>
      <c r="AI137" s="527"/>
      <c r="AJ137" s="527"/>
    </row>
    <row r="138" spans="8:36" ht="12.75" customHeight="1" outlineLevel="1">
      <c r="H138" s="570" t="s">
        <v>1075</v>
      </c>
      <c r="I138" s="522">
        <v>1428.7680799558243</v>
      </c>
      <c r="J138" s="522">
        <v>-551.31114668627697</v>
      </c>
      <c r="K138" s="522">
        <v>0</v>
      </c>
      <c r="L138" s="522"/>
      <c r="M138" s="522"/>
      <c r="N138" s="572" t="s">
        <v>1081</v>
      </c>
      <c r="O138" s="523" t="s">
        <v>617</v>
      </c>
      <c r="P138" s="523" t="s">
        <v>610</v>
      </c>
      <c r="Q138" s="523" t="s">
        <v>615</v>
      </c>
      <c r="R138" s="523" t="s">
        <v>619</v>
      </c>
      <c r="S138" s="524" t="str">
        <f t="shared" si="34"/>
        <v>Tier2</v>
      </c>
      <c r="T138" s="524" t="str">
        <f t="shared" si="35"/>
        <v>Interior - Exhaust Ducted</v>
      </c>
      <c r="U138" s="524" t="str">
        <f t="shared" si="36"/>
        <v>HZ2</v>
      </c>
      <c r="V138" s="524" t="str">
        <f t="shared" si="37"/>
        <v>Electric Resistance</v>
      </c>
      <c r="W138" s="524" t="str">
        <f t="shared" si="38"/>
        <v>AnySize</v>
      </c>
      <c r="X138" s="525">
        <f t="shared" si="39"/>
        <v>4.4319693600000003E-4</v>
      </c>
      <c r="Y138" s="270"/>
      <c r="Z138" s="270"/>
      <c r="AA138" s="270"/>
      <c r="AC138" s="526"/>
      <c r="AD138" s="527"/>
      <c r="AE138" s="527"/>
      <c r="AF138" s="527"/>
      <c r="AG138" s="526"/>
      <c r="AH138" s="527"/>
      <c r="AI138" s="527"/>
      <c r="AJ138" s="527"/>
    </row>
    <row r="139" spans="8:36" ht="12.75" customHeight="1" outlineLevel="1">
      <c r="H139" s="570" t="s">
        <v>1076</v>
      </c>
      <c r="I139" s="522">
        <v>1419.3714112825051</v>
      </c>
      <c r="J139" s="522">
        <v>-446.14948597365623</v>
      </c>
      <c r="K139" s="522">
        <v>-14.103120124421469</v>
      </c>
      <c r="L139" s="522"/>
      <c r="M139" s="522"/>
      <c r="N139" s="572" t="s">
        <v>1081</v>
      </c>
      <c r="O139" s="523" t="s">
        <v>617</v>
      </c>
      <c r="P139" s="523" t="s">
        <v>610</v>
      </c>
      <c r="Q139" s="523" t="s">
        <v>616</v>
      </c>
      <c r="R139" s="523" t="s">
        <v>619</v>
      </c>
      <c r="S139" s="524" t="str">
        <f t="shared" si="34"/>
        <v>Tier2</v>
      </c>
      <c r="T139" s="524" t="str">
        <f t="shared" si="35"/>
        <v>Interior - Exhaust Ducted</v>
      </c>
      <c r="U139" s="524" t="str">
        <f t="shared" si="36"/>
        <v>HZ2</v>
      </c>
      <c r="V139" s="524" t="str">
        <f t="shared" si="37"/>
        <v>Heat Pump HSPF 8.5</v>
      </c>
      <c r="W139" s="524" t="str">
        <f t="shared" si="38"/>
        <v>AnySize</v>
      </c>
      <c r="X139" s="525">
        <f t="shared" si="39"/>
        <v>3.5518145600000001E-4</v>
      </c>
      <c r="Y139" s="270"/>
      <c r="Z139" s="270"/>
      <c r="AA139" s="270"/>
      <c r="AC139" s="526"/>
      <c r="AD139" s="527"/>
      <c r="AE139" s="527"/>
      <c r="AF139" s="527"/>
      <c r="AG139" s="526"/>
      <c r="AH139" s="527"/>
      <c r="AI139" s="527"/>
      <c r="AJ139" s="527"/>
    </row>
    <row r="140" spans="8:36" ht="12.75" customHeight="1" outlineLevel="1">
      <c r="H140" s="570" t="s">
        <v>1077</v>
      </c>
      <c r="I140" s="522">
        <v>1428.5389234021659</v>
      </c>
      <c r="J140" s="522">
        <v>-24.584421682104075</v>
      </c>
      <c r="K140" s="522">
        <v>-7.0999949055997638</v>
      </c>
      <c r="L140" s="522"/>
      <c r="M140" s="522"/>
      <c r="N140" s="572" t="s">
        <v>1081</v>
      </c>
      <c r="O140" s="523" t="s">
        <v>617</v>
      </c>
      <c r="P140" s="523" t="s">
        <v>611</v>
      </c>
      <c r="Q140" s="523" t="s">
        <v>614</v>
      </c>
      <c r="R140" s="523" t="s">
        <v>619</v>
      </c>
      <c r="S140" s="524" t="str">
        <f t="shared" si="34"/>
        <v>Tier2</v>
      </c>
      <c r="T140" s="524" t="str">
        <f t="shared" si="35"/>
        <v>Interior - Exhaust Ducted</v>
      </c>
      <c r="U140" s="524" t="str">
        <f t="shared" si="36"/>
        <v>HZ3</v>
      </c>
      <c r="V140" s="524" t="str">
        <f t="shared" si="37"/>
        <v>gas</v>
      </c>
      <c r="W140" s="524" t="str">
        <f t="shared" si="38"/>
        <v>AnySize</v>
      </c>
      <c r="X140" s="525">
        <f t="shared" si="39"/>
        <v>6.0361727999999983E-4</v>
      </c>
      <c r="Y140" s="270"/>
      <c r="Z140" s="270"/>
      <c r="AA140" s="270"/>
      <c r="AC140" s="526"/>
      <c r="AD140" s="527"/>
      <c r="AE140" s="527"/>
      <c r="AF140" s="527"/>
      <c r="AG140" s="526"/>
      <c r="AH140" s="527"/>
      <c r="AI140" s="527"/>
      <c r="AJ140" s="527"/>
    </row>
    <row r="141" spans="8:36" ht="12.75" customHeight="1" outlineLevel="1">
      <c r="H141" s="570" t="s">
        <v>1078</v>
      </c>
      <c r="I141" s="522">
        <v>1431.0886941008719</v>
      </c>
      <c r="J141" s="522">
        <v>-575.59928776217737</v>
      </c>
      <c r="K141" s="522">
        <v>0</v>
      </c>
      <c r="L141" s="522"/>
      <c r="M141" s="522"/>
      <c r="N141" s="572" t="s">
        <v>1081</v>
      </c>
      <c r="O141" s="523" t="s">
        <v>617</v>
      </c>
      <c r="P141" s="523" t="s">
        <v>611</v>
      </c>
      <c r="Q141" s="523" t="s">
        <v>615</v>
      </c>
      <c r="R141" s="523" t="s">
        <v>619</v>
      </c>
      <c r="S141" s="524" t="str">
        <f t="shared" si="34"/>
        <v>Tier2</v>
      </c>
      <c r="T141" s="524" t="str">
        <f t="shared" si="35"/>
        <v>Interior - Exhaust Ducted</v>
      </c>
      <c r="U141" s="524" t="str">
        <f t="shared" si="36"/>
        <v>HZ3</v>
      </c>
      <c r="V141" s="524" t="str">
        <f t="shared" si="37"/>
        <v>Electric Resistance</v>
      </c>
      <c r="W141" s="524" t="str">
        <f t="shared" si="38"/>
        <v>AnySize</v>
      </c>
      <c r="X141" s="525">
        <f t="shared" si="39"/>
        <v>1.8712512000000002E-4</v>
      </c>
      <c r="Y141" s="270"/>
      <c r="Z141" s="270"/>
      <c r="AA141" s="270"/>
      <c r="AC141" s="526"/>
      <c r="AD141" s="527"/>
      <c r="AE141" s="527"/>
      <c r="AF141" s="527"/>
      <c r="AG141" s="526"/>
      <c r="AH141" s="527"/>
      <c r="AI141" s="527"/>
      <c r="AJ141" s="527"/>
    </row>
    <row r="142" spans="8:36" ht="12.75" customHeight="1" outlineLevel="1">
      <c r="H142" s="570" t="s">
        <v>1079</v>
      </c>
      <c r="I142" s="522">
        <v>1425.9786005536698</v>
      </c>
      <c r="J142" s="522">
        <v>-537.06605586490207</v>
      </c>
      <c r="K142" s="522">
        <v>-14.257933664953578</v>
      </c>
      <c r="L142" s="522"/>
      <c r="M142" s="522"/>
      <c r="N142" s="572" t="s">
        <v>1081</v>
      </c>
      <c r="O142" s="523" t="s">
        <v>617</v>
      </c>
      <c r="P142" s="523" t="s">
        <v>611</v>
      </c>
      <c r="Q142" s="523" t="s">
        <v>616</v>
      </c>
      <c r="R142" s="523" t="s">
        <v>619</v>
      </c>
      <c r="S142" s="524" t="str">
        <f t="shared" si="34"/>
        <v>Tier2</v>
      </c>
      <c r="T142" s="524" t="str">
        <f t="shared" si="35"/>
        <v>Interior - Exhaust Ducted</v>
      </c>
      <c r="U142" s="524" t="str">
        <f t="shared" si="36"/>
        <v>HZ3</v>
      </c>
      <c r="V142" s="524" t="str">
        <f t="shared" si="37"/>
        <v>Heat Pump HSPF 8.5</v>
      </c>
      <c r="W142" s="524" t="str">
        <f t="shared" si="38"/>
        <v>AnySize</v>
      </c>
      <c r="X142" s="525">
        <f t="shared" si="39"/>
        <v>1.4996352000000001E-4</v>
      </c>
      <c r="Y142" s="270"/>
      <c r="Z142" s="270"/>
      <c r="AA142" s="270"/>
      <c r="AC142" s="526"/>
      <c r="AD142" s="527"/>
      <c r="AE142" s="527"/>
      <c r="AF142" s="527"/>
      <c r="AG142" s="526"/>
      <c r="AH142" s="527"/>
      <c r="AI142" s="527"/>
      <c r="AJ142" s="527"/>
    </row>
    <row r="143" spans="8:36" ht="12.75" customHeight="1" outlineLevel="1">
      <c r="H143" s="570" t="s">
        <v>618</v>
      </c>
      <c r="I143" s="522">
        <v>1386.4134432850672</v>
      </c>
      <c r="J143" s="522">
        <v>0</v>
      </c>
      <c r="K143" s="522">
        <v>0</v>
      </c>
      <c r="L143" s="522"/>
      <c r="M143" s="522"/>
      <c r="N143" s="572" t="s">
        <v>607</v>
      </c>
      <c r="O143" s="523" t="s">
        <v>608</v>
      </c>
      <c r="P143" s="523" t="s">
        <v>609</v>
      </c>
      <c r="Q143" s="523" t="s">
        <v>619</v>
      </c>
      <c r="R143" s="523"/>
      <c r="S143" s="524" t="str">
        <f t="shared" si="34"/>
        <v>Tier3</v>
      </c>
      <c r="T143" s="524" t="str">
        <f t="shared" si="35"/>
        <v>garage</v>
      </c>
      <c r="U143" s="524" t="str">
        <f t="shared" si="36"/>
        <v>HZ1</v>
      </c>
      <c r="V143" s="524" t="str">
        <f t="shared" si="37"/>
        <v>Any</v>
      </c>
      <c r="W143" s="524" t="str">
        <f t="shared" si="38"/>
        <v>AnySize</v>
      </c>
      <c r="X143" s="525">
        <f t="shared" si="39"/>
        <v>0.30443599999999998</v>
      </c>
      <c r="Y143" s="270"/>
      <c r="Z143" s="270"/>
      <c r="AA143" s="270"/>
      <c r="AC143" s="526"/>
      <c r="AD143" s="527"/>
      <c r="AE143" s="527"/>
      <c r="AF143" s="527"/>
      <c r="AG143" s="526"/>
      <c r="AH143" s="527"/>
      <c r="AI143" s="527"/>
      <c r="AJ143" s="527"/>
    </row>
    <row r="144" spans="8:36" ht="12.75" customHeight="1" outlineLevel="1">
      <c r="H144" s="570" t="s">
        <v>620</v>
      </c>
      <c r="I144" s="522">
        <v>1352.3647619168107</v>
      </c>
      <c r="J144" s="522">
        <v>0</v>
      </c>
      <c r="K144" s="522">
        <v>0</v>
      </c>
      <c r="L144" s="522"/>
      <c r="M144" s="522"/>
      <c r="N144" s="572" t="s">
        <v>607</v>
      </c>
      <c r="O144" s="523" t="s">
        <v>608</v>
      </c>
      <c r="P144" s="523" t="s">
        <v>610</v>
      </c>
      <c r="Q144" s="523" t="s">
        <v>619</v>
      </c>
      <c r="R144" s="523"/>
      <c r="S144" s="524" t="str">
        <f t="shared" si="34"/>
        <v>Tier3</v>
      </c>
      <c r="T144" s="524" t="str">
        <f t="shared" si="35"/>
        <v>garage</v>
      </c>
      <c r="U144" s="524" t="str">
        <f t="shared" si="36"/>
        <v>HZ2</v>
      </c>
      <c r="V144" s="524" t="str">
        <f t="shared" si="37"/>
        <v>Any</v>
      </c>
      <c r="W144" s="524" t="str">
        <f t="shared" si="38"/>
        <v>AnySize</v>
      </c>
      <c r="X144" s="525">
        <f t="shared" si="39"/>
        <v>3.4254E-2</v>
      </c>
      <c r="Y144" s="270"/>
      <c r="Z144" s="270"/>
      <c r="AA144" s="270"/>
      <c r="AC144" s="526"/>
      <c r="AD144" s="527"/>
      <c r="AE144" s="527"/>
      <c r="AF144" s="527"/>
      <c r="AG144" s="526"/>
      <c r="AH144" s="527"/>
      <c r="AI144" s="527"/>
      <c r="AJ144" s="527"/>
    </row>
    <row r="145" spans="8:36" ht="12.75" customHeight="1" outlineLevel="1">
      <c r="H145" s="570" t="s">
        <v>621</v>
      </c>
      <c r="I145" s="522">
        <v>1285.2463939200945</v>
      </c>
      <c r="J145" s="522">
        <v>0</v>
      </c>
      <c r="K145" s="522">
        <v>0</v>
      </c>
      <c r="L145" s="522"/>
      <c r="M145" s="522"/>
      <c r="N145" s="572" t="s">
        <v>607</v>
      </c>
      <c r="O145" s="523" t="s">
        <v>608</v>
      </c>
      <c r="P145" s="523" t="s">
        <v>611</v>
      </c>
      <c r="Q145" s="523" t="s">
        <v>619</v>
      </c>
      <c r="R145" s="523"/>
      <c r="S145" s="524" t="str">
        <f t="shared" si="34"/>
        <v>Tier3</v>
      </c>
      <c r="T145" s="524" t="str">
        <f t="shared" si="35"/>
        <v>garage</v>
      </c>
      <c r="U145" s="524" t="str">
        <f t="shared" si="36"/>
        <v>HZ3</v>
      </c>
      <c r="V145" s="524" t="str">
        <f t="shared" si="37"/>
        <v>Any</v>
      </c>
      <c r="W145" s="524" t="str">
        <f t="shared" si="38"/>
        <v>AnySize</v>
      </c>
      <c r="X145" s="525">
        <f t="shared" si="39"/>
        <v>7.1999999999999998E-3</v>
      </c>
      <c r="Y145" s="270"/>
      <c r="Z145" s="270"/>
      <c r="AA145" s="270"/>
      <c r="AC145" s="526"/>
      <c r="AD145" s="527"/>
      <c r="AE145" s="527"/>
      <c r="AF145" s="527"/>
      <c r="AG145" s="526"/>
      <c r="AH145" s="527"/>
      <c r="AI145" s="527"/>
      <c r="AJ145" s="527"/>
    </row>
    <row r="146" spans="8:36" ht="12.75" customHeight="1" outlineLevel="1">
      <c r="H146" s="570" t="s">
        <v>622</v>
      </c>
      <c r="I146" s="522">
        <v>1400.7152217259347</v>
      </c>
      <c r="J146" s="522">
        <v>0</v>
      </c>
      <c r="K146" s="522">
        <v>0</v>
      </c>
      <c r="L146" s="522"/>
      <c r="M146" s="522"/>
      <c r="N146" s="572" t="s">
        <v>607</v>
      </c>
      <c r="O146" s="523" t="s">
        <v>612</v>
      </c>
      <c r="P146" s="523" t="s">
        <v>609</v>
      </c>
      <c r="Q146" s="523" t="s">
        <v>619</v>
      </c>
      <c r="R146" s="523"/>
      <c r="S146" s="524" t="str">
        <f t="shared" si="34"/>
        <v>Tier3</v>
      </c>
      <c r="T146" s="524" t="str">
        <f t="shared" si="35"/>
        <v>Unheated Basement</v>
      </c>
      <c r="U146" s="524" t="str">
        <f t="shared" si="36"/>
        <v>HZ1</v>
      </c>
      <c r="V146" s="524" t="str">
        <f t="shared" si="37"/>
        <v>Any</v>
      </c>
      <c r="W146" s="524" t="str">
        <f t="shared" si="38"/>
        <v>AnySize</v>
      </c>
      <c r="X146" s="525">
        <f t="shared" si="39"/>
        <v>0.22664399999999998</v>
      </c>
      <c r="Y146" s="270"/>
      <c r="Z146" s="270"/>
      <c r="AA146" s="270"/>
      <c r="AC146" s="526"/>
      <c r="AD146" s="527"/>
      <c r="AE146" s="527"/>
      <c r="AF146" s="527"/>
      <c r="AG146" s="526"/>
      <c r="AH146" s="527"/>
      <c r="AI146" s="527"/>
      <c r="AJ146" s="527"/>
    </row>
    <row r="147" spans="8:36" ht="12.75" customHeight="1" outlineLevel="1">
      <c r="H147" s="570" t="s">
        <v>623</v>
      </c>
      <c r="I147" s="522">
        <v>1410.7461500002723</v>
      </c>
      <c r="J147" s="522">
        <v>0</v>
      </c>
      <c r="K147" s="522">
        <v>0</v>
      </c>
      <c r="L147" s="522"/>
      <c r="M147" s="522"/>
      <c r="N147" s="572" t="s">
        <v>607</v>
      </c>
      <c r="O147" s="523" t="s">
        <v>612</v>
      </c>
      <c r="P147" s="523" t="s">
        <v>610</v>
      </c>
      <c r="Q147" s="523" t="s">
        <v>619</v>
      </c>
      <c r="R147" s="523"/>
      <c r="S147" s="524" t="str">
        <f t="shared" si="34"/>
        <v>Tier3</v>
      </c>
      <c r="T147" s="524" t="str">
        <f t="shared" si="35"/>
        <v>Unheated Basement</v>
      </c>
      <c r="U147" s="524" t="str">
        <f t="shared" si="36"/>
        <v>HZ2</v>
      </c>
      <c r="V147" s="524" t="str">
        <f t="shared" si="37"/>
        <v>Any</v>
      </c>
      <c r="W147" s="524" t="str">
        <f t="shared" si="38"/>
        <v>AnySize</v>
      </c>
      <c r="X147" s="525">
        <f t="shared" si="39"/>
        <v>8.3039999999999989E-2</v>
      </c>
      <c r="Y147" s="270"/>
      <c r="Z147" s="270"/>
      <c r="AA147" s="270"/>
      <c r="AC147" s="526"/>
      <c r="AD147" s="527"/>
      <c r="AE147" s="527"/>
      <c r="AF147" s="527"/>
      <c r="AG147" s="526"/>
      <c r="AH147" s="527"/>
      <c r="AI147" s="527"/>
      <c r="AJ147" s="527"/>
    </row>
    <row r="148" spans="8:36" ht="12.75" customHeight="1" outlineLevel="1">
      <c r="H148" s="570" t="s">
        <v>624</v>
      </c>
      <c r="I148" s="522">
        <v>1407.3104311278341</v>
      </c>
      <c r="J148" s="522">
        <v>0</v>
      </c>
      <c r="K148" s="522">
        <v>0</v>
      </c>
      <c r="L148" s="522"/>
      <c r="M148" s="522"/>
      <c r="N148" s="572" t="s">
        <v>607</v>
      </c>
      <c r="O148" s="523" t="s">
        <v>612</v>
      </c>
      <c r="P148" s="523" t="s">
        <v>611</v>
      </c>
      <c r="Q148" s="523" t="s">
        <v>619</v>
      </c>
      <c r="R148" s="523"/>
      <c r="S148" s="524" t="str">
        <f t="shared" si="34"/>
        <v>Tier3</v>
      </c>
      <c r="T148" s="524" t="str">
        <f t="shared" si="35"/>
        <v>Unheated Basement</v>
      </c>
      <c r="U148" s="524" t="str">
        <f t="shared" si="36"/>
        <v>HZ3</v>
      </c>
      <c r="V148" s="524" t="str">
        <f t="shared" si="37"/>
        <v>Any</v>
      </c>
      <c r="W148" s="524" t="str">
        <f t="shared" si="38"/>
        <v>AnySize</v>
      </c>
      <c r="X148" s="525">
        <f t="shared" si="39"/>
        <v>4.9279999999999997E-2</v>
      </c>
      <c r="Y148" s="270"/>
      <c r="Z148" s="270"/>
      <c r="AA148" s="270"/>
      <c r="AC148" s="526"/>
      <c r="AD148" s="527"/>
      <c r="AE148" s="527"/>
      <c r="AF148" s="527"/>
      <c r="AG148" s="526"/>
      <c r="AH148" s="527"/>
      <c r="AI148" s="527"/>
      <c r="AJ148" s="527"/>
    </row>
    <row r="149" spans="8:36" ht="12.75" customHeight="1" outlineLevel="1">
      <c r="H149" s="570" t="s">
        <v>625</v>
      </c>
      <c r="I149" s="522">
        <v>1548.5795714344117</v>
      </c>
      <c r="J149" s="522">
        <v>-26.093964063162279</v>
      </c>
      <c r="K149" s="522">
        <v>20.03422513740491</v>
      </c>
      <c r="L149" s="522"/>
      <c r="M149" s="522"/>
      <c r="N149" s="572" t="s">
        <v>607</v>
      </c>
      <c r="O149" s="523" t="s">
        <v>613</v>
      </c>
      <c r="P149" s="523" t="s">
        <v>609</v>
      </c>
      <c r="Q149" s="523" t="s">
        <v>614</v>
      </c>
      <c r="R149" s="523" t="s">
        <v>619</v>
      </c>
      <c r="S149" s="524" t="str">
        <f t="shared" si="34"/>
        <v>Tier3</v>
      </c>
      <c r="T149" s="524" t="str">
        <f t="shared" si="35"/>
        <v>Interior</v>
      </c>
      <c r="U149" s="524" t="str">
        <f t="shared" si="36"/>
        <v>HZ1</v>
      </c>
      <c r="V149" s="524" t="str">
        <f t="shared" si="37"/>
        <v>gas</v>
      </c>
      <c r="W149" s="524" t="str">
        <f t="shared" si="38"/>
        <v>AnySize</v>
      </c>
      <c r="X149" s="525">
        <f t="shared" si="39"/>
        <v>0.13360883711999993</v>
      </c>
      <c r="Y149" s="270"/>
      <c r="Z149" s="270"/>
      <c r="AA149" s="270"/>
      <c r="AC149" s="526"/>
      <c r="AD149" s="527"/>
      <c r="AE149" s="527"/>
      <c r="AF149" s="527"/>
      <c r="AG149" s="526"/>
      <c r="AH149" s="527"/>
      <c r="AI149" s="527"/>
      <c r="AJ149" s="527"/>
    </row>
    <row r="150" spans="8:36" ht="12.75" customHeight="1" outlineLevel="1">
      <c r="H150" s="570" t="s">
        <v>626</v>
      </c>
      <c r="I150" s="522">
        <v>1550.1832156473001</v>
      </c>
      <c r="J150" s="522">
        <v>-634.24364937005885</v>
      </c>
      <c r="K150" s="522">
        <v>0</v>
      </c>
      <c r="L150" s="522"/>
      <c r="M150" s="522"/>
      <c r="N150" s="572" t="s">
        <v>607</v>
      </c>
      <c r="O150" s="523" t="s">
        <v>613</v>
      </c>
      <c r="P150" s="523" t="s">
        <v>609</v>
      </c>
      <c r="Q150" s="523" t="s">
        <v>615</v>
      </c>
      <c r="R150" s="523" t="s">
        <v>619</v>
      </c>
      <c r="S150" s="524" t="str">
        <f t="shared" si="34"/>
        <v>Tier3</v>
      </c>
      <c r="T150" s="524" t="str">
        <f t="shared" si="35"/>
        <v>Interior</v>
      </c>
      <c r="U150" s="524" t="str">
        <f t="shared" si="36"/>
        <v>HZ1</v>
      </c>
      <c r="V150" s="524" t="str">
        <f t="shared" si="37"/>
        <v>Electric Resistance</v>
      </c>
      <c r="W150" s="524" t="str">
        <f t="shared" si="38"/>
        <v>AnySize</v>
      </c>
      <c r="X150" s="525">
        <f t="shared" si="39"/>
        <v>4.141957248E-2</v>
      </c>
      <c r="Y150" s="270"/>
      <c r="Z150" s="270"/>
      <c r="AA150" s="270"/>
      <c r="AC150" s="526"/>
      <c r="AD150" s="527"/>
      <c r="AE150" s="527"/>
      <c r="AF150" s="527"/>
      <c r="AG150" s="526"/>
      <c r="AH150" s="527"/>
      <c r="AI150" s="527"/>
      <c r="AJ150" s="527"/>
    </row>
    <row r="151" spans="8:36" ht="12.75" customHeight="1" outlineLevel="1">
      <c r="H151" s="570" t="s">
        <v>627</v>
      </c>
      <c r="I151" s="522">
        <v>1546.9603628586899</v>
      </c>
      <c r="J151" s="522">
        <v>-312.20056841463031</v>
      </c>
      <c r="K151" s="522">
        <v>40.329002440049393</v>
      </c>
      <c r="L151" s="522"/>
      <c r="M151" s="522"/>
      <c r="N151" s="572" t="s">
        <v>607</v>
      </c>
      <c r="O151" s="523" t="s">
        <v>613</v>
      </c>
      <c r="P151" s="523" t="s">
        <v>609</v>
      </c>
      <c r="Q151" s="523" t="s">
        <v>616</v>
      </c>
      <c r="R151" s="523" t="s">
        <v>619</v>
      </c>
      <c r="S151" s="524" t="str">
        <f t="shared" si="34"/>
        <v>Tier3</v>
      </c>
      <c r="T151" s="524" t="str">
        <f t="shared" si="35"/>
        <v>Interior</v>
      </c>
      <c r="U151" s="524" t="str">
        <f t="shared" si="36"/>
        <v>HZ1</v>
      </c>
      <c r="V151" s="524" t="str">
        <f t="shared" si="37"/>
        <v>Heat Pump HSPF 8.5</v>
      </c>
      <c r="W151" s="524" t="str">
        <f t="shared" si="38"/>
        <v>AnySize</v>
      </c>
      <c r="X151" s="525">
        <f t="shared" si="39"/>
        <v>3.3193966079999998E-2</v>
      </c>
      <c r="Y151" s="270"/>
      <c r="Z151" s="270"/>
      <c r="AA151" s="270"/>
      <c r="AC151" s="526"/>
      <c r="AD151" s="527"/>
      <c r="AE151" s="527"/>
      <c r="AF151" s="527"/>
      <c r="AG151" s="526"/>
      <c r="AH151" s="527"/>
      <c r="AI151" s="527"/>
      <c r="AJ151" s="527"/>
    </row>
    <row r="152" spans="8:36" ht="12.75" customHeight="1" outlineLevel="1">
      <c r="H152" s="570" t="s">
        <v>628</v>
      </c>
      <c r="I152" s="522">
        <v>1577.8743642685019</v>
      </c>
      <c r="J152" s="522">
        <v>-23.917120390073016</v>
      </c>
      <c r="K152" s="522">
        <v>23.568373682292304</v>
      </c>
      <c r="L152" s="522"/>
      <c r="M152" s="522"/>
      <c r="N152" s="572" t="s">
        <v>607</v>
      </c>
      <c r="O152" s="523" t="s">
        <v>613</v>
      </c>
      <c r="P152" s="523" t="s">
        <v>610</v>
      </c>
      <c r="Q152" s="523" t="s">
        <v>614</v>
      </c>
      <c r="R152" s="523" t="s">
        <v>619</v>
      </c>
      <c r="S152" s="524" t="str">
        <f t="shared" si="34"/>
        <v>Tier3</v>
      </c>
      <c r="T152" s="524" t="str">
        <f t="shared" si="35"/>
        <v>Interior</v>
      </c>
      <c r="U152" s="524" t="str">
        <f t="shared" si="36"/>
        <v>HZ2</v>
      </c>
      <c r="V152" s="524" t="str">
        <f t="shared" si="37"/>
        <v>gas</v>
      </c>
      <c r="W152" s="524" t="str">
        <f t="shared" si="38"/>
        <v>AnySize</v>
      </c>
      <c r="X152" s="525">
        <f t="shared" si="39"/>
        <v>3.4311330815999991E-2</v>
      </c>
      <c r="Y152" s="270"/>
      <c r="Z152" s="270"/>
      <c r="AA152" s="270"/>
      <c r="AC152" s="526"/>
      <c r="AD152" s="527"/>
      <c r="AE152" s="527"/>
      <c r="AF152" s="527"/>
      <c r="AG152" s="526"/>
      <c r="AH152" s="527"/>
      <c r="AI152" s="527"/>
      <c r="AJ152" s="527"/>
    </row>
    <row r="153" spans="8:36" ht="12.75" customHeight="1" outlineLevel="1">
      <c r="H153" s="570" t="s">
        <v>629</v>
      </c>
      <c r="I153" s="522">
        <v>1580.950191477431</v>
      </c>
      <c r="J153" s="522">
        <v>-566.06371321185702</v>
      </c>
      <c r="K153" s="522">
        <v>0</v>
      </c>
      <c r="L153" s="522"/>
      <c r="M153" s="522"/>
      <c r="N153" s="572" t="s">
        <v>607</v>
      </c>
      <c r="O153" s="523" t="s">
        <v>613</v>
      </c>
      <c r="P153" s="523" t="s">
        <v>610</v>
      </c>
      <c r="Q153" s="523" t="s">
        <v>615</v>
      </c>
      <c r="R153" s="523" t="s">
        <v>619</v>
      </c>
      <c r="S153" s="524" t="str">
        <f t="shared" si="34"/>
        <v>Tier3</v>
      </c>
      <c r="T153" s="524" t="str">
        <f t="shared" si="35"/>
        <v>Interior</v>
      </c>
      <c r="U153" s="524" t="str">
        <f t="shared" si="36"/>
        <v>HZ2</v>
      </c>
      <c r="V153" s="524" t="str">
        <f t="shared" si="37"/>
        <v>Electric Resistance</v>
      </c>
      <c r="W153" s="524" t="str">
        <f t="shared" si="38"/>
        <v>AnySize</v>
      </c>
      <c r="X153" s="525">
        <f t="shared" si="39"/>
        <v>1.0636726464000001E-2</v>
      </c>
      <c r="Y153" s="270"/>
      <c r="Z153" s="270"/>
      <c r="AA153" s="270"/>
      <c r="AC153" s="526"/>
      <c r="AD153" s="527"/>
      <c r="AE153" s="527"/>
      <c r="AF153" s="527"/>
      <c r="AG153" s="526"/>
      <c r="AH153" s="527"/>
      <c r="AI153" s="527"/>
      <c r="AJ153" s="527"/>
    </row>
    <row r="154" spans="8:36" ht="12.75" customHeight="1" outlineLevel="1">
      <c r="H154" s="570" t="s">
        <v>630</v>
      </c>
      <c r="I154" s="522">
        <v>1574.7889587260001</v>
      </c>
      <c r="J154" s="522">
        <v>-363.85146458013639</v>
      </c>
      <c r="K154" s="522">
        <v>47.440504235144886</v>
      </c>
      <c r="L154" s="522"/>
      <c r="M154" s="522"/>
      <c r="N154" s="572" t="s">
        <v>607</v>
      </c>
      <c r="O154" s="523" t="s">
        <v>613</v>
      </c>
      <c r="P154" s="523" t="s">
        <v>610</v>
      </c>
      <c r="Q154" s="523" t="s">
        <v>616</v>
      </c>
      <c r="R154" s="523" t="s">
        <v>619</v>
      </c>
      <c r="S154" s="524" t="str">
        <f t="shared" si="34"/>
        <v>Tier3</v>
      </c>
      <c r="T154" s="524" t="str">
        <f t="shared" si="35"/>
        <v>Interior</v>
      </c>
      <c r="U154" s="524" t="str">
        <f t="shared" si="36"/>
        <v>HZ2</v>
      </c>
      <c r="V154" s="524" t="str">
        <f t="shared" si="37"/>
        <v>Heat Pump HSPF 8.5</v>
      </c>
      <c r="W154" s="524" t="str">
        <f t="shared" si="38"/>
        <v>AnySize</v>
      </c>
      <c r="X154" s="525">
        <f t="shared" si="39"/>
        <v>8.5243549439999993E-3</v>
      </c>
      <c r="Y154" s="270"/>
      <c r="Z154" s="270"/>
      <c r="AA154" s="270"/>
      <c r="AC154" s="526"/>
      <c r="AD154" s="527"/>
      <c r="AE154" s="527"/>
      <c r="AF154" s="527"/>
      <c r="AG154" s="526"/>
      <c r="AH154" s="527"/>
      <c r="AI154" s="527"/>
      <c r="AJ154" s="527"/>
    </row>
    <row r="155" spans="8:36" ht="12.75" customHeight="1" outlineLevel="1">
      <c r="H155" s="570" t="s">
        <v>631</v>
      </c>
      <c r="I155" s="522">
        <v>1594.7371081924339</v>
      </c>
      <c r="J155" s="522">
        <v>-21.670483433781165</v>
      </c>
      <c r="K155" s="522">
        <v>25.603898179885366</v>
      </c>
      <c r="L155" s="522"/>
      <c r="M155" s="522"/>
      <c r="N155" s="572" t="s">
        <v>607</v>
      </c>
      <c r="O155" s="523" t="s">
        <v>613</v>
      </c>
      <c r="P155" s="523" t="s">
        <v>611</v>
      </c>
      <c r="Q155" s="523" t="s">
        <v>614</v>
      </c>
      <c r="R155" s="523" t="s">
        <v>619</v>
      </c>
      <c r="S155" s="524" t="str">
        <f t="shared" si="34"/>
        <v>Tier3</v>
      </c>
      <c r="T155" s="524" t="str">
        <f t="shared" si="35"/>
        <v>Interior</v>
      </c>
      <c r="U155" s="524" t="str">
        <f t="shared" si="36"/>
        <v>HZ3</v>
      </c>
      <c r="V155" s="524" t="str">
        <f t="shared" si="37"/>
        <v>gas</v>
      </c>
      <c r="W155" s="524" t="str">
        <f t="shared" si="38"/>
        <v>AnySize</v>
      </c>
      <c r="X155" s="525">
        <f t="shared" si="39"/>
        <v>1.4486814719999996E-2</v>
      </c>
      <c r="Y155" s="270"/>
      <c r="Z155" s="270"/>
      <c r="AA155" s="270"/>
      <c r="AC155" s="526"/>
      <c r="AD155" s="527"/>
      <c r="AE155" s="527"/>
      <c r="AF155" s="527"/>
      <c r="AG155" s="526"/>
      <c r="AH155" s="527"/>
      <c r="AI155" s="527"/>
      <c r="AJ155" s="527"/>
    </row>
    <row r="156" spans="8:36" ht="12.75" customHeight="1" outlineLevel="1">
      <c r="H156" s="570" t="s">
        <v>632</v>
      </c>
      <c r="I156" s="522">
        <v>1596.1803222194767</v>
      </c>
      <c r="J156" s="522">
        <v>-509.02833224044093</v>
      </c>
      <c r="K156" s="522">
        <v>0</v>
      </c>
      <c r="L156" s="522"/>
      <c r="M156" s="522"/>
      <c r="N156" s="572" t="s">
        <v>607</v>
      </c>
      <c r="O156" s="523" t="s">
        <v>613</v>
      </c>
      <c r="P156" s="523" t="s">
        <v>611</v>
      </c>
      <c r="Q156" s="523" t="s">
        <v>615</v>
      </c>
      <c r="R156" s="523" t="s">
        <v>619</v>
      </c>
      <c r="S156" s="524" t="str">
        <f t="shared" si="34"/>
        <v>Tier3</v>
      </c>
      <c r="T156" s="524" t="str">
        <f t="shared" si="35"/>
        <v>Interior</v>
      </c>
      <c r="U156" s="524" t="str">
        <f t="shared" si="36"/>
        <v>HZ3</v>
      </c>
      <c r="V156" s="524" t="str">
        <f t="shared" si="37"/>
        <v>Electric Resistance</v>
      </c>
      <c r="W156" s="524" t="str">
        <f t="shared" si="38"/>
        <v>AnySize</v>
      </c>
      <c r="X156" s="525">
        <f t="shared" si="39"/>
        <v>4.49100288E-3</v>
      </c>
      <c r="Y156" s="270"/>
      <c r="Z156" s="270"/>
      <c r="AA156" s="270"/>
      <c r="AC156" s="526"/>
      <c r="AD156" s="527"/>
      <c r="AE156" s="527"/>
      <c r="AF156" s="527"/>
      <c r="AG156" s="526"/>
      <c r="AH156" s="527"/>
      <c r="AI156" s="527"/>
      <c r="AJ156" s="527"/>
    </row>
    <row r="157" spans="8:36" ht="12.75" customHeight="1" outlineLevel="1">
      <c r="H157" s="570" t="s">
        <v>633</v>
      </c>
      <c r="I157" s="522">
        <v>1593.2774722346658</v>
      </c>
      <c r="J157" s="522">
        <v>-375.18742962017444</v>
      </c>
      <c r="K157" s="522">
        <v>51.535600266961318</v>
      </c>
      <c r="L157" s="522"/>
      <c r="M157" s="522"/>
      <c r="N157" s="572" t="s">
        <v>607</v>
      </c>
      <c r="O157" s="523" t="s">
        <v>613</v>
      </c>
      <c r="P157" s="523" t="s">
        <v>611</v>
      </c>
      <c r="Q157" s="523" t="s">
        <v>616</v>
      </c>
      <c r="R157" s="523" t="s">
        <v>619</v>
      </c>
      <c r="S157" s="524" t="str">
        <f t="shared" si="34"/>
        <v>Tier3</v>
      </c>
      <c r="T157" s="524" t="str">
        <f t="shared" si="35"/>
        <v>Interior</v>
      </c>
      <c r="U157" s="524" t="str">
        <f t="shared" si="36"/>
        <v>HZ3</v>
      </c>
      <c r="V157" s="524" t="str">
        <f t="shared" si="37"/>
        <v>Heat Pump HSPF 8.5</v>
      </c>
      <c r="W157" s="524" t="str">
        <f t="shared" si="38"/>
        <v>AnySize</v>
      </c>
      <c r="X157" s="525">
        <f t="shared" si="39"/>
        <v>3.5991244800000002E-3</v>
      </c>
      <c r="Y157" s="270"/>
      <c r="Z157" s="270"/>
      <c r="AA157" s="270"/>
      <c r="AC157" s="526"/>
      <c r="AD157" s="527"/>
      <c r="AE157" s="527"/>
      <c r="AF157" s="527"/>
      <c r="AG157" s="526"/>
      <c r="AH157" s="527"/>
      <c r="AI157" s="527"/>
      <c r="AJ157" s="527"/>
    </row>
    <row r="158" spans="8:36" ht="12.75" customHeight="1" outlineLevel="1">
      <c r="H158" s="570" t="s">
        <v>634</v>
      </c>
      <c r="I158" s="522">
        <v>1551.2190128591114</v>
      </c>
      <c r="J158" s="522">
        <v>-20.466498610272048</v>
      </c>
      <c r="K158" s="522">
        <v>-6.7010825683982578</v>
      </c>
      <c r="L158" s="522"/>
      <c r="M158" s="522"/>
      <c r="N158" s="572" t="s">
        <v>607</v>
      </c>
      <c r="O158" s="523" t="s">
        <v>617</v>
      </c>
      <c r="P158" s="523" t="s">
        <v>609</v>
      </c>
      <c r="Q158" s="523" t="s">
        <v>614</v>
      </c>
      <c r="R158" s="523" t="s">
        <v>619</v>
      </c>
      <c r="S158" s="524" t="str">
        <f t="shared" si="34"/>
        <v>Tier3</v>
      </c>
      <c r="T158" s="524" t="str">
        <f t="shared" si="35"/>
        <v>Interior - Exhaust Ducted</v>
      </c>
      <c r="U158" s="524" t="str">
        <f t="shared" si="36"/>
        <v>HZ1</v>
      </c>
      <c r="V158" s="524" t="str">
        <f t="shared" si="37"/>
        <v>gas</v>
      </c>
      <c r="W158" s="524" t="str">
        <f t="shared" si="38"/>
        <v>AnySize</v>
      </c>
      <c r="X158" s="525">
        <f t="shared" si="39"/>
        <v>5.5670348799999984E-3</v>
      </c>
      <c r="Y158" s="270"/>
      <c r="Z158" s="270"/>
      <c r="AA158" s="270"/>
      <c r="AC158" s="526"/>
      <c r="AD158" s="527"/>
      <c r="AE158" s="527"/>
      <c r="AF158" s="527"/>
      <c r="AG158" s="526"/>
      <c r="AH158" s="527"/>
      <c r="AI158" s="527"/>
      <c r="AJ158" s="527"/>
    </row>
    <row r="159" spans="8:36" ht="12.75" customHeight="1" outlineLevel="1">
      <c r="H159" s="570" t="s">
        <v>635</v>
      </c>
      <c r="I159" s="522">
        <v>1553.3961563181335</v>
      </c>
      <c r="J159" s="522">
        <v>-488.92667247028612</v>
      </c>
      <c r="K159" s="522">
        <v>0</v>
      </c>
      <c r="L159" s="522"/>
      <c r="M159" s="522"/>
      <c r="N159" s="572" t="s">
        <v>607</v>
      </c>
      <c r="O159" s="523" t="s">
        <v>617</v>
      </c>
      <c r="P159" s="523" t="s">
        <v>609</v>
      </c>
      <c r="Q159" s="523" t="s">
        <v>615</v>
      </c>
      <c r="R159" s="523" t="s">
        <v>619</v>
      </c>
      <c r="S159" s="524" t="str">
        <f t="shared" si="34"/>
        <v>Tier3</v>
      </c>
      <c r="T159" s="524" t="str">
        <f t="shared" si="35"/>
        <v>Interior - Exhaust Ducted</v>
      </c>
      <c r="U159" s="524" t="str">
        <f t="shared" si="36"/>
        <v>HZ1</v>
      </c>
      <c r="V159" s="524" t="str">
        <f t="shared" si="37"/>
        <v>Electric Resistance</v>
      </c>
      <c r="W159" s="524" t="str">
        <f t="shared" si="38"/>
        <v>AnySize</v>
      </c>
      <c r="X159" s="525">
        <f t="shared" si="39"/>
        <v>1.72581552E-3</v>
      </c>
      <c r="Y159" s="270"/>
      <c r="Z159" s="270"/>
      <c r="AA159" s="270"/>
      <c r="AC159" s="526"/>
      <c r="AD159" s="527"/>
      <c r="AE159" s="527"/>
      <c r="AF159" s="527"/>
      <c r="AG159" s="526"/>
      <c r="AH159" s="527"/>
      <c r="AI159" s="527"/>
      <c r="AJ159" s="527"/>
    </row>
    <row r="160" spans="8:36" ht="12.75" customHeight="1" outlineLevel="1">
      <c r="H160" s="570" t="s">
        <v>636</v>
      </c>
      <c r="I160" s="522">
        <v>1549.0185015773109</v>
      </c>
      <c r="J160" s="522">
        <v>-290.24196178652772</v>
      </c>
      <c r="K160" s="522">
        <v>-13.465394372785985</v>
      </c>
      <c r="L160" s="522"/>
      <c r="M160" s="522"/>
      <c r="N160" s="572" t="s">
        <v>607</v>
      </c>
      <c r="O160" s="523" t="s">
        <v>617</v>
      </c>
      <c r="P160" s="523" t="s">
        <v>609</v>
      </c>
      <c r="Q160" s="523" t="s">
        <v>616</v>
      </c>
      <c r="R160" s="523" t="s">
        <v>619</v>
      </c>
      <c r="S160" s="524" t="str">
        <f t="shared" si="34"/>
        <v>Tier3</v>
      </c>
      <c r="T160" s="524" t="str">
        <f t="shared" si="35"/>
        <v>Interior - Exhaust Ducted</v>
      </c>
      <c r="U160" s="524" t="str">
        <f t="shared" si="36"/>
        <v>HZ1</v>
      </c>
      <c r="V160" s="524" t="str">
        <f t="shared" si="37"/>
        <v>Heat Pump HSPF 8.5</v>
      </c>
      <c r="W160" s="524" t="str">
        <f t="shared" si="38"/>
        <v>AnySize</v>
      </c>
      <c r="X160" s="525">
        <f t="shared" si="39"/>
        <v>1.38308192E-3</v>
      </c>
      <c r="Y160" s="270"/>
      <c r="Z160" s="270"/>
      <c r="AA160" s="270"/>
      <c r="AC160" s="526"/>
      <c r="AD160" s="527"/>
      <c r="AE160" s="527"/>
      <c r="AF160" s="527"/>
      <c r="AG160" s="526"/>
      <c r="AH160" s="527"/>
      <c r="AI160" s="527"/>
      <c r="AJ160" s="527"/>
    </row>
    <row r="161" spans="8:36" ht="12.75" customHeight="1" outlineLevel="1">
      <c r="H161" s="570" t="s">
        <v>637</v>
      </c>
      <c r="I161" s="522">
        <v>1580.7164781314743</v>
      </c>
      <c r="J161" s="522">
        <v>-23.493181795222473</v>
      </c>
      <c r="K161" s="522">
        <v>-7.021391680314168</v>
      </c>
      <c r="L161" s="522"/>
      <c r="M161" s="522"/>
      <c r="N161" s="572" t="s">
        <v>607</v>
      </c>
      <c r="O161" s="523" t="s">
        <v>617</v>
      </c>
      <c r="P161" s="523" t="s">
        <v>610</v>
      </c>
      <c r="Q161" s="523" t="s">
        <v>614</v>
      </c>
      <c r="R161" s="523" t="s">
        <v>619</v>
      </c>
      <c r="S161" s="524" t="str">
        <f t="shared" si="34"/>
        <v>Tier3</v>
      </c>
      <c r="T161" s="524" t="str">
        <f t="shared" si="35"/>
        <v>Interior - Exhaust Ducted</v>
      </c>
      <c r="U161" s="524" t="str">
        <f t="shared" si="36"/>
        <v>HZ2</v>
      </c>
      <c r="V161" s="524" t="str">
        <f t="shared" si="37"/>
        <v>gas</v>
      </c>
      <c r="W161" s="524" t="str">
        <f t="shared" si="38"/>
        <v>AnySize</v>
      </c>
      <c r="X161" s="525">
        <f t="shared" si="39"/>
        <v>1.4296387839999997E-3</v>
      </c>
      <c r="Y161" s="270"/>
      <c r="Z161" s="270"/>
      <c r="AA161" s="270"/>
      <c r="AC161" s="526"/>
      <c r="AD161" s="527"/>
      <c r="AE161" s="527"/>
      <c r="AF161" s="527"/>
      <c r="AG161" s="526"/>
      <c r="AH161" s="527"/>
      <c r="AI161" s="527"/>
      <c r="AJ161" s="527"/>
    </row>
    <row r="162" spans="8:36" ht="12.75" customHeight="1" outlineLevel="1">
      <c r="H162" s="570" t="s">
        <v>638</v>
      </c>
      <c r="I162" s="522">
        <v>1584.6993254802646</v>
      </c>
      <c r="J162" s="522">
        <v>-551.31114668627697</v>
      </c>
      <c r="K162" s="522">
        <v>0</v>
      </c>
      <c r="L162" s="522"/>
      <c r="M162" s="522"/>
      <c r="N162" s="572" t="s">
        <v>607</v>
      </c>
      <c r="O162" s="523" t="s">
        <v>617</v>
      </c>
      <c r="P162" s="523" t="s">
        <v>610</v>
      </c>
      <c r="Q162" s="523" t="s">
        <v>615</v>
      </c>
      <c r="R162" s="523" t="s">
        <v>619</v>
      </c>
      <c r="S162" s="524" t="str">
        <f t="shared" si="34"/>
        <v>Tier3</v>
      </c>
      <c r="T162" s="524" t="str">
        <f t="shared" si="35"/>
        <v>Interior - Exhaust Ducted</v>
      </c>
      <c r="U162" s="524" t="str">
        <f t="shared" si="36"/>
        <v>HZ2</v>
      </c>
      <c r="V162" s="524" t="str">
        <f t="shared" si="37"/>
        <v>Electric Resistance</v>
      </c>
      <c r="W162" s="524" t="str">
        <f t="shared" si="38"/>
        <v>AnySize</v>
      </c>
      <c r="X162" s="525">
        <f t="shared" si="39"/>
        <v>4.4319693600000003E-4</v>
      </c>
      <c r="Y162" s="270"/>
      <c r="Z162" s="270"/>
      <c r="AA162" s="270"/>
      <c r="AC162" s="526"/>
      <c r="AD162" s="527"/>
      <c r="AE162" s="527"/>
      <c r="AF162" s="527"/>
      <c r="AG162" s="526"/>
      <c r="AH162" s="527"/>
      <c r="AI162" s="527"/>
      <c r="AJ162" s="527"/>
    </row>
    <row r="163" spans="8:36" ht="12.75" customHeight="1" outlineLevel="1">
      <c r="H163" s="570" t="s">
        <v>639</v>
      </c>
      <c r="I163" s="522">
        <v>1576.7165928563772</v>
      </c>
      <c r="J163" s="522">
        <v>-446.14948597365623</v>
      </c>
      <c r="K163" s="522">
        <v>-14.103120124421469</v>
      </c>
      <c r="L163" s="522"/>
      <c r="M163" s="522"/>
      <c r="N163" s="572" t="s">
        <v>607</v>
      </c>
      <c r="O163" s="523" t="s">
        <v>617</v>
      </c>
      <c r="P163" s="523" t="s">
        <v>610</v>
      </c>
      <c r="Q163" s="523" t="s">
        <v>616</v>
      </c>
      <c r="R163" s="523" t="s">
        <v>619</v>
      </c>
      <c r="S163" s="524" t="str">
        <f t="shared" si="34"/>
        <v>Tier3</v>
      </c>
      <c r="T163" s="524" t="str">
        <f t="shared" si="35"/>
        <v>Interior - Exhaust Ducted</v>
      </c>
      <c r="U163" s="524" t="str">
        <f t="shared" si="36"/>
        <v>HZ2</v>
      </c>
      <c r="V163" s="524" t="str">
        <f t="shared" si="37"/>
        <v>Heat Pump HSPF 8.5</v>
      </c>
      <c r="W163" s="524" t="str">
        <f t="shared" si="38"/>
        <v>AnySize</v>
      </c>
      <c r="X163" s="525">
        <f t="shared" si="39"/>
        <v>3.5518145600000001E-4</v>
      </c>
      <c r="Y163" s="270"/>
      <c r="Z163" s="270"/>
      <c r="AA163" s="270"/>
      <c r="AC163" s="526"/>
      <c r="AD163" s="527"/>
      <c r="AE163" s="527"/>
      <c r="AF163" s="527"/>
      <c r="AG163" s="526"/>
      <c r="AH163" s="527"/>
      <c r="AI163" s="527"/>
      <c r="AJ163" s="527"/>
    </row>
    <row r="164" spans="8:36" ht="12.75" customHeight="1" outlineLevel="1">
      <c r="H164" s="570" t="s">
        <v>640</v>
      </c>
      <c r="I164" s="522">
        <v>1597.5029537724954</v>
      </c>
      <c r="J164" s="522">
        <v>-24.584421682104075</v>
      </c>
      <c r="K164" s="522">
        <v>-7.0999949055997638</v>
      </c>
      <c r="L164" s="522"/>
      <c r="M164" s="522"/>
      <c r="N164" s="572" t="s">
        <v>607</v>
      </c>
      <c r="O164" s="523" t="s">
        <v>617</v>
      </c>
      <c r="P164" s="523" t="s">
        <v>611</v>
      </c>
      <c r="Q164" s="523" t="s">
        <v>614</v>
      </c>
      <c r="R164" s="523" t="s">
        <v>619</v>
      </c>
      <c r="S164" s="524" t="str">
        <f t="shared" si="34"/>
        <v>Tier3</v>
      </c>
      <c r="T164" s="524" t="str">
        <f t="shared" si="35"/>
        <v>Interior - Exhaust Ducted</v>
      </c>
      <c r="U164" s="524" t="str">
        <f t="shared" si="36"/>
        <v>HZ3</v>
      </c>
      <c r="V164" s="524" t="str">
        <f t="shared" si="37"/>
        <v>gas</v>
      </c>
      <c r="W164" s="524" t="str">
        <f t="shared" si="38"/>
        <v>AnySize</v>
      </c>
      <c r="X164" s="525">
        <f t="shared" si="39"/>
        <v>6.0361727999999983E-4</v>
      </c>
      <c r="Y164" s="270"/>
      <c r="Z164" s="270"/>
      <c r="AA164" s="270"/>
      <c r="AC164" s="526"/>
      <c r="AD164" s="527"/>
      <c r="AE164" s="527"/>
      <c r="AF164" s="527"/>
      <c r="AG164" s="526"/>
      <c r="AH164" s="527"/>
      <c r="AI164" s="527"/>
      <c r="AJ164" s="527"/>
    </row>
    <row r="165" spans="8:36" ht="12.75" customHeight="1" outlineLevel="1">
      <c r="H165" s="570" t="s">
        <v>641</v>
      </c>
      <c r="I165" s="522">
        <v>1599.672085334299</v>
      </c>
      <c r="J165" s="522">
        <v>-575.59928776217737</v>
      </c>
      <c r="K165" s="522">
        <v>0</v>
      </c>
      <c r="L165" s="522"/>
      <c r="M165" s="522"/>
      <c r="N165" s="572" t="s">
        <v>607</v>
      </c>
      <c r="O165" s="523" t="s">
        <v>617</v>
      </c>
      <c r="P165" s="523" t="s">
        <v>611</v>
      </c>
      <c r="Q165" s="523" t="s">
        <v>615</v>
      </c>
      <c r="R165" s="523" t="s">
        <v>619</v>
      </c>
      <c r="S165" s="524" t="str">
        <f t="shared" si="34"/>
        <v>Tier3</v>
      </c>
      <c r="T165" s="524" t="str">
        <f t="shared" si="35"/>
        <v>Interior - Exhaust Ducted</v>
      </c>
      <c r="U165" s="524" t="str">
        <f t="shared" si="36"/>
        <v>HZ3</v>
      </c>
      <c r="V165" s="524" t="str">
        <f t="shared" si="37"/>
        <v>Electric Resistance</v>
      </c>
      <c r="W165" s="524" t="str">
        <f t="shared" si="38"/>
        <v>AnySize</v>
      </c>
      <c r="X165" s="525">
        <f t="shared" si="39"/>
        <v>1.8712512000000002E-4</v>
      </c>
      <c r="Y165" s="270"/>
      <c r="Z165" s="270"/>
      <c r="AA165" s="270"/>
      <c r="AC165" s="526"/>
      <c r="AD165" s="527"/>
      <c r="AE165" s="527"/>
      <c r="AF165" s="527"/>
      <c r="AG165" s="526"/>
      <c r="AH165" s="527"/>
      <c r="AI165" s="527"/>
      <c r="AJ165" s="527"/>
    </row>
    <row r="166" spans="8:36" ht="12.75" customHeight="1" outlineLevel="1">
      <c r="H166" s="570" t="s">
        <v>642</v>
      </c>
      <c r="I166" s="522">
        <v>1595.325401894778</v>
      </c>
      <c r="J166" s="522">
        <v>-537.06605586490207</v>
      </c>
      <c r="K166" s="522">
        <v>-14.257933664953578</v>
      </c>
      <c r="L166" s="522"/>
      <c r="M166" s="522"/>
      <c r="N166" s="572" t="s">
        <v>607</v>
      </c>
      <c r="O166" s="523" t="s">
        <v>617</v>
      </c>
      <c r="P166" s="523" t="s">
        <v>611</v>
      </c>
      <c r="Q166" s="523" t="s">
        <v>616</v>
      </c>
      <c r="R166" s="523" t="s">
        <v>619</v>
      </c>
      <c r="S166" s="524" t="str">
        <f t="shared" si="34"/>
        <v>Tier3</v>
      </c>
      <c r="T166" s="524" t="str">
        <f t="shared" si="35"/>
        <v>Interior - Exhaust Ducted</v>
      </c>
      <c r="U166" s="524" t="str">
        <f t="shared" si="36"/>
        <v>HZ3</v>
      </c>
      <c r="V166" s="524" t="str">
        <f t="shared" si="37"/>
        <v>Heat Pump HSPF 8.5</v>
      </c>
      <c r="W166" s="524" t="str">
        <f t="shared" si="38"/>
        <v>AnySize</v>
      </c>
      <c r="X166" s="525">
        <f t="shared" si="39"/>
        <v>1.4996352000000001E-4</v>
      </c>
      <c r="Y166" s="270"/>
      <c r="Z166" s="270"/>
      <c r="AA166" s="270"/>
      <c r="AC166" s="526"/>
      <c r="AD166" s="527"/>
      <c r="AE166" s="527"/>
      <c r="AF166" s="527"/>
      <c r="AG166" s="526"/>
      <c r="AH166" s="527"/>
      <c r="AI166" s="527"/>
      <c r="AJ166" s="527"/>
    </row>
    <row r="167" spans="8:36" ht="12.75" customHeight="1" outlineLevel="1">
      <c r="H167" s="570"/>
      <c r="I167" s="522"/>
      <c r="J167" s="522"/>
      <c r="K167" s="522"/>
      <c r="L167" s="522"/>
      <c r="M167" s="522"/>
      <c r="N167" s="572"/>
      <c r="O167" s="523"/>
      <c r="P167" s="523"/>
      <c r="Q167" s="523"/>
      <c r="R167" s="523"/>
      <c r="S167" s="524"/>
      <c r="T167" s="524"/>
      <c r="U167" s="524"/>
      <c r="V167" s="524"/>
      <c r="W167" s="524"/>
      <c r="X167" s="525"/>
      <c r="Y167" s="270"/>
      <c r="Z167" s="270"/>
      <c r="AA167" s="270"/>
      <c r="AC167" s="526"/>
      <c r="AD167" s="527"/>
      <c r="AE167" s="527"/>
      <c r="AF167" s="527"/>
      <c r="AG167" s="526"/>
      <c r="AH167" s="527"/>
      <c r="AI167" s="527"/>
      <c r="AJ167" s="527"/>
    </row>
    <row r="168" spans="8:36" ht="12.75" customHeight="1" outlineLevel="1">
      <c r="H168" s="570"/>
      <c r="I168" s="522"/>
      <c r="J168" s="522"/>
      <c r="K168" s="522"/>
      <c r="L168" s="522"/>
      <c r="M168" s="522"/>
      <c r="N168" s="572"/>
      <c r="O168" s="523"/>
      <c r="P168" s="523"/>
      <c r="Q168" s="523"/>
      <c r="R168" s="523"/>
      <c r="S168" s="524"/>
      <c r="T168" s="524"/>
      <c r="U168" s="524"/>
      <c r="V168" s="524"/>
      <c r="W168" s="524"/>
      <c r="X168" s="525"/>
      <c r="Y168" s="270"/>
      <c r="Z168" s="270"/>
      <c r="AA168" s="270"/>
      <c r="AC168" s="526"/>
      <c r="AD168" s="527"/>
      <c r="AE168" s="527"/>
      <c r="AF168" s="527"/>
      <c r="AG168" s="526"/>
      <c r="AH168" s="527"/>
      <c r="AI168" s="527"/>
      <c r="AJ168" s="527"/>
    </row>
    <row r="169" spans="8:36" ht="12.75" customHeight="1" outlineLevel="1">
      <c r="H169" s="570"/>
      <c r="I169" s="522"/>
      <c r="J169" s="522"/>
      <c r="K169" s="522"/>
      <c r="L169" s="522"/>
      <c r="M169" s="522"/>
      <c r="N169" s="572"/>
      <c r="O169" s="523"/>
      <c r="P169" s="523"/>
      <c r="Q169" s="523"/>
      <c r="R169" s="523"/>
      <c r="S169" s="524"/>
      <c r="T169" s="524"/>
      <c r="U169" s="524"/>
      <c r="V169" s="524"/>
      <c r="W169" s="524"/>
      <c r="X169" s="525"/>
      <c r="Y169" s="270"/>
      <c r="Z169" s="270"/>
      <c r="AA169" s="270"/>
      <c r="AC169" s="526"/>
      <c r="AD169" s="527"/>
      <c r="AE169" s="527"/>
      <c r="AF169" s="527"/>
      <c r="AG169" s="526"/>
      <c r="AH169" s="527"/>
      <c r="AI169" s="527"/>
      <c r="AJ169" s="527"/>
    </row>
    <row r="170" spans="8:36" ht="12.75" customHeight="1" outlineLevel="1">
      <c r="H170" s="570"/>
      <c r="I170" s="522"/>
      <c r="J170" s="522"/>
      <c r="K170" s="522"/>
      <c r="L170" s="522"/>
      <c r="M170" s="522"/>
      <c r="N170" s="572"/>
      <c r="O170" s="523"/>
      <c r="P170" s="523"/>
      <c r="Q170" s="523"/>
      <c r="R170" s="523"/>
      <c r="S170" s="524"/>
      <c r="T170" s="524"/>
      <c r="U170" s="524"/>
      <c r="V170" s="524"/>
      <c r="W170" s="524"/>
      <c r="X170" s="525"/>
      <c r="Y170" s="270"/>
      <c r="Z170" s="270"/>
      <c r="AA170" s="270"/>
      <c r="AC170" s="526"/>
      <c r="AD170" s="527"/>
      <c r="AE170" s="527"/>
      <c r="AF170" s="527"/>
      <c r="AG170" s="526"/>
      <c r="AH170" s="527"/>
      <c r="AI170" s="527"/>
      <c r="AJ170" s="527"/>
    </row>
    <row r="171" spans="8:36" ht="12.75" customHeight="1" outlineLevel="1">
      <c r="Y171" s="270"/>
      <c r="Z171" s="270"/>
      <c r="AA171" s="270"/>
    </row>
    <row r="172" spans="8:36" ht="12.75" customHeight="1" outlineLevel="1">
      <c r="H172" s="278" t="s">
        <v>668</v>
      </c>
      <c r="Y172" s="270"/>
      <c r="Z172" s="270"/>
      <c r="AA172" s="270"/>
    </row>
    <row r="173" spans="8:36" ht="12.75" customHeight="1" outlineLevel="1"/>
    <row r="174" spans="8:36" ht="12.75" customHeight="1" outlineLevel="1">
      <c r="I174" s="528" t="s">
        <v>647</v>
      </c>
      <c r="M174" s="274"/>
      <c r="N174" s="274"/>
      <c r="O174" s="274"/>
      <c r="P174" s="274"/>
      <c r="Q174" s="270"/>
      <c r="R174" s="270"/>
      <c r="S174" s="270"/>
      <c r="T174" s="270"/>
    </row>
    <row r="175" spans="8:36" ht="12.75" customHeight="1" outlineLevel="1">
      <c r="J175" s="268" t="s">
        <v>648</v>
      </c>
      <c r="K175" s="268" t="s">
        <v>649</v>
      </c>
      <c r="L175" s="268" t="s">
        <v>650</v>
      </c>
      <c r="M175" s="268" t="s">
        <v>651</v>
      </c>
      <c r="N175" s="274"/>
      <c r="O175" s="274"/>
      <c r="P175" s="274"/>
    </row>
    <row r="176" spans="8:36" ht="12.75" customHeight="1" outlineLevel="1" thickBot="1">
      <c r="I176" s="274" t="s">
        <v>652</v>
      </c>
      <c r="J176" s="529"/>
      <c r="K176" s="529"/>
      <c r="L176" s="529"/>
      <c r="M176" s="529"/>
      <c r="N176" s="274"/>
      <c r="O176" s="274"/>
      <c r="P176" s="274"/>
    </row>
    <row r="177" spans="9:17" ht="12.75" customHeight="1" outlineLevel="1" thickTop="1" thickBot="1">
      <c r="I177" s="274" t="s">
        <v>609</v>
      </c>
      <c r="J177" s="529">
        <v>0.748</v>
      </c>
      <c r="K177" s="529">
        <v>0.28999999999999998</v>
      </c>
      <c r="L177" s="529">
        <v>0.40699999999999997</v>
      </c>
      <c r="M177" s="529">
        <v>0.30299999999999999</v>
      </c>
      <c r="N177" s="274"/>
      <c r="O177" s="274"/>
      <c r="P177" s="274"/>
    </row>
    <row r="178" spans="9:17" ht="12.75" customHeight="1" outlineLevel="1" thickTop="1" thickBot="1">
      <c r="I178" s="274" t="s">
        <v>610</v>
      </c>
      <c r="J178" s="529">
        <v>0.17299999999999999</v>
      </c>
      <c r="K178" s="529">
        <v>0.32200000000000001</v>
      </c>
      <c r="L178" s="529">
        <v>0.19800000000000001</v>
      </c>
      <c r="M178" s="529">
        <v>0.48</v>
      </c>
      <c r="N178" s="274"/>
      <c r="O178" s="274"/>
      <c r="P178" s="274"/>
    </row>
    <row r="179" spans="9:17" ht="12.75" customHeight="1" outlineLevel="1" thickTop="1" thickBot="1">
      <c r="I179" s="274" t="s">
        <v>611</v>
      </c>
      <c r="J179" s="529">
        <v>0.08</v>
      </c>
      <c r="K179" s="529">
        <v>0.29399999999999998</v>
      </c>
      <c r="L179" s="529">
        <v>0.09</v>
      </c>
      <c r="M179" s="529">
        <v>0.61599999999999999</v>
      </c>
      <c r="N179" s="274"/>
      <c r="O179" s="274"/>
      <c r="P179" s="274"/>
    </row>
    <row r="180" spans="9:17" ht="12.75" customHeight="1" outlineLevel="1" thickTop="1" thickBot="1">
      <c r="I180" s="274" t="s">
        <v>589</v>
      </c>
      <c r="J180" s="2659" t="s">
        <v>1682</v>
      </c>
      <c r="K180" s="2660"/>
      <c r="L180" s="2660"/>
      <c r="M180" s="2660"/>
      <c r="N180" s="274"/>
      <c r="O180" s="274"/>
      <c r="P180" s="274"/>
    </row>
    <row r="181" spans="9:17" ht="12.75" customHeight="1" outlineLevel="1">
      <c r="I181" s="270"/>
      <c r="J181" s="270"/>
      <c r="K181" s="270"/>
      <c r="L181" s="270"/>
      <c r="M181" s="270"/>
      <c r="N181" s="274"/>
      <c r="O181" s="274"/>
      <c r="P181" s="274"/>
    </row>
    <row r="182" spans="9:17" ht="12.75" customHeight="1" outlineLevel="1">
      <c r="I182" s="528" t="s">
        <v>654</v>
      </c>
      <c r="J182" s="270"/>
      <c r="K182" s="270"/>
      <c r="L182" s="270"/>
      <c r="M182" s="274"/>
      <c r="N182" s="274"/>
      <c r="O182" s="274"/>
      <c r="P182" s="274"/>
    </row>
    <row r="183" spans="9:17" ht="12.75" customHeight="1" outlineLevel="1" thickBot="1">
      <c r="I183" s="274" t="s">
        <v>655</v>
      </c>
      <c r="J183" s="270"/>
      <c r="K183" s="274" t="s">
        <v>663</v>
      </c>
      <c r="M183" s="274"/>
      <c r="N183" s="270"/>
      <c r="O183" s="274"/>
      <c r="P183" s="274"/>
    </row>
    <row r="184" spans="9:17" ht="12.75" customHeight="1" outlineLevel="1" thickBot="1">
      <c r="I184" s="530" t="s">
        <v>656</v>
      </c>
      <c r="J184" s="531">
        <v>0.64159999999999984</v>
      </c>
      <c r="K184" s="157" t="s">
        <v>1682</v>
      </c>
      <c r="L184" s="158"/>
      <c r="M184" s="274"/>
    </row>
    <row r="185" spans="9:17" ht="12.75" customHeight="1" outlineLevel="1" thickBot="1">
      <c r="I185" s="532" t="s">
        <v>657</v>
      </c>
      <c r="J185" s="533">
        <v>0.19890000000000002</v>
      </c>
      <c r="K185" s="157" t="s">
        <v>1682</v>
      </c>
      <c r="L185" s="158"/>
      <c r="M185" s="274"/>
    </row>
    <row r="186" spans="9:17" ht="12.75" customHeight="1" outlineLevel="1" thickBot="1">
      <c r="I186" s="534" t="s">
        <v>658</v>
      </c>
      <c r="J186" s="535">
        <v>0.15940000000000001</v>
      </c>
      <c r="K186" s="157" t="s">
        <v>1682</v>
      </c>
      <c r="L186" s="158"/>
      <c r="M186" s="274"/>
    </row>
    <row r="187" spans="9:17" ht="12.75" customHeight="1" outlineLevel="1">
      <c r="I187" s="270"/>
      <c r="J187" s="270"/>
      <c r="K187" s="270"/>
      <c r="M187" s="274"/>
    </row>
    <row r="188" spans="9:17" ht="12.75" customHeight="1" outlineLevel="1" thickBot="1">
      <c r="I188" s="270"/>
      <c r="J188" s="270"/>
      <c r="K188" s="270"/>
      <c r="M188" s="274"/>
    </row>
    <row r="189" spans="9:17" ht="12.75" customHeight="1" outlineLevel="1" thickBot="1">
      <c r="I189" s="536"/>
      <c r="J189" s="537"/>
      <c r="M189" s="274"/>
      <c r="Q189" s="498"/>
    </row>
    <row r="190" spans="9:17" ht="12.75" customHeight="1" outlineLevel="1" thickBot="1">
      <c r="I190" s="509" t="s">
        <v>649</v>
      </c>
      <c r="J190" s="538">
        <f>1-J191</f>
        <v>0.96</v>
      </c>
      <c r="K190" s="175" t="s">
        <v>685</v>
      </c>
      <c r="L190" s="166"/>
      <c r="M190" s="270"/>
    </row>
    <row r="191" spans="9:17" ht="12.75" customHeight="1" outlineLevel="1" thickBot="1">
      <c r="I191" s="509" t="s">
        <v>659</v>
      </c>
      <c r="J191" s="538">
        <v>0.04</v>
      </c>
      <c r="K191" s="175" t="s">
        <v>685</v>
      </c>
      <c r="L191" s="166"/>
      <c r="M191" s="270"/>
      <c r="N191" s="274"/>
      <c r="O191" s="274"/>
      <c r="P191" s="274"/>
    </row>
    <row r="192" spans="9:17" ht="12.75" customHeight="1" outlineLevel="1" thickBot="1">
      <c r="I192" s="509"/>
      <c r="J192" s="539"/>
      <c r="M192" s="270"/>
      <c r="N192" s="274"/>
      <c r="O192" s="274"/>
      <c r="P192" s="274"/>
    </row>
    <row r="193" spans="8:22" ht="12.75" customHeight="1" outlineLevel="1" thickBot="1">
      <c r="I193" s="509" t="s">
        <v>661</v>
      </c>
      <c r="J193" s="538">
        <v>0.48291742717100261</v>
      </c>
      <c r="K193" s="157" t="s">
        <v>1682</v>
      </c>
      <c r="L193" s="158"/>
      <c r="M193" s="274"/>
    </row>
    <row r="194" spans="8:22" ht="12.75" customHeight="1" outlineLevel="1" thickBot="1">
      <c r="I194" s="540" t="s">
        <v>662</v>
      </c>
      <c r="J194" s="538">
        <v>0.51708257282899739</v>
      </c>
      <c r="K194" s="157" t="s">
        <v>1682</v>
      </c>
      <c r="L194" s="158"/>
      <c r="M194" s="274"/>
    </row>
    <row r="195" spans="8:22" ht="12.75" customHeight="1" outlineLevel="1" thickBot="1">
      <c r="I195" s="500"/>
      <c r="J195" s="541"/>
      <c r="M195" s="274"/>
    </row>
    <row r="196" spans="8:22" ht="12.75" customHeight="1" outlineLevel="1">
      <c r="M196" s="274"/>
    </row>
    <row r="197" spans="8:22" ht="12.75" customHeight="1" outlineLevel="1">
      <c r="M197" s="274"/>
    </row>
    <row r="198" spans="8:22" ht="12.75" customHeight="1" outlineLevel="1">
      <c r="M198" s="274"/>
    </row>
    <row r="199" spans="8:22" ht="12.75" customHeight="1" outlineLevel="1" thickBot="1">
      <c r="I199" s="528" t="s">
        <v>1168</v>
      </c>
      <c r="J199" s="270"/>
      <c r="K199" s="270"/>
      <c r="L199" s="270"/>
      <c r="M199" s="270"/>
      <c r="N199" s="274"/>
      <c r="O199" s="274"/>
      <c r="P199" s="274"/>
      <c r="Q199" s="528" t="s">
        <v>1169</v>
      </c>
      <c r="R199" s="270"/>
      <c r="S199" s="270"/>
      <c r="T199" s="270"/>
      <c r="U199" s="270"/>
      <c r="V199" s="274"/>
    </row>
    <row r="200" spans="8:22" ht="12.75" customHeight="1" outlineLevel="1">
      <c r="I200" s="573" t="s">
        <v>576</v>
      </c>
      <c r="J200" s="574"/>
      <c r="K200" s="574"/>
      <c r="L200" s="416" t="s">
        <v>609</v>
      </c>
      <c r="M200" s="416" t="s">
        <v>610</v>
      </c>
      <c r="N200" s="537" t="s">
        <v>611</v>
      </c>
      <c r="O200" s="274"/>
      <c r="P200" s="274"/>
      <c r="Q200" s="573" t="s">
        <v>576</v>
      </c>
      <c r="R200" s="574"/>
      <c r="S200" s="574"/>
      <c r="T200" s="416" t="s">
        <v>609</v>
      </c>
      <c r="U200" s="416" t="s">
        <v>610</v>
      </c>
      <c r="V200" s="537" t="s">
        <v>611</v>
      </c>
    </row>
    <row r="201" spans="8:22" ht="12.75" customHeight="1" outlineLevel="1" thickBot="1">
      <c r="I201" s="575" t="s">
        <v>664</v>
      </c>
      <c r="J201" s="576" t="s">
        <v>665</v>
      </c>
      <c r="K201" s="576" t="s">
        <v>666</v>
      </c>
      <c r="L201" s="294"/>
      <c r="M201" s="294"/>
      <c r="N201" s="577"/>
      <c r="O201" s="274"/>
      <c r="P201" s="274"/>
      <c r="Q201" s="575" t="s">
        <v>664</v>
      </c>
      <c r="R201" s="576" t="s">
        <v>665</v>
      </c>
      <c r="S201" s="576" t="s">
        <v>666</v>
      </c>
      <c r="T201" s="294"/>
      <c r="U201" s="294"/>
      <c r="V201" s="577"/>
    </row>
    <row r="202" spans="8:22" ht="12.75" customHeight="1" outlineLevel="1" thickBot="1">
      <c r="H202" s="542" t="s">
        <v>649</v>
      </c>
      <c r="I202" s="530" t="s">
        <v>649</v>
      </c>
      <c r="J202" s="543" t="s">
        <v>656</v>
      </c>
      <c r="K202" s="530" t="str">
        <f>I202&amp;J202</f>
        <v>InteriorGas</v>
      </c>
      <c r="L202" s="544">
        <f t="shared" ref="L202:N204" si="40">INDEX($J$177:$J$179,MATCH(T$200,$I$177:$I$179,0))*INDEX($K$177:$M$179,MATCH(T$200,$I$177:$I$179,0),MATCH($P202,$K$175:$M$175,0))*INDEX($J$184:$J$186,MATCH($R202,$I$184:$I$186,0))</f>
        <v>0.13917587199999995</v>
      </c>
      <c r="M202" s="544">
        <f t="shared" si="40"/>
        <v>3.5740969599999992E-2</v>
      </c>
      <c r="N202" s="544">
        <f t="shared" si="40"/>
        <v>1.5090431999999996E-2</v>
      </c>
      <c r="O202" s="274"/>
      <c r="P202" s="542" t="s">
        <v>649</v>
      </c>
      <c r="Q202" s="530" t="s">
        <v>649</v>
      </c>
      <c r="R202" s="543" t="s">
        <v>656</v>
      </c>
      <c r="S202" s="530" t="str">
        <f t="shared" ref="S202:S209" si="41">Q202&amp;R202</f>
        <v>InteriorGas</v>
      </c>
      <c r="T202" s="545">
        <f t="shared" ref="T202:V207" si="42">INDEX($J$177:$J$179,MATCH(T$200,$I$177:$I$179,0))*INDEX($K$177:$M$179,MATCH(T$200,$I$177:$I$179,0),MATCH($P202,$K$175:$M$175,0))*INDEX($J$184:$J$186,MATCH($R202,$I$184:$I$186,0))*INDEX($J$190:$J$191,MATCH($Q202,$I$190:$I$191,0))</f>
        <v>0.13360883711999993</v>
      </c>
      <c r="U202" s="545">
        <f t="shared" si="42"/>
        <v>3.4311330815999991E-2</v>
      </c>
      <c r="V202" s="545">
        <f t="shared" si="42"/>
        <v>1.4486814719999996E-2</v>
      </c>
    </row>
    <row r="203" spans="8:22" ht="12.75" customHeight="1" outlineLevel="1" thickBot="1">
      <c r="H203" s="542" t="s">
        <v>649</v>
      </c>
      <c r="I203" s="532" t="s">
        <v>649</v>
      </c>
      <c r="J203" s="546" t="s">
        <v>657</v>
      </c>
      <c r="K203" s="532" t="str">
        <f>I203&amp;J203</f>
        <v>InteriorElectric Resistance</v>
      </c>
      <c r="L203" s="544">
        <f t="shared" si="40"/>
        <v>4.3145388E-2</v>
      </c>
      <c r="M203" s="544">
        <f t="shared" si="40"/>
        <v>1.10799234E-2</v>
      </c>
      <c r="N203" s="544">
        <f t="shared" si="40"/>
        <v>4.6781280000000001E-3</v>
      </c>
      <c r="O203" s="274"/>
      <c r="P203" s="542" t="s">
        <v>649</v>
      </c>
      <c r="Q203" s="532" t="s">
        <v>649</v>
      </c>
      <c r="R203" s="546" t="s">
        <v>657</v>
      </c>
      <c r="S203" s="532" t="str">
        <f t="shared" si="41"/>
        <v>InteriorElectric Resistance</v>
      </c>
      <c r="T203" s="545">
        <f t="shared" si="42"/>
        <v>4.141957248E-2</v>
      </c>
      <c r="U203" s="545">
        <f t="shared" si="42"/>
        <v>1.0636726464000001E-2</v>
      </c>
      <c r="V203" s="545">
        <f t="shared" si="42"/>
        <v>4.49100288E-3</v>
      </c>
    </row>
    <row r="204" spans="8:22" ht="12.75" customHeight="1" outlineLevel="1" thickBot="1">
      <c r="H204" s="542" t="s">
        <v>649</v>
      </c>
      <c r="I204" s="532" t="s">
        <v>649</v>
      </c>
      <c r="J204" s="546" t="s">
        <v>658</v>
      </c>
      <c r="K204" s="532" t="str">
        <f>I204&amp;J204</f>
        <v>InteriorHeat Pump HSPF 8.5</v>
      </c>
      <c r="L204" s="544">
        <f t="shared" si="40"/>
        <v>3.4577047999999999E-2</v>
      </c>
      <c r="M204" s="544">
        <f t="shared" si="40"/>
        <v>8.8795364000000005E-3</v>
      </c>
      <c r="N204" s="544">
        <f t="shared" si="40"/>
        <v>3.7490880000000002E-3</v>
      </c>
      <c r="O204" s="274"/>
      <c r="P204" s="542" t="s">
        <v>649</v>
      </c>
      <c r="Q204" s="532" t="s">
        <v>649</v>
      </c>
      <c r="R204" s="546" t="s">
        <v>658</v>
      </c>
      <c r="S204" s="532" t="str">
        <f t="shared" si="41"/>
        <v>InteriorHeat Pump HSPF 8.5</v>
      </c>
      <c r="T204" s="545">
        <f t="shared" si="42"/>
        <v>3.3193966079999998E-2</v>
      </c>
      <c r="U204" s="545">
        <f t="shared" si="42"/>
        <v>8.5243549439999993E-3</v>
      </c>
      <c r="V204" s="545">
        <f t="shared" si="42"/>
        <v>3.5991244800000002E-3</v>
      </c>
    </row>
    <row r="205" spans="8:22" ht="12.75" customHeight="1" outlineLevel="1" thickBot="1">
      <c r="I205" s="547" t="s">
        <v>650</v>
      </c>
      <c r="J205" s="548" t="s">
        <v>667</v>
      </c>
      <c r="K205" s="547" t="str">
        <f>I205&amp;J205</f>
        <v>GarageAny</v>
      </c>
      <c r="L205" s="544">
        <f t="shared" ref="L205:N206" si="43">INDEX($J$177:$J$179,MATCH(L$200,$I$177:$I$179,0))*INDEX($K$177:$M$179,MATCH(L$200,$I$177:$I$179,0),MATCH($I205,$K$175:$M$175,0))</f>
        <v>0.30443599999999998</v>
      </c>
      <c r="M205" s="544">
        <f t="shared" si="43"/>
        <v>3.4254E-2</v>
      </c>
      <c r="N205" s="544">
        <f t="shared" si="43"/>
        <v>7.1999999999999998E-3</v>
      </c>
      <c r="O205" s="274"/>
      <c r="P205" s="542" t="s">
        <v>649</v>
      </c>
      <c r="Q205" s="532" t="s">
        <v>659</v>
      </c>
      <c r="R205" s="546" t="s">
        <v>656</v>
      </c>
      <c r="S205" s="532" t="str">
        <f t="shared" si="41"/>
        <v>Interior - Exhaust DuctedGas</v>
      </c>
      <c r="T205" s="545">
        <f t="shared" si="42"/>
        <v>5.5670348799999984E-3</v>
      </c>
      <c r="U205" s="545">
        <f t="shared" si="42"/>
        <v>1.4296387839999997E-3</v>
      </c>
      <c r="V205" s="545">
        <f t="shared" si="42"/>
        <v>6.0361727999999983E-4</v>
      </c>
    </row>
    <row r="206" spans="8:22" ht="12.75" customHeight="1" outlineLevel="1" thickBot="1">
      <c r="I206" s="549" t="s">
        <v>651</v>
      </c>
      <c r="J206" s="550" t="s">
        <v>667</v>
      </c>
      <c r="K206" s="549" t="str">
        <f>I206&amp;J206</f>
        <v>Unheated BasementAny</v>
      </c>
      <c r="L206" s="544">
        <f t="shared" si="43"/>
        <v>0.22664399999999998</v>
      </c>
      <c r="M206" s="544">
        <f t="shared" si="43"/>
        <v>8.3039999999999989E-2</v>
      </c>
      <c r="N206" s="544">
        <f t="shared" si="43"/>
        <v>4.9279999999999997E-2</v>
      </c>
      <c r="O206" s="274"/>
      <c r="P206" s="542" t="s">
        <v>649</v>
      </c>
      <c r="Q206" s="532" t="s">
        <v>659</v>
      </c>
      <c r="R206" s="546" t="s">
        <v>657</v>
      </c>
      <c r="S206" s="532" t="str">
        <f t="shared" si="41"/>
        <v>Interior - Exhaust DuctedElectric Resistance</v>
      </c>
      <c r="T206" s="545">
        <f t="shared" si="42"/>
        <v>1.72581552E-3</v>
      </c>
      <c r="U206" s="545">
        <f t="shared" si="42"/>
        <v>4.4319693600000003E-4</v>
      </c>
      <c r="V206" s="545">
        <f t="shared" si="42"/>
        <v>1.8712512000000002E-4</v>
      </c>
    </row>
    <row r="207" spans="8:22" ht="12.75" customHeight="1" outlineLevel="1" thickBot="1">
      <c r="M207" s="274"/>
      <c r="N207" s="551">
        <f>SUM(L202:N206)</f>
        <v>1.0009703853999998</v>
      </c>
      <c r="O207" s="274"/>
      <c r="P207" s="542" t="s">
        <v>649</v>
      </c>
      <c r="Q207" s="532" t="s">
        <v>659</v>
      </c>
      <c r="R207" s="546" t="s">
        <v>658</v>
      </c>
      <c r="S207" s="532" t="str">
        <f t="shared" si="41"/>
        <v>Interior - Exhaust DuctedHeat Pump HSPF 8.5</v>
      </c>
      <c r="T207" s="545">
        <f t="shared" si="42"/>
        <v>1.38308192E-3</v>
      </c>
      <c r="U207" s="545">
        <f t="shared" si="42"/>
        <v>3.5518145600000001E-4</v>
      </c>
      <c r="V207" s="545">
        <f t="shared" si="42"/>
        <v>1.4996352000000001E-4</v>
      </c>
    </row>
    <row r="208" spans="8:22" ht="12.75" customHeight="1" outlineLevel="1" thickBot="1">
      <c r="M208" s="274"/>
      <c r="N208" s="274"/>
      <c r="O208" s="274"/>
      <c r="P208" s="274"/>
      <c r="Q208" s="547" t="s">
        <v>650</v>
      </c>
      <c r="R208" s="548" t="s">
        <v>667</v>
      </c>
      <c r="S208" s="547" t="str">
        <f t="shared" si="41"/>
        <v>GarageAny</v>
      </c>
      <c r="T208" s="545">
        <f t="shared" ref="T208:V209" si="44">INDEX($J$177:$J$179,MATCH(T$200,$I$177:$I$179,0))*INDEX($K$177:$M$179,MATCH(T$200,$I$177:$I$179,0),MATCH($Q208,$K$175:$M$175,0))</f>
        <v>0.30443599999999998</v>
      </c>
      <c r="U208" s="545">
        <f t="shared" si="44"/>
        <v>3.4254E-2</v>
      </c>
      <c r="V208" s="545">
        <f t="shared" si="44"/>
        <v>7.1999999999999998E-3</v>
      </c>
    </row>
    <row r="209" spans="1:22" ht="12.75" customHeight="1" outlineLevel="1" thickBot="1">
      <c r="M209" s="274"/>
      <c r="N209" s="274"/>
      <c r="O209" s="274"/>
      <c r="P209" s="274"/>
      <c r="Q209" s="549" t="s">
        <v>651</v>
      </c>
      <c r="R209" s="550" t="s">
        <v>667</v>
      </c>
      <c r="S209" s="549" t="str">
        <f t="shared" si="41"/>
        <v>Unheated BasementAny</v>
      </c>
      <c r="T209" s="545">
        <f t="shared" si="44"/>
        <v>0.22664399999999998</v>
      </c>
      <c r="U209" s="545">
        <f t="shared" si="44"/>
        <v>8.3039999999999989E-2</v>
      </c>
      <c r="V209" s="545">
        <f t="shared" si="44"/>
        <v>4.9279999999999997E-2</v>
      </c>
    </row>
    <row r="210" spans="1:22" ht="12.75" customHeight="1" outlineLevel="1">
      <c r="M210" s="274"/>
    </row>
    <row r="211" spans="1:22" ht="12.75" customHeight="1" outlineLevel="1"/>
    <row r="212" spans="1:22" ht="12.75" customHeight="1" outlineLevel="1"/>
    <row r="213" spans="1:22" ht="12.75" customHeight="1" outlineLevel="1">
      <c r="H213" s="278" t="s">
        <v>1083</v>
      </c>
      <c r="N213" s="270"/>
      <c r="O213" s="270"/>
    </row>
    <row r="214" spans="1:22" ht="12.75" customHeight="1" outlineLevel="1">
      <c r="I214" s="504" t="s">
        <v>1082</v>
      </c>
      <c r="N214" s="270"/>
      <c r="O214" s="270"/>
    </row>
    <row r="215" spans="1:22" s="491" customFormat="1" ht="26.25" outlineLevel="1" thickBot="1">
      <c r="A215" s="488"/>
      <c r="B215" s="488"/>
      <c r="C215" s="489"/>
      <c r="D215" s="489"/>
      <c r="E215" s="489"/>
      <c r="F215" s="489"/>
      <c r="G215" s="488"/>
      <c r="I215" s="578" t="s">
        <v>6</v>
      </c>
      <c r="J215" s="579" t="s">
        <v>15</v>
      </c>
      <c r="K215" s="580" t="s">
        <v>643</v>
      </c>
      <c r="L215" s="581" t="s">
        <v>644</v>
      </c>
      <c r="M215" s="582" t="s">
        <v>645</v>
      </c>
      <c r="N215" s="270"/>
      <c r="O215" s="270"/>
      <c r="P215" s="583"/>
      <c r="Q215" s="582" t="s">
        <v>1171</v>
      </c>
      <c r="R215" s="584" t="s">
        <v>670</v>
      </c>
      <c r="S215" s="585" t="s">
        <v>671</v>
      </c>
      <c r="V215" s="552"/>
    </row>
    <row r="216" spans="1:22" s="491" customFormat="1" ht="14.25" outlineLevel="1" thickTop="1" thickBot="1">
      <c r="A216" s="488"/>
      <c r="B216" s="488"/>
      <c r="C216" s="489"/>
      <c r="D216" s="489"/>
      <c r="E216" s="489"/>
      <c r="F216" s="489"/>
      <c r="G216" s="488"/>
      <c r="I216" s="553" t="s">
        <v>604</v>
      </c>
      <c r="J216" s="554" t="s">
        <v>672</v>
      </c>
      <c r="K216" s="555">
        <v>1085</v>
      </c>
      <c r="L216" s="555">
        <v>-41</v>
      </c>
      <c r="M216" s="555">
        <f>SUMPRODUCT(K$104:K$118,$X$104:$X$118)</f>
        <v>4.6051301141753358</v>
      </c>
      <c r="N216" s="270"/>
      <c r="O216" s="270"/>
      <c r="P216" s="556" t="s">
        <v>1084</v>
      </c>
      <c r="Q216" s="557">
        <f>SUM(K216:M216)</f>
        <v>1048.6051301141754</v>
      </c>
      <c r="R216" s="558">
        <f>SUMPRODUCT(O$1338:O$1430,$U$1338:$U$1430)</f>
        <v>0</v>
      </c>
      <c r="S216" s="559">
        <f>SUMPRODUCT(P$1338:P$1430,$U$1338:$U$1430)</f>
        <v>0</v>
      </c>
      <c r="V216" s="552"/>
    </row>
    <row r="217" spans="1:22" s="491" customFormat="1" ht="13.5" outlineLevel="1" thickBot="1">
      <c r="A217" s="488"/>
      <c r="B217" s="488"/>
      <c r="C217" s="489"/>
      <c r="D217" s="489"/>
      <c r="E217" s="489"/>
      <c r="F217" s="489"/>
      <c r="G217" s="488"/>
      <c r="I217" s="553" t="s">
        <v>605</v>
      </c>
      <c r="J217" s="554" t="s">
        <v>672</v>
      </c>
      <c r="K217" s="555">
        <v>1393</v>
      </c>
      <c r="L217" s="555">
        <v>-61</v>
      </c>
      <c r="M217" s="555">
        <f>SUMPRODUCT(K$119:K$142,$X$119:$X$142)</f>
        <v>5.7074930207974628</v>
      </c>
      <c r="N217" s="270"/>
      <c r="O217" s="270"/>
      <c r="P217" s="556" t="s">
        <v>1085</v>
      </c>
      <c r="Q217" s="560">
        <f>SUM(K217:M217)</f>
        <v>1337.7074930207975</v>
      </c>
      <c r="R217" s="558">
        <f>SUMPRODUCT(O$1338:O$1430,$U$1338:$U$1430)</f>
        <v>0</v>
      </c>
      <c r="S217" s="559">
        <f>SUMPRODUCT(P$1338:P$1430,$U$1338:$U$1430)</f>
        <v>0</v>
      </c>
      <c r="V217" s="552"/>
    </row>
    <row r="218" spans="1:22" s="491" customFormat="1" ht="13.5" outlineLevel="1" thickBot="1">
      <c r="A218" s="488"/>
      <c r="B218" s="488"/>
      <c r="C218" s="489"/>
      <c r="D218" s="489"/>
      <c r="E218" s="489"/>
      <c r="F218" s="489"/>
      <c r="G218" s="488"/>
      <c r="I218" s="553" t="s">
        <v>605</v>
      </c>
      <c r="J218" s="561" t="s">
        <v>1087</v>
      </c>
      <c r="K218" s="562"/>
      <c r="L218" s="562"/>
      <c r="M218" s="562"/>
      <c r="N218" s="270"/>
      <c r="O218" s="270"/>
      <c r="P218" s="563" t="s">
        <v>1086</v>
      </c>
      <c r="Q218" s="557">
        <f>Q217-Q216</f>
        <v>289.10236290662215</v>
      </c>
      <c r="R218" s="564">
        <f>SUMPRODUCT(O$1338:O$1430,$V$1338:$V$1430)</f>
        <v>0</v>
      </c>
      <c r="S218" s="565">
        <f>SUMPRODUCT(P$1338:P$1430,$V$1338:$V$1430)</f>
        <v>0</v>
      </c>
      <c r="V218" s="552"/>
    </row>
    <row r="219" spans="1:22" ht="12.75" customHeight="1" outlineLevel="1">
      <c r="I219" s="553" t="s">
        <v>606</v>
      </c>
      <c r="J219" s="554" t="s">
        <v>672</v>
      </c>
      <c r="K219" s="555">
        <v>1562</v>
      </c>
      <c r="L219" s="555">
        <v>-61</v>
      </c>
      <c r="M219" s="555">
        <f>SUMPRODUCT(K$143:K$166,$X$143:$X$166)</f>
        <v>5.7074930207974628</v>
      </c>
      <c r="N219" s="270"/>
      <c r="O219" s="270"/>
      <c r="P219" s="556" t="s">
        <v>824</v>
      </c>
      <c r="Q219" s="560">
        <f>SUM(K219:M219)</f>
        <v>1506.7074930207975</v>
      </c>
      <c r="R219" s="558">
        <f>SUMPRODUCT(O$1338:O$1430,$U$1338:$U$1430)</f>
        <v>0</v>
      </c>
      <c r="S219" s="559">
        <f>SUMPRODUCT(P$1338:P$1430,$U$1338:$U$1430)</f>
        <v>0</v>
      </c>
    </row>
    <row r="220" spans="1:22" ht="12.75" customHeight="1" outlineLevel="1">
      <c r="I220" s="566" t="s">
        <v>606</v>
      </c>
      <c r="J220" s="561" t="s">
        <v>673</v>
      </c>
      <c r="K220" s="562"/>
      <c r="L220" s="562"/>
      <c r="M220" s="562"/>
      <c r="N220" s="270"/>
      <c r="O220" s="270"/>
      <c r="P220" s="563" t="s">
        <v>825</v>
      </c>
      <c r="Q220" s="557">
        <f>Q219-Q217</f>
        <v>169</v>
      </c>
      <c r="R220" s="564">
        <f>SUMPRODUCT(O$1338:O$1430,$V$1338:$V$1430)</f>
        <v>0</v>
      </c>
      <c r="S220" s="565">
        <f>SUMPRODUCT(P$1338:P$1430,$V$1338:$V$1430)</f>
        <v>0</v>
      </c>
    </row>
    <row r="221" spans="1:22" s="270" customFormat="1" ht="12.75" customHeight="1" outlineLevel="1">
      <c r="H221" s="274"/>
    </row>
    <row r="222" spans="1:22" s="270" customFormat="1" ht="12.75" customHeight="1" outlineLevel="1">
      <c r="H222" s="274"/>
    </row>
    <row r="223" spans="1:22" s="270" customFormat="1" ht="12.75" customHeight="1" outlineLevel="1">
      <c r="H223" s="274"/>
    </row>
    <row r="224" spans="1:22" s="270" customFormat="1" ht="12.75" customHeight="1" outlineLevel="1">
      <c r="H224" s="274"/>
    </row>
    <row r="225" spans="6:28" ht="27" customHeight="1" outlineLevel="1" thickBot="1">
      <c r="F225" s="311"/>
      <c r="H225" s="497" t="s">
        <v>987</v>
      </c>
      <c r="I225" s="497"/>
      <c r="J225" s="497"/>
      <c r="K225" s="497"/>
      <c r="L225" s="497"/>
      <c r="M225" s="497"/>
      <c r="N225" s="497"/>
      <c r="O225" s="497"/>
      <c r="P225" s="497"/>
      <c r="Q225" s="497"/>
      <c r="R225" s="497"/>
      <c r="S225" s="497"/>
      <c r="T225" s="497"/>
      <c r="U225" s="497"/>
      <c r="V225" s="497"/>
      <c r="W225" s="497"/>
    </row>
    <row r="226" spans="6:28" ht="12.75" customHeight="1" outlineLevel="1" thickTop="1">
      <c r="M226" s="274"/>
      <c r="Q226" s="275"/>
    </row>
    <row r="227" spans="6:28" ht="69" customHeight="1" outlineLevel="1">
      <c r="H227" s="2658" t="s">
        <v>1170</v>
      </c>
      <c r="I227" s="2658"/>
      <c r="J227" s="2658"/>
      <c r="K227" s="2658"/>
      <c r="L227" s="2658"/>
      <c r="M227" s="2658"/>
      <c r="N227" s="2658"/>
      <c r="O227" s="2658"/>
      <c r="P227" s="2658"/>
      <c r="Z227" s="519"/>
      <c r="AA227" s="519"/>
      <c r="AB227" s="519"/>
    </row>
    <row r="228" spans="6:28" outlineLevel="1">
      <c r="H228" s="567"/>
      <c r="I228" s="567"/>
      <c r="J228" s="567"/>
      <c r="K228" s="567"/>
      <c r="L228" s="567"/>
      <c r="M228" s="567"/>
      <c r="N228" s="567"/>
      <c r="O228" s="567"/>
      <c r="P228" s="567"/>
      <c r="Z228" s="519"/>
      <c r="AA228" s="519"/>
      <c r="AB228" s="519"/>
    </row>
    <row r="229" spans="6:28" ht="12.75" customHeight="1" outlineLevel="1" thickBot="1">
      <c r="M229" s="274"/>
      <c r="Q229" s="275"/>
    </row>
    <row r="230" spans="6:28" ht="12.75" customHeight="1" outlineLevel="1" thickTop="1" thickBot="1">
      <c r="H230" s="270" t="s">
        <v>589</v>
      </c>
      <c r="I230" s="499" t="s">
        <v>1318</v>
      </c>
      <c r="J230" s="274" t="s">
        <v>1319</v>
      </c>
      <c r="M230" s="274"/>
      <c r="Q230" s="275"/>
    </row>
    <row r="231" spans="6:28" ht="12.75" customHeight="1" outlineLevel="1" thickTop="1">
      <c r="M231" s="274"/>
      <c r="Q231" s="275"/>
    </row>
    <row r="232" spans="6:28" ht="12.75" customHeight="1" outlineLevel="1">
      <c r="M232" s="274"/>
      <c r="Q232" s="275"/>
    </row>
    <row r="233" spans="6:28" ht="12.75" customHeight="1" outlineLevel="1">
      <c r="M233" s="274"/>
      <c r="Q233" s="275"/>
    </row>
    <row r="234" spans="6:28" ht="12.75" customHeight="1" outlineLevel="1">
      <c r="M234" s="274"/>
      <c r="Q234" s="275"/>
    </row>
    <row r="235" spans="6:28" ht="12.75" customHeight="1" outlineLevel="1">
      <c r="I235" s="265" t="s">
        <v>216</v>
      </c>
      <c r="J235" s="265" t="s">
        <v>217</v>
      </c>
      <c r="K235" s="265" t="s">
        <v>218</v>
      </c>
      <c r="L235" s="270"/>
      <c r="M235" s="270"/>
      <c r="N235" s="270"/>
      <c r="O235" s="270"/>
      <c r="P235" s="270"/>
      <c r="Q235" s="275"/>
    </row>
    <row r="236" spans="6:28" ht="12.75" customHeight="1" outlineLevel="1">
      <c r="I236" s="266" t="s">
        <v>1088</v>
      </c>
      <c r="J236" s="266" t="s">
        <v>643</v>
      </c>
      <c r="K236" s="267">
        <v>1779</v>
      </c>
      <c r="L236" s="270"/>
      <c r="M236" s="270"/>
      <c r="N236" s="270"/>
      <c r="O236" s="270"/>
      <c r="P236" s="270"/>
    </row>
    <row r="237" spans="6:28" ht="12.75" customHeight="1" outlineLevel="1">
      <c r="I237" s="266" t="s">
        <v>1089</v>
      </c>
      <c r="J237" s="266" t="s">
        <v>643</v>
      </c>
      <c r="K237" s="267">
        <v>1831</v>
      </c>
      <c r="L237" s="270"/>
      <c r="M237" s="270"/>
      <c r="N237" s="270"/>
      <c r="O237" s="270"/>
      <c r="P237" s="270"/>
    </row>
    <row r="238" spans="6:28" ht="12.75" customHeight="1" outlineLevel="1">
      <c r="I238" s="266" t="s">
        <v>1090</v>
      </c>
      <c r="J238" s="266" t="s">
        <v>643</v>
      </c>
      <c r="K238" s="267">
        <v>1877</v>
      </c>
      <c r="L238" s="270"/>
      <c r="M238" s="270"/>
      <c r="N238" s="270"/>
      <c r="O238" s="270"/>
      <c r="P238" s="270"/>
    </row>
    <row r="239" spans="6:28" ht="12.75" customHeight="1" outlineLevel="1"/>
    <row r="240" spans="6:28" ht="12.75" customHeight="1" outlineLevel="1"/>
    <row r="241" spans="10:11" ht="12.75" customHeight="1" outlineLevel="1">
      <c r="J241" s="528" t="s">
        <v>647</v>
      </c>
    </row>
    <row r="242" spans="10:11" ht="12.75" customHeight="1" outlineLevel="1">
      <c r="K242" s="268" t="s">
        <v>648</v>
      </c>
    </row>
    <row r="243" spans="10:11" ht="12.75" customHeight="1" outlineLevel="1">
      <c r="J243" s="274" t="s">
        <v>652</v>
      </c>
      <c r="K243" s="568"/>
    </row>
    <row r="244" spans="10:11" ht="12.75" customHeight="1" outlineLevel="1">
      <c r="J244" s="274" t="s">
        <v>609</v>
      </c>
      <c r="K244" s="568">
        <v>0.64159999999999984</v>
      </c>
    </row>
    <row r="245" spans="10:11" ht="12.75" customHeight="1" outlineLevel="1">
      <c r="J245" s="274" t="s">
        <v>610</v>
      </c>
      <c r="K245" s="568">
        <v>0.19890000000000002</v>
      </c>
    </row>
    <row r="246" spans="10:11" ht="12.75" customHeight="1" outlineLevel="1">
      <c r="J246" s="274" t="s">
        <v>611</v>
      </c>
      <c r="K246" s="568">
        <v>0.15940000000000001</v>
      </c>
    </row>
    <row r="247" spans="10:11" ht="12.75" customHeight="1" outlineLevel="1">
      <c r="J247" s="274" t="s">
        <v>589</v>
      </c>
    </row>
    <row r="248" spans="10:11" ht="12.75" customHeight="1" outlineLevel="1">
      <c r="J248" s="271" t="s">
        <v>653</v>
      </c>
    </row>
    <row r="249" spans="10:11" ht="12.75" customHeight="1" outlineLevel="1"/>
    <row r="250" spans="10:11" ht="12.75" customHeight="1" outlineLevel="1">
      <c r="J250" s="504" t="s">
        <v>988</v>
      </c>
    </row>
    <row r="251" spans="10:11" ht="12.75" customHeight="1" outlineLevel="1">
      <c r="J251" s="274" t="s">
        <v>792</v>
      </c>
      <c r="K251" s="502">
        <f>SUMPRODUCT(K236:K238,K244:K246)</f>
        <v>1804.7860999999998</v>
      </c>
    </row>
    <row r="252" spans="10:11" ht="12.75" customHeight="1" outlineLevel="1">
      <c r="J252" s="274" t="s">
        <v>793</v>
      </c>
      <c r="K252" s="569">
        <f>K251-Q219</f>
        <v>298.07860697920228</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311"/>
      <c r="H257" s="497" t="s">
        <v>989</v>
      </c>
      <c r="I257" s="497"/>
      <c r="J257" s="497"/>
      <c r="K257" s="497"/>
      <c r="L257" s="497"/>
      <c r="M257" s="497"/>
      <c r="N257" s="497"/>
      <c r="O257" s="497"/>
      <c r="P257" s="497"/>
      <c r="Q257" s="497"/>
      <c r="R257" s="497"/>
      <c r="S257" s="497"/>
      <c r="T257" s="497"/>
      <c r="U257" s="497"/>
      <c r="V257" s="497"/>
      <c r="W257" s="497"/>
    </row>
    <row r="258" spans="6:24" ht="12.75" customHeight="1" outlineLevel="1" thickTop="1" thickBot="1"/>
    <row r="259" spans="6:24" ht="12.75" customHeight="1" outlineLevel="1" thickTop="1" thickBot="1">
      <c r="H259" s="270" t="s">
        <v>980</v>
      </c>
      <c r="I259" s="2580" t="s">
        <v>981</v>
      </c>
      <c r="J259" s="2582"/>
    </row>
    <row r="260" spans="6:24" ht="12.75" customHeight="1" outlineLevel="1" thickTop="1"/>
    <row r="261" spans="6:24" ht="42.6" customHeight="1" outlineLevel="1">
      <c r="J261" s="2656" t="s">
        <v>990</v>
      </c>
      <c r="K261" s="2656"/>
      <c r="L261" s="2656"/>
      <c r="M261" s="2656"/>
      <c r="N261" s="2656"/>
      <c r="O261" s="2656"/>
      <c r="P261" s="2656"/>
      <c r="Q261" s="2656"/>
      <c r="R261" s="2656"/>
      <c r="S261" s="2656"/>
      <c r="T261" s="2656"/>
      <c r="U261" s="2656"/>
    </row>
    <row r="262" spans="6:24" outlineLevel="1">
      <c r="J262" s="277"/>
      <c r="K262" s="277"/>
      <c r="L262" s="277"/>
      <c r="M262" s="277"/>
      <c r="N262" s="277"/>
      <c r="O262" s="277"/>
      <c r="P262" s="277"/>
      <c r="Q262" s="277"/>
      <c r="R262" s="277"/>
      <c r="S262" s="277"/>
      <c r="T262" s="277"/>
      <c r="U262" s="277"/>
    </row>
    <row r="263" spans="6:24" ht="75" customHeight="1" outlineLevel="1">
      <c r="J263" s="2657" t="s">
        <v>982</v>
      </c>
      <c r="K263" s="2657"/>
      <c r="L263" s="2657"/>
      <c r="M263" s="2657"/>
      <c r="N263" s="2657"/>
      <c r="O263" s="2657"/>
      <c r="P263" s="2657"/>
      <c r="Q263" s="2657"/>
      <c r="R263" s="2657"/>
      <c r="S263" s="2657"/>
      <c r="T263" s="2657"/>
      <c r="U263" s="2657"/>
    </row>
    <row r="264" spans="6:24" ht="12.75" customHeight="1" outlineLevel="1">
      <c r="T264" s="504" t="s">
        <v>991</v>
      </c>
    </row>
    <row r="265" spans="6:24" ht="109.5" customHeight="1" outlineLevel="1">
      <c r="J265" s="278"/>
      <c r="K265" s="450" t="s">
        <v>794</v>
      </c>
      <c r="L265" s="451" t="s">
        <v>795</v>
      </c>
      <c r="M265" s="452" t="s">
        <v>796</v>
      </c>
      <c r="N265" s="453" t="s">
        <v>797</v>
      </c>
      <c r="O265" s="281" t="s">
        <v>798</v>
      </c>
      <c r="P265" s="280" t="s">
        <v>799</v>
      </c>
      <c r="Q265" s="279" t="s">
        <v>800</v>
      </c>
      <c r="R265" s="282" t="s">
        <v>801</v>
      </c>
      <c r="S265" s="277"/>
      <c r="T265" s="279" t="s">
        <v>802</v>
      </c>
      <c r="U265" s="282" t="s">
        <v>803</v>
      </c>
    </row>
    <row r="266" spans="6:24" ht="12.75" customHeight="1" outlineLevel="1">
      <c r="J266" s="278">
        <v>2022</v>
      </c>
      <c r="K266" s="283">
        <f t="shared" ref="K266:N269" si="45">SUMIFS($M$6:$M$37,$J$6:$J$37,K$272,$L$6:$L$37,$J266,$K$6:$K$37,"Tier 1")</f>
        <v>9900</v>
      </c>
      <c r="L266" s="284">
        <f t="shared" si="45"/>
        <v>4083</v>
      </c>
      <c r="M266" s="284">
        <f t="shared" si="45"/>
        <v>6632</v>
      </c>
      <c r="N266" s="285">
        <f t="shared" si="45"/>
        <v>2735</v>
      </c>
      <c r="O266" s="270">
        <v>739</v>
      </c>
      <c r="P266" s="270">
        <v>880</v>
      </c>
      <c r="Q266" s="286">
        <f>M266-O266</f>
        <v>5893</v>
      </c>
      <c r="R266" s="287">
        <f>N266-P266</f>
        <v>1855</v>
      </c>
      <c r="T266" s="332">
        <f>1-O266/M266-(Q266*$M287/M266)</f>
        <v>0.52586258735727764</v>
      </c>
      <c r="U266" s="333">
        <f>1-P266/N266-(R266*$M287/N266)</f>
        <v>0.40139035593623623</v>
      </c>
      <c r="W266" s="685"/>
      <c r="X266" s="685"/>
    </row>
    <row r="267" spans="6:24" ht="12.75" customHeight="1" outlineLevel="1">
      <c r="J267" s="278">
        <v>2023</v>
      </c>
      <c r="K267" s="288">
        <f t="shared" si="45"/>
        <v>12892</v>
      </c>
      <c r="L267" s="289">
        <f t="shared" si="45"/>
        <v>5525</v>
      </c>
      <c r="M267" s="289">
        <f t="shared" si="45"/>
        <v>5981</v>
      </c>
      <c r="N267" s="290">
        <f t="shared" si="45"/>
        <v>2563</v>
      </c>
      <c r="O267" s="270">
        <v>739</v>
      </c>
      <c r="P267" s="270">
        <v>880</v>
      </c>
      <c r="Q267" s="291">
        <f>M267-O267</f>
        <v>5242</v>
      </c>
      <c r="R267" s="292">
        <f>N267-P267</f>
        <v>1683</v>
      </c>
      <c r="T267" s="334">
        <f>1-O267/M267-(Q267*$M288/M267)</f>
        <v>0.51803079260634277</v>
      </c>
      <c r="U267" s="335">
        <f>1-P267/N267-(R267*$M288/N267)</f>
        <v>0.38812165203999055</v>
      </c>
      <c r="W267" s="685"/>
      <c r="X267" s="685"/>
    </row>
    <row r="268" spans="6:24" ht="12.75" customHeight="1" outlineLevel="1">
      <c r="J268" s="278">
        <v>2024</v>
      </c>
      <c r="K268" s="288">
        <f t="shared" si="45"/>
        <v>0</v>
      </c>
      <c r="L268" s="289">
        <f t="shared" si="45"/>
        <v>0</v>
      </c>
      <c r="M268" s="289">
        <f t="shared" si="45"/>
        <v>0</v>
      </c>
      <c r="N268" s="290">
        <f t="shared" si="45"/>
        <v>0</v>
      </c>
      <c r="O268" s="270">
        <v>739</v>
      </c>
      <c r="P268" s="270">
        <v>880</v>
      </c>
      <c r="Q268" s="291">
        <f t="shared" ref="Q268:Q269" si="46">M268-O268</f>
        <v>-739</v>
      </c>
      <c r="R268" s="292">
        <f t="shared" ref="R268:R269" si="47">N268-P268</f>
        <v>-880</v>
      </c>
      <c r="T268" s="334" t="e">
        <f t="shared" ref="T268:U268" si="48">1-O268/M268-(Q268*$M289/M268)</f>
        <v>#DIV/0!</v>
      </c>
      <c r="U268" s="335" t="e">
        <f t="shared" si="48"/>
        <v>#DIV/0!</v>
      </c>
      <c r="W268" s="685"/>
      <c r="X268" s="685"/>
    </row>
    <row r="269" spans="6:24" ht="12.75" customHeight="1" outlineLevel="1">
      <c r="J269" s="278">
        <v>2025</v>
      </c>
      <c r="K269" s="288">
        <f t="shared" si="45"/>
        <v>0</v>
      </c>
      <c r="L269" s="289">
        <f t="shared" si="45"/>
        <v>0</v>
      </c>
      <c r="M269" s="289">
        <f t="shared" si="45"/>
        <v>0</v>
      </c>
      <c r="N269" s="290">
        <f t="shared" si="45"/>
        <v>0</v>
      </c>
      <c r="O269" s="270">
        <v>739</v>
      </c>
      <c r="P269" s="270">
        <v>880</v>
      </c>
      <c r="Q269" s="291">
        <f t="shared" si="46"/>
        <v>-739</v>
      </c>
      <c r="R269" s="292">
        <f t="shared" si="47"/>
        <v>-880</v>
      </c>
      <c r="T269" s="334" t="e">
        <f t="shared" ref="T269:U269" si="49">1-O269/M269-(Q269*$M290/M269)</f>
        <v>#DIV/0!</v>
      </c>
      <c r="U269" s="335" t="e">
        <f t="shared" si="49"/>
        <v>#DIV/0!</v>
      </c>
      <c r="W269" s="685"/>
      <c r="X269" s="685"/>
    </row>
    <row r="270" spans="6:24" ht="12.75" customHeight="1" outlineLevel="1">
      <c r="K270" s="354"/>
      <c r="L270" s="355"/>
      <c r="M270" s="356"/>
      <c r="N270" s="454"/>
      <c r="O270" s="295"/>
      <c r="P270" s="296"/>
      <c r="Q270" s="293"/>
      <c r="R270" s="297"/>
      <c r="T270" s="298" t="s">
        <v>806</v>
      </c>
      <c r="U270" s="299" t="s">
        <v>807</v>
      </c>
      <c r="V270" s="300"/>
    </row>
    <row r="271" spans="6:24" ht="77.099999999999994" customHeight="1" outlineLevel="1">
      <c r="J271" s="301" t="s">
        <v>831</v>
      </c>
      <c r="K271" s="2665" t="s">
        <v>815</v>
      </c>
      <c r="L271" s="2665"/>
      <c r="M271" s="2665"/>
      <c r="N271" s="2665"/>
      <c r="O271" s="2664" t="s">
        <v>983</v>
      </c>
      <c r="P271" s="2664"/>
      <c r="Q271" s="2665" t="s">
        <v>816</v>
      </c>
      <c r="R271" s="2665"/>
      <c r="S271" s="302"/>
      <c r="T271" s="2666" t="s">
        <v>817</v>
      </c>
      <c r="U271" s="2666"/>
      <c r="W271" s="270"/>
      <c r="X271" s="270"/>
    </row>
    <row r="272" spans="6:24" ht="12.75" customHeight="1" outlineLevel="1">
      <c r="K272" s="303" t="s">
        <v>804</v>
      </c>
      <c r="L272" s="303" t="s">
        <v>805</v>
      </c>
      <c r="M272" s="303" t="s">
        <v>806</v>
      </c>
      <c r="N272" s="303" t="s">
        <v>807</v>
      </c>
    </row>
    <row r="273" spans="10:22" ht="12.75" customHeight="1" outlineLevel="1"/>
    <row r="274" spans="10:22" ht="12.75" customHeight="1" outlineLevel="1"/>
    <row r="275" spans="10:22" ht="12.75" customHeight="1" outlineLevel="1">
      <c r="M275" s="274"/>
      <c r="N275" s="274"/>
      <c r="O275" s="274"/>
    </row>
    <row r="276" spans="10:22" ht="34.9" customHeight="1" outlineLevel="1">
      <c r="J276" s="2657" t="s">
        <v>984</v>
      </c>
      <c r="K276" s="2657"/>
      <c r="L276" s="2657"/>
      <c r="M276" s="2657"/>
      <c r="N276" s="2657"/>
      <c r="O276" s="2657"/>
      <c r="P276" s="2657"/>
      <c r="Q276" s="2657"/>
      <c r="R276" s="2657"/>
      <c r="S276" s="2657"/>
      <c r="T276" s="2657"/>
      <c r="U276" s="2657"/>
    </row>
    <row r="277" spans="10:22" ht="12.75" customHeight="1" outlineLevel="1">
      <c r="K277" s="185"/>
      <c r="L277" s="185"/>
      <c r="M277" s="185"/>
      <c r="N277" s="185"/>
      <c r="O277" s="185"/>
    </row>
    <row r="278" spans="10:22" ht="12.75" customHeight="1" outlineLevel="1" thickBot="1">
      <c r="K278" s="185"/>
      <c r="L278" s="185"/>
      <c r="M278" s="185"/>
      <c r="N278" s="185"/>
      <c r="O278" s="185"/>
    </row>
    <row r="279" spans="10:22" ht="12.75" customHeight="1" outlineLevel="1">
      <c r="K279" s="185"/>
      <c r="L279" s="185"/>
      <c r="M279" s="185"/>
      <c r="N279" s="2646" t="s">
        <v>811</v>
      </c>
      <c r="O279" s="2647"/>
    </row>
    <row r="280" spans="10:22" ht="12.75" customHeight="1" outlineLevel="1">
      <c r="K280" s="185"/>
      <c r="L280" s="185"/>
      <c r="M280" s="185"/>
      <c r="N280" s="2648"/>
      <c r="O280" s="2649"/>
    </row>
    <row r="281" spans="10:22" ht="12.75" customHeight="1" outlineLevel="1">
      <c r="K281" s="185"/>
      <c r="L281" s="185"/>
      <c r="M281" s="185"/>
      <c r="N281" s="2648"/>
      <c r="O281" s="2649"/>
    </row>
    <row r="282" spans="10:22" ht="12.75" customHeight="1" outlineLevel="1">
      <c r="K282" s="185"/>
      <c r="L282" s="185"/>
      <c r="M282" s="185"/>
      <c r="N282" s="2648"/>
      <c r="O282" s="2649"/>
    </row>
    <row r="283" spans="10:22" ht="12.75" customHeight="1" outlineLevel="1">
      <c r="K283" s="185"/>
      <c r="L283" s="185"/>
      <c r="M283" s="185"/>
      <c r="N283" s="2648"/>
      <c r="O283" s="2649"/>
    </row>
    <row r="284" spans="10:22" ht="12.75" customHeight="1" outlineLevel="1" thickBot="1">
      <c r="K284" s="185"/>
      <c r="L284" s="185"/>
      <c r="M284" s="185"/>
      <c r="N284" s="2648"/>
      <c r="O284" s="2649"/>
    </row>
    <row r="285" spans="10:22" ht="58.5" customHeight="1" outlineLevel="1" thickBot="1">
      <c r="K285" s="183"/>
      <c r="L285" s="183" t="s">
        <v>808</v>
      </c>
      <c r="M285" s="183" t="s">
        <v>809</v>
      </c>
      <c r="N285" s="191" t="s">
        <v>309</v>
      </c>
      <c r="O285" s="192" t="s">
        <v>327</v>
      </c>
      <c r="Q285" s="2661" t="s">
        <v>2710</v>
      </c>
      <c r="R285" s="2662"/>
      <c r="S285" s="2662"/>
      <c r="T285" s="2663"/>
      <c r="V285" s="304"/>
    </row>
    <row r="286" spans="10:22" ht="12.75" customHeight="1" outlineLevel="1" thickTop="1" thickBot="1">
      <c r="K286" s="184"/>
      <c r="L286" s="184"/>
      <c r="M286" s="184"/>
      <c r="N286" s="305" t="s">
        <v>810</v>
      </c>
      <c r="O286" s="306" t="s">
        <v>385</v>
      </c>
      <c r="Q286" s="195" t="s">
        <v>812</v>
      </c>
      <c r="R286" s="294"/>
      <c r="S286" s="295"/>
      <c r="T286" s="196">
        <v>914</v>
      </c>
      <c r="V286" s="307"/>
    </row>
    <row r="287" spans="10:22" ht="12.75" customHeight="1" outlineLevel="1" thickTop="1" thickBot="1">
      <c r="K287" s="186">
        <v>2022</v>
      </c>
      <c r="L287" s="185">
        <f>SUM(N287:O287)</f>
        <v>36817</v>
      </c>
      <c r="M287" s="187">
        <f>N287*$T$286/$T$288/L287+O287*$T$287/$T$288/L287</f>
        <v>0.40819265580290764</v>
      </c>
      <c r="N287" s="193">
        <v>10405</v>
      </c>
      <c r="O287" s="194">
        <v>26412</v>
      </c>
      <c r="Q287" s="195" t="s">
        <v>813</v>
      </c>
      <c r="R287" s="294"/>
      <c r="S287" s="295"/>
      <c r="T287" s="196">
        <v>294.27999999999997</v>
      </c>
      <c r="V287" s="307"/>
    </row>
    <row r="288" spans="10:22" ht="12.75" customHeight="1" outlineLevel="1" thickTop="1" thickBot="1">
      <c r="K288" s="186">
        <v>2023</v>
      </c>
      <c r="L288" s="185">
        <f>SUM(N288:O288)</f>
        <v>37891</v>
      </c>
      <c r="M288" s="187">
        <f>N288*$T$286/$T$288/L288+O288*$T$287/$T$288/L288</f>
        <v>0.40893892205674631</v>
      </c>
      <c r="N288" s="193">
        <v>10761</v>
      </c>
      <c r="O288" s="194">
        <v>27130</v>
      </c>
      <c r="Q288" s="197" t="s">
        <v>971</v>
      </c>
      <c r="R288" s="308"/>
      <c r="S288" s="309"/>
      <c r="T288" s="198">
        <v>1150</v>
      </c>
      <c r="V288" s="307"/>
    </row>
    <row r="289" spans="1:28" ht="12.75" customHeight="1" outlineLevel="1">
      <c r="K289" s="186">
        <v>2024</v>
      </c>
      <c r="L289" s="185">
        <f t="shared" ref="L289:L290" si="50">SUM(N289:O289)</f>
        <v>38632</v>
      </c>
      <c r="M289" s="187">
        <f>N289*$T$286/$T$288/L289+O289*$T$287/$T$288/L289</f>
        <v>0.40880719745739058</v>
      </c>
      <c r="N289" s="455">
        <v>10962</v>
      </c>
      <c r="O289" s="456">
        <v>27670</v>
      </c>
      <c r="V289" s="307"/>
    </row>
    <row r="290" spans="1:28" ht="13.5" outlineLevel="1" thickBot="1">
      <c r="K290" s="186">
        <v>2025</v>
      </c>
      <c r="L290" s="185">
        <f t="shared" si="50"/>
        <v>40319</v>
      </c>
      <c r="M290" s="187">
        <f>N290*$T$286/$T$288/L290+O290*$T$287/$T$288/L290</f>
        <v>0.40919889360610001</v>
      </c>
      <c r="N290" s="457">
        <v>11470</v>
      </c>
      <c r="O290" s="458">
        <v>28849</v>
      </c>
    </row>
    <row r="291" spans="1:28" ht="12.75" customHeight="1" outlineLevel="1"/>
    <row r="292" spans="1:28" ht="12.75" customHeight="1" outlineLevel="1"/>
    <row r="293" spans="1:28" ht="12.75" customHeight="1">
      <c r="H293" s="504" t="s">
        <v>1214</v>
      </c>
    </row>
    <row r="294" spans="1:28" ht="12.75" hidden="1" customHeight="1" outlineLevel="1">
      <c r="L294" s="270"/>
    </row>
    <row r="295" spans="1:28" s="430" customFormat="1" ht="12.75" hidden="1" customHeight="1" outlineLevel="1">
      <c r="A295" s="8"/>
      <c r="B295" s="8"/>
      <c r="C295" s="10"/>
      <c r="D295" s="10"/>
      <c r="E295" s="10"/>
      <c r="F295" s="9"/>
      <c r="G295" s="8"/>
      <c r="H295" s="2667" t="s">
        <v>1173</v>
      </c>
      <c r="I295" s="2668"/>
      <c r="J295" s="2668"/>
      <c r="K295" s="2668"/>
      <c r="L295" s="2668"/>
      <c r="M295" s="2668"/>
      <c r="N295" s="2668"/>
      <c r="O295" s="2668"/>
      <c r="P295" s="2668"/>
      <c r="Q295" s="2668"/>
      <c r="R295" s="2668"/>
      <c r="S295" s="2668"/>
      <c r="T295" s="2668"/>
      <c r="U295" s="2668"/>
      <c r="V295" s="2669"/>
      <c r="AA295" s="428"/>
      <c r="AB295" s="428"/>
    </row>
    <row r="296" spans="1:28" s="430" customFormat="1" ht="35.25" hidden="1" customHeight="1" outlineLevel="1">
      <c r="A296" s="8"/>
      <c r="B296" s="8"/>
      <c r="C296" s="10"/>
      <c r="D296" s="10"/>
      <c r="E296" s="10"/>
      <c r="F296" s="9"/>
      <c r="G296" s="8"/>
      <c r="H296" s="2670"/>
      <c r="I296" s="2671"/>
      <c r="J296" s="2671"/>
      <c r="K296" s="2671"/>
      <c r="L296" s="2671"/>
      <c r="M296" s="2671"/>
      <c r="N296" s="2671"/>
      <c r="O296" s="2671"/>
      <c r="P296" s="2671"/>
      <c r="Q296" s="2671"/>
      <c r="R296" s="2671"/>
      <c r="S296" s="2671"/>
      <c r="T296" s="2671"/>
      <c r="U296" s="2671"/>
      <c r="V296" s="2672"/>
    </row>
    <row r="297" spans="1:28" s="430" customFormat="1" ht="12.75" hidden="1" customHeight="1" outlineLevel="1">
      <c r="A297" s="8"/>
      <c r="B297" s="8"/>
      <c r="C297" s="10"/>
      <c r="D297" s="10"/>
      <c r="E297" s="10"/>
      <c r="F297" s="9"/>
      <c r="G297" s="8"/>
      <c r="H297" s="138"/>
      <c r="I297" s="429"/>
      <c r="J297" s="189"/>
      <c r="M297" s="2"/>
      <c r="N297" s="2"/>
      <c r="O297" s="2"/>
      <c r="P297" s="2"/>
      <c r="V297" s="3"/>
    </row>
    <row r="298" spans="1:28" s="430" customFormat="1" ht="12.75" hidden="1" customHeight="1" outlineLevel="1">
      <c r="A298" s="8"/>
      <c r="B298" s="8"/>
      <c r="C298" s="10"/>
      <c r="D298" s="10"/>
      <c r="E298" s="10"/>
      <c r="F298" s="9"/>
      <c r="G298" s="8"/>
      <c r="H298" s="2673" t="s">
        <v>979</v>
      </c>
      <c r="I298" s="2673"/>
      <c r="J298" s="2673"/>
      <c r="K298" s="2673"/>
      <c r="L298" s="2673"/>
      <c r="M298" s="2673"/>
      <c r="N298" s="2673"/>
      <c r="O298" s="2673"/>
      <c r="P298" s="2"/>
      <c r="V298" s="3"/>
    </row>
    <row r="299" spans="1:28" s="428" customFormat="1" ht="12.75" hidden="1" customHeight="1" outlineLevel="1"/>
    <row r="300" spans="1:28" s="430" customFormat="1" ht="12.75" hidden="1" customHeight="1" outlineLevel="1">
      <c r="A300" s="8"/>
      <c r="B300" s="8"/>
      <c r="C300" s="10"/>
      <c r="D300" s="10"/>
      <c r="E300" s="10"/>
      <c r="F300" s="9"/>
      <c r="G300" s="8"/>
      <c r="H300" s="2674" t="s">
        <v>985</v>
      </c>
      <c r="I300" s="2674" t="s">
        <v>731</v>
      </c>
      <c r="J300" s="2674" t="s">
        <v>734</v>
      </c>
      <c r="K300" s="2675" t="s">
        <v>972</v>
      </c>
      <c r="L300" s="2674">
        <v>2018</v>
      </c>
      <c r="M300" s="2674"/>
      <c r="N300" s="2674">
        <v>2019</v>
      </c>
      <c r="O300" s="2674"/>
      <c r="P300" s="2629">
        <v>2020</v>
      </c>
      <c r="Q300" s="2629"/>
      <c r="R300" s="2629">
        <v>2021</v>
      </c>
      <c r="S300" s="2629"/>
      <c r="V300" s="3"/>
      <c r="AA300" s="428"/>
      <c r="AB300" s="428"/>
    </row>
    <row r="301" spans="1:28" s="430" customFormat="1" ht="12.75" hidden="1" customHeight="1" outlineLevel="1">
      <c r="A301" s="8"/>
      <c r="B301" s="8"/>
      <c r="C301" s="10"/>
      <c r="D301" s="10"/>
      <c r="E301" s="10"/>
      <c r="F301" s="9"/>
      <c r="G301" s="8"/>
      <c r="H301" s="2674" t="s">
        <v>986</v>
      </c>
      <c r="I301" s="2674" t="s">
        <v>731</v>
      </c>
      <c r="J301" s="2674"/>
      <c r="K301" s="2675"/>
      <c r="L301" s="243" t="s">
        <v>973</v>
      </c>
      <c r="M301" s="243" t="s">
        <v>974</v>
      </c>
      <c r="N301" s="243" t="s">
        <v>973</v>
      </c>
      <c r="O301" s="243" t="s">
        <v>974</v>
      </c>
      <c r="P301" s="511" t="s">
        <v>973</v>
      </c>
      <c r="Q301" s="511" t="s">
        <v>974</v>
      </c>
      <c r="R301" s="511" t="s">
        <v>973</v>
      </c>
      <c r="S301" s="511" t="s">
        <v>974</v>
      </c>
      <c r="V301" s="3"/>
      <c r="AA301" s="428"/>
      <c r="AB301" s="428"/>
    </row>
    <row r="302" spans="1:28" s="430" customFormat="1" ht="12.75" hidden="1" customHeight="1" outlineLevel="1">
      <c r="A302" s="8"/>
      <c r="B302" s="8"/>
      <c r="C302" s="10"/>
      <c r="D302" s="10"/>
      <c r="E302" s="10"/>
      <c r="F302" s="9"/>
      <c r="G302" s="8"/>
      <c r="H302" s="188" t="s">
        <v>969</v>
      </c>
      <c r="I302" s="247" t="s">
        <v>157</v>
      </c>
      <c r="J302" s="2676" t="s">
        <v>1174</v>
      </c>
      <c r="K302" s="244">
        <f>P331</f>
        <v>1083.3729312379701</v>
      </c>
      <c r="L302" s="244"/>
      <c r="M302" s="244"/>
      <c r="N302" s="244"/>
      <c r="O302" s="244"/>
      <c r="P302" s="514"/>
      <c r="Q302" s="514"/>
      <c r="R302" s="514"/>
      <c r="S302" s="514"/>
      <c r="V302" s="3"/>
      <c r="AA302" s="428"/>
      <c r="AB302" s="428"/>
    </row>
    <row r="303" spans="1:28" s="430" customFormat="1" ht="12.75" hidden="1" customHeight="1" outlineLevel="1">
      <c r="A303" s="8"/>
      <c r="B303" s="8"/>
      <c r="C303" s="10"/>
      <c r="D303" s="10"/>
      <c r="E303" s="10"/>
      <c r="F303" s="9"/>
      <c r="G303" s="8"/>
      <c r="H303" s="188" t="s">
        <v>969</v>
      </c>
      <c r="I303" s="247" t="s">
        <v>158</v>
      </c>
      <c r="J303" s="2677"/>
      <c r="K303" s="244">
        <f>Q331</f>
        <v>148.20997969157074</v>
      </c>
      <c r="L303" s="244"/>
      <c r="M303" s="244"/>
      <c r="N303" s="244"/>
      <c r="O303" s="244"/>
      <c r="P303" s="514"/>
      <c r="Q303" s="514"/>
      <c r="R303" s="514"/>
      <c r="S303" s="514"/>
      <c r="V303" s="3"/>
      <c r="AA303" s="428"/>
      <c r="AB303" s="428"/>
    </row>
    <row r="304" spans="1:28" s="430" customFormat="1" ht="12.75" hidden="1" customHeight="1" outlineLevel="1">
      <c r="A304" s="8"/>
      <c r="B304" s="8"/>
      <c r="C304" s="10"/>
      <c r="D304" s="10"/>
      <c r="E304" s="10"/>
      <c r="F304" s="9"/>
      <c r="G304" s="8"/>
      <c r="H304" s="188" t="s">
        <v>969</v>
      </c>
      <c r="I304" s="247" t="s">
        <v>818</v>
      </c>
      <c r="J304" s="2678" t="s">
        <v>820</v>
      </c>
      <c r="K304" s="245">
        <f>Q422</f>
        <v>395.38106389288646</v>
      </c>
      <c r="L304" s="245"/>
      <c r="M304" s="245"/>
      <c r="N304" s="245"/>
      <c r="O304" s="245"/>
      <c r="P304" s="515"/>
      <c r="Q304" s="515"/>
      <c r="R304" s="515"/>
      <c r="S304" s="515"/>
      <c r="V304" s="3"/>
    </row>
    <row r="305" spans="1:23" s="430" customFormat="1" ht="12.75" hidden="1" customHeight="1" outlineLevel="1">
      <c r="A305" s="8"/>
      <c r="B305" s="8"/>
      <c r="C305" s="10"/>
      <c r="D305" s="10"/>
      <c r="E305" s="10"/>
      <c r="F305" s="9"/>
      <c r="G305" s="8"/>
      <c r="H305" s="188" t="s">
        <v>969</v>
      </c>
      <c r="I305" s="247" t="s">
        <v>819</v>
      </c>
      <c r="J305" s="2679"/>
      <c r="K305" s="245">
        <f>K452</f>
        <v>312.98317634815953</v>
      </c>
      <c r="L305" s="245"/>
      <c r="M305" s="245"/>
      <c r="N305" s="245"/>
      <c r="O305" s="245"/>
      <c r="P305" s="515"/>
      <c r="Q305" s="515"/>
      <c r="R305" s="515"/>
      <c r="S305" s="515"/>
      <c r="V305" s="3"/>
    </row>
    <row r="306" spans="1:23" s="430" customFormat="1" ht="12.75" hidden="1" customHeight="1" outlineLevel="1">
      <c r="A306" s="8"/>
      <c r="B306" s="8"/>
      <c r="C306" s="10"/>
      <c r="D306" s="10"/>
      <c r="E306" s="10"/>
      <c r="F306" s="9"/>
      <c r="G306" s="8"/>
      <c r="H306" s="188" t="s">
        <v>970</v>
      </c>
      <c r="I306" s="247" t="s">
        <v>157</v>
      </c>
      <c r="J306" s="2680" t="s">
        <v>978</v>
      </c>
      <c r="K306" s="246">
        <f>P335</f>
        <v>0</v>
      </c>
      <c r="L306" s="246" t="e">
        <f t="shared" ref="L306:M309" si="51">$K302*T$466</f>
        <v>#DIV/0!</v>
      </c>
      <c r="M306" s="246" t="e">
        <f t="shared" si="51"/>
        <v>#DIV/0!</v>
      </c>
      <c r="N306" s="246" t="e">
        <f t="shared" ref="N306:O309" si="52">$K302*T$467</f>
        <v>#DIV/0!</v>
      </c>
      <c r="O306" s="246" t="e">
        <f t="shared" si="52"/>
        <v>#DIV/0!</v>
      </c>
      <c r="P306" s="516" t="e">
        <f t="shared" ref="P306:Q309" si="53">$K302*T$468</f>
        <v>#DIV/0!</v>
      </c>
      <c r="Q306" s="516" t="e">
        <f t="shared" si="53"/>
        <v>#DIV/0!</v>
      </c>
      <c r="R306" s="516" t="e">
        <f t="shared" ref="R306:S309" si="54">$K302*T$469</f>
        <v>#DIV/0!</v>
      </c>
      <c r="S306" s="516" t="e">
        <f t="shared" si="54"/>
        <v>#DIV/0!</v>
      </c>
      <c r="V306" s="3"/>
    </row>
    <row r="307" spans="1:23" s="430" customFormat="1" ht="12.75" hidden="1" customHeight="1" outlineLevel="1">
      <c r="A307" s="8"/>
      <c r="B307" s="8"/>
      <c r="C307" s="10"/>
      <c r="D307" s="10"/>
      <c r="E307" s="10"/>
      <c r="F307" s="9"/>
      <c r="G307" s="8"/>
      <c r="H307" s="188" t="s">
        <v>970</v>
      </c>
      <c r="I307" s="247" t="s">
        <v>158</v>
      </c>
      <c r="J307" s="2681"/>
      <c r="K307" s="246">
        <f>Q335</f>
        <v>0</v>
      </c>
      <c r="L307" s="246" t="e">
        <f t="shared" si="51"/>
        <v>#DIV/0!</v>
      </c>
      <c r="M307" s="246" t="e">
        <f t="shared" si="51"/>
        <v>#DIV/0!</v>
      </c>
      <c r="N307" s="246" t="e">
        <f t="shared" si="52"/>
        <v>#DIV/0!</v>
      </c>
      <c r="O307" s="246" t="e">
        <f t="shared" si="52"/>
        <v>#DIV/0!</v>
      </c>
      <c r="P307" s="516" t="e">
        <f t="shared" si="53"/>
        <v>#DIV/0!</v>
      </c>
      <c r="Q307" s="516" t="e">
        <f t="shared" si="53"/>
        <v>#DIV/0!</v>
      </c>
      <c r="R307" s="516" t="e">
        <f t="shared" si="54"/>
        <v>#DIV/0!</v>
      </c>
      <c r="S307" s="516" t="e">
        <f t="shared" si="54"/>
        <v>#DIV/0!</v>
      </c>
      <c r="V307" s="3"/>
    </row>
    <row r="308" spans="1:23" s="430" customFormat="1" ht="12.75" hidden="1" customHeight="1" outlineLevel="1">
      <c r="A308" s="8"/>
      <c r="B308" s="8"/>
      <c r="C308" s="10"/>
      <c r="D308" s="10"/>
      <c r="E308" s="10"/>
      <c r="F308" s="9"/>
      <c r="G308" s="8"/>
      <c r="H308" s="188" t="s">
        <v>970</v>
      </c>
      <c r="I308" s="247" t="s">
        <v>818</v>
      </c>
      <c r="J308" s="2681"/>
      <c r="K308" s="246">
        <f>Q426</f>
        <v>0</v>
      </c>
      <c r="L308" s="246" t="e">
        <f t="shared" si="51"/>
        <v>#DIV/0!</v>
      </c>
      <c r="M308" s="246" t="e">
        <f t="shared" si="51"/>
        <v>#DIV/0!</v>
      </c>
      <c r="N308" s="246" t="e">
        <f t="shared" si="52"/>
        <v>#DIV/0!</v>
      </c>
      <c r="O308" s="246" t="e">
        <f t="shared" si="52"/>
        <v>#DIV/0!</v>
      </c>
      <c r="P308" s="516" t="e">
        <f t="shared" si="53"/>
        <v>#DIV/0!</v>
      </c>
      <c r="Q308" s="516" t="e">
        <f t="shared" si="53"/>
        <v>#DIV/0!</v>
      </c>
      <c r="R308" s="516" t="e">
        <f t="shared" si="54"/>
        <v>#DIV/0!</v>
      </c>
      <c r="S308" s="516" t="e">
        <f t="shared" si="54"/>
        <v>#DIV/0!</v>
      </c>
      <c r="V308" s="3"/>
    </row>
    <row r="309" spans="1:23" s="430" customFormat="1" ht="12.75" hidden="1" customHeight="1" outlineLevel="1">
      <c r="A309" s="8"/>
      <c r="B309" s="8"/>
      <c r="C309" s="10"/>
      <c r="D309" s="10"/>
      <c r="E309" s="10"/>
      <c r="F309" s="9"/>
      <c r="G309" s="8"/>
      <c r="H309" s="188" t="s">
        <v>970</v>
      </c>
      <c r="I309" s="247" t="s">
        <v>819</v>
      </c>
      <c r="J309" s="2682"/>
      <c r="K309" s="246">
        <f>K456</f>
        <v>0</v>
      </c>
      <c r="L309" s="246" t="e">
        <f t="shared" si="51"/>
        <v>#DIV/0!</v>
      </c>
      <c r="M309" s="246" t="e">
        <f t="shared" si="51"/>
        <v>#DIV/0!</v>
      </c>
      <c r="N309" s="246" t="e">
        <f t="shared" si="52"/>
        <v>#DIV/0!</v>
      </c>
      <c r="O309" s="246" t="e">
        <f t="shared" si="52"/>
        <v>#DIV/0!</v>
      </c>
      <c r="P309" s="516" t="e">
        <f t="shared" si="53"/>
        <v>#DIV/0!</v>
      </c>
      <c r="Q309" s="516" t="e">
        <f t="shared" si="53"/>
        <v>#DIV/0!</v>
      </c>
      <c r="R309" s="516" t="e">
        <f t="shared" si="54"/>
        <v>#DIV/0!</v>
      </c>
      <c r="S309" s="516" t="e">
        <f t="shared" si="54"/>
        <v>#DIV/0!</v>
      </c>
      <c r="V309" s="3"/>
    </row>
    <row r="310" spans="1:23" s="430" customFormat="1" ht="12" hidden="1" customHeight="1" outlineLevel="1">
      <c r="A310" s="8"/>
      <c r="B310" s="8"/>
      <c r="C310" s="10"/>
      <c r="D310" s="10"/>
      <c r="E310" s="10"/>
      <c r="F310" s="9"/>
      <c r="G310" s="8"/>
      <c r="L310" s="242" t="str">
        <f>"HPWH (&lt;=55 gallons) New Construction"&amp;L300</f>
        <v>HPWH (&lt;=55 gallons) New Construction2018</v>
      </c>
      <c r="M310" s="242" t="str">
        <f>"HPWH (&gt;55 gallons) New Construction"&amp;L300</f>
        <v>HPWH (&gt;55 gallons) New Construction2018</v>
      </c>
      <c r="N310" s="242" t="str">
        <f>"HPWH (&lt;=55 gallons) New Construction"&amp;N300</f>
        <v>HPWH (&lt;=55 gallons) New Construction2019</v>
      </c>
      <c r="O310" s="242" t="str">
        <f>"HPWH (&gt;55 gallons) New Construction"&amp;N300</f>
        <v>HPWH (&gt;55 gallons) New Construction2019</v>
      </c>
      <c r="P310" s="517" t="str">
        <f>"HPWH (&lt;=55 gallons) New Construction"&amp;P300</f>
        <v>HPWH (&lt;=55 gallons) New Construction2020</v>
      </c>
      <c r="Q310" s="517" t="str">
        <f>"HPWH (&gt;55 gallons) New Construction"&amp;P300</f>
        <v>HPWH (&gt;55 gallons) New Construction2020</v>
      </c>
      <c r="R310" s="517" t="str">
        <f>"HPWH (&lt;=55 gallons) New Construction"&amp;R300</f>
        <v>HPWH (&lt;=55 gallons) New Construction2021</v>
      </c>
      <c r="S310" s="517" t="str">
        <f>"HPWH (&gt;55 gallons) New Construction"&amp;R300</f>
        <v>HPWH (&gt;55 gallons) New Construction2021</v>
      </c>
      <c r="V310" s="3"/>
    </row>
    <row r="311" spans="1:23" s="430" customFormat="1" ht="12" hidden="1" customHeight="1" outlineLevel="1">
      <c r="A311" s="8"/>
      <c r="B311" s="8"/>
      <c r="C311" s="10"/>
      <c r="D311" s="10"/>
      <c r="E311" s="10"/>
      <c r="F311" s="9"/>
      <c r="G311" s="8"/>
      <c r="H311" s="2637" t="s">
        <v>992</v>
      </c>
      <c r="I311" s="2637"/>
      <c r="J311" s="2637"/>
      <c r="K311" s="2637"/>
      <c r="L311" s="2637"/>
      <c r="M311" s="2637"/>
      <c r="N311" s="2637"/>
      <c r="O311" s="2637"/>
      <c r="P311" s="2"/>
      <c r="V311" s="3"/>
    </row>
    <row r="312" spans="1:23" s="430" customFormat="1" ht="53.25" hidden="1" customHeight="1" outlineLevel="1">
      <c r="A312" s="8"/>
      <c r="B312" s="8"/>
      <c r="C312" s="10"/>
      <c r="D312" s="10"/>
      <c r="E312" s="10"/>
      <c r="F312" s="9"/>
      <c r="G312" s="8"/>
      <c r="H312" s="2637"/>
      <c r="I312" s="2637"/>
      <c r="J312" s="2637"/>
      <c r="K312" s="2637"/>
      <c r="L312" s="2637"/>
      <c r="M312" s="2637"/>
      <c r="N312" s="2637"/>
      <c r="O312" s="2637"/>
      <c r="P312" s="2"/>
      <c r="V312" s="3"/>
    </row>
    <row r="313" spans="1:23" s="430" customFormat="1" ht="12" hidden="1" customHeight="1" outlineLevel="1">
      <c r="A313" s="8"/>
      <c r="B313" s="8"/>
      <c r="C313" s="10"/>
      <c r="D313" s="10"/>
      <c r="E313" s="10"/>
      <c r="F313" s="9"/>
      <c r="G313" s="8"/>
      <c r="H313" s="168" t="s">
        <v>993</v>
      </c>
      <c r="L313" s="242"/>
      <c r="M313" s="242"/>
      <c r="N313" s="242"/>
      <c r="O313" s="242"/>
      <c r="P313" s="2"/>
      <c r="V313" s="3"/>
    </row>
    <row r="314" spans="1:23" s="430" customFormat="1" ht="12" hidden="1" customHeight="1" outlineLevel="1">
      <c r="A314" s="8"/>
      <c r="B314" s="8"/>
      <c r="C314" s="10"/>
      <c r="D314" s="10"/>
      <c r="E314" s="10"/>
      <c r="F314" s="9"/>
      <c r="G314" s="8"/>
      <c r="L314" s="242"/>
      <c r="M314" s="242"/>
      <c r="N314" s="242"/>
      <c r="O314" s="242"/>
      <c r="P314" s="2"/>
      <c r="V314" s="3"/>
    </row>
    <row r="315" spans="1:23" s="430" customFormat="1" ht="12.75" hidden="1" customHeight="1" outlineLevel="1">
      <c r="A315" s="8"/>
      <c r="B315" s="8"/>
      <c r="C315" s="10"/>
      <c r="D315" s="10"/>
      <c r="E315" s="10"/>
      <c r="F315" s="9"/>
      <c r="G315" s="8"/>
      <c r="M315" s="2"/>
      <c r="N315" s="2"/>
      <c r="O315" s="2"/>
      <c r="P315" s="2"/>
      <c r="V315" s="3"/>
    </row>
    <row r="316" spans="1:23" s="430" customFormat="1" ht="27" hidden="1" customHeight="1" outlineLevel="1" thickBot="1">
      <c r="A316" s="8"/>
      <c r="B316" s="8"/>
      <c r="C316" s="10"/>
      <c r="D316" s="10"/>
      <c r="E316" s="10"/>
      <c r="F316" s="9"/>
      <c r="G316" s="8"/>
      <c r="H316" s="68" t="s">
        <v>1175</v>
      </c>
      <c r="I316" s="68"/>
      <c r="J316" s="68"/>
      <c r="K316" s="68"/>
      <c r="L316" s="68"/>
      <c r="M316" s="68"/>
      <c r="N316" s="68"/>
      <c r="O316" s="68"/>
      <c r="P316" s="68"/>
      <c r="Q316" s="68"/>
      <c r="R316" s="68"/>
      <c r="S316" s="68"/>
      <c r="T316" s="68"/>
      <c r="U316" s="68"/>
      <c r="V316" s="68"/>
      <c r="W316" s="68"/>
    </row>
    <row r="317" spans="1:23" s="430" customFormat="1" ht="12.75" hidden="1" customHeight="1" outlineLevel="1" thickTop="1" thickBot="1">
      <c r="A317" s="8"/>
      <c r="B317" s="8"/>
      <c r="C317" s="10"/>
      <c r="D317" s="10"/>
      <c r="E317" s="10"/>
      <c r="F317" s="9"/>
      <c r="G317" s="8"/>
      <c r="H317" s="71"/>
      <c r="I317" s="591"/>
      <c r="J317" s="591"/>
      <c r="K317" s="591"/>
      <c r="L317" s="591"/>
      <c r="M317" s="591"/>
      <c r="N317" s="2"/>
      <c r="O317" s="2"/>
      <c r="P317" s="2"/>
      <c r="V317" s="3"/>
    </row>
    <row r="318" spans="1:23" s="430" customFormat="1" ht="12.75" hidden="1" customHeight="1" outlineLevel="1" thickTop="1" thickBot="1">
      <c r="A318" s="8"/>
      <c r="B318" s="8"/>
      <c r="C318" s="10"/>
      <c r="D318" s="10"/>
      <c r="E318" s="10"/>
      <c r="F318" s="9"/>
      <c r="G318" s="8"/>
      <c r="H318" s="428" t="s">
        <v>589</v>
      </c>
      <c r="I318" s="69" t="s">
        <v>1176</v>
      </c>
      <c r="J318" s="429"/>
      <c r="K318" s="429"/>
      <c r="L318" s="429"/>
      <c r="M318" s="429"/>
      <c r="N318" s="2"/>
      <c r="O318" s="2"/>
      <c r="P318" s="2"/>
      <c r="V318" s="3"/>
    </row>
    <row r="319" spans="1:23" s="430" customFormat="1" ht="12.75" hidden="1" customHeight="1" outlineLevel="1" thickTop="1">
      <c r="A319" s="8"/>
      <c r="B319" s="8"/>
      <c r="C319" s="10"/>
      <c r="D319" s="10"/>
      <c r="E319" s="10"/>
      <c r="F319" s="9"/>
      <c r="G319" s="8"/>
      <c r="H319" s="428"/>
      <c r="I319" s="428"/>
      <c r="J319" s="429"/>
      <c r="K319" s="429"/>
      <c r="L319" s="429"/>
      <c r="M319" s="429"/>
      <c r="N319" s="2"/>
      <c r="O319" s="2"/>
      <c r="P319" s="2"/>
      <c r="V319" s="3"/>
    </row>
    <row r="320" spans="1:23" s="430" customFormat="1" ht="12.75" hidden="1" customHeight="1" outlineLevel="1">
      <c r="A320" s="8"/>
      <c r="B320" s="8"/>
      <c r="C320" s="10"/>
      <c r="D320" s="10"/>
      <c r="E320" s="10"/>
      <c r="F320" s="9"/>
      <c r="G320" s="8"/>
      <c r="H320" s="428"/>
      <c r="I320" s="428"/>
      <c r="J320" s="429"/>
      <c r="K320" s="429"/>
      <c r="L320" s="429"/>
      <c r="M320" s="429"/>
      <c r="N320" s="2"/>
      <c r="O320" s="2"/>
      <c r="P320" s="2"/>
      <c r="V320" s="3"/>
    </row>
    <row r="321" spans="1:24" s="430" customFormat="1" ht="13.5" hidden="1" customHeight="1" outlineLevel="1">
      <c r="A321" s="8"/>
      <c r="B321" s="8"/>
      <c r="C321" s="10"/>
      <c r="D321" s="10"/>
      <c r="E321" s="10"/>
      <c r="F321" s="10"/>
      <c r="G321" s="8"/>
      <c r="H321" s="592" t="s">
        <v>1177</v>
      </c>
      <c r="I321" s="429"/>
      <c r="J321" s="429"/>
      <c r="K321" s="429"/>
      <c r="L321" s="429"/>
      <c r="M321" s="429"/>
    </row>
    <row r="322" spans="1:24" s="430" customFormat="1" ht="19.5" hidden="1" customHeight="1" outlineLevel="1">
      <c r="A322" s="8"/>
      <c r="B322" s="8"/>
      <c r="C322" s="10"/>
      <c r="D322" s="10"/>
      <c r="E322" s="10"/>
      <c r="F322" s="10"/>
      <c r="G322" s="8"/>
      <c r="H322" s="233" t="s">
        <v>1178</v>
      </c>
      <c r="M322" s="2"/>
      <c r="N322" s="2"/>
      <c r="O322" s="2"/>
      <c r="P322" s="2"/>
      <c r="V322" s="3"/>
    </row>
    <row r="323" spans="1:24" s="430" customFormat="1" ht="12.75" hidden="1" customHeight="1" outlineLevel="1">
      <c r="A323" s="8"/>
      <c r="B323" s="8"/>
      <c r="C323" s="10"/>
      <c r="D323" s="10"/>
      <c r="E323" s="10"/>
      <c r="F323" s="10"/>
      <c r="G323" s="8"/>
      <c r="H323" s="2683" t="s">
        <v>234</v>
      </c>
      <c r="I323" s="2684"/>
      <c r="J323" s="593" t="s">
        <v>1097</v>
      </c>
      <c r="K323" s="593" t="s">
        <v>235</v>
      </c>
      <c r="L323" s="593" t="s">
        <v>1179</v>
      </c>
      <c r="M323" s="234"/>
      <c r="N323" s="2685" t="s">
        <v>1180</v>
      </c>
      <c r="O323" s="2685"/>
      <c r="P323" s="2685"/>
      <c r="Q323" s="2685"/>
      <c r="S323" s="594"/>
      <c r="T323" s="428"/>
      <c r="U323" s="428"/>
      <c r="V323" s="428"/>
      <c r="W323" s="428"/>
      <c r="X323" s="595"/>
    </row>
    <row r="324" spans="1:24" s="430" customFormat="1" ht="12.75" hidden="1" customHeight="1" outlineLevel="1">
      <c r="A324" s="8"/>
      <c r="B324" s="8"/>
      <c r="C324" s="10"/>
      <c r="D324" s="10"/>
      <c r="E324" s="10"/>
      <c r="F324" s="10"/>
      <c r="G324" s="8"/>
      <c r="H324" s="596" t="s">
        <v>1181</v>
      </c>
      <c r="I324" s="596"/>
      <c r="J324" s="597">
        <v>13.000000000000002</v>
      </c>
      <c r="K324" s="597">
        <v>1044.455461088565</v>
      </c>
      <c r="L324" s="598" t="str">
        <f t="shared" ref="L324:L335" si="55">IFERROR(INDEX($O$335:$P$339,MATCH(RIGHT(H324,4),$N$335:$N$339,0),MATCH(LEFT(H324,4),$O$340:$P$340,0)),"")</f>
        <v/>
      </c>
      <c r="M324" s="234"/>
      <c r="N324" s="234"/>
      <c r="O324" s="234"/>
      <c r="P324" s="234"/>
      <c r="Q324" s="234"/>
      <c r="S324" s="594"/>
      <c r="T324" s="428"/>
      <c r="U324" s="428"/>
      <c r="V324" s="428"/>
      <c r="W324" s="428"/>
      <c r="X324" s="595"/>
    </row>
    <row r="325" spans="1:24" s="430" customFormat="1" ht="12.75" hidden="1" customHeight="1" outlineLevel="1">
      <c r="A325" s="8"/>
      <c r="B325" s="8"/>
      <c r="C325" s="10"/>
      <c r="D325" s="10"/>
      <c r="E325" s="10"/>
      <c r="F325" s="10"/>
      <c r="G325" s="8"/>
      <c r="H325" s="596" t="s">
        <v>1182</v>
      </c>
      <c r="I325" s="596"/>
      <c r="J325" s="597">
        <v>13.000000000000002</v>
      </c>
      <c r="K325" s="597">
        <v>919.54650466888472</v>
      </c>
      <c r="L325" s="598">
        <f t="shared" si="55"/>
        <v>5.9888429585079297E-2</v>
      </c>
      <c r="M325" s="234"/>
      <c r="N325" s="234"/>
      <c r="O325" s="234"/>
      <c r="P325" s="234"/>
      <c r="Q325" s="234"/>
      <c r="S325" s="594"/>
      <c r="T325" s="428"/>
      <c r="U325" s="428"/>
      <c r="V325" s="428"/>
      <c r="W325" s="428"/>
      <c r="X325" s="595"/>
    </row>
    <row r="326" spans="1:24" s="430" customFormat="1" ht="12.75" hidden="1" customHeight="1" outlineLevel="1" thickBot="1">
      <c r="A326" s="8"/>
      <c r="B326" s="8"/>
      <c r="C326" s="10"/>
      <c r="D326" s="10"/>
      <c r="E326" s="10"/>
      <c r="F326" s="10"/>
      <c r="G326" s="8"/>
      <c r="H326" s="596" t="s">
        <v>1183</v>
      </c>
      <c r="I326" s="596"/>
      <c r="J326" s="597">
        <v>12.999999999999998</v>
      </c>
      <c r="K326" s="597">
        <v>1265.4748925129541</v>
      </c>
      <c r="L326" s="598">
        <f t="shared" si="55"/>
        <v>0.23579548738314077</v>
      </c>
      <c r="M326" s="234"/>
      <c r="N326" s="599" t="s">
        <v>215</v>
      </c>
      <c r="O326" s="599"/>
      <c r="P326" s="425"/>
      <c r="Q326" s="425"/>
      <c r="S326" s="594"/>
      <c r="T326" s="428"/>
      <c r="U326" s="428"/>
      <c r="V326" s="428"/>
      <c r="W326" s="428"/>
      <c r="X326" s="595"/>
    </row>
    <row r="327" spans="1:24" s="430" customFormat="1" ht="12.75" hidden="1" customHeight="1" outlineLevel="1">
      <c r="A327" s="8"/>
      <c r="B327" s="8"/>
      <c r="C327" s="10"/>
      <c r="D327" s="10"/>
      <c r="E327" s="10"/>
      <c r="F327" s="10"/>
      <c r="G327" s="8"/>
      <c r="H327" s="596" t="s">
        <v>1184</v>
      </c>
      <c r="I327" s="596"/>
      <c r="J327" s="597">
        <v>13</v>
      </c>
      <c r="K327" s="597">
        <v>1249.9938106672405</v>
      </c>
      <c r="L327" s="598">
        <f t="shared" si="55"/>
        <v>0.3847189530988086</v>
      </c>
      <c r="M327" s="234"/>
      <c r="N327" s="600" t="s">
        <v>1185</v>
      </c>
      <c r="O327" s="601"/>
      <c r="P327" s="602" t="s">
        <v>157</v>
      </c>
      <c r="Q327" s="603" t="s">
        <v>158</v>
      </c>
      <c r="S327" s="594"/>
      <c r="T327" s="428"/>
      <c r="U327" s="428"/>
      <c r="V327" s="428"/>
      <c r="W327" s="428"/>
      <c r="X327" s="595"/>
    </row>
    <row r="328" spans="1:24" s="430" customFormat="1" ht="12.75" hidden="1" customHeight="1" outlineLevel="1">
      <c r="A328" s="8"/>
      <c r="B328" s="8"/>
      <c r="C328" s="10"/>
      <c r="D328" s="10"/>
      <c r="E328" s="10"/>
      <c r="F328" s="10"/>
      <c r="G328" s="8"/>
      <c r="H328" s="596" t="s">
        <v>1186</v>
      </c>
      <c r="I328" s="596"/>
      <c r="J328" s="597">
        <v>12.999999999999998</v>
      </c>
      <c r="K328" s="597">
        <v>1097.3426466445078</v>
      </c>
      <c r="L328" s="598">
        <f t="shared" si="55"/>
        <v>0.15830495514052295</v>
      </c>
      <c r="M328" s="234"/>
      <c r="N328" s="604" t="s">
        <v>1187</v>
      </c>
      <c r="O328" s="605">
        <v>0.33</v>
      </c>
      <c r="P328" s="606">
        <f>SUMPRODUCT(K325:K329,L325:L329)</f>
        <v>1162.387188814035</v>
      </c>
      <c r="Q328" s="607">
        <f>SUMPRODUCT(K331:K335,L331:L335)</f>
        <v>63.544349567913919</v>
      </c>
      <c r="S328" s="594"/>
      <c r="T328" s="428"/>
      <c r="U328" s="428"/>
      <c r="V328" s="428"/>
      <c r="W328" s="428"/>
      <c r="X328" s="595"/>
    </row>
    <row r="329" spans="1:24" s="430" customFormat="1" ht="12.75" hidden="1" customHeight="1" outlineLevel="1" thickBot="1">
      <c r="A329" s="8"/>
      <c r="B329" s="8"/>
      <c r="C329" s="10"/>
      <c r="D329" s="10"/>
      <c r="E329" s="10"/>
      <c r="F329" s="10"/>
      <c r="G329" s="8"/>
      <c r="H329" s="596" t="s">
        <v>1188</v>
      </c>
      <c r="I329" s="596"/>
      <c r="J329" s="597">
        <v>13</v>
      </c>
      <c r="K329" s="597">
        <v>956.72735019900813</v>
      </c>
      <c r="L329" s="598">
        <f t="shared" si="55"/>
        <v>0.1612921747924484</v>
      </c>
      <c r="M329" s="234"/>
      <c r="N329" s="608" t="s">
        <v>1189</v>
      </c>
      <c r="O329" s="609">
        <v>0.67</v>
      </c>
      <c r="P329" s="610">
        <f>K324</f>
        <v>1044.455461088565</v>
      </c>
      <c r="Q329" s="611">
        <f>K330</f>
        <v>189.91096169277483</v>
      </c>
      <c r="R329" s="428"/>
      <c r="S329" s="428"/>
      <c r="T329" s="428"/>
      <c r="U329" s="428"/>
      <c r="V329" s="428"/>
      <c r="W329" s="428"/>
      <c r="X329" s="595"/>
    </row>
    <row r="330" spans="1:24" s="430" customFormat="1" ht="12.75" hidden="1" customHeight="1" outlineLevel="1">
      <c r="A330" s="8"/>
      <c r="B330" s="8"/>
      <c r="C330" s="10"/>
      <c r="D330" s="10"/>
      <c r="E330" s="10"/>
      <c r="F330" s="10"/>
      <c r="G330" s="8"/>
      <c r="H330" s="596" t="s">
        <v>1190</v>
      </c>
      <c r="I330" s="596"/>
      <c r="J330" s="597">
        <v>12.999999999999998</v>
      </c>
      <c r="K330" s="597">
        <v>189.91096169277483</v>
      </c>
      <c r="L330" s="598" t="str">
        <f t="shared" si="55"/>
        <v/>
      </c>
      <c r="M330" s="234"/>
      <c r="N330" s="235"/>
      <c r="O330" s="235"/>
      <c r="P330" s="235"/>
      <c r="Q330" s="234"/>
      <c r="R330" s="428"/>
      <c r="S330" s="428"/>
      <c r="T330" s="428"/>
      <c r="U330" s="428"/>
      <c r="V330" s="428"/>
      <c r="W330" s="428"/>
      <c r="X330" s="595"/>
    </row>
    <row r="331" spans="1:24" s="430" customFormat="1" ht="12.75" hidden="1" customHeight="1" outlineLevel="1">
      <c r="A331" s="8"/>
      <c r="B331" s="8"/>
      <c r="C331" s="10"/>
      <c r="D331" s="10"/>
      <c r="E331" s="10"/>
      <c r="F331" s="10"/>
      <c r="G331" s="8"/>
      <c r="H331" s="596" t="s">
        <v>1191</v>
      </c>
      <c r="I331" s="596"/>
      <c r="J331" s="597">
        <v>13</v>
      </c>
      <c r="K331" s="597">
        <v>22.944215635323612</v>
      </c>
      <c r="L331" s="598">
        <f t="shared" si="55"/>
        <v>5.9888429585079297E-2</v>
      </c>
      <c r="M331" s="234"/>
      <c r="N331" s="234" t="s">
        <v>792</v>
      </c>
      <c r="O331" s="234"/>
      <c r="P331" s="330">
        <f>SUMPRODUCT(O328:O329,P328:P329)</f>
        <v>1083.3729312379701</v>
      </c>
      <c r="Q331" s="330">
        <f>SUMPRODUCT(O328:O329,Q328:Q329)</f>
        <v>148.20997969157074</v>
      </c>
      <c r="R331" s="428"/>
      <c r="S331" s="428"/>
      <c r="T331" s="428"/>
      <c r="U331" s="428"/>
      <c r="V331" s="428"/>
      <c r="W331" s="428"/>
      <c r="X331" s="595"/>
    </row>
    <row r="332" spans="1:24" s="430" customFormat="1" ht="12.75" hidden="1" customHeight="1" outlineLevel="1">
      <c r="A332" s="8"/>
      <c r="B332" s="8"/>
      <c r="C332" s="10"/>
      <c r="D332" s="10"/>
      <c r="E332" s="10"/>
      <c r="F332" s="10"/>
      <c r="G332" s="8"/>
      <c r="H332" s="596" t="s">
        <v>1192</v>
      </c>
      <c r="I332" s="596"/>
      <c r="J332" s="597">
        <v>13.000000000000002</v>
      </c>
      <c r="K332" s="597">
        <v>80.763929818030846</v>
      </c>
      <c r="L332" s="598">
        <f t="shared" si="55"/>
        <v>0.23579548738314077</v>
      </c>
      <c r="M332" s="234"/>
      <c r="N332" s="234"/>
      <c r="O332" s="234"/>
      <c r="P332" s="234"/>
      <c r="Q332" s="234"/>
      <c r="S332" s="594"/>
      <c r="T332" s="428"/>
      <c r="U332" s="428"/>
      <c r="V332" s="428"/>
      <c r="W332" s="428"/>
      <c r="X332" s="595"/>
    </row>
    <row r="333" spans="1:24" s="430" customFormat="1" ht="12.75" hidden="1" customHeight="1" outlineLevel="1">
      <c r="A333" s="8"/>
      <c r="B333" s="8"/>
      <c r="C333" s="10"/>
      <c r="D333" s="10"/>
      <c r="E333" s="10"/>
      <c r="F333" s="10"/>
      <c r="G333" s="8"/>
      <c r="H333" s="596" t="s">
        <v>1193</v>
      </c>
      <c r="I333" s="596"/>
      <c r="J333" s="597">
        <v>12.999999999999996</v>
      </c>
      <c r="K333" s="597">
        <v>80.514844431711921</v>
      </c>
      <c r="L333" s="598">
        <f t="shared" si="55"/>
        <v>0.3847189530988086</v>
      </c>
      <c r="M333" s="234"/>
      <c r="N333" s="234" t="s">
        <v>1194</v>
      </c>
      <c r="O333" s="234"/>
      <c r="P333" s="234"/>
      <c r="Q333" s="234"/>
      <c r="S333" s="594"/>
      <c r="T333" s="428"/>
      <c r="U333" s="428"/>
      <c r="V333" s="428"/>
      <c r="W333" s="428"/>
      <c r="X333" s="595"/>
    </row>
    <row r="334" spans="1:24" s="430" customFormat="1" ht="12.75" hidden="1" customHeight="1" outlineLevel="1">
      <c r="A334" s="8"/>
      <c r="B334" s="8"/>
      <c r="C334" s="10"/>
      <c r="D334" s="10"/>
      <c r="E334" s="10"/>
      <c r="F334" s="10"/>
      <c r="G334" s="8"/>
      <c r="H334" s="596" t="s">
        <v>1195</v>
      </c>
      <c r="I334" s="596"/>
      <c r="J334" s="597">
        <v>13.000000000000002</v>
      </c>
      <c r="K334" s="597">
        <v>46.525537208810604</v>
      </c>
      <c r="L334" s="598">
        <f t="shared" si="55"/>
        <v>0.15830495514052295</v>
      </c>
      <c r="M334" s="234"/>
      <c r="N334" s="236"/>
      <c r="O334" s="236" t="s">
        <v>271</v>
      </c>
      <c r="P334" s="236"/>
      <c r="Q334" s="234"/>
      <c r="S334" s="594"/>
      <c r="X334" s="595"/>
    </row>
    <row r="335" spans="1:24" s="430" customFormat="1" ht="12.75" hidden="1" customHeight="1" outlineLevel="1">
      <c r="A335" s="8"/>
      <c r="B335" s="8"/>
      <c r="C335" s="10"/>
      <c r="D335" s="10"/>
      <c r="E335" s="10"/>
      <c r="F335" s="10"/>
      <c r="G335" s="8"/>
      <c r="H335" s="596" t="s">
        <v>1196</v>
      </c>
      <c r="I335" s="596"/>
      <c r="J335" s="597">
        <v>13.000000000000005</v>
      </c>
      <c r="K335" s="597">
        <v>29.670854136474393</v>
      </c>
      <c r="L335" s="598">
        <f t="shared" si="55"/>
        <v>0.1612921747924484</v>
      </c>
      <c r="M335" s="234"/>
      <c r="N335" s="612" t="s">
        <v>1197</v>
      </c>
      <c r="O335" s="613">
        <v>5.9888429585079297E-2</v>
      </c>
      <c r="P335" s="614"/>
      <c r="Q335" s="234"/>
      <c r="V335" s="3"/>
    </row>
    <row r="336" spans="1:24" s="430" customFormat="1" ht="12.75" hidden="1" customHeight="1" outlineLevel="1">
      <c r="A336" s="8"/>
      <c r="B336" s="8"/>
      <c r="C336" s="10"/>
      <c r="D336" s="10"/>
      <c r="E336" s="10"/>
      <c r="F336" s="10"/>
      <c r="G336" s="8"/>
      <c r="H336" s="234"/>
      <c r="I336" s="234"/>
      <c r="J336" s="234"/>
      <c r="K336" s="234"/>
      <c r="L336" s="234"/>
      <c r="M336" s="235"/>
      <c r="N336" s="612" t="s">
        <v>1198</v>
      </c>
      <c r="O336" s="613">
        <v>0.15830495514052295</v>
      </c>
      <c r="P336" s="614"/>
      <c r="Q336" s="234"/>
      <c r="V336" s="3"/>
    </row>
    <row r="337" spans="1:47" s="430" customFormat="1" ht="12.75" hidden="1" customHeight="1" outlineLevel="1">
      <c r="A337" s="8"/>
      <c r="B337" s="8"/>
      <c r="C337" s="10"/>
      <c r="D337" s="10"/>
      <c r="E337" s="10"/>
      <c r="F337" s="10"/>
      <c r="G337" s="8"/>
      <c r="H337" s="234"/>
      <c r="I337" s="234"/>
      <c r="J337" s="234"/>
      <c r="K337" s="234"/>
      <c r="L337" s="234"/>
      <c r="M337" s="235"/>
      <c r="N337" s="612" t="s">
        <v>1199</v>
      </c>
      <c r="O337" s="613">
        <v>0.1612921747924484</v>
      </c>
      <c r="P337" s="614"/>
      <c r="Q337" s="234"/>
      <c r="V337" s="3"/>
    </row>
    <row r="338" spans="1:47" s="430" customFormat="1" ht="12.75" hidden="1" customHeight="1" outlineLevel="1">
      <c r="A338" s="8"/>
      <c r="B338" s="8"/>
      <c r="C338" s="10"/>
      <c r="D338" s="10"/>
      <c r="E338" s="10"/>
      <c r="F338" s="10"/>
      <c r="G338" s="8"/>
      <c r="H338" s="234"/>
      <c r="I338" s="234"/>
      <c r="J338" s="234"/>
      <c r="K338" s="234"/>
      <c r="L338" s="234"/>
      <c r="M338" s="235"/>
      <c r="N338" s="612" t="s">
        <v>1200</v>
      </c>
      <c r="O338" s="615">
        <v>0.23579548738314077</v>
      </c>
      <c r="P338" s="616"/>
      <c r="Q338" s="234"/>
      <c r="V338" s="3"/>
    </row>
    <row r="339" spans="1:47" s="430" customFormat="1" ht="12.75" hidden="1" customHeight="1" outlineLevel="1">
      <c r="A339" s="8"/>
      <c r="B339" s="8"/>
      <c r="C339" s="10"/>
      <c r="D339" s="10"/>
      <c r="E339" s="10"/>
      <c r="F339" s="10"/>
      <c r="G339" s="8"/>
      <c r="H339" s="234"/>
      <c r="I339" s="234"/>
      <c r="J339" s="234"/>
      <c r="K339" s="234"/>
      <c r="L339" s="234"/>
      <c r="M339" s="235"/>
      <c r="N339" s="612" t="s">
        <v>1201</v>
      </c>
      <c r="O339" s="615">
        <v>0.3847189530988086</v>
      </c>
      <c r="P339" s="616"/>
      <c r="Q339" s="234"/>
      <c r="V339" s="3"/>
    </row>
    <row r="340" spans="1:47" s="430" customFormat="1" ht="12.75" hidden="1" customHeight="1" outlineLevel="1">
      <c r="A340" s="8"/>
      <c r="B340" s="8"/>
      <c r="C340" s="10"/>
      <c r="D340" s="10"/>
      <c r="E340" s="10"/>
      <c r="F340" s="10"/>
      <c r="G340" s="8"/>
      <c r="M340" s="2"/>
      <c r="O340" s="447" t="s">
        <v>1202</v>
      </c>
      <c r="V340" s="3"/>
    </row>
    <row r="341" spans="1:47" s="430" customFormat="1" ht="12.75" hidden="1" customHeight="1" outlineLevel="1">
      <c r="A341" s="8"/>
      <c r="B341" s="8"/>
      <c r="C341" s="10"/>
      <c r="D341" s="10"/>
      <c r="E341" s="10"/>
      <c r="F341" s="10"/>
      <c r="G341" s="8"/>
      <c r="M341" s="2"/>
      <c r="V341" s="3"/>
    </row>
    <row r="342" spans="1:47" s="430" customFormat="1" ht="12.75" hidden="1" customHeight="1" outlineLevel="1">
      <c r="A342" s="8"/>
      <c r="B342" s="8"/>
      <c r="C342" s="10"/>
      <c r="D342" s="10"/>
      <c r="E342" s="10"/>
      <c r="F342" s="10"/>
      <c r="G342" s="8"/>
      <c r="M342" s="2"/>
      <c r="V342" s="3"/>
      <c r="Z342" s="483"/>
      <c r="AA342" s="483"/>
      <c r="AB342" s="483"/>
    </row>
    <row r="343" spans="1:47" s="430" customFormat="1" ht="12.75" hidden="1" customHeight="1" outlineLevel="1">
      <c r="A343" s="8"/>
      <c r="B343" s="8"/>
      <c r="C343" s="10"/>
      <c r="D343" s="10"/>
      <c r="E343" s="10"/>
      <c r="F343" s="10"/>
      <c r="G343" s="8"/>
      <c r="M343" s="2"/>
      <c r="V343" s="3"/>
      <c r="Z343" s="483"/>
      <c r="AA343" s="483"/>
      <c r="AB343" s="483"/>
    </row>
    <row r="344" spans="1:47" s="430" customFormat="1" ht="27" hidden="1" customHeight="1" outlineLevel="1" thickBot="1">
      <c r="A344" s="8"/>
      <c r="B344" s="8"/>
      <c r="C344" s="10"/>
      <c r="D344" s="10"/>
      <c r="E344" s="10"/>
      <c r="F344" s="9"/>
      <c r="G344" s="8"/>
      <c r="H344" s="68" t="s">
        <v>1203</v>
      </c>
      <c r="I344" s="68"/>
      <c r="J344" s="68"/>
      <c r="K344" s="68"/>
      <c r="L344" s="68"/>
      <c r="M344" s="68"/>
      <c r="N344" s="68"/>
      <c r="O344" s="68"/>
      <c r="P344" s="68"/>
      <c r="Q344" s="68"/>
      <c r="R344" s="68"/>
      <c r="S344" s="68"/>
      <c r="T344" s="68"/>
      <c r="U344" s="68"/>
      <c r="V344" s="68"/>
      <c r="W344" s="68"/>
    </row>
    <row r="345" spans="1:47" s="430" customFormat="1" ht="12.75" hidden="1" customHeight="1" outlineLevel="1" thickTop="1" thickBot="1">
      <c r="A345" s="8"/>
      <c r="B345" s="8"/>
      <c r="C345" s="10"/>
      <c r="D345" s="10"/>
      <c r="E345" s="10"/>
      <c r="F345" s="10"/>
      <c r="G345" s="8"/>
      <c r="M345" s="2"/>
      <c r="V345" s="3"/>
      <c r="Z345" s="483"/>
      <c r="AA345" s="483"/>
      <c r="AB345" s="483"/>
    </row>
    <row r="346" spans="1:47" s="430" customFormat="1" ht="12.75" hidden="1" customHeight="1" outlineLevel="1" thickTop="1" thickBot="1">
      <c r="A346" s="8"/>
      <c r="B346" s="8"/>
      <c r="C346" s="10"/>
      <c r="D346" s="10"/>
      <c r="E346" s="10"/>
      <c r="F346" s="10"/>
      <c r="G346" s="8"/>
      <c r="H346" s="428" t="s">
        <v>589</v>
      </c>
      <c r="I346" s="69" t="s">
        <v>1204</v>
      </c>
      <c r="J346" s="430" t="s">
        <v>1205</v>
      </c>
      <c r="M346" s="2"/>
      <c r="V346" s="3"/>
      <c r="Y346" s="428"/>
      <c r="Z346" s="428"/>
      <c r="AA346" s="428"/>
      <c r="AB346" s="483"/>
    </row>
    <row r="347" spans="1:47" s="430" customFormat="1" ht="12.75" hidden="1" customHeight="1" outlineLevel="1" thickTop="1" thickBot="1">
      <c r="A347" s="8"/>
      <c r="B347" s="8"/>
      <c r="C347" s="10"/>
      <c r="D347" s="10"/>
      <c r="E347" s="10"/>
      <c r="F347" s="10"/>
      <c r="G347" s="8"/>
      <c r="M347" s="2"/>
      <c r="V347" s="3"/>
      <c r="Y347" s="428"/>
      <c r="Z347" s="428"/>
      <c r="AA347" s="428"/>
      <c r="AB347" s="483"/>
    </row>
    <row r="348" spans="1:47" s="430" customFormat="1" ht="12.75" hidden="1" customHeight="1" outlineLevel="1" thickBot="1">
      <c r="A348" s="8"/>
      <c r="B348" s="8"/>
      <c r="C348" s="10"/>
      <c r="D348" s="10"/>
      <c r="E348" s="10"/>
      <c r="F348" s="10"/>
      <c r="G348" s="8"/>
      <c r="H348" s="2686" t="s">
        <v>646</v>
      </c>
      <c r="I348" s="2687"/>
      <c r="J348" s="2687"/>
      <c r="K348" s="2688"/>
      <c r="L348" s="145"/>
      <c r="N348" s="428"/>
      <c r="O348" s="428"/>
      <c r="P348" s="428"/>
      <c r="Q348" s="428"/>
      <c r="R348" s="428"/>
      <c r="S348" s="428"/>
      <c r="T348" s="428"/>
      <c r="U348" s="428"/>
      <c r="V348" s="428"/>
      <c r="W348" s="428"/>
      <c r="X348" s="428"/>
      <c r="Y348" s="428"/>
      <c r="Z348" s="428"/>
      <c r="AA348" s="428"/>
      <c r="AB348" s="428"/>
      <c r="AC348" s="428"/>
      <c r="AD348" s="428"/>
      <c r="AE348" s="428"/>
      <c r="AF348" s="428"/>
      <c r="AG348" s="428"/>
      <c r="AH348" s="428"/>
      <c r="AI348" s="428"/>
      <c r="AJ348" s="428"/>
      <c r="AK348" s="428"/>
      <c r="AL348" s="428"/>
      <c r="AM348" s="428"/>
      <c r="AN348" s="428"/>
      <c r="AO348" s="428"/>
      <c r="AP348" s="428"/>
      <c r="AQ348" s="428"/>
      <c r="AR348" s="428"/>
      <c r="AS348" s="428"/>
      <c r="AT348" s="428"/>
      <c r="AU348" s="428"/>
    </row>
    <row r="349" spans="1:47" s="430" customFormat="1" ht="12.75" hidden="1" customHeight="1" outlineLevel="1">
      <c r="A349" s="8"/>
      <c r="B349" s="8"/>
      <c r="C349" s="10"/>
      <c r="D349" s="10"/>
      <c r="E349" s="10"/>
      <c r="F349" s="10"/>
      <c r="G349" s="8"/>
      <c r="N349" s="428"/>
      <c r="O349" s="428"/>
      <c r="P349" s="428"/>
      <c r="Q349" s="428"/>
      <c r="R349" s="428"/>
      <c r="S349" s="428"/>
      <c r="T349" s="428"/>
      <c r="U349" s="428"/>
      <c r="V349" s="428"/>
      <c r="W349" s="428"/>
      <c r="X349" s="136"/>
      <c r="Y349" s="428"/>
      <c r="Z349" s="428"/>
      <c r="AA349" s="428"/>
      <c r="AC349" s="428"/>
      <c r="AD349" s="428"/>
      <c r="AE349" s="428"/>
      <c r="AF349" s="428"/>
      <c r="AG349" s="428"/>
      <c r="AH349" s="428"/>
      <c r="AI349" s="428"/>
      <c r="AJ349" s="428"/>
    </row>
    <row r="350" spans="1:47" s="430" customFormat="1" ht="12.75" hidden="1" customHeight="1" outlineLevel="1">
      <c r="A350" s="8"/>
      <c r="B350" s="8"/>
      <c r="C350" s="10"/>
      <c r="D350" s="10"/>
      <c r="E350" s="10"/>
      <c r="F350" s="10"/>
      <c r="G350" s="8"/>
      <c r="H350" s="430" t="s">
        <v>827</v>
      </c>
      <c r="I350" s="2689" t="s">
        <v>828</v>
      </c>
      <c r="J350" s="2689"/>
      <c r="K350" s="2689"/>
      <c r="N350" s="428"/>
      <c r="O350" s="428"/>
      <c r="P350" s="428"/>
      <c r="Q350" s="428"/>
      <c r="R350" s="428"/>
      <c r="S350" s="428"/>
      <c r="T350" s="428"/>
      <c r="U350" s="428"/>
      <c r="V350" s="428"/>
      <c r="W350" s="428"/>
      <c r="X350" s="428"/>
      <c r="Y350" s="428"/>
      <c r="Z350" s="428"/>
      <c r="AA350" s="428"/>
      <c r="AC350" s="428"/>
      <c r="AD350" s="428"/>
      <c r="AE350" s="428"/>
      <c r="AF350" s="428"/>
      <c r="AG350" s="428"/>
      <c r="AH350" s="428"/>
      <c r="AI350" s="428"/>
      <c r="AJ350" s="428"/>
    </row>
    <row r="351" spans="1:47" s="430" customFormat="1" ht="12.75" hidden="1" customHeight="1" outlineLevel="1">
      <c r="A351" s="8"/>
      <c r="B351" s="8"/>
      <c r="C351" s="10"/>
      <c r="D351" s="10"/>
      <c r="E351" s="10"/>
      <c r="F351" s="10"/>
      <c r="G351" s="8"/>
      <c r="I351" s="139" t="s">
        <v>643</v>
      </c>
      <c r="J351" s="139" t="s">
        <v>644</v>
      </c>
      <c r="K351" s="139" t="s">
        <v>645</v>
      </c>
      <c r="N351" s="2690" t="s">
        <v>829</v>
      </c>
      <c r="O351" s="2691"/>
      <c r="P351" s="2691"/>
      <c r="Q351" s="2691"/>
      <c r="R351" s="2692"/>
      <c r="S351" s="2693" t="s">
        <v>830</v>
      </c>
      <c r="T351" s="2694"/>
      <c r="U351" s="2694"/>
      <c r="V351" s="2694"/>
      <c r="W351" s="2695"/>
      <c r="X351" s="146" t="s">
        <v>826</v>
      </c>
      <c r="Y351" s="428"/>
      <c r="Z351" s="428"/>
      <c r="AA351" s="428"/>
      <c r="AD351" s="136"/>
      <c r="AE351" s="136"/>
      <c r="AF351" s="136"/>
      <c r="AH351" s="136"/>
      <c r="AI351" s="136"/>
      <c r="AJ351" s="136"/>
    </row>
    <row r="352" spans="1:47" s="430" customFormat="1" ht="12.75" hidden="1" customHeight="1" outlineLevel="1">
      <c r="A352" s="8"/>
      <c r="B352" s="8"/>
      <c r="C352" s="10"/>
      <c r="D352" s="10"/>
      <c r="E352" s="10"/>
      <c r="F352" s="10"/>
      <c r="G352" s="8"/>
      <c r="H352" s="139" t="s">
        <v>618</v>
      </c>
      <c r="I352" s="159">
        <v>1601.9509972295846</v>
      </c>
      <c r="J352" s="159">
        <v>0</v>
      </c>
      <c r="K352" s="159">
        <v>0</v>
      </c>
      <c r="L352" s="159"/>
      <c r="M352" s="159"/>
      <c r="N352" s="140" t="s">
        <v>607</v>
      </c>
      <c r="O352" s="141" t="s">
        <v>608</v>
      </c>
      <c r="P352" s="141" t="s">
        <v>609</v>
      </c>
      <c r="Q352" s="141" t="s">
        <v>619</v>
      </c>
      <c r="R352" s="141"/>
      <c r="S352" s="142" t="str">
        <f t="shared" ref="S352:S375" si="56">N352</f>
        <v>Tier3</v>
      </c>
      <c r="T352" s="142" t="str">
        <f t="shared" ref="T352:T375" si="57">IF(O352="basmnt","Unheated Basement",IF(O352="indor2","Interior",IF(O352="ducted","Interior - Exhaust Ducted",O352)))</f>
        <v>garage</v>
      </c>
      <c r="U352" s="142" t="str">
        <f t="shared" ref="U352:U375" si="58">P352</f>
        <v>HZ1</v>
      </c>
      <c r="V352" s="142" t="str">
        <f t="shared" ref="V352:V375" si="59">IF(OR(R352="0-55gallons",R352="&gt;55gallons",R352="AnySize"),IF(Q352="resistheat","Electric Resistance",IF(Q352="hp85","Heat Pump HSPF 8.5",Q352)),"Any")</f>
        <v>Any</v>
      </c>
      <c r="W352" s="142" t="str">
        <f t="shared" ref="W352:W375" si="60">IF(V352="Any",Q352,R352)</f>
        <v>AnySize</v>
      </c>
      <c r="X352" s="143">
        <f t="shared" ref="X352:X375" si="61">IFERROR(INDEX($M$407:$O$414,MATCH(T352&amp;V352,$L$407:$L$414,0),MATCH(U352,$M$405:$O$405,0)),"")</f>
        <v>0.30443599999999998</v>
      </c>
      <c r="Y352" s="428"/>
      <c r="Z352" s="428"/>
      <c r="AA352" s="428"/>
      <c r="AC352" s="77"/>
      <c r="AD352" s="144"/>
      <c r="AE352" s="144"/>
      <c r="AF352" s="144"/>
      <c r="AG352" s="77"/>
      <c r="AH352" s="144"/>
      <c r="AI352" s="144"/>
      <c r="AJ352" s="144"/>
    </row>
    <row r="353" spans="1:36" s="430" customFormat="1" ht="12.75" hidden="1" customHeight="1" outlineLevel="1">
      <c r="A353" s="8"/>
      <c r="B353" s="8"/>
      <c r="C353" s="10"/>
      <c r="D353" s="10"/>
      <c r="E353" s="10"/>
      <c r="F353" s="10"/>
      <c r="G353" s="8"/>
      <c r="H353" s="139" t="s">
        <v>620</v>
      </c>
      <c r="I353" s="159">
        <v>1606.9097432438361</v>
      </c>
      <c r="J353" s="159">
        <v>0</v>
      </c>
      <c r="K353" s="159">
        <v>0</v>
      </c>
      <c r="L353" s="159"/>
      <c r="M353" s="159"/>
      <c r="N353" s="140" t="s">
        <v>607</v>
      </c>
      <c r="O353" s="141" t="s">
        <v>608</v>
      </c>
      <c r="P353" s="141" t="s">
        <v>610</v>
      </c>
      <c r="Q353" s="141" t="s">
        <v>619</v>
      </c>
      <c r="R353" s="141"/>
      <c r="S353" s="142" t="str">
        <f t="shared" si="56"/>
        <v>Tier3</v>
      </c>
      <c r="T353" s="142" t="str">
        <f t="shared" si="57"/>
        <v>garage</v>
      </c>
      <c r="U353" s="142" t="str">
        <f t="shared" si="58"/>
        <v>HZ2</v>
      </c>
      <c r="V353" s="142" t="str">
        <f t="shared" si="59"/>
        <v>Any</v>
      </c>
      <c r="W353" s="142" t="str">
        <f t="shared" si="60"/>
        <v>AnySize</v>
      </c>
      <c r="X353" s="143">
        <f t="shared" si="61"/>
        <v>3.4254E-2</v>
      </c>
      <c r="Y353" s="428"/>
      <c r="Z353" s="428"/>
      <c r="AA353" s="428"/>
      <c r="AC353" s="77"/>
      <c r="AD353" s="144"/>
      <c r="AE353" s="144"/>
      <c r="AF353" s="144"/>
      <c r="AG353" s="77"/>
      <c r="AH353" s="144"/>
      <c r="AI353" s="144"/>
      <c r="AJ353" s="144"/>
    </row>
    <row r="354" spans="1:36" s="430" customFormat="1" ht="12.75" hidden="1" customHeight="1" outlineLevel="1">
      <c r="A354" s="8"/>
      <c r="B354" s="8"/>
      <c r="C354" s="10"/>
      <c r="D354" s="10"/>
      <c r="E354" s="10"/>
      <c r="F354" s="10"/>
      <c r="G354" s="8"/>
      <c r="H354" s="139" t="s">
        <v>621</v>
      </c>
      <c r="I354" s="159">
        <v>1560.9839888015331</v>
      </c>
      <c r="J354" s="159">
        <v>0</v>
      </c>
      <c r="K354" s="159">
        <v>0</v>
      </c>
      <c r="L354" s="159"/>
      <c r="M354" s="159"/>
      <c r="N354" s="140" t="s">
        <v>607</v>
      </c>
      <c r="O354" s="141" t="s">
        <v>608</v>
      </c>
      <c r="P354" s="141" t="s">
        <v>611</v>
      </c>
      <c r="Q354" s="141" t="s">
        <v>619</v>
      </c>
      <c r="R354" s="141"/>
      <c r="S354" s="142" t="str">
        <f t="shared" si="56"/>
        <v>Tier3</v>
      </c>
      <c r="T354" s="142" t="str">
        <f t="shared" si="57"/>
        <v>garage</v>
      </c>
      <c r="U354" s="142" t="str">
        <f t="shared" si="58"/>
        <v>HZ3</v>
      </c>
      <c r="V354" s="142" t="str">
        <f t="shared" si="59"/>
        <v>Any</v>
      </c>
      <c r="W354" s="142" t="str">
        <f t="shared" si="60"/>
        <v>AnySize</v>
      </c>
      <c r="X354" s="143">
        <f t="shared" si="61"/>
        <v>7.1999999999999998E-3</v>
      </c>
      <c r="Y354" s="428"/>
      <c r="Z354" s="428"/>
      <c r="AA354" s="428"/>
      <c r="AC354" s="77"/>
      <c r="AD354" s="144"/>
      <c r="AE354" s="144"/>
      <c r="AF354" s="144"/>
      <c r="AG354" s="77"/>
      <c r="AH354" s="144"/>
      <c r="AI354" s="144"/>
      <c r="AJ354" s="144"/>
    </row>
    <row r="355" spans="1:36" s="430" customFormat="1" ht="12.75" hidden="1" customHeight="1" outlineLevel="1">
      <c r="A355" s="8"/>
      <c r="B355" s="8"/>
      <c r="C355" s="10"/>
      <c r="D355" s="10"/>
      <c r="E355" s="10"/>
      <c r="F355" s="10"/>
      <c r="G355" s="8"/>
      <c r="H355" s="139" t="s">
        <v>622</v>
      </c>
      <c r="I355" s="159">
        <v>1623.6076975624205</v>
      </c>
      <c r="J355" s="159">
        <v>0</v>
      </c>
      <c r="K355" s="159">
        <v>0</v>
      </c>
      <c r="L355" s="159"/>
      <c r="M355" s="159"/>
      <c r="N355" s="140" t="s">
        <v>607</v>
      </c>
      <c r="O355" s="141" t="s">
        <v>612</v>
      </c>
      <c r="P355" s="141" t="s">
        <v>609</v>
      </c>
      <c r="Q355" s="141" t="s">
        <v>619</v>
      </c>
      <c r="R355" s="141"/>
      <c r="S355" s="142" t="str">
        <f t="shared" si="56"/>
        <v>Tier3</v>
      </c>
      <c r="T355" s="142" t="str">
        <f t="shared" si="57"/>
        <v>Unheated Basement</v>
      </c>
      <c r="U355" s="142" t="str">
        <f t="shared" si="58"/>
        <v>HZ1</v>
      </c>
      <c r="V355" s="142" t="str">
        <f t="shared" si="59"/>
        <v>Any</v>
      </c>
      <c r="W355" s="142" t="str">
        <f t="shared" si="60"/>
        <v>AnySize</v>
      </c>
      <c r="X355" s="143">
        <f t="shared" si="61"/>
        <v>0.22664399999999998</v>
      </c>
      <c r="Y355" s="428"/>
      <c r="Z355" s="428"/>
      <c r="AA355" s="428"/>
      <c r="AC355" s="77"/>
      <c r="AD355" s="144"/>
      <c r="AE355" s="144"/>
      <c r="AF355" s="144"/>
      <c r="AG355" s="77"/>
      <c r="AH355" s="144"/>
      <c r="AI355" s="144"/>
      <c r="AJ355" s="144"/>
    </row>
    <row r="356" spans="1:36" s="430" customFormat="1" ht="12.75" hidden="1" customHeight="1" outlineLevel="1">
      <c r="A356" s="8"/>
      <c r="B356" s="8"/>
      <c r="C356" s="10"/>
      <c r="D356" s="10"/>
      <c r="E356" s="10"/>
      <c r="F356" s="10"/>
      <c r="G356" s="8"/>
      <c r="H356" s="139" t="s">
        <v>623</v>
      </c>
      <c r="I356" s="159">
        <v>1685.5237473638078</v>
      </c>
      <c r="J356" s="159">
        <v>0</v>
      </c>
      <c r="K356" s="159">
        <v>0</v>
      </c>
      <c r="L356" s="159"/>
      <c r="M356" s="159"/>
      <c r="N356" s="140" t="s">
        <v>607</v>
      </c>
      <c r="O356" s="141" t="s">
        <v>612</v>
      </c>
      <c r="P356" s="141" t="s">
        <v>610</v>
      </c>
      <c r="Q356" s="141" t="s">
        <v>619</v>
      </c>
      <c r="R356" s="141"/>
      <c r="S356" s="142" t="str">
        <f t="shared" si="56"/>
        <v>Tier3</v>
      </c>
      <c r="T356" s="142" t="str">
        <f t="shared" si="57"/>
        <v>Unheated Basement</v>
      </c>
      <c r="U356" s="142" t="str">
        <f t="shared" si="58"/>
        <v>HZ2</v>
      </c>
      <c r="V356" s="142" t="str">
        <f t="shared" si="59"/>
        <v>Any</v>
      </c>
      <c r="W356" s="142" t="str">
        <f t="shared" si="60"/>
        <v>AnySize</v>
      </c>
      <c r="X356" s="143">
        <f t="shared" si="61"/>
        <v>8.3039999999999989E-2</v>
      </c>
      <c r="Y356" s="428"/>
      <c r="Z356" s="428"/>
      <c r="AA356" s="428"/>
      <c r="AC356" s="77"/>
      <c r="AD356" s="144"/>
      <c r="AE356" s="144"/>
      <c r="AF356" s="144"/>
      <c r="AG356" s="77"/>
      <c r="AH356" s="144"/>
      <c r="AI356" s="144"/>
      <c r="AJ356" s="144"/>
    </row>
    <row r="357" spans="1:36" s="430" customFormat="1" ht="12.75" hidden="1" customHeight="1" outlineLevel="1">
      <c r="A357" s="8"/>
      <c r="B357" s="8"/>
      <c r="C357" s="10"/>
      <c r="D357" s="10"/>
      <c r="E357" s="10"/>
      <c r="F357" s="10"/>
      <c r="G357" s="8"/>
      <c r="H357" s="139" t="s">
        <v>624</v>
      </c>
      <c r="I357" s="159">
        <v>1749.3252195985626</v>
      </c>
      <c r="J357" s="159">
        <v>0</v>
      </c>
      <c r="K357" s="159">
        <v>0</v>
      </c>
      <c r="L357" s="159"/>
      <c r="M357" s="159"/>
      <c r="N357" s="140" t="s">
        <v>607</v>
      </c>
      <c r="O357" s="141" t="s">
        <v>612</v>
      </c>
      <c r="P357" s="141" t="s">
        <v>611</v>
      </c>
      <c r="Q357" s="141" t="s">
        <v>619</v>
      </c>
      <c r="R357" s="141"/>
      <c r="S357" s="142" t="str">
        <f t="shared" si="56"/>
        <v>Tier3</v>
      </c>
      <c r="T357" s="142" t="str">
        <f t="shared" si="57"/>
        <v>Unheated Basement</v>
      </c>
      <c r="U357" s="142" t="str">
        <f t="shared" si="58"/>
        <v>HZ3</v>
      </c>
      <c r="V357" s="142" t="str">
        <f t="shared" si="59"/>
        <v>Any</v>
      </c>
      <c r="W357" s="142" t="str">
        <f t="shared" si="60"/>
        <v>AnySize</v>
      </c>
      <c r="X357" s="143">
        <f t="shared" si="61"/>
        <v>4.9279999999999997E-2</v>
      </c>
      <c r="Y357" s="428"/>
      <c r="Z357" s="428"/>
      <c r="AA357" s="428"/>
      <c r="AC357" s="77"/>
      <c r="AD357" s="144"/>
      <c r="AE357" s="144"/>
      <c r="AF357" s="144"/>
      <c r="AG357" s="77"/>
      <c r="AH357" s="144"/>
      <c r="AI357" s="144"/>
      <c r="AJ357" s="144"/>
    </row>
    <row r="358" spans="1:36" s="430" customFormat="1" ht="12.75" hidden="1" customHeight="1" outlineLevel="1">
      <c r="A358" s="8"/>
      <c r="B358" s="8"/>
      <c r="C358" s="10"/>
      <c r="D358" s="10"/>
      <c r="E358" s="10"/>
      <c r="F358" s="10"/>
      <c r="G358" s="8"/>
      <c r="H358" s="139" t="s">
        <v>625</v>
      </c>
      <c r="I358" s="159">
        <v>1696.6624547203273</v>
      </c>
      <c r="J358" s="159">
        <v>-19.746465899765312</v>
      </c>
      <c r="K358" s="159">
        <v>17.676887617016153</v>
      </c>
      <c r="L358" s="159"/>
      <c r="M358" s="159"/>
      <c r="N358" s="140" t="s">
        <v>607</v>
      </c>
      <c r="O358" s="141" t="s">
        <v>613</v>
      </c>
      <c r="P358" s="141" t="s">
        <v>609</v>
      </c>
      <c r="Q358" s="141" t="s">
        <v>614</v>
      </c>
      <c r="R358" s="141" t="s">
        <v>619</v>
      </c>
      <c r="S358" s="142" t="str">
        <f t="shared" si="56"/>
        <v>Tier3</v>
      </c>
      <c r="T358" s="142" t="str">
        <f t="shared" si="57"/>
        <v>Interior</v>
      </c>
      <c r="U358" s="142" t="str">
        <f t="shared" si="58"/>
        <v>HZ1</v>
      </c>
      <c r="V358" s="142" t="str">
        <f t="shared" si="59"/>
        <v>gas</v>
      </c>
      <c r="W358" s="142" t="str">
        <f t="shared" si="60"/>
        <v>AnySize</v>
      </c>
      <c r="X358" s="143">
        <f t="shared" si="61"/>
        <v>0.13360883711999993</v>
      </c>
      <c r="Y358" s="428"/>
      <c r="Z358" s="428"/>
      <c r="AA358" s="428"/>
      <c r="AC358" s="77"/>
      <c r="AD358" s="144"/>
      <c r="AE358" s="144"/>
      <c r="AF358" s="144"/>
      <c r="AG358" s="77"/>
      <c r="AH358" s="144"/>
      <c r="AI358" s="144"/>
      <c r="AJ358" s="144"/>
    </row>
    <row r="359" spans="1:36" s="430" customFormat="1" ht="12.75" hidden="1" customHeight="1" outlineLevel="1">
      <c r="A359" s="8"/>
      <c r="B359" s="8"/>
      <c r="C359" s="10"/>
      <c r="D359" s="10"/>
      <c r="E359" s="10"/>
      <c r="F359" s="10"/>
      <c r="G359" s="8"/>
      <c r="H359" s="139" t="s">
        <v>626</v>
      </c>
      <c r="I359" s="159">
        <v>1699.9727485837168</v>
      </c>
      <c r="J359" s="159">
        <v>-476.17932084661356</v>
      </c>
      <c r="K359" s="159">
        <v>0</v>
      </c>
      <c r="L359" s="159"/>
      <c r="M359" s="159"/>
      <c r="N359" s="140" t="s">
        <v>607</v>
      </c>
      <c r="O359" s="141" t="s">
        <v>613</v>
      </c>
      <c r="P359" s="141" t="s">
        <v>609</v>
      </c>
      <c r="Q359" s="141" t="s">
        <v>615</v>
      </c>
      <c r="R359" s="141" t="s">
        <v>619</v>
      </c>
      <c r="S359" s="142" t="str">
        <f t="shared" si="56"/>
        <v>Tier3</v>
      </c>
      <c r="T359" s="142" t="str">
        <f t="shared" si="57"/>
        <v>Interior</v>
      </c>
      <c r="U359" s="142" t="str">
        <f t="shared" si="58"/>
        <v>HZ1</v>
      </c>
      <c r="V359" s="142" t="str">
        <f t="shared" si="59"/>
        <v>Electric Resistance</v>
      </c>
      <c r="W359" s="142" t="str">
        <f t="shared" si="60"/>
        <v>AnySize</v>
      </c>
      <c r="X359" s="143">
        <f t="shared" si="61"/>
        <v>4.141957248E-2</v>
      </c>
      <c r="Y359" s="428"/>
      <c r="Z359" s="428"/>
      <c r="AA359" s="428"/>
      <c r="AC359" s="77"/>
      <c r="AD359" s="144"/>
      <c r="AE359" s="144"/>
      <c r="AF359" s="144"/>
      <c r="AG359" s="77"/>
      <c r="AH359" s="144"/>
      <c r="AI359" s="144"/>
      <c r="AJ359" s="144"/>
    </row>
    <row r="360" spans="1:36" s="430" customFormat="1" ht="12.75" hidden="1" customHeight="1" outlineLevel="1">
      <c r="A360" s="8"/>
      <c r="B360" s="8"/>
      <c r="C360" s="10"/>
      <c r="D360" s="10"/>
      <c r="E360" s="10"/>
      <c r="F360" s="10"/>
      <c r="G360" s="8"/>
      <c r="H360" s="139" t="s">
        <v>627</v>
      </c>
      <c r="I360" s="159">
        <v>1693.3417302714256</v>
      </c>
      <c r="J360" s="159">
        <v>-245.01712861336009</v>
      </c>
      <c r="K360" s="159">
        <v>35.576301529528905</v>
      </c>
      <c r="L360" s="159"/>
      <c r="M360" s="159"/>
      <c r="N360" s="140" t="s">
        <v>607</v>
      </c>
      <c r="O360" s="141" t="s">
        <v>613</v>
      </c>
      <c r="P360" s="141" t="s">
        <v>609</v>
      </c>
      <c r="Q360" s="141" t="s">
        <v>616</v>
      </c>
      <c r="R360" s="141" t="s">
        <v>619</v>
      </c>
      <c r="S360" s="142" t="str">
        <f t="shared" si="56"/>
        <v>Tier3</v>
      </c>
      <c r="T360" s="142" t="str">
        <f t="shared" si="57"/>
        <v>Interior</v>
      </c>
      <c r="U360" s="142" t="str">
        <f t="shared" si="58"/>
        <v>HZ1</v>
      </c>
      <c r="V360" s="142" t="str">
        <f t="shared" si="59"/>
        <v>Heat Pump HSPF 8.5</v>
      </c>
      <c r="W360" s="142" t="str">
        <f t="shared" si="60"/>
        <v>AnySize</v>
      </c>
      <c r="X360" s="143">
        <f t="shared" si="61"/>
        <v>3.3193966079999998E-2</v>
      </c>
      <c r="Y360" s="428"/>
      <c r="Z360" s="428"/>
      <c r="AA360" s="428"/>
      <c r="AC360" s="77"/>
      <c r="AD360" s="144"/>
      <c r="AE360" s="144"/>
      <c r="AF360" s="144"/>
      <c r="AG360" s="77"/>
      <c r="AH360" s="144"/>
      <c r="AI360" s="144"/>
      <c r="AJ360" s="144"/>
    </row>
    <row r="361" spans="1:36" s="430" customFormat="1" ht="12.75" hidden="1" customHeight="1" outlineLevel="1">
      <c r="A361" s="8"/>
      <c r="B361" s="8"/>
      <c r="C361" s="10"/>
      <c r="D361" s="10"/>
      <c r="E361" s="10"/>
      <c r="F361" s="10"/>
      <c r="G361" s="8"/>
      <c r="H361" s="139" t="s">
        <v>628</v>
      </c>
      <c r="I361" s="159">
        <v>1773.1586644581755</v>
      </c>
      <c r="J361" s="159">
        <v>-18.755447542807087</v>
      </c>
      <c r="K361" s="159">
        <v>21.162720005428366</v>
      </c>
      <c r="L361" s="159"/>
      <c r="M361" s="159"/>
      <c r="N361" s="140" t="s">
        <v>607</v>
      </c>
      <c r="O361" s="141" t="s">
        <v>613</v>
      </c>
      <c r="P361" s="141" t="s">
        <v>610</v>
      </c>
      <c r="Q361" s="141" t="s">
        <v>614</v>
      </c>
      <c r="R361" s="141" t="s">
        <v>619</v>
      </c>
      <c r="S361" s="142" t="str">
        <f t="shared" si="56"/>
        <v>Tier3</v>
      </c>
      <c r="T361" s="142" t="str">
        <f t="shared" si="57"/>
        <v>Interior</v>
      </c>
      <c r="U361" s="142" t="str">
        <f t="shared" si="58"/>
        <v>HZ2</v>
      </c>
      <c r="V361" s="142" t="str">
        <f t="shared" si="59"/>
        <v>gas</v>
      </c>
      <c r="W361" s="142" t="str">
        <f t="shared" si="60"/>
        <v>AnySize</v>
      </c>
      <c r="X361" s="143">
        <f t="shared" si="61"/>
        <v>3.4311330815999991E-2</v>
      </c>
      <c r="Y361" s="428"/>
      <c r="Z361" s="428"/>
      <c r="AA361" s="428"/>
      <c r="AC361" s="77"/>
      <c r="AD361" s="144"/>
      <c r="AE361" s="144"/>
      <c r="AF361" s="144"/>
      <c r="AG361" s="77"/>
      <c r="AH361" s="144"/>
      <c r="AI361" s="144"/>
      <c r="AJ361" s="144"/>
    </row>
    <row r="362" spans="1:36" s="430" customFormat="1" ht="12.75" hidden="1" customHeight="1" outlineLevel="1">
      <c r="A362" s="8"/>
      <c r="B362" s="8"/>
      <c r="C362" s="10"/>
      <c r="D362" s="10"/>
      <c r="E362" s="10"/>
      <c r="F362" s="10"/>
      <c r="G362" s="8"/>
      <c r="H362" s="139" t="s">
        <v>629</v>
      </c>
      <c r="I362" s="159">
        <v>1777.7758665345079</v>
      </c>
      <c r="J362" s="159">
        <v>-441.13833656268304</v>
      </c>
      <c r="K362" s="159">
        <v>0</v>
      </c>
      <c r="L362" s="159"/>
      <c r="M362" s="159"/>
      <c r="N362" s="140" t="s">
        <v>607</v>
      </c>
      <c r="O362" s="141" t="s">
        <v>613</v>
      </c>
      <c r="P362" s="141" t="s">
        <v>610</v>
      </c>
      <c r="Q362" s="141" t="s">
        <v>615</v>
      </c>
      <c r="R362" s="141" t="s">
        <v>619</v>
      </c>
      <c r="S362" s="142" t="str">
        <f t="shared" si="56"/>
        <v>Tier3</v>
      </c>
      <c r="T362" s="142" t="str">
        <f t="shared" si="57"/>
        <v>Interior</v>
      </c>
      <c r="U362" s="142" t="str">
        <f t="shared" si="58"/>
        <v>HZ2</v>
      </c>
      <c r="V362" s="142" t="str">
        <f t="shared" si="59"/>
        <v>Electric Resistance</v>
      </c>
      <c r="W362" s="142" t="str">
        <f t="shared" si="60"/>
        <v>AnySize</v>
      </c>
      <c r="X362" s="143">
        <f t="shared" si="61"/>
        <v>1.0636726464000001E-2</v>
      </c>
      <c r="Y362" s="428"/>
      <c r="Z362" s="428"/>
      <c r="AA362" s="428"/>
      <c r="AC362" s="77"/>
      <c r="AD362" s="144"/>
      <c r="AE362" s="144"/>
      <c r="AF362" s="144"/>
      <c r="AG362" s="77"/>
      <c r="AH362" s="144"/>
      <c r="AI362" s="144"/>
      <c r="AJ362" s="144"/>
    </row>
    <row r="363" spans="1:36" s="430" customFormat="1" ht="12.75" hidden="1" customHeight="1" outlineLevel="1">
      <c r="A363" s="8"/>
      <c r="B363" s="8"/>
      <c r="C363" s="10"/>
      <c r="D363" s="10"/>
      <c r="E363" s="10"/>
      <c r="F363" s="10"/>
      <c r="G363" s="8"/>
      <c r="H363" s="139" t="s">
        <v>630</v>
      </c>
      <c r="I363" s="159">
        <v>1768.5156313225589</v>
      </c>
      <c r="J363" s="159">
        <v>-295.71973796197096</v>
      </c>
      <c r="K363" s="159">
        <v>42.58321797994747</v>
      </c>
      <c r="L363" s="159"/>
      <c r="M363" s="159"/>
      <c r="N363" s="140" t="s">
        <v>607</v>
      </c>
      <c r="O363" s="141" t="s">
        <v>613</v>
      </c>
      <c r="P363" s="141" t="s">
        <v>610</v>
      </c>
      <c r="Q363" s="141" t="s">
        <v>616</v>
      </c>
      <c r="R363" s="141" t="s">
        <v>619</v>
      </c>
      <c r="S363" s="142" t="str">
        <f t="shared" si="56"/>
        <v>Tier3</v>
      </c>
      <c r="T363" s="142" t="str">
        <f t="shared" si="57"/>
        <v>Interior</v>
      </c>
      <c r="U363" s="142" t="str">
        <f t="shared" si="58"/>
        <v>HZ2</v>
      </c>
      <c r="V363" s="142" t="str">
        <f t="shared" si="59"/>
        <v>Heat Pump HSPF 8.5</v>
      </c>
      <c r="W363" s="142" t="str">
        <f t="shared" si="60"/>
        <v>AnySize</v>
      </c>
      <c r="X363" s="143">
        <f t="shared" si="61"/>
        <v>8.5243549439999993E-3</v>
      </c>
      <c r="Y363" s="428"/>
      <c r="Z363" s="428"/>
      <c r="AA363" s="428"/>
      <c r="AC363" s="77"/>
      <c r="AD363" s="144"/>
      <c r="AE363" s="144"/>
      <c r="AF363" s="144"/>
      <c r="AG363" s="77"/>
      <c r="AH363" s="144"/>
      <c r="AI363" s="144"/>
      <c r="AJ363" s="144"/>
    </row>
    <row r="364" spans="1:36" s="430" customFormat="1" ht="12.75" hidden="1" customHeight="1" outlineLevel="1">
      <c r="A364" s="8"/>
      <c r="B364" s="8"/>
      <c r="C364" s="10"/>
      <c r="D364" s="10"/>
      <c r="E364" s="10"/>
      <c r="F364" s="10"/>
      <c r="G364" s="8"/>
      <c r="H364" s="139" t="s">
        <v>631</v>
      </c>
      <c r="I364" s="159">
        <v>1859.7911745624881</v>
      </c>
      <c r="J364" s="159">
        <v>-17.677486018589541</v>
      </c>
      <c r="K364" s="159">
        <v>23.139676946000389</v>
      </c>
      <c r="L364" s="159"/>
      <c r="M364" s="159"/>
      <c r="N364" s="140" t="s">
        <v>607</v>
      </c>
      <c r="O364" s="141" t="s">
        <v>613</v>
      </c>
      <c r="P364" s="141" t="s">
        <v>611</v>
      </c>
      <c r="Q364" s="141" t="s">
        <v>614</v>
      </c>
      <c r="R364" s="141" t="s">
        <v>619</v>
      </c>
      <c r="S364" s="142" t="str">
        <f t="shared" si="56"/>
        <v>Tier3</v>
      </c>
      <c r="T364" s="142" t="str">
        <f t="shared" si="57"/>
        <v>Interior</v>
      </c>
      <c r="U364" s="142" t="str">
        <f t="shared" si="58"/>
        <v>HZ3</v>
      </c>
      <c r="V364" s="142" t="str">
        <f t="shared" si="59"/>
        <v>gas</v>
      </c>
      <c r="W364" s="142" t="str">
        <f t="shared" si="60"/>
        <v>AnySize</v>
      </c>
      <c r="X364" s="143">
        <f t="shared" si="61"/>
        <v>1.4486814719999996E-2</v>
      </c>
      <c r="Y364" s="428"/>
      <c r="Z364" s="428"/>
      <c r="AA364" s="428"/>
      <c r="AC364" s="77"/>
      <c r="AD364" s="144"/>
      <c r="AE364" s="144"/>
      <c r="AF364" s="144"/>
      <c r="AG364" s="77"/>
      <c r="AH364" s="144"/>
      <c r="AI364" s="144"/>
      <c r="AJ364" s="144"/>
    </row>
    <row r="365" spans="1:36" s="430" customFormat="1" ht="12.75" hidden="1" customHeight="1" outlineLevel="1">
      <c r="A365" s="8"/>
      <c r="B365" s="8"/>
      <c r="C365" s="10"/>
      <c r="D365" s="10"/>
      <c r="E365" s="10"/>
      <c r="F365" s="10"/>
      <c r="G365" s="8"/>
      <c r="H365" s="139" t="s">
        <v>632</v>
      </c>
      <c r="I365" s="159">
        <v>1863.0553434682429</v>
      </c>
      <c r="J365" s="159">
        <v>-410.73637430640485</v>
      </c>
      <c r="K365" s="159">
        <v>0</v>
      </c>
      <c r="L365" s="159"/>
      <c r="M365" s="159"/>
      <c r="N365" s="140" t="s">
        <v>607</v>
      </c>
      <c r="O365" s="141" t="s">
        <v>613</v>
      </c>
      <c r="P365" s="141" t="s">
        <v>611</v>
      </c>
      <c r="Q365" s="141" t="s">
        <v>615</v>
      </c>
      <c r="R365" s="141" t="s">
        <v>619</v>
      </c>
      <c r="S365" s="142" t="str">
        <f t="shared" si="56"/>
        <v>Tier3</v>
      </c>
      <c r="T365" s="142" t="str">
        <f t="shared" si="57"/>
        <v>Interior</v>
      </c>
      <c r="U365" s="142" t="str">
        <f t="shared" si="58"/>
        <v>HZ3</v>
      </c>
      <c r="V365" s="142" t="str">
        <f t="shared" si="59"/>
        <v>Electric Resistance</v>
      </c>
      <c r="W365" s="142" t="str">
        <f t="shared" si="60"/>
        <v>AnySize</v>
      </c>
      <c r="X365" s="143">
        <f t="shared" si="61"/>
        <v>4.49100288E-3</v>
      </c>
      <c r="Y365" s="428"/>
      <c r="Z365" s="428"/>
      <c r="AA365" s="428"/>
      <c r="AC365" s="77"/>
      <c r="AD365" s="144"/>
      <c r="AE365" s="144"/>
      <c r="AF365" s="144"/>
      <c r="AG365" s="77"/>
      <c r="AH365" s="144"/>
      <c r="AI365" s="144"/>
      <c r="AJ365" s="144"/>
    </row>
    <row r="366" spans="1:36" s="430" customFormat="1" ht="12.75" hidden="1" customHeight="1" outlineLevel="1">
      <c r="A366" s="8"/>
      <c r="B366" s="8"/>
      <c r="C366" s="10"/>
      <c r="D366" s="10"/>
      <c r="E366" s="10"/>
      <c r="F366" s="10"/>
      <c r="G366" s="8"/>
      <c r="H366" s="139" t="s">
        <v>633</v>
      </c>
      <c r="I366" s="159">
        <v>1856.4879430037349</v>
      </c>
      <c r="J366" s="159">
        <v>-317.02302937731355</v>
      </c>
      <c r="K366" s="159">
        <v>46.558015792653492</v>
      </c>
      <c r="L366" s="159"/>
      <c r="M366" s="159"/>
      <c r="N366" s="140" t="s">
        <v>607</v>
      </c>
      <c r="O366" s="141" t="s">
        <v>613</v>
      </c>
      <c r="P366" s="141" t="s">
        <v>611</v>
      </c>
      <c r="Q366" s="141" t="s">
        <v>616</v>
      </c>
      <c r="R366" s="141" t="s">
        <v>619</v>
      </c>
      <c r="S366" s="142" t="str">
        <f t="shared" si="56"/>
        <v>Tier3</v>
      </c>
      <c r="T366" s="142" t="str">
        <f t="shared" si="57"/>
        <v>Interior</v>
      </c>
      <c r="U366" s="142" t="str">
        <f t="shared" si="58"/>
        <v>HZ3</v>
      </c>
      <c r="V366" s="142" t="str">
        <f t="shared" si="59"/>
        <v>Heat Pump HSPF 8.5</v>
      </c>
      <c r="W366" s="142" t="str">
        <f t="shared" si="60"/>
        <v>AnySize</v>
      </c>
      <c r="X366" s="143">
        <f t="shared" si="61"/>
        <v>3.5991244800000002E-3</v>
      </c>
      <c r="Y366" s="428"/>
      <c r="Z366" s="428"/>
      <c r="AA366" s="428"/>
      <c r="AC366" s="77"/>
      <c r="AD366" s="144"/>
      <c r="AE366" s="144"/>
      <c r="AF366" s="144"/>
      <c r="AG366" s="77"/>
      <c r="AH366" s="144"/>
      <c r="AI366" s="144"/>
      <c r="AJ366" s="144"/>
    </row>
    <row r="367" spans="1:36" s="430" customFormat="1" ht="12.75" hidden="1" customHeight="1" outlineLevel="1">
      <c r="A367" s="8"/>
      <c r="B367" s="8"/>
      <c r="C367" s="10"/>
      <c r="D367" s="10"/>
      <c r="E367" s="10"/>
      <c r="F367" s="10"/>
      <c r="G367" s="8"/>
      <c r="H367" s="139" t="s">
        <v>634</v>
      </c>
      <c r="I367" s="159">
        <v>1640.2951029237661</v>
      </c>
      <c r="J367" s="159">
        <v>-18.859851437570924</v>
      </c>
      <c r="K367" s="159">
        <v>0.66466163333826844</v>
      </c>
      <c r="L367" s="159"/>
      <c r="M367" s="159"/>
      <c r="N367" s="140" t="s">
        <v>607</v>
      </c>
      <c r="O367" s="141" t="s">
        <v>617</v>
      </c>
      <c r="P367" s="141" t="s">
        <v>609</v>
      </c>
      <c r="Q367" s="141" t="s">
        <v>614</v>
      </c>
      <c r="R367" s="141" t="s">
        <v>619</v>
      </c>
      <c r="S367" s="142" t="str">
        <f t="shared" si="56"/>
        <v>Tier3</v>
      </c>
      <c r="T367" s="142" t="str">
        <f t="shared" si="57"/>
        <v>Interior - Exhaust Ducted</v>
      </c>
      <c r="U367" s="142" t="str">
        <f t="shared" si="58"/>
        <v>HZ1</v>
      </c>
      <c r="V367" s="142" t="str">
        <f t="shared" si="59"/>
        <v>gas</v>
      </c>
      <c r="W367" s="142" t="str">
        <f t="shared" si="60"/>
        <v>AnySize</v>
      </c>
      <c r="X367" s="143">
        <f t="shared" si="61"/>
        <v>5.5670348799999984E-3</v>
      </c>
      <c r="Y367" s="428"/>
      <c r="Z367" s="428"/>
      <c r="AA367" s="428"/>
      <c r="AC367" s="77"/>
      <c r="AD367" s="144"/>
      <c r="AE367" s="144"/>
      <c r="AF367" s="144"/>
      <c r="AG367" s="77"/>
      <c r="AH367" s="144"/>
      <c r="AI367" s="144"/>
      <c r="AJ367" s="144"/>
    </row>
    <row r="368" spans="1:36" s="430" customFormat="1" ht="12.75" hidden="1" customHeight="1" outlineLevel="1">
      <c r="A368" s="8"/>
      <c r="B368" s="8"/>
      <c r="C368" s="10"/>
      <c r="D368" s="10"/>
      <c r="E368" s="10"/>
      <c r="F368" s="10"/>
      <c r="G368" s="8"/>
      <c r="H368" s="139" t="s">
        <v>635</v>
      </c>
      <c r="I368" s="159">
        <v>1644.130418437134</v>
      </c>
      <c r="J368" s="159">
        <v>-493.25328704852814</v>
      </c>
      <c r="K368" s="159">
        <v>0</v>
      </c>
      <c r="L368" s="159"/>
      <c r="M368" s="159"/>
      <c r="N368" s="140" t="s">
        <v>607</v>
      </c>
      <c r="O368" s="141" t="s">
        <v>617</v>
      </c>
      <c r="P368" s="141" t="s">
        <v>609</v>
      </c>
      <c r="Q368" s="141" t="s">
        <v>615</v>
      </c>
      <c r="R368" s="141" t="s">
        <v>619</v>
      </c>
      <c r="S368" s="142" t="str">
        <f t="shared" si="56"/>
        <v>Tier3</v>
      </c>
      <c r="T368" s="142" t="str">
        <f t="shared" si="57"/>
        <v>Interior - Exhaust Ducted</v>
      </c>
      <c r="U368" s="142" t="str">
        <f t="shared" si="58"/>
        <v>HZ1</v>
      </c>
      <c r="V368" s="142" t="str">
        <f t="shared" si="59"/>
        <v>Electric Resistance</v>
      </c>
      <c r="W368" s="142" t="str">
        <f t="shared" si="60"/>
        <v>AnySize</v>
      </c>
      <c r="X368" s="143">
        <f t="shared" si="61"/>
        <v>1.72581552E-3</v>
      </c>
      <c r="Y368" s="428"/>
      <c r="Z368" s="428"/>
      <c r="AA368" s="428"/>
      <c r="AC368" s="77"/>
      <c r="AD368" s="144"/>
      <c r="AE368" s="144"/>
      <c r="AF368" s="144"/>
      <c r="AG368" s="77"/>
      <c r="AH368" s="144"/>
      <c r="AI368" s="144"/>
      <c r="AJ368" s="144"/>
    </row>
    <row r="369" spans="1:36" s="430" customFormat="1" ht="12.75" hidden="1" customHeight="1" outlineLevel="1">
      <c r="A369" s="8"/>
      <c r="B369" s="8"/>
      <c r="C369" s="10"/>
      <c r="D369" s="10"/>
      <c r="E369" s="10"/>
      <c r="F369" s="10"/>
      <c r="G369" s="8"/>
      <c r="H369" s="139" t="s">
        <v>636</v>
      </c>
      <c r="I369" s="159">
        <v>1636.42633149991</v>
      </c>
      <c r="J369" s="159">
        <v>-196.68407227831634</v>
      </c>
      <c r="K369" s="159">
        <v>1.3642223258261894</v>
      </c>
      <c r="L369" s="159"/>
      <c r="M369" s="159"/>
      <c r="N369" s="140" t="s">
        <v>607</v>
      </c>
      <c r="O369" s="141" t="s">
        <v>617</v>
      </c>
      <c r="P369" s="141" t="s">
        <v>609</v>
      </c>
      <c r="Q369" s="141" t="s">
        <v>616</v>
      </c>
      <c r="R369" s="141" t="s">
        <v>619</v>
      </c>
      <c r="S369" s="142" t="str">
        <f t="shared" si="56"/>
        <v>Tier3</v>
      </c>
      <c r="T369" s="142" t="str">
        <f t="shared" si="57"/>
        <v>Interior - Exhaust Ducted</v>
      </c>
      <c r="U369" s="142" t="str">
        <f t="shared" si="58"/>
        <v>HZ1</v>
      </c>
      <c r="V369" s="142" t="str">
        <f t="shared" si="59"/>
        <v>Heat Pump HSPF 8.5</v>
      </c>
      <c r="W369" s="142" t="str">
        <f t="shared" si="60"/>
        <v>AnySize</v>
      </c>
      <c r="X369" s="143">
        <f t="shared" si="61"/>
        <v>1.38308192E-3</v>
      </c>
      <c r="Y369" s="428"/>
      <c r="Z369" s="428"/>
      <c r="AA369" s="428"/>
      <c r="AC369" s="77"/>
      <c r="AD369" s="144"/>
      <c r="AE369" s="144"/>
      <c r="AF369" s="144"/>
      <c r="AG369" s="77"/>
      <c r="AH369" s="144"/>
      <c r="AI369" s="144"/>
      <c r="AJ369" s="144"/>
    </row>
    <row r="370" spans="1:36" s="430" customFormat="1" ht="12.75" hidden="1" customHeight="1" outlineLevel="1">
      <c r="A370" s="8"/>
      <c r="B370" s="8"/>
      <c r="C370" s="10"/>
      <c r="D370" s="10"/>
      <c r="E370" s="10"/>
      <c r="F370" s="10"/>
      <c r="G370" s="8"/>
      <c r="H370" s="139" t="s">
        <v>637</v>
      </c>
      <c r="I370" s="159">
        <v>1711.1134117643828</v>
      </c>
      <c r="J370" s="159">
        <v>-20.038957212942652</v>
      </c>
      <c r="K370" s="159">
        <v>0.74464345617959471</v>
      </c>
      <c r="L370" s="159"/>
      <c r="M370" s="159"/>
      <c r="N370" s="140" t="s">
        <v>607</v>
      </c>
      <c r="O370" s="141" t="s">
        <v>617</v>
      </c>
      <c r="P370" s="141" t="s">
        <v>610</v>
      </c>
      <c r="Q370" s="141" t="s">
        <v>614</v>
      </c>
      <c r="R370" s="141" t="s">
        <v>619</v>
      </c>
      <c r="S370" s="142" t="str">
        <f t="shared" si="56"/>
        <v>Tier3</v>
      </c>
      <c r="T370" s="142" t="str">
        <f t="shared" si="57"/>
        <v>Interior - Exhaust Ducted</v>
      </c>
      <c r="U370" s="142" t="str">
        <f t="shared" si="58"/>
        <v>HZ2</v>
      </c>
      <c r="V370" s="142" t="str">
        <f t="shared" si="59"/>
        <v>gas</v>
      </c>
      <c r="W370" s="142" t="str">
        <f t="shared" si="60"/>
        <v>AnySize</v>
      </c>
      <c r="X370" s="143">
        <f t="shared" si="61"/>
        <v>1.4296387839999997E-3</v>
      </c>
      <c r="Y370" s="428"/>
      <c r="Z370" s="428"/>
      <c r="AA370" s="428"/>
      <c r="AC370" s="77"/>
      <c r="AD370" s="144"/>
      <c r="AE370" s="144"/>
      <c r="AF370" s="144"/>
      <c r="AG370" s="77"/>
      <c r="AH370" s="144"/>
      <c r="AI370" s="144"/>
      <c r="AJ370" s="144"/>
    </row>
    <row r="371" spans="1:36" s="430" customFormat="1" ht="12.75" hidden="1" customHeight="1" outlineLevel="1">
      <c r="A371" s="8"/>
      <c r="B371" s="8"/>
      <c r="C371" s="10"/>
      <c r="D371" s="10"/>
      <c r="E371" s="10"/>
      <c r="F371" s="10"/>
      <c r="G371" s="8"/>
      <c r="H371" s="139" t="s">
        <v>638</v>
      </c>
      <c r="I371" s="159">
        <v>1716.2639451706643</v>
      </c>
      <c r="J371" s="159">
        <v>-524.61260712163346</v>
      </c>
      <c r="K371" s="159">
        <v>0</v>
      </c>
      <c r="L371" s="159"/>
      <c r="M371" s="159"/>
      <c r="N371" s="140" t="s">
        <v>607</v>
      </c>
      <c r="O371" s="141" t="s">
        <v>617</v>
      </c>
      <c r="P371" s="141" t="s">
        <v>610</v>
      </c>
      <c r="Q371" s="141" t="s">
        <v>615</v>
      </c>
      <c r="R371" s="141" t="s">
        <v>619</v>
      </c>
      <c r="S371" s="142" t="str">
        <f t="shared" si="56"/>
        <v>Tier3</v>
      </c>
      <c r="T371" s="142" t="str">
        <f t="shared" si="57"/>
        <v>Interior - Exhaust Ducted</v>
      </c>
      <c r="U371" s="142" t="str">
        <f t="shared" si="58"/>
        <v>HZ2</v>
      </c>
      <c r="V371" s="142" t="str">
        <f t="shared" si="59"/>
        <v>Electric Resistance</v>
      </c>
      <c r="W371" s="142" t="str">
        <f t="shared" si="60"/>
        <v>AnySize</v>
      </c>
      <c r="X371" s="143">
        <f t="shared" si="61"/>
        <v>4.4319693600000003E-4</v>
      </c>
      <c r="Y371" s="428"/>
      <c r="Z371" s="428"/>
      <c r="AA371" s="428"/>
      <c r="AC371" s="77"/>
      <c r="AD371" s="144"/>
      <c r="AE371" s="144"/>
      <c r="AF371" s="144"/>
      <c r="AG371" s="77"/>
      <c r="AH371" s="144"/>
      <c r="AI371" s="144"/>
      <c r="AJ371" s="144"/>
    </row>
    <row r="372" spans="1:36" s="430" customFormat="1" ht="12.75" hidden="1" customHeight="1" outlineLevel="1">
      <c r="A372" s="8"/>
      <c r="B372" s="8"/>
      <c r="C372" s="10"/>
      <c r="D372" s="10"/>
      <c r="E372" s="10"/>
      <c r="F372" s="10"/>
      <c r="G372" s="8"/>
      <c r="H372" s="139" t="s">
        <v>639</v>
      </c>
      <c r="I372" s="159">
        <v>1705.9436463442883</v>
      </c>
      <c r="J372" s="159">
        <v>-259.54767046539126</v>
      </c>
      <c r="K372" s="159">
        <v>1.5282822841739772</v>
      </c>
      <c r="L372" s="159"/>
      <c r="M372" s="159"/>
      <c r="N372" s="140" t="s">
        <v>607</v>
      </c>
      <c r="O372" s="141" t="s">
        <v>617</v>
      </c>
      <c r="P372" s="141" t="s">
        <v>610</v>
      </c>
      <c r="Q372" s="141" t="s">
        <v>616</v>
      </c>
      <c r="R372" s="141" t="s">
        <v>619</v>
      </c>
      <c r="S372" s="142" t="str">
        <f t="shared" si="56"/>
        <v>Tier3</v>
      </c>
      <c r="T372" s="142" t="str">
        <f t="shared" si="57"/>
        <v>Interior - Exhaust Ducted</v>
      </c>
      <c r="U372" s="142" t="str">
        <f t="shared" si="58"/>
        <v>HZ2</v>
      </c>
      <c r="V372" s="142" t="str">
        <f t="shared" si="59"/>
        <v>Heat Pump HSPF 8.5</v>
      </c>
      <c r="W372" s="142" t="str">
        <f t="shared" si="60"/>
        <v>AnySize</v>
      </c>
      <c r="X372" s="143">
        <f t="shared" si="61"/>
        <v>3.5518145600000001E-4</v>
      </c>
      <c r="Y372" s="428"/>
      <c r="Z372" s="428"/>
      <c r="AA372" s="428"/>
      <c r="AC372" s="77"/>
      <c r="AD372" s="144"/>
      <c r="AE372" s="144"/>
      <c r="AF372" s="144"/>
      <c r="AG372" s="77"/>
      <c r="AH372" s="144"/>
      <c r="AI372" s="144"/>
      <c r="AJ372" s="144"/>
    </row>
    <row r="373" spans="1:36" s="430" customFormat="1" ht="12.75" hidden="1" customHeight="1" outlineLevel="1">
      <c r="A373" s="8"/>
      <c r="B373" s="8"/>
      <c r="C373" s="10"/>
      <c r="D373" s="10"/>
      <c r="E373" s="10"/>
      <c r="F373" s="10"/>
      <c r="G373" s="8"/>
      <c r="H373" s="139" t="s">
        <v>640</v>
      </c>
      <c r="I373" s="159">
        <v>1790.5882015887189</v>
      </c>
      <c r="J373" s="159">
        <v>-20.2529541634099</v>
      </c>
      <c r="K373" s="159">
        <v>1.05167641391847</v>
      </c>
      <c r="L373" s="159"/>
      <c r="M373" s="159"/>
      <c r="N373" s="140" t="s">
        <v>607</v>
      </c>
      <c r="O373" s="141" t="s">
        <v>617</v>
      </c>
      <c r="P373" s="141" t="s">
        <v>611</v>
      </c>
      <c r="Q373" s="141" t="s">
        <v>614</v>
      </c>
      <c r="R373" s="141" t="s">
        <v>619</v>
      </c>
      <c r="S373" s="142" t="str">
        <f t="shared" si="56"/>
        <v>Tier3</v>
      </c>
      <c r="T373" s="142" t="str">
        <f t="shared" si="57"/>
        <v>Interior - Exhaust Ducted</v>
      </c>
      <c r="U373" s="142" t="str">
        <f t="shared" si="58"/>
        <v>HZ3</v>
      </c>
      <c r="V373" s="142" t="str">
        <f t="shared" si="59"/>
        <v>gas</v>
      </c>
      <c r="W373" s="142" t="str">
        <f t="shared" si="60"/>
        <v>AnySize</v>
      </c>
      <c r="X373" s="143">
        <f t="shared" si="61"/>
        <v>6.0361727999999983E-4</v>
      </c>
      <c r="Y373" s="428"/>
      <c r="Z373" s="428"/>
      <c r="AA373" s="428"/>
      <c r="AC373" s="77"/>
      <c r="AD373" s="144"/>
      <c r="AE373" s="144"/>
      <c r="AF373" s="144"/>
      <c r="AG373" s="77"/>
      <c r="AH373" s="144"/>
      <c r="AI373" s="144"/>
      <c r="AJ373" s="144"/>
    </row>
    <row r="374" spans="1:36" s="430" customFormat="1" ht="12.75" hidden="1" customHeight="1" outlineLevel="1">
      <c r="A374" s="8"/>
      <c r="B374" s="8"/>
      <c r="C374" s="10"/>
      <c r="D374" s="10"/>
      <c r="E374" s="10"/>
      <c r="F374" s="10"/>
      <c r="G374" s="8"/>
      <c r="H374" s="139" t="s">
        <v>641</v>
      </c>
      <c r="I374" s="159">
        <v>1794.6668195918285</v>
      </c>
      <c r="J374" s="159">
        <v>-533.74407036207924</v>
      </c>
      <c r="K374" s="159">
        <v>0</v>
      </c>
      <c r="L374" s="159"/>
      <c r="M374" s="159"/>
      <c r="N374" s="140" t="s">
        <v>607</v>
      </c>
      <c r="O374" s="141" t="s">
        <v>617</v>
      </c>
      <c r="P374" s="141" t="s">
        <v>611</v>
      </c>
      <c r="Q374" s="141" t="s">
        <v>615</v>
      </c>
      <c r="R374" s="141" t="s">
        <v>619</v>
      </c>
      <c r="S374" s="142" t="str">
        <f t="shared" si="56"/>
        <v>Tier3</v>
      </c>
      <c r="T374" s="142" t="str">
        <f t="shared" si="57"/>
        <v>Interior - Exhaust Ducted</v>
      </c>
      <c r="U374" s="142" t="str">
        <f t="shared" si="58"/>
        <v>HZ3</v>
      </c>
      <c r="V374" s="142" t="str">
        <f t="shared" si="59"/>
        <v>Electric Resistance</v>
      </c>
      <c r="W374" s="142" t="str">
        <f t="shared" si="60"/>
        <v>AnySize</v>
      </c>
      <c r="X374" s="143">
        <f t="shared" si="61"/>
        <v>1.8712512000000002E-4</v>
      </c>
      <c r="Y374" s="428"/>
      <c r="Z374" s="428"/>
      <c r="AA374" s="428"/>
      <c r="AC374" s="77"/>
      <c r="AD374" s="144"/>
      <c r="AE374" s="144"/>
      <c r="AF374" s="144"/>
      <c r="AG374" s="77"/>
      <c r="AH374" s="144"/>
      <c r="AI374" s="144"/>
      <c r="AJ374" s="144"/>
    </row>
    <row r="375" spans="1:36" s="430" customFormat="1" ht="12.75" hidden="1" customHeight="1" outlineLevel="1">
      <c r="A375" s="8"/>
      <c r="B375" s="8"/>
      <c r="C375" s="10"/>
      <c r="D375" s="10"/>
      <c r="E375" s="10"/>
      <c r="F375" s="10"/>
      <c r="G375" s="8"/>
      <c r="H375" s="139" t="s">
        <v>642</v>
      </c>
      <c r="I375" s="159">
        <v>1786.5004847389102</v>
      </c>
      <c r="J375" s="159">
        <v>-309.44814764868659</v>
      </c>
      <c r="K375" s="159">
        <v>2.1469085249086244</v>
      </c>
      <c r="L375" s="159"/>
      <c r="M375" s="159"/>
      <c r="N375" s="140" t="s">
        <v>607</v>
      </c>
      <c r="O375" s="141" t="s">
        <v>617</v>
      </c>
      <c r="P375" s="141" t="s">
        <v>611</v>
      </c>
      <c r="Q375" s="141" t="s">
        <v>616</v>
      </c>
      <c r="R375" s="141" t="s">
        <v>619</v>
      </c>
      <c r="S375" s="142" t="str">
        <f t="shared" si="56"/>
        <v>Tier3</v>
      </c>
      <c r="T375" s="142" t="str">
        <f t="shared" si="57"/>
        <v>Interior - Exhaust Ducted</v>
      </c>
      <c r="U375" s="142" t="str">
        <f t="shared" si="58"/>
        <v>HZ3</v>
      </c>
      <c r="V375" s="142" t="str">
        <f t="shared" si="59"/>
        <v>Heat Pump HSPF 8.5</v>
      </c>
      <c r="W375" s="142" t="str">
        <f t="shared" si="60"/>
        <v>AnySize</v>
      </c>
      <c r="X375" s="143">
        <f t="shared" si="61"/>
        <v>1.4996352000000001E-4</v>
      </c>
      <c r="Y375" s="428"/>
      <c r="Z375" s="428"/>
      <c r="AA375" s="428"/>
      <c r="AC375" s="77"/>
      <c r="AD375" s="144"/>
      <c r="AE375" s="144"/>
      <c r="AF375" s="144"/>
      <c r="AG375" s="77"/>
      <c r="AH375" s="144"/>
      <c r="AI375" s="144"/>
      <c r="AJ375" s="144"/>
    </row>
    <row r="376" spans="1:36" s="430" customFormat="1" ht="12.75" hidden="1" customHeight="1" outlineLevel="1">
      <c r="A376" s="8"/>
      <c r="B376" s="8"/>
      <c r="C376" s="10"/>
      <c r="D376" s="10"/>
      <c r="E376" s="10"/>
      <c r="F376" s="10"/>
      <c r="G376" s="8"/>
      <c r="M376" s="2"/>
      <c r="N376" s="2"/>
      <c r="O376" s="2"/>
      <c r="P376" s="2"/>
      <c r="V376" s="3"/>
      <c r="Y376" s="428"/>
      <c r="Z376" s="428"/>
      <c r="AA376" s="428"/>
    </row>
    <row r="377" spans="1:36" s="430" customFormat="1" ht="12.75" hidden="1" customHeight="1" outlineLevel="1">
      <c r="A377" s="8"/>
      <c r="B377" s="8"/>
      <c r="C377" s="10"/>
      <c r="D377" s="10"/>
      <c r="E377" s="10"/>
      <c r="F377" s="10"/>
      <c r="G377" s="8"/>
      <c r="H377" s="71" t="s">
        <v>668</v>
      </c>
      <c r="M377" s="2"/>
      <c r="N377" s="2"/>
      <c r="O377" s="2"/>
      <c r="P377" s="2"/>
      <c r="V377" s="3"/>
      <c r="Y377" s="428"/>
      <c r="Z377" s="428"/>
      <c r="AA377" s="428"/>
    </row>
    <row r="378" spans="1:36" s="430" customFormat="1" ht="12.75" hidden="1" customHeight="1" outlineLevel="1">
      <c r="A378" s="8"/>
      <c r="B378" s="8"/>
      <c r="C378" s="10"/>
      <c r="D378" s="10"/>
      <c r="E378" s="10"/>
      <c r="F378" s="10"/>
      <c r="G378" s="8"/>
      <c r="M378" s="2"/>
      <c r="N378" s="2"/>
      <c r="O378" s="2"/>
      <c r="P378" s="2"/>
      <c r="V378" s="3"/>
    </row>
    <row r="379" spans="1:36" s="430" customFormat="1" ht="12.75" hidden="1" customHeight="1" outlineLevel="1">
      <c r="A379" s="8"/>
      <c r="B379" s="8"/>
      <c r="C379" s="10"/>
      <c r="D379" s="10"/>
      <c r="E379" s="10"/>
      <c r="F379" s="10"/>
      <c r="G379" s="8"/>
      <c r="I379" s="147" t="s">
        <v>647</v>
      </c>
      <c r="Q379" s="428"/>
      <c r="R379" s="428"/>
      <c r="S379" s="428"/>
      <c r="T379" s="428"/>
      <c r="V379" s="3"/>
    </row>
    <row r="380" spans="1:36" s="430" customFormat="1" ht="12.75" hidden="1" customHeight="1" outlineLevel="1">
      <c r="A380" s="8"/>
      <c r="B380" s="8"/>
      <c r="C380" s="10"/>
      <c r="D380" s="10"/>
      <c r="E380" s="10"/>
      <c r="F380" s="10"/>
      <c r="G380" s="8"/>
      <c r="J380" s="148" t="s">
        <v>648</v>
      </c>
      <c r="K380" s="148" t="s">
        <v>649</v>
      </c>
      <c r="L380" s="148" t="s">
        <v>650</v>
      </c>
      <c r="M380" s="148" t="s">
        <v>651</v>
      </c>
      <c r="V380" s="3"/>
    </row>
    <row r="381" spans="1:36" s="430" customFormat="1" ht="12.75" hidden="1" customHeight="1" outlineLevel="1" thickBot="1">
      <c r="A381" s="8"/>
      <c r="B381" s="8"/>
      <c r="C381" s="10"/>
      <c r="D381" s="10"/>
      <c r="E381" s="10"/>
      <c r="F381" s="10"/>
      <c r="G381" s="8"/>
      <c r="I381" s="430" t="s">
        <v>652</v>
      </c>
      <c r="J381" s="149"/>
      <c r="K381" s="149"/>
      <c r="L381" s="149"/>
      <c r="M381" s="149"/>
      <c r="V381" s="3"/>
    </row>
    <row r="382" spans="1:36" s="430" customFormat="1" ht="12.75" hidden="1" customHeight="1" outlineLevel="1" thickTop="1" thickBot="1">
      <c r="A382" s="8"/>
      <c r="B382" s="8"/>
      <c r="C382" s="10"/>
      <c r="D382" s="10"/>
      <c r="E382" s="10"/>
      <c r="F382" s="10"/>
      <c r="G382" s="8"/>
      <c r="I382" s="430" t="s">
        <v>609</v>
      </c>
      <c r="J382" s="149">
        <v>0.76060000000000005</v>
      </c>
      <c r="K382" s="149">
        <v>0.42399999999999999</v>
      </c>
      <c r="L382" s="149">
        <v>0.23400000000000001</v>
      </c>
      <c r="M382" s="149">
        <v>0.34200000000000003</v>
      </c>
      <c r="V382" s="3"/>
    </row>
    <row r="383" spans="1:36" s="430" customFormat="1" ht="12.75" hidden="1" customHeight="1" outlineLevel="1" thickTop="1" thickBot="1">
      <c r="A383" s="8"/>
      <c r="B383" s="8"/>
      <c r="C383" s="10"/>
      <c r="D383" s="10"/>
      <c r="E383" s="10"/>
      <c r="F383" s="10"/>
      <c r="G383" s="8"/>
      <c r="I383" s="430" t="s">
        <v>610</v>
      </c>
      <c r="J383" s="149">
        <v>0.17119999999999999</v>
      </c>
      <c r="K383" s="149">
        <v>0.40200000000000002</v>
      </c>
      <c r="L383" s="149">
        <v>7.3999999999999996E-2</v>
      </c>
      <c r="M383" s="149">
        <v>0.52400000000000002</v>
      </c>
      <c r="V383" s="3"/>
    </row>
    <row r="384" spans="1:36" s="430" customFormat="1" ht="12.75" hidden="1" customHeight="1" outlineLevel="1" thickTop="1" thickBot="1">
      <c r="A384" s="8"/>
      <c r="B384" s="8"/>
      <c r="C384" s="10"/>
      <c r="D384" s="10"/>
      <c r="E384" s="10"/>
      <c r="F384" s="10"/>
      <c r="G384" s="8"/>
      <c r="I384" s="430" t="s">
        <v>611</v>
      </c>
      <c r="J384" s="149">
        <v>6.8199999999999997E-2</v>
      </c>
      <c r="K384" s="149">
        <v>0.27</v>
      </c>
      <c r="L384" s="149">
        <v>0.04</v>
      </c>
      <c r="M384" s="149">
        <v>0.69</v>
      </c>
      <c r="V384" s="3"/>
    </row>
    <row r="385" spans="1:22" s="430" customFormat="1" ht="12.75" hidden="1" customHeight="1" outlineLevel="1" thickTop="1">
      <c r="A385" s="8"/>
      <c r="B385" s="8"/>
      <c r="C385" s="10"/>
      <c r="D385" s="10"/>
      <c r="E385" s="10"/>
      <c r="F385" s="10"/>
      <c r="G385" s="8"/>
      <c r="I385" s="430" t="s">
        <v>589</v>
      </c>
      <c r="J385" s="167" t="s">
        <v>653</v>
      </c>
      <c r="K385" s="164"/>
      <c r="L385" s="164"/>
      <c r="M385" s="165"/>
      <c r="V385" s="3"/>
    </row>
    <row r="386" spans="1:22" s="430" customFormat="1" ht="12.75" hidden="1" customHeight="1" outlineLevel="1">
      <c r="A386" s="8"/>
      <c r="B386" s="8"/>
      <c r="C386" s="10"/>
      <c r="D386" s="10"/>
      <c r="E386" s="10"/>
      <c r="F386" s="10"/>
      <c r="G386" s="8"/>
      <c r="I386" s="428"/>
      <c r="J386" s="428"/>
      <c r="K386" s="428"/>
      <c r="L386" s="428"/>
      <c r="M386" s="428"/>
      <c r="V386" s="3"/>
    </row>
    <row r="387" spans="1:22" s="430" customFormat="1" ht="12.75" hidden="1" customHeight="1" outlineLevel="1">
      <c r="A387" s="8"/>
      <c r="B387" s="8"/>
      <c r="C387" s="10"/>
      <c r="D387" s="10"/>
      <c r="E387" s="10"/>
      <c r="F387" s="10"/>
      <c r="G387" s="8"/>
      <c r="I387" s="147" t="s">
        <v>654</v>
      </c>
      <c r="J387" s="428"/>
      <c r="K387" s="428"/>
      <c r="L387" s="428"/>
      <c r="V387" s="3"/>
    </row>
    <row r="388" spans="1:22" s="430" customFormat="1" ht="12.75" hidden="1" customHeight="1" outlineLevel="1">
      <c r="A388" s="8"/>
      <c r="B388" s="8"/>
      <c r="C388" s="10"/>
      <c r="D388" s="10"/>
      <c r="E388" s="10"/>
      <c r="F388" s="10"/>
      <c r="G388" s="8"/>
      <c r="I388" s="430" t="s">
        <v>655</v>
      </c>
      <c r="J388" s="428"/>
      <c r="K388" s="430" t="s">
        <v>663</v>
      </c>
      <c r="N388" s="428"/>
      <c r="V388" s="3"/>
    </row>
    <row r="389" spans="1:22" s="430" customFormat="1" ht="12.75" hidden="1" customHeight="1" outlineLevel="1">
      <c r="A389" s="8"/>
      <c r="B389" s="8"/>
      <c r="C389" s="10"/>
      <c r="D389" s="10"/>
      <c r="E389" s="10"/>
      <c r="F389" s="10"/>
      <c r="G389" s="8"/>
      <c r="I389" s="625" t="s">
        <v>656</v>
      </c>
      <c r="J389" s="627">
        <v>0.54840738345651796</v>
      </c>
      <c r="K389" s="628" t="s">
        <v>660</v>
      </c>
      <c r="L389" s="628"/>
      <c r="N389" s="2"/>
      <c r="O389" s="2"/>
      <c r="P389" s="2"/>
      <c r="V389" s="3"/>
    </row>
    <row r="390" spans="1:22" s="430" customFormat="1" ht="12.75" hidden="1" customHeight="1" outlineLevel="1">
      <c r="A390" s="8"/>
      <c r="B390" s="8"/>
      <c r="C390" s="10"/>
      <c r="D390" s="10"/>
      <c r="E390" s="10"/>
      <c r="F390" s="10"/>
      <c r="G390" s="8"/>
      <c r="I390" s="625" t="s">
        <v>657</v>
      </c>
      <c r="J390" s="627">
        <v>0.27554217178671087</v>
      </c>
      <c r="K390" s="628" t="s">
        <v>660</v>
      </c>
      <c r="L390" s="628"/>
      <c r="N390" s="2"/>
      <c r="O390" s="2"/>
      <c r="P390" s="2"/>
      <c r="V390" s="3"/>
    </row>
    <row r="391" spans="1:22" s="430" customFormat="1" ht="12.75" hidden="1" customHeight="1" outlineLevel="1">
      <c r="A391" s="8"/>
      <c r="B391" s="8"/>
      <c r="C391" s="10"/>
      <c r="D391" s="10"/>
      <c r="E391" s="10"/>
      <c r="F391" s="10"/>
      <c r="G391" s="8"/>
      <c r="I391" s="625" t="s">
        <v>658</v>
      </c>
      <c r="J391" s="627">
        <v>0.17605044475677123</v>
      </c>
      <c r="K391" s="628" t="s">
        <v>660</v>
      </c>
      <c r="L391" s="628"/>
      <c r="N391" s="2"/>
      <c r="O391" s="2"/>
      <c r="P391" s="2"/>
      <c r="V391" s="3"/>
    </row>
    <row r="392" spans="1:22" s="430" customFormat="1" ht="12.75" hidden="1" customHeight="1" outlineLevel="1">
      <c r="A392" s="8"/>
      <c r="B392" s="8"/>
      <c r="C392" s="10"/>
      <c r="D392" s="10"/>
      <c r="E392" s="10"/>
      <c r="F392" s="10"/>
      <c r="G392" s="8"/>
      <c r="I392" s="428"/>
      <c r="J392" s="428"/>
      <c r="K392" s="428"/>
      <c r="N392" s="2"/>
      <c r="O392" s="2"/>
      <c r="P392" s="2"/>
      <c r="V392" s="3"/>
    </row>
    <row r="393" spans="1:22" s="430" customFormat="1" ht="12.75" hidden="1" customHeight="1" outlineLevel="1" thickBot="1">
      <c r="A393" s="8"/>
      <c r="B393" s="8"/>
      <c r="C393" s="10"/>
      <c r="D393" s="10"/>
      <c r="E393" s="10"/>
      <c r="F393" s="10"/>
      <c r="G393" s="8"/>
      <c r="I393" s="428"/>
      <c r="J393" s="428"/>
      <c r="K393" s="428"/>
      <c r="N393" s="2"/>
      <c r="O393" s="2"/>
      <c r="P393" s="2"/>
      <c r="V393" s="3"/>
    </row>
    <row r="394" spans="1:22" s="430" customFormat="1" ht="12.75" hidden="1" customHeight="1" outlineLevel="1" thickBot="1">
      <c r="A394" s="8"/>
      <c r="B394" s="8"/>
      <c r="C394" s="10"/>
      <c r="D394" s="10"/>
      <c r="E394" s="10"/>
      <c r="F394" s="10"/>
      <c r="G394" s="8"/>
      <c r="I394" s="150"/>
      <c r="J394" s="151"/>
      <c r="N394" s="2"/>
      <c r="O394" s="2"/>
      <c r="P394" s="2"/>
      <c r="Q394" s="137"/>
      <c r="V394" s="3"/>
    </row>
    <row r="395" spans="1:22" s="430" customFormat="1" ht="12.75" hidden="1" customHeight="1" outlineLevel="1" thickBot="1">
      <c r="A395" s="8"/>
      <c r="B395" s="8"/>
      <c r="C395" s="10"/>
      <c r="D395" s="10"/>
      <c r="E395" s="10"/>
      <c r="F395" s="10"/>
      <c r="G395" s="8"/>
      <c r="I395" s="152" t="s">
        <v>649</v>
      </c>
      <c r="J395" s="153">
        <f>1-J396</f>
        <v>0.96</v>
      </c>
      <c r="K395" s="175" t="s">
        <v>685</v>
      </c>
      <c r="L395" s="166"/>
      <c r="M395" s="428"/>
      <c r="N395" s="2"/>
      <c r="O395" s="2"/>
      <c r="P395" s="2"/>
      <c r="V395" s="3"/>
    </row>
    <row r="396" spans="1:22" s="430" customFormat="1" ht="12.75" hidden="1" customHeight="1" outlineLevel="1" thickBot="1">
      <c r="A396" s="8"/>
      <c r="B396" s="8"/>
      <c r="C396" s="10"/>
      <c r="D396" s="10"/>
      <c r="E396" s="10"/>
      <c r="F396" s="10"/>
      <c r="G396" s="8"/>
      <c r="I396" s="152" t="s">
        <v>659</v>
      </c>
      <c r="J396" s="153">
        <v>0.04</v>
      </c>
      <c r="K396" s="175" t="s">
        <v>685</v>
      </c>
      <c r="L396" s="166"/>
      <c r="M396" s="428"/>
      <c r="V396" s="3"/>
    </row>
    <row r="397" spans="1:22" s="430" customFormat="1" ht="12.75" hidden="1" customHeight="1" outlineLevel="1" thickBot="1">
      <c r="A397" s="8"/>
      <c r="B397" s="8"/>
      <c r="C397" s="10"/>
      <c r="D397" s="10"/>
      <c r="E397" s="10"/>
      <c r="F397" s="10"/>
      <c r="G397" s="8"/>
      <c r="I397" s="152"/>
      <c r="J397" s="154"/>
      <c r="M397" s="428"/>
      <c r="V397" s="3"/>
    </row>
    <row r="398" spans="1:22" s="430" customFormat="1" ht="12.75" hidden="1" customHeight="1" outlineLevel="1" thickBot="1">
      <c r="A398" s="8"/>
      <c r="B398" s="8"/>
      <c r="C398" s="10"/>
      <c r="D398" s="10"/>
      <c r="E398" s="10"/>
      <c r="F398" s="10"/>
      <c r="G398" s="8"/>
      <c r="I398" s="152" t="s">
        <v>661</v>
      </c>
      <c r="J398" s="153">
        <v>0.48291742717100261</v>
      </c>
      <c r="K398" s="157" t="s">
        <v>660</v>
      </c>
      <c r="L398" s="158"/>
      <c r="N398" s="2"/>
      <c r="O398" s="2"/>
      <c r="P398" s="2"/>
      <c r="V398" s="3"/>
    </row>
    <row r="399" spans="1:22" s="430" customFormat="1" ht="12.75" hidden="1" customHeight="1" outlineLevel="1" thickBot="1">
      <c r="A399" s="8"/>
      <c r="B399" s="8"/>
      <c r="C399" s="10"/>
      <c r="D399" s="10"/>
      <c r="E399" s="10"/>
      <c r="F399" s="10"/>
      <c r="G399" s="8"/>
      <c r="I399" s="155" t="s">
        <v>662</v>
      </c>
      <c r="J399" s="153">
        <v>0.51708257282899739</v>
      </c>
      <c r="K399" s="157" t="s">
        <v>660</v>
      </c>
      <c r="L399" s="158"/>
      <c r="N399" s="2"/>
      <c r="O399" s="2"/>
      <c r="P399" s="2"/>
      <c r="V399" s="3"/>
    </row>
    <row r="400" spans="1:22" s="430" customFormat="1" ht="12.75" hidden="1" customHeight="1" outlineLevel="1" thickBot="1">
      <c r="A400" s="8"/>
      <c r="B400" s="8"/>
      <c r="C400" s="10"/>
      <c r="D400" s="10"/>
      <c r="E400" s="10"/>
      <c r="F400" s="10"/>
      <c r="G400" s="8"/>
      <c r="I400" s="135"/>
      <c r="J400" s="156"/>
      <c r="N400" s="2"/>
      <c r="O400" s="2"/>
      <c r="P400" s="2"/>
      <c r="V400" s="3"/>
    </row>
    <row r="401" spans="1:22" s="430" customFormat="1" ht="12.75" hidden="1" customHeight="1" outlineLevel="1">
      <c r="A401" s="8"/>
      <c r="B401" s="8"/>
      <c r="C401" s="10"/>
      <c r="D401" s="10"/>
      <c r="E401" s="10"/>
      <c r="F401" s="10"/>
      <c r="G401" s="8"/>
      <c r="N401" s="2"/>
      <c r="O401" s="2"/>
      <c r="P401" s="2"/>
      <c r="V401" s="3"/>
    </row>
    <row r="402" spans="1:22" s="430" customFormat="1" ht="12.75" hidden="1" customHeight="1" outlineLevel="1">
      <c r="A402" s="8"/>
      <c r="B402" s="8"/>
      <c r="C402" s="10"/>
      <c r="D402" s="10"/>
      <c r="E402" s="10"/>
      <c r="F402" s="10"/>
      <c r="G402" s="8"/>
      <c r="N402" s="2"/>
      <c r="O402" s="2"/>
      <c r="P402" s="2"/>
      <c r="V402" s="3"/>
    </row>
    <row r="403" spans="1:22" s="430" customFormat="1" ht="12.75" hidden="1" customHeight="1" outlineLevel="1">
      <c r="A403" s="8"/>
      <c r="B403" s="8"/>
      <c r="C403" s="10"/>
      <c r="D403" s="10"/>
      <c r="E403" s="10"/>
      <c r="F403" s="10"/>
      <c r="G403" s="8"/>
      <c r="N403" s="2"/>
      <c r="O403" s="2"/>
      <c r="P403" s="2"/>
      <c r="V403" s="3"/>
    </row>
    <row r="404" spans="1:22" s="430" customFormat="1" ht="12.75" hidden="1" customHeight="1" outlineLevel="1">
      <c r="A404" s="8"/>
      <c r="B404" s="8"/>
      <c r="C404" s="10"/>
      <c r="D404" s="10"/>
      <c r="E404" s="10"/>
      <c r="F404" s="10"/>
      <c r="G404" s="8"/>
      <c r="J404" s="147" t="s">
        <v>1206</v>
      </c>
      <c r="K404" s="428"/>
      <c r="L404" s="428"/>
      <c r="M404" s="428"/>
      <c r="N404" s="428"/>
      <c r="V404" s="3"/>
    </row>
    <row r="405" spans="1:22" s="430" customFormat="1" ht="12.75" hidden="1" customHeight="1" outlineLevel="1">
      <c r="A405" s="8"/>
      <c r="B405" s="8"/>
      <c r="C405" s="10"/>
      <c r="D405" s="10"/>
      <c r="E405" s="10"/>
      <c r="F405" s="10"/>
      <c r="G405" s="8"/>
      <c r="J405" s="623" t="s">
        <v>576</v>
      </c>
      <c r="K405" s="623"/>
      <c r="L405" s="623"/>
      <c r="M405" s="624" t="s">
        <v>609</v>
      </c>
      <c r="N405" s="624" t="s">
        <v>610</v>
      </c>
      <c r="O405" s="624" t="s">
        <v>611</v>
      </c>
      <c r="V405" s="3"/>
    </row>
    <row r="406" spans="1:22" s="430" customFormat="1" ht="12.75" hidden="1" customHeight="1" outlineLevel="1">
      <c r="A406" s="8"/>
      <c r="B406" s="8"/>
      <c r="C406" s="10"/>
      <c r="D406" s="10"/>
      <c r="E406" s="10"/>
      <c r="F406" s="10"/>
      <c r="G406" s="8"/>
      <c r="J406" s="623" t="s">
        <v>664</v>
      </c>
      <c r="K406" s="623" t="s">
        <v>665</v>
      </c>
      <c r="L406" s="623" t="s">
        <v>666</v>
      </c>
      <c r="M406" s="624"/>
      <c r="N406" s="624"/>
      <c r="O406" s="624"/>
      <c r="V406" s="3"/>
    </row>
    <row r="407" spans="1:22" s="430" customFormat="1" ht="12.75" hidden="1" customHeight="1" outlineLevel="1">
      <c r="A407" s="8"/>
      <c r="B407" s="8"/>
      <c r="C407" s="10"/>
      <c r="D407" s="10"/>
      <c r="E407" s="10"/>
      <c r="F407" s="10"/>
      <c r="G407" s="8"/>
      <c r="I407" s="430" t="s">
        <v>649</v>
      </c>
      <c r="J407" s="625" t="s">
        <v>649</v>
      </c>
      <c r="K407" s="625" t="s">
        <v>656</v>
      </c>
      <c r="L407" s="625" t="str">
        <f t="shared" ref="L407:L414" si="62">J407&amp;K407</f>
        <v>InteriorGas</v>
      </c>
      <c r="M407" s="629">
        <f>T202</f>
        <v>0.13360883711999993</v>
      </c>
      <c r="N407" s="629">
        <f t="shared" ref="N407:O407" si="63">U202</f>
        <v>3.4311330815999991E-2</v>
      </c>
      <c r="O407" s="629">
        <f t="shared" si="63"/>
        <v>1.4486814719999996E-2</v>
      </c>
      <c r="P407" s="617"/>
      <c r="V407" s="3"/>
    </row>
    <row r="408" spans="1:22" s="430" customFormat="1" ht="12.75" hidden="1" customHeight="1" outlineLevel="1">
      <c r="A408" s="8"/>
      <c r="B408" s="8"/>
      <c r="C408" s="10"/>
      <c r="D408" s="10"/>
      <c r="E408" s="10"/>
      <c r="F408" s="10"/>
      <c r="G408" s="8"/>
      <c r="I408" s="430" t="s">
        <v>649</v>
      </c>
      <c r="J408" s="625" t="s">
        <v>649</v>
      </c>
      <c r="K408" s="625" t="s">
        <v>657</v>
      </c>
      <c r="L408" s="625" t="str">
        <f t="shared" si="62"/>
        <v>InteriorElectric Resistance</v>
      </c>
      <c r="M408" s="629">
        <f t="shared" ref="M408:M414" si="64">T203</f>
        <v>4.141957248E-2</v>
      </c>
      <c r="N408" s="629">
        <f t="shared" ref="N408:N414" si="65">U203</f>
        <v>1.0636726464000001E-2</v>
      </c>
      <c r="O408" s="629">
        <f t="shared" ref="O408:O414" si="66">V203</f>
        <v>4.49100288E-3</v>
      </c>
      <c r="P408" s="617"/>
      <c r="V408" s="3"/>
    </row>
    <row r="409" spans="1:22" s="430" customFormat="1" ht="12.75" hidden="1" customHeight="1" outlineLevel="1">
      <c r="A409" s="8"/>
      <c r="B409" s="8"/>
      <c r="C409" s="10"/>
      <c r="D409" s="10"/>
      <c r="E409" s="10"/>
      <c r="F409" s="10"/>
      <c r="G409" s="8"/>
      <c r="I409" s="430" t="s">
        <v>649</v>
      </c>
      <c r="J409" s="625" t="s">
        <v>649</v>
      </c>
      <c r="K409" s="625" t="s">
        <v>658</v>
      </c>
      <c r="L409" s="625" t="str">
        <f t="shared" si="62"/>
        <v>InteriorHeat Pump HSPF 8.5</v>
      </c>
      <c r="M409" s="629">
        <f t="shared" si="64"/>
        <v>3.3193966079999998E-2</v>
      </c>
      <c r="N409" s="629">
        <f t="shared" si="65"/>
        <v>8.5243549439999993E-3</v>
      </c>
      <c r="O409" s="629">
        <f t="shared" si="66"/>
        <v>3.5991244800000002E-3</v>
      </c>
      <c r="P409" s="617"/>
      <c r="V409" s="3"/>
    </row>
    <row r="410" spans="1:22" s="430" customFormat="1" ht="12.75" hidden="1" customHeight="1" outlineLevel="1">
      <c r="A410" s="8"/>
      <c r="B410" s="8"/>
      <c r="C410" s="10"/>
      <c r="D410" s="10"/>
      <c r="E410" s="10"/>
      <c r="F410" s="10"/>
      <c r="G410" s="8"/>
      <c r="I410" s="430" t="s">
        <v>649</v>
      </c>
      <c r="J410" s="625" t="s">
        <v>659</v>
      </c>
      <c r="K410" s="625" t="s">
        <v>656</v>
      </c>
      <c r="L410" s="625" t="str">
        <f t="shared" si="62"/>
        <v>Interior - Exhaust DuctedGas</v>
      </c>
      <c r="M410" s="629">
        <f t="shared" si="64"/>
        <v>5.5670348799999984E-3</v>
      </c>
      <c r="N410" s="629">
        <f t="shared" si="65"/>
        <v>1.4296387839999997E-3</v>
      </c>
      <c r="O410" s="629">
        <f t="shared" si="66"/>
        <v>6.0361727999999983E-4</v>
      </c>
      <c r="P410" s="617"/>
      <c r="V410" s="3"/>
    </row>
    <row r="411" spans="1:22" s="430" customFormat="1" ht="12.75" hidden="1" customHeight="1" outlineLevel="1">
      <c r="A411" s="8"/>
      <c r="B411" s="8"/>
      <c r="C411" s="10"/>
      <c r="D411" s="10"/>
      <c r="E411" s="10"/>
      <c r="F411" s="10"/>
      <c r="G411" s="8"/>
      <c r="I411" s="430" t="s">
        <v>649</v>
      </c>
      <c r="J411" s="625" t="s">
        <v>659</v>
      </c>
      <c r="K411" s="625" t="s">
        <v>657</v>
      </c>
      <c r="L411" s="625" t="str">
        <f t="shared" si="62"/>
        <v>Interior - Exhaust DuctedElectric Resistance</v>
      </c>
      <c r="M411" s="629">
        <f t="shared" si="64"/>
        <v>1.72581552E-3</v>
      </c>
      <c r="N411" s="629">
        <f t="shared" si="65"/>
        <v>4.4319693600000003E-4</v>
      </c>
      <c r="O411" s="629">
        <f t="shared" si="66"/>
        <v>1.8712512000000002E-4</v>
      </c>
      <c r="P411" s="617"/>
      <c r="V411" s="3"/>
    </row>
    <row r="412" spans="1:22" s="430" customFormat="1" ht="12.75" hidden="1" customHeight="1" outlineLevel="1">
      <c r="A412" s="8"/>
      <c r="B412" s="8"/>
      <c r="C412" s="10"/>
      <c r="D412" s="10"/>
      <c r="E412" s="10"/>
      <c r="F412" s="10"/>
      <c r="G412" s="8"/>
      <c r="I412" s="430" t="s">
        <v>649</v>
      </c>
      <c r="J412" s="625" t="s">
        <v>659</v>
      </c>
      <c r="K412" s="625" t="s">
        <v>658</v>
      </c>
      <c r="L412" s="625" t="str">
        <f t="shared" si="62"/>
        <v>Interior - Exhaust DuctedHeat Pump HSPF 8.5</v>
      </c>
      <c r="M412" s="629">
        <f t="shared" si="64"/>
        <v>1.38308192E-3</v>
      </c>
      <c r="N412" s="629">
        <f t="shared" si="65"/>
        <v>3.5518145600000001E-4</v>
      </c>
      <c r="O412" s="629">
        <f t="shared" si="66"/>
        <v>1.4996352000000001E-4</v>
      </c>
      <c r="P412" s="617"/>
      <c r="V412" s="3"/>
    </row>
    <row r="413" spans="1:22" s="430" customFormat="1" ht="12.75" hidden="1" customHeight="1" outlineLevel="1">
      <c r="A413" s="8"/>
      <c r="B413" s="8"/>
      <c r="C413" s="10"/>
      <c r="D413" s="10"/>
      <c r="E413" s="10"/>
      <c r="F413" s="10"/>
      <c r="G413" s="8"/>
      <c r="J413" s="626" t="s">
        <v>650</v>
      </c>
      <c r="K413" s="626" t="s">
        <v>667</v>
      </c>
      <c r="L413" s="626" t="str">
        <f t="shared" si="62"/>
        <v>GarageAny</v>
      </c>
      <c r="M413" s="629">
        <f t="shared" si="64"/>
        <v>0.30443599999999998</v>
      </c>
      <c r="N413" s="629">
        <f t="shared" si="65"/>
        <v>3.4254E-2</v>
      </c>
      <c r="O413" s="629">
        <f t="shared" si="66"/>
        <v>7.1999999999999998E-3</v>
      </c>
      <c r="P413" s="617"/>
      <c r="V413" s="3"/>
    </row>
    <row r="414" spans="1:22" s="430" customFormat="1" ht="12.75" hidden="1" customHeight="1" outlineLevel="1">
      <c r="A414" s="8"/>
      <c r="B414" s="8"/>
      <c r="C414" s="10"/>
      <c r="D414" s="10"/>
      <c r="E414" s="10"/>
      <c r="F414" s="10"/>
      <c r="G414" s="8"/>
      <c r="J414" s="626" t="s">
        <v>651</v>
      </c>
      <c r="K414" s="626" t="s">
        <v>667</v>
      </c>
      <c r="L414" s="626" t="str">
        <f t="shared" si="62"/>
        <v>Unheated BasementAny</v>
      </c>
      <c r="M414" s="629">
        <f t="shared" si="64"/>
        <v>0.22664399999999998</v>
      </c>
      <c r="N414" s="629">
        <f t="shared" si="65"/>
        <v>8.3039999999999989E-2</v>
      </c>
      <c r="O414" s="629">
        <f t="shared" si="66"/>
        <v>4.9279999999999997E-2</v>
      </c>
      <c r="P414" s="617"/>
      <c r="V414" s="3"/>
    </row>
    <row r="415" spans="1:22" s="430" customFormat="1" ht="12.75" hidden="1" customHeight="1" outlineLevel="1">
      <c r="A415" s="8"/>
      <c r="B415" s="8"/>
      <c r="C415" s="10"/>
      <c r="D415" s="10"/>
      <c r="E415" s="10"/>
      <c r="F415" s="10"/>
      <c r="G415" s="8"/>
      <c r="N415" s="2"/>
      <c r="O415" s="2"/>
      <c r="P415" s="2"/>
      <c r="V415" s="3"/>
    </row>
    <row r="416" spans="1:22" s="430" customFormat="1" ht="12.75" hidden="1" customHeight="1" outlineLevel="1">
      <c r="A416" s="8"/>
      <c r="B416" s="8"/>
      <c r="C416" s="10"/>
      <c r="D416" s="10"/>
      <c r="E416" s="10"/>
      <c r="F416" s="10"/>
      <c r="G416" s="8"/>
      <c r="M416" s="2"/>
      <c r="N416" s="2"/>
      <c r="O416" s="2"/>
      <c r="P416" s="2"/>
      <c r="V416" s="3"/>
    </row>
    <row r="417" spans="1:23" s="430" customFormat="1" ht="12.75" hidden="1" customHeight="1" outlineLevel="1">
      <c r="A417" s="8"/>
      <c r="B417" s="8"/>
      <c r="C417" s="10"/>
      <c r="D417" s="10"/>
      <c r="E417" s="10"/>
      <c r="F417" s="10"/>
      <c r="G417" s="8"/>
      <c r="M417" s="2"/>
      <c r="N417" s="2"/>
      <c r="O417" s="2"/>
      <c r="P417" s="2"/>
      <c r="V417" s="3"/>
    </row>
    <row r="418" spans="1:23" s="430" customFormat="1" ht="12.75" hidden="1" customHeight="1" outlineLevel="1">
      <c r="A418" s="8"/>
      <c r="B418" s="8"/>
      <c r="C418" s="10"/>
      <c r="D418" s="10"/>
      <c r="E418" s="10"/>
      <c r="F418" s="10"/>
      <c r="G418" s="8"/>
      <c r="H418" s="71" t="s">
        <v>1207</v>
      </c>
      <c r="M418" s="2"/>
      <c r="N418" s="2"/>
      <c r="O418" s="2"/>
      <c r="P418" s="2"/>
      <c r="V418" s="3"/>
    </row>
    <row r="419" spans="1:23" s="430" customFormat="1" ht="12.75" hidden="1" customHeight="1" outlineLevel="1">
      <c r="A419" s="8"/>
      <c r="B419" s="8"/>
      <c r="C419" s="10"/>
      <c r="D419" s="10"/>
      <c r="E419" s="10"/>
      <c r="F419" s="10"/>
      <c r="G419" s="8"/>
      <c r="I419" s="233" t="s">
        <v>1208</v>
      </c>
      <c r="M419" s="2"/>
      <c r="N419" s="2"/>
      <c r="O419" s="2"/>
      <c r="P419" s="2"/>
      <c r="V419" s="3"/>
    </row>
    <row r="420" spans="1:23" s="4" customFormat="1" ht="48" hidden="1" outlineLevel="1" thickBot="1">
      <c r="A420" s="6"/>
      <c r="B420" s="6"/>
      <c r="C420" s="7"/>
      <c r="D420" s="7"/>
      <c r="E420" s="7"/>
      <c r="F420" s="7"/>
      <c r="G420" s="6"/>
      <c r="I420" s="248" t="s">
        <v>6</v>
      </c>
      <c r="J420" s="249" t="s">
        <v>15</v>
      </c>
      <c r="K420" s="250" t="s">
        <v>643</v>
      </c>
      <c r="L420" s="251" t="s">
        <v>644</v>
      </c>
      <c r="M420" s="252" t="s">
        <v>645</v>
      </c>
      <c r="N420" s="618" t="s">
        <v>1209</v>
      </c>
      <c r="O420" s="618" t="s">
        <v>1210</v>
      </c>
      <c r="P420" s="253"/>
      <c r="Q420" s="252" t="s">
        <v>669</v>
      </c>
      <c r="R420" s="254" t="s">
        <v>670</v>
      </c>
      <c r="S420" s="255" t="s">
        <v>671</v>
      </c>
      <c r="V420" s="73"/>
    </row>
    <row r="421" spans="1:23" s="430" customFormat="1" ht="12.75" hidden="1" customHeight="1" outlineLevel="1" thickTop="1">
      <c r="A421" s="8"/>
      <c r="B421" s="8"/>
      <c r="C421" s="10"/>
      <c r="D421" s="10"/>
      <c r="E421" s="10"/>
      <c r="F421" s="10"/>
      <c r="G421" s="8"/>
      <c r="I421" s="256" t="s">
        <v>606</v>
      </c>
      <c r="J421" s="160" t="s">
        <v>672</v>
      </c>
      <c r="K421" s="161">
        <f>SUMPRODUCT($I$352:$I$375,$X$352:$X$375)</f>
        <v>1657.9828102433128</v>
      </c>
      <c r="L421" s="161">
        <f>SUMPRODUCT(J$98:J$121,$X$98:$X$121)</f>
        <v>-35.623965535060947</v>
      </c>
      <c r="M421" s="161">
        <f>SUMPRODUCT(K$98:K$121,$X$98:$X$121)</f>
        <v>4.6051301141753358</v>
      </c>
      <c r="N421" s="161">
        <f>SUMPRODUCT(R$98:R$228,$AB$98:$AB$228)</f>
        <v>0</v>
      </c>
      <c r="O421" s="619">
        <f>SUMPRODUCT(S$98:S$228,$AB$98:$AB$228)</f>
        <v>0</v>
      </c>
      <c r="P421" s="190" t="s">
        <v>824</v>
      </c>
      <c r="Q421" s="162">
        <f>SUM(K421:M421)</f>
        <v>1626.9639748224272</v>
      </c>
      <c r="R421" s="163">
        <f>SUMPRODUCT(O$1282:O$1374,$U$1282:$U$1374)</f>
        <v>0</v>
      </c>
      <c r="S421" s="257">
        <f>SUMPRODUCT(P$1282:P$1374,$U$1282:$U$1374)</f>
        <v>0</v>
      </c>
      <c r="V421" s="3"/>
    </row>
    <row r="422" spans="1:23" s="430" customFormat="1" ht="12.75" hidden="1" customHeight="1" outlineLevel="1">
      <c r="A422" s="8"/>
      <c r="B422" s="8"/>
      <c r="C422" s="10"/>
      <c r="D422" s="10"/>
      <c r="E422" s="10"/>
      <c r="F422" s="10"/>
      <c r="G422" s="8"/>
      <c r="I422" s="258" t="s">
        <v>606</v>
      </c>
      <c r="J422" s="259" t="s">
        <v>673</v>
      </c>
      <c r="K422" s="260"/>
      <c r="L422" s="260"/>
      <c r="M422" s="260"/>
      <c r="N422" s="260"/>
      <c r="O422" s="260"/>
      <c r="P422" s="261" t="s">
        <v>825</v>
      </c>
      <c r="Q422" s="331">
        <f>Q421-SUM(P331:Q331)</f>
        <v>395.38106389288646</v>
      </c>
      <c r="R422" s="262">
        <f>SUMPRODUCT(O$1282:O$1374,$V$1282:$V$1374)</f>
        <v>0</v>
      </c>
      <c r="S422" s="263">
        <f>SUMPRODUCT(P$1282:P$1374,$V$1282:$V$1374)</f>
        <v>0</v>
      </c>
      <c r="V422" s="3"/>
    </row>
    <row r="423" spans="1:23" s="428" customFormat="1" ht="12.75" hidden="1" customHeight="1" outlineLevel="1">
      <c r="H423" s="430"/>
    </row>
    <row r="424" spans="1:23" s="428" customFormat="1" ht="12.75" hidden="1" customHeight="1" outlineLevel="1">
      <c r="H424" s="430"/>
    </row>
    <row r="425" spans="1:23" s="428" customFormat="1" ht="12.75" hidden="1" customHeight="1" outlineLevel="1">
      <c r="H425" s="430"/>
    </row>
    <row r="426" spans="1:23" s="428" customFormat="1" ht="12.75" hidden="1" customHeight="1" outlineLevel="1">
      <c r="H426" s="430"/>
    </row>
    <row r="427" spans="1:23" s="430" customFormat="1" ht="27" hidden="1" customHeight="1" outlineLevel="1" thickBot="1">
      <c r="A427" s="8"/>
      <c r="B427" s="8"/>
      <c r="C427" s="10"/>
      <c r="D427" s="10"/>
      <c r="E427" s="10"/>
      <c r="F427" s="9"/>
      <c r="G427" s="8"/>
      <c r="H427" s="68" t="s">
        <v>987</v>
      </c>
      <c r="I427" s="68"/>
      <c r="J427" s="68"/>
      <c r="K427" s="68"/>
      <c r="L427" s="68"/>
      <c r="M427" s="68"/>
      <c r="N427" s="68"/>
      <c r="O427" s="68"/>
      <c r="P427" s="68"/>
      <c r="Q427" s="68"/>
      <c r="R427" s="68"/>
      <c r="S427" s="68"/>
      <c r="T427" s="68"/>
      <c r="U427" s="68"/>
      <c r="V427" s="68"/>
      <c r="W427" s="68"/>
    </row>
    <row r="428" spans="1:23" s="430" customFormat="1" ht="12.75" hidden="1" customHeight="1" outlineLevel="1" thickTop="1">
      <c r="A428" s="8"/>
      <c r="B428" s="8"/>
      <c r="C428" s="10"/>
      <c r="D428" s="10"/>
      <c r="E428" s="10"/>
      <c r="F428" s="10"/>
      <c r="G428" s="8"/>
      <c r="N428" s="2"/>
      <c r="O428" s="2"/>
      <c r="P428" s="2"/>
      <c r="Q428" s="2"/>
      <c r="V428" s="3"/>
    </row>
    <row r="429" spans="1:23" s="430" customFormat="1" ht="12.75" hidden="1" customHeight="1" outlineLevel="1" thickBot="1">
      <c r="A429" s="8"/>
      <c r="B429" s="8"/>
      <c r="C429" s="10"/>
      <c r="D429" s="10"/>
      <c r="E429" s="10"/>
      <c r="F429" s="10"/>
      <c r="G429" s="8"/>
      <c r="N429" s="2"/>
      <c r="O429" s="2"/>
      <c r="P429" s="2"/>
      <c r="Q429" s="2"/>
      <c r="V429" s="3"/>
    </row>
    <row r="430" spans="1:23" s="430" customFormat="1" ht="12.75" hidden="1" customHeight="1" outlineLevel="1" thickTop="1" thickBot="1">
      <c r="A430" s="8"/>
      <c r="B430" s="8"/>
      <c r="C430" s="10"/>
      <c r="D430" s="10"/>
      <c r="E430" s="10"/>
      <c r="F430" s="10"/>
      <c r="G430" s="8"/>
      <c r="H430" s="428" t="s">
        <v>589</v>
      </c>
      <c r="I430" s="69" t="s">
        <v>1204</v>
      </c>
      <c r="J430" s="430" t="s">
        <v>1205</v>
      </c>
      <c r="N430" s="2"/>
      <c r="O430" s="2"/>
      <c r="P430" s="2"/>
      <c r="Q430" s="2"/>
      <c r="V430" s="3"/>
    </row>
    <row r="431" spans="1:23" s="430" customFormat="1" ht="12.75" hidden="1" customHeight="1" outlineLevel="1" thickTop="1">
      <c r="A431" s="8"/>
      <c r="B431" s="8"/>
      <c r="C431" s="10"/>
      <c r="D431" s="10"/>
      <c r="E431" s="10"/>
      <c r="F431" s="10"/>
      <c r="G431" s="8"/>
      <c r="N431" s="2"/>
      <c r="O431" s="2"/>
      <c r="P431" s="2"/>
      <c r="Q431" s="2"/>
      <c r="V431" s="3"/>
    </row>
    <row r="432" spans="1:23" s="430" customFormat="1" ht="12.75" hidden="1" customHeight="1" outlineLevel="1">
      <c r="A432" s="8"/>
      <c r="B432" s="8"/>
      <c r="C432" s="10"/>
      <c r="D432" s="10"/>
      <c r="E432" s="10"/>
      <c r="F432" s="10"/>
      <c r="G432" s="8"/>
      <c r="N432" s="2"/>
      <c r="O432" s="2"/>
      <c r="P432" s="2"/>
      <c r="Q432" s="2"/>
      <c r="V432" s="3"/>
    </row>
    <row r="433" spans="1:22" s="430" customFormat="1" ht="12.75" hidden="1" customHeight="1" outlineLevel="1">
      <c r="A433" s="8"/>
      <c r="B433" s="8"/>
      <c r="C433" s="10"/>
      <c r="D433" s="10"/>
      <c r="E433" s="10"/>
      <c r="F433" s="10"/>
      <c r="G433" s="8"/>
      <c r="N433" s="2"/>
      <c r="O433" s="2"/>
      <c r="P433" s="2"/>
      <c r="Q433" s="2"/>
      <c r="V433" s="3"/>
    </row>
    <row r="434" spans="1:22" s="430" customFormat="1" ht="12.75" hidden="1" customHeight="1" outlineLevel="1">
      <c r="A434" s="8"/>
      <c r="B434" s="8"/>
      <c r="C434" s="10"/>
      <c r="D434" s="10"/>
      <c r="E434" s="10"/>
      <c r="F434" s="10"/>
      <c r="G434" s="8"/>
      <c r="N434" s="2"/>
      <c r="O434" s="2"/>
      <c r="P434" s="2"/>
      <c r="Q434" s="2"/>
      <c r="V434" s="3"/>
    </row>
    <row r="435" spans="1:22" s="430" customFormat="1" ht="12.75" hidden="1" customHeight="1" outlineLevel="1">
      <c r="A435" s="8"/>
      <c r="B435" s="8"/>
      <c r="C435" s="10"/>
      <c r="D435" s="10"/>
      <c r="E435" s="10"/>
      <c r="F435" s="10"/>
      <c r="G435" s="8"/>
      <c r="I435" s="265" t="s">
        <v>216</v>
      </c>
      <c r="J435" s="265" t="s">
        <v>217</v>
      </c>
      <c r="K435" s="265" t="s">
        <v>218</v>
      </c>
      <c r="L435" s="428"/>
      <c r="M435" s="428"/>
      <c r="N435" s="428"/>
      <c r="O435" s="428"/>
      <c r="P435" s="428"/>
      <c r="Q435" s="2"/>
      <c r="V435" s="3"/>
    </row>
    <row r="436" spans="1:22" s="430" customFormat="1" ht="12.75" hidden="1" customHeight="1" outlineLevel="1">
      <c r="A436" s="8"/>
      <c r="B436" s="8"/>
      <c r="C436" s="10"/>
      <c r="D436" s="10"/>
      <c r="E436" s="10"/>
      <c r="F436" s="10"/>
      <c r="G436" s="8"/>
      <c r="I436" s="266" t="s">
        <v>1211</v>
      </c>
      <c r="J436" s="266" t="s">
        <v>643</v>
      </c>
      <c r="K436" s="267">
        <v>1920.4572885638295</v>
      </c>
      <c r="L436" s="428"/>
      <c r="M436" s="428"/>
      <c r="N436" s="428"/>
      <c r="O436" s="428"/>
      <c r="P436" s="428"/>
      <c r="V436" s="3"/>
    </row>
    <row r="437" spans="1:22" s="430" customFormat="1" ht="12.75" hidden="1" customHeight="1" outlineLevel="1">
      <c r="A437" s="8"/>
      <c r="B437" s="8"/>
      <c r="C437" s="10"/>
      <c r="D437" s="10"/>
      <c r="E437" s="10"/>
      <c r="F437" s="10"/>
      <c r="G437" s="8"/>
      <c r="I437" s="266" t="s">
        <v>1212</v>
      </c>
      <c r="J437" s="266" t="s">
        <v>643</v>
      </c>
      <c r="K437" s="267">
        <v>1984.6980171973996</v>
      </c>
      <c r="L437" s="428"/>
      <c r="M437" s="428"/>
      <c r="N437" s="428"/>
      <c r="O437" s="428"/>
      <c r="P437" s="428"/>
      <c r="V437" s="3"/>
    </row>
    <row r="438" spans="1:22" s="430" customFormat="1" ht="12.75" hidden="1" customHeight="1" outlineLevel="1">
      <c r="A438" s="8"/>
      <c r="B438" s="8"/>
      <c r="C438" s="10"/>
      <c r="D438" s="10"/>
      <c r="E438" s="10"/>
      <c r="F438" s="10"/>
      <c r="G438" s="8"/>
      <c r="I438" s="266" t="s">
        <v>1213</v>
      </c>
      <c r="J438" s="266" t="s">
        <v>643</v>
      </c>
      <c r="K438" s="267">
        <v>2044.9712161985815</v>
      </c>
      <c r="L438" s="428"/>
      <c r="M438" s="428"/>
      <c r="N438" s="428"/>
      <c r="O438" s="428"/>
      <c r="P438" s="428"/>
      <c r="V438" s="3"/>
    </row>
    <row r="439" spans="1:22" s="430" customFormat="1" ht="12.75" hidden="1" customHeight="1" outlineLevel="1">
      <c r="A439" s="8"/>
      <c r="B439" s="8"/>
      <c r="C439" s="10"/>
      <c r="D439" s="10"/>
      <c r="E439" s="10"/>
      <c r="F439" s="10"/>
      <c r="G439" s="8"/>
      <c r="I439" s="138"/>
      <c r="J439" s="138"/>
      <c r="K439" s="138"/>
      <c r="M439" s="2"/>
      <c r="N439" s="2"/>
      <c r="O439" s="2"/>
      <c r="P439" s="2"/>
      <c r="V439" s="3"/>
    </row>
    <row r="440" spans="1:22" s="430" customFormat="1" ht="12.75" hidden="1" customHeight="1" outlineLevel="1">
      <c r="A440" s="8"/>
      <c r="B440" s="8"/>
      <c r="C440" s="10"/>
      <c r="D440" s="10"/>
      <c r="E440" s="10"/>
      <c r="F440" s="10"/>
      <c r="G440" s="8"/>
      <c r="I440" s="138"/>
      <c r="J440" s="138"/>
      <c r="K440" s="138"/>
      <c r="M440" s="2"/>
      <c r="N440" s="2"/>
      <c r="O440" s="2"/>
      <c r="P440" s="2"/>
      <c r="V440" s="3"/>
    </row>
    <row r="441" spans="1:22" s="430" customFormat="1" ht="12.75" hidden="1" customHeight="1" outlineLevel="1">
      <c r="A441" s="8"/>
      <c r="B441" s="8"/>
      <c r="C441" s="10"/>
      <c r="D441" s="10"/>
      <c r="E441" s="10"/>
      <c r="F441" s="10"/>
      <c r="G441" s="8"/>
      <c r="I441" s="138"/>
      <c r="J441" s="147" t="s">
        <v>647</v>
      </c>
      <c r="K441" s="138"/>
      <c r="M441" s="2"/>
      <c r="N441" s="2"/>
      <c r="O441" s="2"/>
      <c r="P441" s="2"/>
      <c r="V441" s="3"/>
    </row>
    <row r="442" spans="1:22" s="430" customFormat="1" ht="12.75" hidden="1" customHeight="1" outlineLevel="1">
      <c r="A442" s="8"/>
      <c r="B442" s="8"/>
      <c r="C442" s="10"/>
      <c r="D442" s="10"/>
      <c r="E442" s="10"/>
      <c r="F442" s="10"/>
      <c r="G442" s="8"/>
      <c r="I442" s="138"/>
      <c r="J442" s="138"/>
      <c r="K442" s="268" t="s">
        <v>648</v>
      </c>
      <c r="M442" s="2"/>
      <c r="N442" s="2"/>
      <c r="O442" s="2"/>
      <c r="P442" s="2"/>
      <c r="V442" s="3"/>
    </row>
    <row r="443" spans="1:22" s="430" customFormat="1" ht="12.75" hidden="1" customHeight="1" outlineLevel="1">
      <c r="A443" s="8"/>
      <c r="B443" s="8"/>
      <c r="C443" s="10"/>
      <c r="D443" s="10"/>
      <c r="E443" s="10"/>
      <c r="F443" s="10"/>
      <c r="G443" s="8"/>
      <c r="I443" s="138"/>
      <c r="J443" s="138" t="s">
        <v>652</v>
      </c>
      <c r="K443" s="269"/>
      <c r="M443" s="2"/>
      <c r="N443" s="2"/>
      <c r="O443" s="2"/>
      <c r="P443" s="2"/>
      <c r="V443" s="3"/>
    </row>
    <row r="444" spans="1:22" s="430" customFormat="1" ht="12.75" hidden="1" customHeight="1" outlineLevel="1">
      <c r="A444" s="8"/>
      <c r="B444" s="8"/>
      <c r="C444" s="10"/>
      <c r="D444" s="10"/>
      <c r="E444" s="10"/>
      <c r="F444" s="10"/>
      <c r="G444" s="8"/>
      <c r="I444" s="138"/>
      <c r="J444" s="138" t="s">
        <v>609</v>
      </c>
      <c r="K444" s="269">
        <v>0.76060000000000005</v>
      </c>
      <c r="M444" s="2"/>
      <c r="N444" s="2"/>
      <c r="O444" s="2"/>
      <c r="P444" s="2"/>
      <c r="V444" s="3"/>
    </row>
    <row r="445" spans="1:22" s="430" customFormat="1" ht="12.75" hidden="1" customHeight="1" outlineLevel="1">
      <c r="A445" s="8"/>
      <c r="B445" s="8"/>
      <c r="C445" s="10"/>
      <c r="D445" s="10"/>
      <c r="E445" s="10"/>
      <c r="F445" s="10"/>
      <c r="G445" s="8"/>
      <c r="I445" s="138"/>
      <c r="J445" s="138" t="s">
        <v>610</v>
      </c>
      <c r="K445" s="269">
        <v>0.17119999999999999</v>
      </c>
      <c r="M445" s="2"/>
      <c r="N445" s="2"/>
      <c r="O445" s="2"/>
      <c r="P445" s="2"/>
      <c r="V445" s="3"/>
    </row>
    <row r="446" spans="1:22" s="430" customFormat="1" ht="12.75" hidden="1" customHeight="1" outlineLevel="1">
      <c r="A446" s="8"/>
      <c r="B446" s="8"/>
      <c r="C446" s="10"/>
      <c r="D446" s="10"/>
      <c r="E446" s="10"/>
      <c r="F446" s="10"/>
      <c r="G446" s="8"/>
      <c r="I446" s="138"/>
      <c r="J446" s="138" t="s">
        <v>611</v>
      </c>
      <c r="K446" s="269">
        <v>6.8199999999999997E-2</v>
      </c>
      <c r="M446" s="2"/>
      <c r="N446" s="2"/>
      <c r="O446" s="2"/>
      <c r="P446" s="2"/>
      <c r="V446" s="3"/>
    </row>
    <row r="447" spans="1:22" s="430" customFormat="1" ht="12.75" hidden="1" customHeight="1" outlineLevel="1">
      <c r="A447" s="8"/>
      <c r="B447" s="8"/>
      <c r="C447" s="10"/>
      <c r="D447" s="10"/>
      <c r="E447" s="10"/>
      <c r="F447" s="10"/>
      <c r="G447" s="8"/>
      <c r="I447" s="138"/>
      <c r="J447" s="138" t="s">
        <v>589</v>
      </c>
      <c r="M447" s="2"/>
      <c r="N447" s="2"/>
      <c r="O447" s="2"/>
      <c r="P447" s="2"/>
      <c r="V447" s="3"/>
    </row>
    <row r="448" spans="1:22" s="430" customFormat="1" ht="12.75" hidden="1" customHeight="1" outlineLevel="1">
      <c r="A448" s="8"/>
      <c r="B448" s="8"/>
      <c r="C448" s="10"/>
      <c r="D448" s="10"/>
      <c r="E448" s="10"/>
      <c r="F448" s="10"/>
      <c r="G448" s="8"/>
      <c r="I448" s="138"/>
      <c r="J448" s="271" t="s">
        <v>653</v>
      </c>
      <c r="K448" s="138"/>
      <c r="M448" s="2"/>
      <c r="N448" s="2"/>
      <c r="O448" s="2"/>
      <c r="P448" s="2"/>
      <c r="V448" s="3"/>
    </row>
    <row r="449" spans="1:23" s="430" customFormat="1" ht="12.75" hidden="1" customHeight="1" outlineLevel="1">
      <c r="A449" s="8"/>
      <c r="B449" s="8"/>
      <c r="C449" s="10"/>
      <c r="D449" s="10"/>
      <c r="E449" s="10"/>
      <c r="F449" s="10"/>
      <c r="G449" s="8"/>
      <c r="I449" s="138"/>
      <c r="J449" s="138"/>
      <c r="K449" s="138"/>
      <c r="M449" s="2"/>
      <c r="N449" s="2"/>
      <c r="O449" s="2"/>
      <c r="P449" s="2"/>
      <c r="V449" s="3"/>
    </row>
    <row r="450" spans="1:23" s="430" customFormat="1" ht="12.75" hidden="1" customHeight="1" outlineLevel="1">
      <c r="A450" s="8"/>
      <c r="B450" s="8"/>
      <c r="C450" s="10"/>
      <c r="D450" s="10"/>
      <c r="E450" s="10"/>
      <c r="F450" s="10"/>
      <c r="G450" s="8"/>
      <c r="I450" s="138"/>
      <c r="J450" s="233" t="s">
        <v>988</v>
      </c>
      <c r="K450" s="138"/>
      <c r="M450" s="2"/>
      <c r="N450" s="2"/>
      <c r="O450" s="2"/>
      <c r="P450" s="2"/>
      <c r="V450" s="3"/>
    </row>
    <row r="451" spans="1:23" s="430" customFormat="1" ht="12.75" hidden="1" customHeight="1" outlineLevel="1">
      <c r="A451" s="8"/>
      <c r="B451" s="8"/>
      <c r="C451" s="10"/>
      <c r="D451" s="10"/>
      <c r="E451" s="10"/>
      <c r="F451" s="10"/>
      <c r="G451" s="8"/>
      <c r="I451" s="138"/>
      <c r="J451" s="138" t="s">
        <v>792</v>
      </c>
      <c r="K451" s="264">
        <f>SUMPRODUCT(K436:K438,K444:K446)</f>
        <v>1939.9471511705867</v>
      </c>
      <c r="M451" s="2"/>
      <c r="N451" s="2"/>
      <c r="O451" s="2"/>
      <c r="P451" s="2"/>
      <c r="V451" s="3"/>
    </row>
    <row r="452" spans="1:23" s="430" customFormat="1" ht="12.75" hidden="1" customHeight="1" outlineLevel="1">
      <c r="A452" s="8"/>
      <c r="B452" s="8"/>
      <c r="C452" s="10"/>
      <c r="D452" s="10"/>
      <c r="E452" s="10"/>
      <c r="F452" s="10"/>
      <c r="G452" s="8"/>
      <c r="I452" s="138"/>
      <c r="J452" s="138" t="s">
        <v>793</v>
      </c>
      <c r="K452" s="330">
        <f>K451-Q421</f>
        <v>312.98317634815953</v>
      </c>
      <c r="M452" s="2"/>
      <c r="N452" s="2"/>
      <c r="O452" s="2"/>
      <c r="P452" s="2"/>
      <c r="V452" s="3"/>
    </row>
    <row r="453" spans="1:23" s="430" customFormat="1" ht="12.75" hidden="1" customHeight="1" outlineLevel="1">
      <c r="A453" s="8"/>
      <c r="B453" s="8"/>
      <c r="C453" s="10"/>
      <c r="D453" s="10"/>
      <c r="E453" s="10"/>
      <c r="F453" s="10"/>
      <c r="G453" s="8"/>
      <c r="M453" s="2"/>
      <c r="N453" s="2"/>
      <c r="O453" s="2"/>
      <c r="P453" s="2"/>
      <c r="V453" s="3"/>
    </row>
    <row r="454" spans="1:23" s="430" customFormat="1" ht="12.75" hidden="1" customHeight="1" outlineLevel="1">
      <c r="A454" s="8"/>
      <c r="B454" s="8"/>
      <c r="C454" s="10"/>
      <c r="D454" s="10"/>
      <c r="E454" s="10"/>
      <c r="F454" s="10"/>
      <c r="G454" s="8"/>
      <c r="M454" s="2"/>
      <c r="N454" s="2"/>
      <c r="O454" s="2"/>
      <c r="P454" s="2"/>
      <c r="V454" s="3"/>
    </row>
    <row r="455" spans="1:23" s="430" customFormat="1" ht="12.75" hidden="1" customHeight="1" outlineLevel="1">
      <c r="A455" s="8"/>
      <c r="B455" s="8"/>
      <c r="C455" s="10"/>
      <c r="D455" s="10"/>
      <c r="E455" s="10"/>
      <c r="F455" s="10"/>
      <c r="G455" s="8"/>
      <c r="M455" s="2"/>
      <c r="N455" s="2"/>
      <c r="O455" s="2"/>
      <c r="P455" s="2"/>
      <c r="V455" s="3"/>
    </row>
    <row r="456" spans="1:23" s="430" customFormat="1" ht="12.75" hidden="1" customHeight="1" outlineLevel="1">
      <c r="A456" s="8"/>
      <c r="B456" s="8"/>
      <c r="C456" s="10"/>
      <c r="D456" s="10"/>
      <c r="E456" s="10"/>
      <c r="F456" s="10"/>
      <c r="G456" s="8"/>
      <c r="M456" s="2"/>
      <c r="N456" s="2"/>
      <c r="O456" s="2"/>
      <c r="P456" s="2"/>
      <c r="V456" s="3"/>
    </row>
    <row r="457" spans="1:23" s="430" customFormat="1" ht="27" hidden="1" customHeight="1" outlineLevel="1" thickBot="1">
      <c r="A457" s="8"/>
      <c r="B457" s="8"/>
      <c r="C457" s="10"/>
      <c r="D457" s="10"/>
      <c r="E457" s="10"/>
      <c r="F457" s="9"/>
      <c r="G457" s="8"/>
      <c r="H457" s="68" t="s">
        <v>989</v>
      </c>
      <c r="I457" s="68"/>
      <c r="J457" s="68"/>
      <c r="K457" s="68"/>
      <c r="L457" s="68"/>
      <c r="M457" s="68"/>
      <c r="N457" s="68"/>
      <c r="O457" s="68"/>
      <c r="P457" s="68"/>
      <c r="Q457" s="68"/>
      <c r="R457" s="68"/>
      <c r="S457" s="68"/>
      <c r="T457" s="68"/>
      <c r="U457" s="68"/>
      <c r="V457" s="68"/>
      <c r="W457" s="68"/>
    </row>
    <row r="458" spans="1:23" s="430"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270" t="s">
        <v>980</v>
      </c>
      <c r="I459" s="2580" t="s">
        <v>981</v>
      </c>
      <c r="J459" s="2582"/>
    </row>
    <row r="460" spans="1:23" ht="12.75" hidden="1" customHeight="1" outlineLevel="1" thickTop="1"/>
    <row r="461" spans="1:23" ht="42.6" hidden="1" customHeight="1" outlineLevel="1">
      <c r="J461" s="2656" t="s">
        <v>990</v>
      </c>
      <c r="K461" s="2656"/>
      <c r="L461" s="2656"/>
      <c r="M461" s="2656"/>
      <c r="N461" s="2656"/>
      <c r="O461" s="2656"/>
      <c r="P461" s="2656"/>
      <c r="Q461" s="2656"/>
      <c r="R461" s="2656"/>
      <c r="S461" s="2656"/>
      <c r="T461" s="2656"/>
      <c r="U461" s="2656"/>
    </row>
    <row r="462" spans="1:23" hidden="1" outlineLevel="1">
      <c r="J462" s="277"/>
      <c r="K462" s="277"/>
      <c r="L462" s="277"/>
      <c r="M462" s="277"/>
      <c r="N462" s="277"/>
      <c r="O462" s="277"/>
      <c r="P462" s="277"/>
      <c r="Q462" s="277"/>
      <c r="R462" s="277"/>
      <c r="S462" s="277"/>
      <c r="T462" s="277"/>
      <c r="U462" s="277"/>
    </row>
    <row r="463" spans="1:23" ht="75" hidden="1" customHeight="1" outlineLevel="1">
      <c r="J463" s="2657" t="s">
        <v>982</v>
      </c>
      <c r="K463" s="2657"/>
      <c r="L463" s="2657"/>
      <c r="M463" s="2657"/>
      <c r="N463" s="2657"/>
      <c r="O463" s="2657"/>
      <c r="P463" s="2657"/>
      <c r="Q463" s="2657"/>
      <c r="R463" s="2657"/>
      <c r="S463" s="2657"/>
      <c r="T463" s="2657"/>
      <c r="U463" s="2657"/>
    </row>
    <row r="464" spans="1:23" ht="12.75" hidden="1" customHeight="1" outlineLevel="1">
      <c r="T464" s="233" t="s">
        <v>991</v>
      </c>
    </row>
    <row r="465" spans="10:24" ht="109.5" hidden="1" customHeight="1" outlineLevel="1">
      <c r="J465" s="278"/>
      <c r="K465" s="279" t="s">
        <v>794</v>
      </c>
      <c r="L465" s="620" t="s">
        <v>795</v>
      </c>
      <c r="M465" s="621" t="s">
        <v>796</v>
      </c>
      <c r="N465" s="280" t="s">
        <v>797</v>
      </c>
      <c r="O465" s="281" t="s">
        <v>798</v>
      </c>
      <c r="P465" s="280" t="s">
        <v>799</v>
      </c>
      <c r="Q465" s="279" t="s">
        <v>800</v>
      </c>
      <c r="R465" s="282" t="s">
        <v>801</v>
      </c>
      <c r="S465" s="277"/>
      <c r="T465" s="450" t="s">
        <v>802</v>
      </c>
      <c r="U465" s="686" t="s">
        <v>803</v>
      </c>
    </row>
    <row r="466" spans="10:24" ht="12.75" hidden="1" customHeight="1" outlineLevel="1">
      <c r="J466" s="278">
        <v>2018</v>
      </c>
      <c r="K466" s="283">
        <f t="shared" ref="K466:N469" si="67">SUMIFS($M$6:$M$37,$J$6:$J$37,K$272,$L$6:$L$37,$J466,$K$6:$K$37,"Tier 1")</f>
        <v>0</v>
      </c>
      <c r="L466" s="284">
        <f t="shared" si="67"/>
        <v>0</v>
      </c>
      <c r="M466" s="284">
        <f t="shared" si="67"/>
        <v>0</v>
      </c>
      <c r="N466" s="285">
        <f t="shared" si="67"/>
        <v>0</v>
      </c>
      <c r="O466" s="270">
        <v>739</v>
      </c>
      <c r="P466" s="270">
        <v>880</v>
      </c>
      <c r="Q466" s="286">
        <f>M466-O466</f>
        <v>-739</v>
      </c>
      <c r="R466" s="287">
        <f>N466-P466</f>
        <v>-880</v>
      </c>
      <c r="T466" s="332" t="e">
        <f>1-O466/M466-(Q466*$M486/M466)</f>
        <v>#DIV/0!</v>
      </c>
      <c r="U466" s="333" t="e">
        <f>1-P466/N466-(R466*$M486/N466)</f>
        <v>#DIV/0!</v>
      </c>
      <c r="V466" s="685"/>
      <c r="W466" s="685"/>
    </row>
    <row r="467" spans="10:24" ht="12.75" hidden="1" customHeight="1" outlineLevel="1">
      <c r="J467" s="278">
        <v>2019</v>
      </c>
      <c r="K467" s="288">
        <f t="shared" si="67"/>
        <v>0</v>
      </c>
      <c r="L467" s="289">
        <f t="shared" si="67"/>
        <v>0</v>
      </c>
      <c r="M467" s="289">
        <f t="shared" si="67"/>
        <v>0</v>
      </c>
      <c r="N467" s="290">
        <f t="shared" si="67"/>
        <v>0</v>
      </c>
      <c r="O467" s="270">
        <v>739</v>
      </c>
      <c r="P467" s="270">
        <v>880</v>
      </c>
      <c r="Q467" s="291">
        <f>M467-O467</f>
        <v>-739</v>
      </c>
      <c r="R467" s="292">
        <f>N467-P467</f>
        <v>-880</v>
      </c>
      <c r="T467" s="334" t="e">
        <f t="shared" ref="T467:T469" si="68">1-O467/M467-(Q467*$M487/M467)</f>
        <v>#DIV/0!</v>
      </c>
      <c r="U467" s="335" t="e">
        <f>1-P467/N467-(R467*$M487/N467)</f>
        <v>#DIV/0!</v>
      </c>
      <c r="V467" s="685"/>
      <c r="W467" s="685"/>
    </row>
    <row r="468" spans="10:24" ht="12.75" hidden="1" customHeight="1" outlineLevel="1">
      <c r="J468" s="278">
        <v>2020</v>
      </c>
      <c r="K468" s="288">
        <f t="shared" si="67"/>
        <v>0</v>
      </c>
      <c r="L468" s="289">
        <f t="shared" si="67"/>
        <v>0</v>
      </c>
      <c r="M468" s="289">
        <f t="shared" si="67"/>
        <v>0</v>
      </c>
      <c r="N468" s="290">
        <f t="shared" si="67"/>
        <v>0</v>
      </c>
      <c r="O468" s="270">
        <v>739</v>
      </c>
      <c r="P468" s="270">
        <v>880</v>
      </c>
      <c r="Q468" s="291">
        <f t="shared" ref="Q468:Q469" si="69">M468-O468</f>
        <v>-739</v>
      </c>
      <c r="R468" s="292">
        <f t="shared" ref="R468:R469" si="70">N468-P468</f>
        <v>-880</v>
      </c>
      <c r="T468" s="334" t="e">
        <f t="shared" si="68"/>
        <v>#DIV/0!</v>
      </c>
      <c r="U468" s="335" t="e">
        <f t="shared" ref="U468" si="71">1-P468/N468-(R468*$M488/N468)</f>
        <v>#DIV/0!</v>
      </c>
      <c r="V468" s="685"/>
      <c r="W468" s="685"/>
    </row>
    <row r="469" spans="10:24" ht="12.75" hidden="1" customHeight="1" outlineLevel="1">
      <c r="J469" s="278">
        <v>2021</v>
      </c>
      <c r="K469" s="288">
        <f t="shared" si="67"/>
        <v>0</v>
      </c>
      <c r="L469" s="289">
        <f t="shared" si="67"/>
        <v>0</v>
      </c>
      <c r="M469" s="289">
        <f t="shared" si="67"/>
        <v>0</v>
      </c>
      <c r="N469" s="290">
        <f t="shared" si="67"/>
        <v>0</v>
      </c>
      <c r="O469" s="270">
        <v>739</v>
      </c>
      <c r="P469" s="270">
        <v>880</v>
      </c>
      <c r="Q469" s="291">
        <f t="shared" si="69"/>
        <v>-739</v>
      </c>
      <c r="R469" s="292">
        <f t="shared" si="70"/>
        <v>-880</v>
      </c>
      <c r="T469" s="687" t="e">
        <f t="shared" si="68"/>
        <v>#DIV/0!</v>
      </c>
      <c r="U469" s="688" t="e">
        <f t="shared" ref="U469" si="72">1-P469/N469-(R469*$M489/N469)</f>
        <v>#DIV/0!</v>
      </c>
      <c r="V469" s="689"/>
      <c r="W469" s="685"/>
    </row>
    <row r="470" spans="10:24" ht="77.099999999999994" hidden="1" customHeight="1" outlineLevel="1">
      <c r="J470" s="301" t="s">
        <v>831</v>
      </c>
      <c r="K470" s="2665" t="s">
        <v>815</v>
      </c>
      <c r="L470" s="2665"/>
      <c r="M470" s="2665"/>
      <c r="N470" s="2665"/>
      <c r="O470" s="2664" t="s">
        <v>983</v>
      </c>
      <c r="P470" s="2664"/>
      <c r="Q470" s="2665" t="s">
        <v>816</v>
      </c>
      <c r="R470" s="2665"/>
      <c r="S470" s="302"/>
      <c r="T470" s="2666" t="s">
        <v>817</v>
      </c>
      <c r="U470" s="2666"/>
      <c r="W470" s="270"/>
      <c r="X470" s="270"/>
    </row>
    <row r="471" spans="10:24" ht="12.75" hidden="1" customHeight="1" outlineLevel="1">
      <c r="K471" s="303" t="s">
        <v>804</v>
      </c>
      <c r="L471" s="303" t="s">
        <v>805</v>
      </c>
      <c r="M471" s="303" t="s">
        <v>806</v>
      </c>
      <c r="N471" s="303" t="s">
        <v>807</v>
      </c>
    </row>
    <row r="472" spans="10:24" ht="12.75" hidden="1" customHeight="1" outlineLevel="1"/>
    <row r="473" spans="10:24" ht="12.75" hidden="1" customHeight="1" outlineLevel="1"/>
    <row r="474" spans="10:24" ht="12.75" hidden="1" customHeight="1" outlineLevel="1">
      <c r="M474" s="274"/>
      <c r="N474" s="274"/>
      <c r="O474" s="274"/>
    </row>
    <row r="475" spans="10:24" ht="34.9" hidden="1" customHeight="1" outlineLevel="1">
      <c r="J475" s="2657" t="s">
        <v>984</v>
      </c>
      <c r="K475" s="2657"/>
      <c r="L475" s="2657"/>
      <c r="M475" s="2657"/>
      <c r="N475" s="2657"/>
      <c r="O475" s="2657"/>
      <c r="P475" s="2657"/>
      <c r="Q475" s="2657"/>
      <c r="R475" s="2657"/>
      <c r="S475" s="2657"/>
      <c r="T475" s="2657"/>
      <c r="U475" s="2657"/>
    </row>
    <row r="476" spans="10:24" ht="12.75" hidden="1" customHeight="1" outlineLevel="1">
      <c r="K476" s="185"/>
      <c r="L476" s="185"/>
      <c r="M476" s="185"/>
      <c r="N476" s="185"/>
      <c r="O476" s="185"/>
    </row>
    <row r="477" spans="10:24" ht="12.75" hidden="1" customHeight="1" outlineLevel="1" thickBot="1">
      <c r="K477" s="185"/>
      <c r="L477" s="185"/>
      <c r="M477" s="185"/>
      <c r="N477" s="185"/>
      <c r="O477" s="185"/>
    </row>
    <row r="478" spans="10:24" ht="12.75" hidden="1" customHeight="1" outlineLevel="1">
      <c r="K478" s="185"/>
      <c r="L478" s="185"/>
      <c r="M478" s="185"/>
      <c r="N478" s="2646" t="s">
        <v>811</v>
      </c>
      <c r="O478" s="2647"/>
    </row>
    <row r="479" spans="10:24" ht="12.75" hidden="1" customHeight="1" outlineLevel="1">
      <c r="K479" s="185"/>
      <c r="L479" s="185"/>
      <c r="M479" s="185"/>
      <c r="N479" s="2648"/>
      <c r="O479" s="2649"/>
    </row>
    <row r="480" spans="10:24" ht="12.75" hidden="1" customHeight="1" outlineLevel="1">
      <c r="K480" s="185"/>
      <c r="L480" s="185"/>
      <c r="M480" s="185"/>
      <c r="N480" s="2648"/>
      <c r="O480" s="2649"/>
    </row>
    <row r="481" spans="1:22" ht="12.75" hidden="1" customHeight="1" outlineLevel="1">
      <c r="K481" s="185"/>
      <c r="L481" s="185"/>
      <c r="M481" s="185"/>
      <c r="N481" s="2648"/>
      <c r="O481" s="2649"/>
    </row>
    <row r="482" spans="1:22" ht="12.75" hidden="1" customHeight="1" outlineLevel="1">
      <c r="K482" s="185"/>
      <c r="L482" s="185"/>
      <c r="M482" s="185"/>
      <c r="N482" s="2648"/>
      <c r="O482" s="2649"/>
    </row>
    <row r="483" spans="1:22" ht="12.75" hidden="1" customHeight="1" outlineLevel="1" thickBot="1">
      <c r="K483" s="185"/>
      <c r="L483" s="185"/>
      <c r="M483" s="185"/>
      <c r="N483" s="2648"/>
      <c r="O483" s="2649"/>
    </row>
    <row r="484" spans="1:22" ht="58.5" hidden="1" customHeight="1" outlineLevel="1" thickBot="1">
      <c r="K484" s="183"/>
      <c r="L484" s="183" t="s">
        <v>808</v>
      </c>
      <c r="M484" s="183" t="s">
        <v>809</v>
      </c>
      <c r="N484" s="191" t="s">
        <v>309</v>
      </c>
      <c r="O484" s="192" t="s">
        <v>327</v>
      </c>
      <c r="Q484" s="2661" t="s">
        <v>814</v>
      </c>
      <c r="R484" s="2662"/>
      <c r="S484" s="2662"/>
      <c r="T484" s="2663"/>
      <c r="V484" s="304"/>
    </row>
    <row r="485" spans="1:22" ht="12.75" hidden="1" customHeight="1" outlineLevel="1" thickTop="1" thickBot="1">
      <c r="K485" s="184"/>
      <c r="L485" s="184"/>
      <c r="M485" s="184"/>
      <c r="N485" s="305" t="s">
        <v>810</v>
      </c>
      <c r="O485" s="306" t="s">
        <v>385</v>
      </c>
      <c r="Q485" s="195" t="s">
        <v>812</v>
      </c>
      <c r="R485" s="294"/>
      <c r="S485" s="295"/>
      <c r="T485" s="196">
        <v>914</v>
      </c>
      <c r="V485" s="307"/>
    </row>
    <row r="486" spans="1:22" ht="12.75" hidden="1" customHeight="1" outlineLevel="1" thickTop="1" thickBot="1">
      <c r="K486" s="186">
        <v>2018</v>
      </c>
      <c r="L486" s="185">
        <f>SUM(N486:O486)</f>
        <v>26920</v>
      </c>
      <c r="M486" s="187">
        <f>N486*$T$485/$T$487/L486+O486*$T$486/$T$487/L486</f>
        <v>0.31278420180836841</v>
      </c>
      <c r="N486" s="193">
        <v>4142</v>
      </c>
      <c r="O486" s="194">
        <v>22778</v>
      </c>
      <c r="Q486" s="195" t="s">
        <v>813</v>
      </c>
      <c r="R486" s="294"/>
      <c r="S486" s="295"/>
      <c r="T486" s="196">
        <v>294.27999999999997</v>
      </c>
      <c r="V486" s="307"/>
    </row>
    <row r="487" spans="1:22" ht="12.75" hidden="1" customHeight="1" outlineLevel="1" thickTop="1" thickBot="1">
      <c r="K487" s="186">
        <v>2019</v>
      </c>
      <c r="L487" s="185">
        <f t="shared" ref="L487" si="73">SUM(N487:O487)</f>
        <v>29441</v>
      </c>
      <c r="M487" s="187">
        <f>N487*$T$485/$T$487/L487+O487*$T$486/$T$487/L487</f>
        <v>0.36946165758380445</v>
      </c>
      <c r="N487" s="193">
        <v>7884</v>
      </c>
      <c r="O487" s="194">
        <v>21557</v>
      </c>
      <c r="Q487" s="197" t="s">
        <v>971</v>
      </c>
      <c r="R487" s="308"/>
      <c r="S487" s="309"/>
      <c r="T487" s="198">
        <v>1245.6900354768065</v>
      </c>
      <c r="V487" s="307"/>
    </row>
    <row r="488" spans="1:22" ht="12.75" hidden="1" customHeight="1" outlineLevel="1">
      <c r="K488" s="186">
        <v>2020</v>
      </c>
      <c r="L488" s="185">
        <f t="shared" ref="L488:L489" si="74">SUM(N488:O488)</f>
        <v>27339</v>
      </c>
      <c r="M488" s="187">
        <f>N488*$T$286/$T$288/L488+O488*$T$287/$T$288/L488</f>
        <v>0.39821116576574001</v>
      </c>
      <c r="N488" s="455">
        <v>7220</v>
      </c>
      <c r="O488" s="456">
        <v>20119</v>
      </c>
      <c r="V488" s="307"/>
    </row>
    <row r="489" spans="1:22" ht="44.65" hidden="1" customHeight="1" outlineLevel="1" thickBot="1">
      <c r="K489" s="186">
        <v>2021</v>
      </c>
      <c r="L489" s="185">
        <f t="shared" si="74"/>
        <v>29304</v>
      </c>
      <c r="M489" s="187">
        <f>N489*$T$286/$T$288/L489+O489*$T$287/$T$288/L489</f>
        <v>0.39981215919476787</v>
      </c>
      <c r="N489" s="457">
        <v>7826</v>
      </c>
      <c r="O489" s="458">
        <v>21478</v>
      </c>
    </row>
    <row r="490" spans="1:22" s="430"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xr:uid="{252D3B7A-85FD-42E1-8F74-3F2EC2B7F98A}">
    <filterColumn colId="11">
      <filters>
        <filter val="2022"/>
        <filter val="2023"/>
      </filters>
    </filterColumn>
    <filterColumn colId="19">
      <filters>
        <filter val="0.000"/>
        <filter val="0.001"/>
        <filter val="0.002"/>
        <filter val="0.003"/>
        <filter val="0.004"/>
        <filter val="0.005"/>
        <filter val="0.006"/>
        <filter val="0.008"/>
        <filter val="0.009"/>
        <filter val="0.010"/>
        <filter val="0.029"/>
        <filter val="0.038"/>
      </filters>
    </filterColumn>
  </autoFilter>
  <sortState xmlns:xlrd2="http://schemas.microsoft.com/office/spreadsheetml/2017/richdata2" ref="AA13:AB76">
    <sortCondition ref="AA13:AA76"/>
    <sortCondition ref="AB13:AB76"/>
  </sortState>
  <dataConsolidate/>
  <mergeCells count="63">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 ref="J302:J303"/>
    <mergeCell ref="J304:J305"/>
    <mergeCell ref="J306:J309"/>
    <mergeCell ref="H311:O312"/>
    <mergeCell ref="H323:I323"/>
    <mergeCell ref="N323:Q323"/>
    <mergeCell ref="H295:V296"/>
    <mergeCell ref="H298:O298"/>
    <mergeCell ref="H300:H301"/>
    <mergeCell ref="I300:I301"/>
    <mergeCell ref="J300:J301"/>
    <mergeCell ref="K300:K301"/>
    <mergeCell ref="L300:M300"/>
    <mergeCell ref="N300:O300"/>
    <mergeCell ref="Q285:T285"/>
    <mergeCell ref="O271:P271"/>
    <mergeCell ref="K271:N271"/>
    <mergeCell ref="Q271:R271"/>
    <mergeCell ref="T271:U271"/>
    <mergeCell ref="J276:U276"/>
    <mergeCell ref="S103:W103"/>
    <mergeCell ref="I259:J259"/>
    <mergeCell ref="J261:U261"/>
    <mergeCell ref="J263:U263"/>
    <mergeCell ref="H227:P227"/>
    <mergeCell ref="J180:M180"/>
    <mergeCell ref="I2:L2"/>
    <mergeCell ref="J84:J87"/>
    <mergeCell ref="J80:J83"/>
    <mergeCell ref="N279:O284"/>
    <mergeCell ref="N103:R103"/>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 ref="H76:O77"/>
  </mergeCells>
  <hyperlinks>
    <hyperlink ref="H91" location="Adjustments" display="See below for more details about the new construction adjustments." xr:uid="{00000000-0004-0000-1200-000000000000}"/>
    <hyperlink ref="J84:J87" location="Adjustments" display="Adjusted from existing construction rate" xr:uid="{00000000-0004-0000-1200-000001000000}"/>
    <hyperlink ref="J80:J81" location="hpwhrtf" display="RTF Measure Workbook" xr:uid="{00000000-0004-0000-1200-000002000000}"/>
    <hyperlink ref="H313" location="Adjustments" display="See below for more details about the new construction adjustments." xr:uid="{00000000-0004-0000-1200-000003000000}"/>
    <hyperlink ref="J302:J303" location="hpwh7thpp" display="7th PP Conservation Supply Workbook" xr:uid="{00000000-0004-0000-1200-000004000000}"/>
    <hyperlink ref="J304:J305" location="hpwhrtf" display="RTF Measure Workbook" xr:uid="{00000000-0004-0000-1200-000005000000}"/>
    <hyperlink ref="J306:J309" location="Adjustments" display="Adjusted from existing construction rate" xr:uid="{00000000-0004-0000-1200-000006000000}"/>
    <hyperlink ref="H1" location="'Summary ALL'!A1" display="Summary Page" xr:uid="{01C17DDB-150F-41FA-9F39-0741E321F93C}"/>
  </hyperlinks>
  <pageMargins left="0.7" right="0.7" top="0.75" bottom="0.75" header="0.3" footer="0.3"/>
  <pageSetup scale="1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workbookViewId="0">
      <selection activeCell="K24" sqref="K24"/>
    </sheetView>
  </sheetViews>
  <sheetFormatPr defaultRowHeight="15"/>
  <cols>
    <col min="1" max="1" width="42.42578125" customWidth="1"/>
  </cols>
  <sheetData>
    <row r="2" spans="1:1" ht="15.75">
      <c r="A2" s="178" t="s">
        <v>719</v>
      </c>
    </row>
    <row r="3" spans="1:1" ht="15.75">
      <c r="A3" s="178" t="s">
        <v>703</v>
      </c>
    </row>
    <row r="5" spans="1:1">
      <c r="A5" s="179" t="s">
        <v>724</v>
      </c>
    </row>
    <row r="6" spans="1:1" ht="15.75">
      <c r="A6" s="178">
        <v>2021</v>
      </c>
    </row>
    <row r="7" spans="1:1">
      <c r="A7" s="179" t="s">
        <v>725</v>
      </c>
    </row>
    <row r="8" spans="1:1" ht="15.75">
      <c r="A8" s="178"/>
    </row>
    <row r="9" spans="1:1">
      <c r="A9" s="179" t="s">
        <v>1436</v>
      </c>
    </row>
    <row r="10" spans="1:1" ht="15.75">
      <c r="A10" s="178" t="s">
        <v>2945</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filterMode="1">
    <tabColor rgb="FF0083CA"/>
  </sheetPr>
  <dimension ref="A1:V72"/>
  <sheetViews>
    <sheetView showGridLines="0" topLeftCell="H1" zoomScale="90" zoomScaleNormal="90" workbookViewId="0">
      <selection activeCell="H1" sqref="H1"/>
    </sheetView>
  </sheetViews>
  <sheetFormatPr defaultColWidth="9.28515625" defaultRowHeight="12.75" outlineLevelCol="1"/>
  <cols>
    <col min="1" max="7" width="10.42578125" style="270" hidden="1" customWidth="1" outlineLevel="1"/>
    <col min="8" max="8" width="20.42578125" style="270" customWidth="1" collapsed="1"/>
    <col min="9" max="9" width="24.85546875" style="270" customWidth="1"/>
    <col min="10" max="10" width="21.28515625" style="270" customWidth="1"/>
    <col min="11" max="11" width="18.85546875" style="270" customWidth="1"/>
    <col min="12" max="13" width="9.28515625" style="270"/>
    <col min="14" max="15" width="10.7109375" style="270" customWidth="1"/>
    <col min="16" max="16" width="21" style="270" customWidth="1"/>
    <col min="17" max="17" width="12.85546875" style="270" customWidth="1"/>
    <col min="18" max="18" width="17.7109375" style="270" customWidth="1"/>
    <col min="19" max="19" width="48.42578125" style="270" customWidth="1"/>
    <col min="20" max="16384" width="9.28515625" style="270"/>
  </cols>
  <sheetData>
    <row r="1" spans="1:22" ht="15">
      <c r="H1" s="168" t="s">
        <v>674</v>
      </c>
    </row>
    <row r="2" spans="1:22" ht="58.5" customHeight="1">
      <c r="H2" s="630" t="str">
        <f>I6&amp;":"</f>
        <v>Manufactured Homes:</v>
      </c>
      <c r="I2" s="2702" t="str">
        <f>INDEX('AMMO Measures'!$I:$I,MATCH(LEFT(H2,LEN(H2)-1),'AMMO Measures'!$B:$B,0))</f>
        <v>The region is working together to demonstrate success for a new voluntary above code specification (NEEM 2.0) in the market prior to a HUD code change, providing manufacturers/retailers with the tools and resources they need to drive consumer demand.</v>
      </c>
      <c r="J2" s="2702"/>
      <c r="K2" s="2702"/>
      <c r="L2" s="2702"/>
      <c r="M2" s="2702"/>
      <c r="N2" s="2702"/>
      <c r="O2" s="2702"/>
      <c r="P2" s="2702"/>
      <c r="Q2" s="2702"/>
      <c r="R2" s="978"/>
      <c r="S2" s="978"/>
      <c r="T2" s="978"/>
    </row>
    <row r="4" spans="1:22" ht="15">
      <c r="A4" s="2600" t="s">
        <v>131</v>
      </c>
      <c r="B4" s="2601"/>
      <c r="C4" s="2601"/>
      <c r="D4" s="2601"/>
      <c r="E4" s="2601"/>
      <c r="F4" s="2601"/>
      <c r="G4" s="2602"/>
      <c r="H4" s="2706" t="s">
        <v>7</v>
      </c>
      <c r="I4" s="2597"/>
      <c r="J4" s="2597"/>
      <c r="K4" s="2597"/>
      <c r="L4" s="2707"/>
      <c r="M4" s="2623" t="s">
        <v>127</v>
      </c>
      <c r="N4" s="2594"/>
      <c r="O4" s="2594"/>
      <c r="P4" s="2594"/>
      <c r="Q4" s="2624"/>
      <c r="R4" s="2572" t="s">
        <v>129</v>
      </c>
      <c r="S4" s="2573"/>
      <c r="T4" s="2708" t="s">
        <v>130</v>
      </c>
      <c r="U4" s="2709"/>
      <c r="V4" s="2710"/>
    </row>
    <row r="5" spans="1:22" ht="52.5" thickBot="1">
      <c r="A5" s="82" t="s">
        <v>0</v>
      </c>
      <c r="B5" s="83" t="s">
        <v>11</v>
      </c>
      <c r="C5" s="84" t="s">
        <v>1</v>
      </c>
      <c r="D5" s="84" t="s">
        <v>2</v>
      </c>
      <c r="E5" s="84" t="s">
        <v>211</v>
      </c>
      <c r="F5" s="84" t="s">
        <v>237</v>
      </c>
      <c r="G5" s="85" t="s">
        <v>12</v>
      </c>
      <c r="H5" s="586" t="s">
        <v>3</v>
      </c>
      <c r="I5" s="586" t="s">
        <v>4</v>
      </c>
      <c r="J5" s="586" t="s">
        <v>5</v>
      </c>
      <c r="K5" s="586" t="s">
        <v>6</v>
      </c>
      <c r="L5" s="586" t="s">
        <v>8</v>
      </c>
      <c r="M5" s="587" t="s">
        <v>13</v>
      </c>
      <c r="N5" s="586" t="s">
        <v>14</v>
      </c>
      <c r="O5" s="586" t="s">
        <v>123</v>
      </c>
      <c r="P5" s="586" t="s">
        <v>124</v>
      </c>
      <c r="Q5" s="507" t="str">
        <f>"Funder Share: "&amp;Selection!A2&amp;" "&amp;Selection!A3</f>
        <v>Funder Share: Puget Sound Energy Washington</v>
      </c>
      <c r="R5" s="759" t="s">
        <v>550</v>
      </c>
      <c r="S5" s="588" t="s">
        <v>125</v>
      </c>
      <c r="T5" s="941" t="s">
        <v>126</v>
      </c>
      <c r="U5" s="942" t="s">
        <v>18</v>
      </c>
      <c r="V5" s="2151" t="s">
        <v>17</v>
      </c>
    </row>
    <row r="6" spans="1:22" ht="13.5" hidden="1" thickTop="1">
      <c r="A6" s="424" t="s">
        <v>954</v>
      </c>
      <c r="B6" s="9" t="str">
        <f t="shared" ref="B6:B8" si="0">LEFT(A6,10)</f>
        <v>RES_201601</v>
      </c>
      <c r="C6" s="9">
        <v>0</v>
      </c>
      <c r="D6" s="9">
        <v>0</v>
      </c>
      <c r="E6" s="9">
        <v>1</v>
      </c>
      <c r="F6" s="9">
        <v>1</v>
      </c>
      <c r="G6" s="59" t="b">
        <v>0</v>
      </c>
      <c r="H6" s="313" t="s">
        <v>236</v>
      </c>
      <c r="I6" s="314" t="str">
        <f>INDEX('AMMO Units'!$B:$B,MATCH(Manufactured_Homes!$A6,'AMMO Units'!$E:$E,0))</f>
        <v>Manufactured Homes</v>
      </c>
      <c r="J6" s="441" t="str">
        <f>INDEX('AMMO Units'!$C:$C,MATCH(Manufactured_Homes!$A6,'AMMO Units'!$E:$E,0))</f>
        <v>Manufactured Home</v>
      </c>
      <c r="K6" s="314" t="str">
        <f>INDEX('AMMO Units'!$D:$D,MATCH(Manufactured_Homes!$A6,'AMMO Units'!$E:$E,0))</f>
        <v>HUD Code</v>
      </c>
      <c r="L6" s="977">
        <v>2022</v>
      </c>
      <c r="M6" s="744">
        <f>GETPIVOTDATA("Units",'AMMO Units'!$A$3,"Year",$L6,"Measure Index",$A6,"Savings Category","Regional_Market_2021PP")</f>
        <v>0</v>
      </c>
      <c r="N6" s="443">
        <f>GETPIVOTDATA("Units",'AMMO Units'!$A$3,"Year",$L6,"Measure Index",$A6,"Savings Category","Local_Incentives_2021PP")</f>
        <v>0</v>
      </c>
      <c r="O6" s="443">
        <f>GETPIVOTDATA("Units",'AMMO Units'!$A$3,"Year",$L6,"Measure Index",$A6,"Savings Category","Baseline_2021PP")</f>
        <v>0</v>
      </c>
      <c r="P6" s="216" t="s">
        <v>2762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v>
      </c>
      <c r="R6" s="1475">
        <f>GETPIVOTDATA("Savings Rate",'AMMO Savings Rates'!$A$3,"Year",$L6,"Measure Index",$A6,"Savings Rate Type","Savings_Rate_2021PP")</f>
        <v>0</v>
      </c>
      <c r="S6" s="1101" t="s">
        <v>332</v>
      </c>
      <c r="T6" s="1736">
        <f t="shared" ref="T6:T8" si="1">(M6-O6)*Q6*R6/8760000</f>
        <v>0</v>
      </c>
      <c r="U6" s="726">
        <f t="shared" ref="U6:U8" si="2">IFERROR((N6-O6/M6*N6)*Q6*R6/8760/1000,0)</f>
        <v>0</v>
      </c>
      <c r="V6" s="1735">
        <f t="shared" ref="V6:V8" si="3">T6-U6</f>
        <v>0</v>
      </c>
    </row>
    <row r="7" spans="1:22" ht="13.5" thickTop="1">
      <c r="A7" s="424" t="s">
        <v>1396</v>
      </c>
      <c r="B7" s="9" t="str">
        <f t="shared" si="0"/>
        <v>RES_201601</v>
      </c>
      <c r="C7" s="9">
        <v>0</v>
      </c>
      <c r="D7" s="9">
        <v>0</v>
      </c>
      <c r="E7" s="9">
        <v>1</v>
      </c>
      <c r="F7" s="9">
        <v>1</v>
      </c>
      <c r="G7" s="59" t="b">
        <v>1</v>
      </c>
      <c r="H7" s="313" t="s">
        <v>236</v>
      </c>
      <c r="I7" s="314" t="str">
        <f>INDEX('AMMO Units'!$B:$B,MATCH(Manufactured_Homes!$A7,'AMMO Units'!$E:$E,0))</f>
        <v>Manufactured Homes</v>
      </c>
      <c r="J7" s="441" t="str">
        <f>INDEX('AMMO Units'!$C:$C,MATCH(Manufactured_Homes!$A7,'AMMO Units'!$E:$E,0))</f>
        <v>Manufactured Home</v>
      </c>
      <c r="K7" s="314" t="str">
        <f>INDEX('AMMO Units'!$D:$D,MATCH(Manufactured_Homes!$A7,'AMMO Units'!$E:$E,0))</f>
        <v>NEEM 1.1</v>
      </c>
      <c r="L7" s="977">
        <v>2022</v>
      </c>
      <c r="M7" s="322">
        <f>GETPIVOTDATA("Units",'AMMO Units'!$A$3,"Year",$L7,"Measure Index",$A7,"Savings Category","Regional_Market_2021PP")</f>
        <v>2112.2556</v>
      </c>
      <c r="N7" s="323">
        <f>GETPIVOTDATA("Units",'AMMO Units'!$A$3,"Year",$L7,"Measure Index",$A7,"Savings Category","Local_Incentives_2021PP")</f>
        <v>644.51477999999997</v>
      </c>
      <c r="O7" s="323">
        <f>GETPIVOTDATA("Units",'AMMO Units'!$A$3,"Year",$L7,"Measure Index",$A7,"Savings Category","Baseline_2021PP")</f>
        <v>0</v>
      </c>
      <c r="P7" s="216" t="s">
        <v>1696</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6">
        <f>GETPIVOTDATA("Savings Rate",'AMMO Savings Rates'!$A$3,"Year",$L7,"Measure Index",$A7,"Savings Rate Type","Savings_Rate_2021PP")</f>
        <v>1328.9311196399999</v>
      </c>
      <c r="S7" s="1101" t="s">
        <v>2950</v>
      </c>
      <c r="T7" s="1736">
        <f t="shared" si="1"/>
        <v>4.4815261854979013E-2</v>
      </c>
      <c r="U7" s="726">
        <f t="shared" si="2"/>
        <v>1.3674528137174399E-2</v>
      </c>
      <c r="V7" s="1735">
        <f t="shared" si="3"/>
        <v>3.1140733717804615E-2</v>
      </c>
    </row>
    <row r="8" spans="1:22">
      <c r="A8" s="424" t="s">
        <v>956</v>
      </c>
      <c r="B8" s="9" t="str">
        <f t="shared" si="0"/>
        <v>RES_201601</v>
      </c>
      <c r="C8" s="9">
        <v>0</v>
      </c>
      <c r="D8" s="9">
        <v>0</v>
      </c>
      <c r="E8" s="9">
        <v>1</v>
      </c>
      <c r="F8" s="9">
        <v>1</v>
      </c>
      <c r="G8" s="59" t="b">
        <v>1</v>
      </c>
      <c r="H8" s="313" t="s">
        <v>236</v>
      </c>
      <c r="I8" s="314" t="str">
        <f>INDEX('AMMO Units'!$B:$B,MATCH(Manufactured_Homes!$A8,'AMMO Units'!$E:$E,0))</f>
        <v>Manufactured Homes</v>
      </c>
      <c r="J8" s="441" t="str">
        <f>INDEX('AMMO Units'!$C:$C,MATCH(Manufactured_Homes!$A8,'AMMO Units'!$E:$E,0))</f>
        <v>Manufactured Home</v>
      </c>
      <c r="K8" s="314" t="str">
        <f>INDEX('AMMO Units'!$D:$D,MATCH(Manufactured_Homes!$A8,'AMMO Units'!$E:$E,0))</f>
        <v>NEEM Plus</v>
      </c>
      <c r="L8" s="977">
        <v>2022</v>
      </c>
      <c r="M8" s="322">
        <f>GETPIVOTDATA("Units",'AMMO Units'!$A$3,"Year",$L8,"Measure Index",$A8,"Savings Category","Regional_Market_2021PP")</f>
        <v>145.56360000000001</v>
      </c>
      <c r="N8" s="323">
        <f>GETPIVOTDATA("Units",'AMMO Units'!$A$3,"Year",$L8,"Measure Index",$A8,"Savings Category","Local_Incentives_2021PP")</f>
        <v>116.45088</v>
      </c>
      <c r="O8" s="323">
        <f>GETPIVOTDATA("Units",'AMMO Units'!$A$3,"Year",$L8,"Measure Index",$A8,"Savings Category","Baseline_2021PP")</f>
        <v>0</v>
      </c>
      <c r="P8" s="216" t="s">
        <v>1696</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6">
        <f>GETPIVOTDATA("Savings Rate",'AMMO Savings Rates'!$A$3,"Year",$L8,"Measure Index",$A8,"Savings Rate Type","Savings_Rate_2021PP")</f>
        <v>1893.4229323</v>
      </c>
      <c r="S8" s="1101" t="s">
        <v>2950</v>
      </c>
      <c r="T8" s="1736">
        <f t="shared" si="1"/>
        <v>4.4002506656093685E-3</v>
      </c>
      <c r="U8" s="726">
        <f t="shared" si="2"/>
        <v>3.5202005324874944E-3</v>
      </c>
      <c r="V8" s="1735">
        <f t="shared" si="3"/>
        <v>8.8005013312187404E-4</v>
      </c>
    </row>
    <row r="9" spans="1:22" hidden="1">
      <c r="A9" s="424" t="s">
        <v>954</v>
      </c>
      <c r="B9" s="9" t="str">
        <f t="shared" ref="B9:B11" si="4">LEFT(A9,10)</f>
        <v>RES_201601</v>
      </c>
      <c r="C9" s="9">
        <v>0</v>
      </c>
      <c r="D9" s="9">
        <v>0</v>
      </c>
      <c r="E9" s="9">
        <v>1</v>
      </c>
      <c r="F9" s="9">
        <v>1</v>
      </c>
      <c r="G9" s="59" t="b">
        <v>0</v>
      </c>
      <c r="H9" s="313" t="s">
        <v>236</v>
      </c>
      <c r="I9" s="314" t="str">
        <f>INDEX('AMMO Units'!$B:$B,MATCH(Manufactured_Homes!$A9,'AMMO Units'!$E:$E,0))</f>
        <v>Manufactured Homes</v>
      </c>
      <c r="J9" s="441" t="str">
        <f>INDEX('AMMO Units'!$C:$C,MATCH(Manufactured_Homes!$A9,'AMMO Units'!$E:$E,0))</f>
        <v>Manufactured Home</v>
      </c>
      <c r="K9" s="314" t="str">
        <f>INDEX('AMMO Units'!$D:$D,MATCH(Manufactured_Homes!$A9,'AMMO Units'!$E:$E,0))</f>
        <v>HUD Code</v>
      </c>
      <c r="L9" s="977">
        <v>2023</v>
      </c>
      <c r="M9" s="322">
        <f>GETPIVOTDATA("Units",'AMMO Units'!$A$3,"Year",$L9,"Measure Index",$A9,"Savings Category","Regional_Market_2021PP")</f>
        <v>0</v>
      </c>
      <c r="N9" s="323">
        <f>GETPIVOTDATA("Units",'AMMO Units'!$A$3,"Year",$L9,"Measure Index",$A9,"Savings Category","Local_Incentives_2021PP")</f>
        <v>0</v>
      </c>
      <c r="O9" s="323">
        <f>GETPIVOTDATA("Units",'AMMO Units'!$A$3,"Year",$L9,"Measure Index",$A9,"Savings Category","Baseline_2021PP")</f>
        <v>0</v>
      </c>
      <c r="P9" s="216" t="s">
        <v>2762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R9" s="1476">
        <f>GETPIVOTDATA("Savings Rate",'AMMO Savings Rates'!$A$3,"Year",$L9,"Measure Index",$A9,"Savings Rate Type","Savings_Rate_2021PP")</f>
        <v>0</v>
      </c>
      <c r="S9" s="1101" t="s">
        <v>332</v>
      </c>
      <c r="T9" s="1736">
        <f t="shared" ref="T9:T11" si="5">(M9-O9)*Q9*R9/8760000</f>
        <v>0</v>
      </c>
      <c r="U9" s="726">
        <f t="shared" ref="U9:U11" si="6">IFERROR((N9-O9/M9*N9)*Q9*R9/8760/1000,0)</f>
        <v>0</v>
      </c>
      <c r="V9" s="357">
        <f t="shared" ref="V9:V11" si="7">T9-U9</f>
        <v>0</v>
      </c>
    </row>
    <row r="10" spans="1:22">
      <c r="A10" s="424" t="s">
        <v>1396</v>
      </c>
      <c r="B10" s="9" t="str">
        <f t="shared" si="4"/>
        <v>RES_201601</v>
      </c>
      <c r="C10" s="9">
        <v>0</v>
      </c>
      <c r="D10" s="9">
        <v>0</v>
      </c>
      <c r="E10" s="9">
        <v>1</v>
      </c>
      <c r="F10" s="9">
        <v>1</v>
      </c>
      <c r="G10" s="59" t="b">
        <v>1</v>
      </c>
      <c r="H10" s="313" t="s">
        <v>236</v>
      </c>
      <c r="I10" s="314" t="str">
        <f>INDEX('AMMO Units'!$B:$B,MATCH(Manufactured_Homes!$A10,'AMMO Units'!$E:$E,0))</f>
        <v>Manufactured Homes</v>
      </c>
      <c r="J10" s="441" t="str">
        <f>INDEX('AMMO Units'!$C:$C,MATCH(Manufactured_Homes!$A10,'AMMO Units'!$E:$E,0))</f>
        <v>Manufactured Home</v>
      </c>
      <c r="K10" s="314" t="str">
        <f>INDEX('AMMO Units'!$D:$D,MATCH(Manufactured_Homes!$A10,'AMMO Units'!$E:$E,0))</f>
        <v>NEEM 1.1</v>
      </c>
      <c r="L10" s="977">
        <v>2023</v>
      </c>
      <c r="M10" s="322">
        <f>GETPIVOTDATA("Units",'AMMO Units'!$A$3,"Year",$L10,"Measure Index",$A10,"Savings Category","Regional_Market_2021PP")</f>
        <v>2288.2615937999999</v>
      </c>
      <c r="N10" s="323">
        <f>GETPIVOTDATA("Units",'AMMO Units'!$A$3,"Year",$L10,"Measure Index",$A10,"Savings Category","Local_Incentives_2021PP")</f>
        <v>713.62463445000003</v>
      </c>
      <c r="O10" s="323">
        <f>GETPIVOTDATA("Units",'AMMO Units'!$A$3,"Year",$L10,"Measure Index",$A10,"Savings Category","Baseline_2021PP")</f>
        <v>0</v>
      </c>
      <c r="P10" s="216" t="s">
        <v>1696</v>
      </c>
      <c r="Q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6">
        <f>GETPIVOTDATA("Savings Rate",'AMMO Savings Rates'!$A$3,"Year",$L10,"Measure Index",$A10,"Savings Rate Type","Savings_Rate_2021PP")</f>
        <v>1328.9311196399999</v>
      </c>
      <c r="S10" s="1101" t="s">
        <v>2950</v>
      </c>
      <c r="T10" s="1736">
        <f t="shared" si="5"/>
        <v>4.8549542261286285E-2</v>
      </c>
      <c r="U10" s="726">
        <f t="shared" si="6"/>
        <v>1.5140816698055115E-2</v>
      </c>
      <c r="V10" s="357">
        <f t="shared" si="7"/>
        <v>3.340872556323117E-2</v>
      </c>
    </row>
    <row r="11" spans="1:22">
      <c r="A11" s="424" t="s">
        <v>956</v>
      </c>
      <c r="B11" s="9" t="str">
        <f t="shared" si="4"/>
        <v>RES_201601</v>
      </c>
      <c r="C11" s="9">
        <v>0</v>
      </c>
      <c r="D11" s="9">
        <v>0</v>
      </c>
      <c r="E11" s="9">
        <v>1</v>
      </c>
      <c r="F11" s="9">
        <v>1</v>
      </c>
      <c r="G11" s="59" t="b">
        <v>1</v>
      </c>
      <c r="H11" s="313" t="s">
        <v>236</v>
      </c>
      <c r="I11" s="314" t="str">
        <f>INDEX('AMMO Units'!$B:$B,MATCH(Manufactured_Homes!$A11,'AMMO Units'!$E:$E,0))</f>
        <v>Manufactured Homes</v>
      </c>
      <c r="J11" s="441" t="str">
        <f>INDEX('AMMO Units'!$C:$C,MATCH(Manufactured_Homes!$A11,'AMMO Units'!$E:$E,0))</f>
        <v>Manufactured Home</v>
      </c>
      <c r="K11" s="314" t="str">
        <f>INDEX('AMMO Units'!$D:$D,MATCH(Manufactured_Homes!$A11,'AMMO Units'!$E:$E,0))</f>
        <v>NEEM Plus</v>
      </c>
      <c r="L11" s="977">
        <v>2023</v>
      </c>
      <c r="M11" s="322">
        <f>GETPIVOTDATA("Units",'AMMO Units'!$A$3,"Year",$L11,"Measure Index",$A11,"Savings Category","Regional_Market_2021PP")</f>
        <v>176.94904500000001</v>
      </c>
      <c r="N11" s="323">
        <f>GETPIVOTDATA("Units",'AMMO Units'!$A$3,"Year",$L11,"Measure Index",$A11,"Savings Category","Local_Incentives_2021PP")</f>
        <v>141.559236</v>
      </c>
      <c r="O11" s="323">
        <f>GETPIVOTDATA("Units",'AMMO Units'!$A$3,"Year",$L11,"Measure Index",$A11,"Savings Category","Baseline_2021PP")</f>
        <v>0</v>
      </c>
      <c r="P11" s="216" t="s">
        <v>1696</v>
      </c>
      <c r="Q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6">
        <f>GETPIVOTDATA("Savings Rate",'AMMO Savings Rates'!$A$3,"Year",$L11,"Measure Index",$A11,"Savings Rate Type","Savings_Rate_2021PP")</f>
        <v>1893.4229323</v>
      </c>
      <c r="S11" s="1101" t="s">
        <v>2950</v>
      </c>
      <c r="T11" s="1736">
        <f t="shared" si="5"/>
        <v>5.3490031370493187E-3</v>
      </c>
      <c r="U11" s="726">
        <f t="shared" si="6"/>
        <v>4.2792025096394549E-3</v>
      </c>
      <c r="V11" s="357">
        <f t="shared" si="7"/>
        <v>1.0698006274098637E-3</v>
      </c>
    </row>
    <row r="12" spans="1:22" hidden="1">
      <c r="A12" s="8" t="s">
        <v>954</v>
      </c>
      <c r="B12" s="9" t="str">
        <f t="shared" ref="B12:B14" si="8">LEFT(A12,10)</f>
        <v>RES_201601</v>
      </c>
      <c r="C12" s="9">
        <v>0</v>
      </c>
      <c r="D12" s="9">
        <v>0</v>
      </c>
      <c r="E12" s="9">
        <v>1</v>
      </c>
      <c r="F12" s="9">
        <v>1</v>
      </c>
      <c r="G12" s="59" t="b">
        <v>1</v>
      </c>
      <c r="H12" s="313" t="s">
        <v>236</v>
      </c>
      <c r="I12" s="314" t="str">
        <f>INDEX('AMMO Units'!$B:$B,MATCH(Manufactured_Homes!$A12,'AMMO Units'!$E:$E,0))</f>
        <v>Manufactured Homes</v>
      </c>
      <c r="J12" s="441" t="str">
        <f>INDEX('AMMO Units'!$C:$C,MATCH(Manufactured_Homes!$A12,'AMMO Units'!$E:$E,0))</f>
        <v>Manufactured Home</v>
      </c>
      <c r="K12" s="314" t="str">
        <f>INDEX('AMMO Units'!$D:$D,MATCH(Manufactured_Homes!$A12,'AMMO Units'!$E:$E,0))</f>
        <v>HUD Code</v>
      </c>
      <c r="L12" s="977">
        <v>2024</v>
      </c>
      <c r="M12" s="322">
        <f>GETPIVOTDATA("Units",'AMMO Units'!$A$3,"Year",$L12,"Measure Index",$A12,"Savings Category","Regional_Market_2021PP")</f>
        <v>3543.7679549999998</v>
      </c>
      <c r="N12" s="323">
        <f>GETPIVOTDATA("Units",'AMMO Units'!$A$3,"Year",$L12,"Measure Index",$A12,"Savings Category","Local_Incentives_2021PP")</f>
        <v>0</v>
      </c>
      <c r="O12" s="323">
        <f>GETPIVOTDATA("Units",'AMMO Units'!$A$3,"Year",$L12,"Measure Index",$A12,"Savings Category","Baseline_2021PP")</f>
        <v>0</v>
      </c>
      <c r="P12" s="216" t="s">
        <v>1696</v>
      </c>
      <c r="Q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6">
        <f>GETPIVOTDATA("Savings Rate",'AMMO Savings Rates'!$A$3,"Year",$L12,"Measure Index",$A12,"Savings Rate Type","Savings_Rate_2021PP")</f>
        <v>0</v>
      </c>
      <c r="S12" s="1101" t="s">
        <v>332</v>
      </c>
      <c r="T12" s="1736">
        <f t="shared" ref="T12:T14" si="9">(M12-O12)*Q12*R12/8760000</f>
        <v>0</v>
      </c>
      <c r="U12" s="726">
        <f t="shared" ref="U12:U14" si="10">IFERROR((N12-O12/M12*N12)*Q12*R12/8760/1000,0)</f>
        <v>0</v>
      </c>
      <c r="V12" s="357">
        <f t="shared" ref="V12:V14" si="11">T12-U12</f>
        <v>0</v>
      </c>
    </row>
    <row r="13" spans="1:22" hidden="1">
      <c r="A13" s="8" t="s">
        <v>1396</v>
      </c>
      <c r="B13" s="9" t="str">
        <f t="shared" si="8"/>
        <v>RES_201601</v>
      </c>
      <c r="C13" s="9">
        <v>0</v>
      </c>
      <c r="D13" s="9">
        <v>0</v>
      </c>
      <c r="E13" s="9">
        <v>1</v>
      </c>
      <c r="F13" s="9">
        <v>1</v>
      </c>
      <c r="G13" s="59" t="b">
        <v>1</v>
      </c>
      <c r="H13" s="313" t="s">
        <v>236</v>
      </c>
      <c r="I13" s="314" t="str">
        <f>INDEX('AMMO Units'!$B:$B,MATCH(Manufactured_Homes!$A13,'AMMO Units'!$E:$E,0))</f>
        <v>Manufactured Homes</v>
      </c>
      <c r="J13" s="441" t="str">
        <f>INDEX('AMMO Units'!$C:$C,MATCH(Manufactured_Homes!$A13,'AMMO Units'!$E:$E,0))</f>
        <v>Manufactured Home</v>
      </c>
      <c r="K13" s="314" t="str">
        <f>INDEX('AMMO Units'!$D:$D,MATCH(Manufactured_Homes!$A13,'AMMO Units'!$E:$E,0))</f>
        <v>NEEM 1.1</v>
      </c>
      <c r="L13" s="977">
        <v>2024</v>
      </c>
      <c r="M13" s="322">
        <f>GETPIVOTDATA("Units",'AMMO Units'!$A$3,"Year",$L13,"Measure Index",$A13,"Savings Category","Regional_Market_2021PP")</f>
        <v>3543.7679549999998</v>
      </c>
      <c r="N13" s="323">
        <f>GETPIVOTDATA("Units",'AMMO Units'!$A$3,"Year",$L13,"Measure Index",$A13,"Savings Category","Local_Incentives_2021PP")</f>
        <v>519.87202313</v>
      </c>
      <c r="O13" s="323">
        <f>GETPIVOTDATA("Units",'AMMO Units'!$A$3,"Year",$L13,"Measure Index",$A13,"Savings Category","Baseline_2021PP")</f>
        <v>0</v>
      </c>
      <c r="P13" s="216" t="s">
        <v>1696</v>
      </c>
      <c r="Q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6">
        <f>GETPIVOTDATA("Savings Rate",'AMMO Savings Rates'!$A$3,"Year",$L13,"Measure Index",$A13,"Savings Rate Type","Savings_Rate_2021PP")</f>
        <v>1328.9311196399999</v>
      </c>
      <c r="S13" s="1101" t="s">
        <v>2950</v>
      </c>
      <c r="T13" s="1736">
        <f t="shared" si="9"/>
        <v>7.5187344209956639E-2</v>
      </c>
      <c r="U13" s="726">
        <f t="shared" si="10"/>
        <v>1.1030010216400257E-2</v>
      </c>
      <c r="V13" s="357">
        <f t="shared" si="11"/>
        <v>6.4157333993556387E-2</v>
      </c>
    </row>
    <row r="14" spans="1:22" hidden="1">
      <c r="A14" s="8" t="s">
        <v>956</v>
      </c>
      <c r="B14" s="9" t="str">
        <f t="shared" si="8"/>
        <v>RES_201601</v>
      </c>
      <c r="C14" s="9">
        <v>0</v>
      </c>
      <c r="D14" s="9">
        <v>0</v>
      </c>
      <c r="E14" s="9">
        <v>1</v>
      </c>
      <c r="F14" s="9">
        <v>1</v>
      </c>
      <c r="G14" s="59" t="b">
        <v>1</v>
      </c>
      <c r="H14" s="313" t="s">
        <v>236</v>
      </c>
      <c r="I14" s="314" t="str">
        <f>INDEX('AMMO Units'!$B:$B,MATCH(Manufactured_Homes!$A14,'AMMO Units'!$E:$E,0))</f>
        <v>Manufactured Homes</v>
      </c>
      <c r="J14" s="441" t="str">
        <f>INDEX('AMMO Units'!$C:$C,MATCH(Manufactured_Homes!$A14,'AMMO Units'!$E:$E,0))</f>
        <v>Manufactured Home</v>
      </c>
      <c r="K14" s="314" t="str">
        <f>INDEX('AMMO Units'!$D:$D,MATCH(Manufactured_Homes!$A14,'AMMO Units'!$E:$E,0))</f>
        <v>NEEM Plus</v>
      </c>
      <c r="L14" s="977">
        <v>2024</v>
      </c>
      <c r="M14" s="322">
        <f>GETPIVOTDATA("Units",'AMMO Units'!$A$3,"Year",$L14,"Measure Index",$A14,"Savings Category","Regional_Market_2021PP")</f>
        <v>236.42175374999999</v>
      </c>
      <c r="N14" s="323">
        <f>GETPIVOTDATA("Units",'AMMO Units'!$A$3,"Year",$L14,"Measure Index",$A14,"Savings Category","Local_Incentives_2021PP")</f>
        <v>165.49522762999999</v>
      </c>
      <c r="O14" s="323">
        <f>GETPIVOTDATA("Units",'AMMO Units'!$A$3,"Year",$L14,"Measure Index",$A14,"Savings Category","Baseline_2021PP")</f>
        <v>0</v>
      </c>
      <c r="P14" s="216" t="s">
        <v>1696</v>
      </c>
      <c r="Q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6">
        <f>GETPIVOTDATA("Savings Rate",'AMMO Savings Rates'!$A$3,"Year",$L14,"Measure Index",$A14,"Savings Rate Type","Savings_Rate_2021PP")</f>
        <v>1893.4229323</v>
      </c>
      <c r="S14" s="1101" t="s">
        <v>2950</v>
      </c>
      <c r="T14" s="1736">
        <f t="shared" si="9"/>
        <v>7.1468071640366929E-3</v>
      </c>
      <c r="U14" s="726">
        <f t="shared" si="10"/>
        <v>5.0027650149768307E-3</v>
      </c>
      <c r="V14" s="357">
        <f t="shared" si="11"/>
        <v>2.1440421490598622E-3</v>
      </c>
    </row>
    <row r="15" spans="1:22" hidden="1">
      <c r="A15" s="8" t="s">
        <v>954</v>
      </c>
      <c r="B15" s="9" t="s">
        <v>858</v>
      </c>
      <c r="C15" s="9">
        <v>0</v>
      </c>
      <c r="D15" s="9">
        <v>0</v>
      </c>
      <c r="E15" s="9">
        <v>1</v>
      </c>
      <c r="F15" s="9">
        <v>1</v>
      </c>
      <c r="G15" s="9" t="b">
        <v>1</v>
      </c>
      <c r="H15" s="313" t="s">
        <v>236</v>
      </c>
      <c r="I15" s="314" t="s">
        <v>857</v>
      </c>
      <c r="J15" s="441" t="s">
        <v>1395</v>
      </c>
      <c r="K15" s="314" t="s">
        <v>955</v>
      </c>
      <c r="L15" s="977">
        <v>2025</v>
      </c>
      <c r="M15" s="322">
        <f>GETPIVOTDATA("Units",'AMMO Units'!$A$3,"Year",$L15,"Measure Index",$A15,"Savings Category","Regional_Market_2021PP")</f>
        <v>5315.6519324999999</v>
      </c>
      <c r="N15" s="323">
        <f>GETPIVOTDATA("Units",'AMMO Units'!$A$3,"Year",$L15,"Measure Index",$A15,"Savings Category","Local_Incentives_2021PP")</f>
        <v>0</v>
      </c>
      <c r="O15" s="323">
        <f>GETPIVOTDATA("Units",'AMMO Units'!$A$3,"Year",$L15,"Measure Index",$A15,"Savings Category","Baseline_2021PP")</f>
        <v>0</v>
      </c>
      <c r="P15" s="216" t="s">
        <v>1696</v>
      </c>
      <c r="Q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6">
        <f>GETPIVOTDATA("Savings Rate",'AMMO Savings Rates'!$A$3,"Year",$L15,"Measure Index",$A15,"Savings Rate Type","Savings_Rate_2021PP")</f>
        <v>0</v>
      </c>
      <c r="S15" s="1101" t="s">
        <v>332</v>
      </c>
      <c r="T15" s="1736">
        <f t="shared" ref="T15:T17" si="12">(M15-O15)*Q15*R15/8760000</f>
        <v>0</v>
      </c>
      <c r="U15" s="726">
        <f t="shared" ref="U15:U17" si="13">IFERROR((N15-O15/M15*N15)*Q15*R15/8760/1000,0)</f>
        <v>0</v>
      </c>
      <c r="V15" s="357">
        <f t="shared" ref="V15:V17" si="14">T15-U15</f>
        <v>0</v>
      </c>
    </row>
    <row r="16" spans="1:22" hidden="1">
      <c r="A16" s="8" t="s">
        <v>1396</v>
      </c>
      <c r="B16" s="9" t="s">
        <v>858</v>
      </c>
      <c r="C16" s="9">
        <v>0</v>
      </c>
      <c r="D16" s="9">
        <v>0</v>
      </c>
      <c r="E16" s="9">
        <v>1</v>
      </c>
      <c r="F16" s="9">
        <v>1</v>
      </c>
      <c r="G16" s="9" t="b">
        <v>1</v>
      </c>
      <c r="H16" s="313" t="s">
        <v>236</v>
      </c>
      <c r="I16" s="314" t="s">
        <v>857</v>
      </c>
      <c r="J16" s="441" t="s">
        <v>1395</v>
      </c>
      <c r="K16" s="314" t="s">
        <v>1397</v>
      </c>
      <c r="L16" s="977">
        <v>2025</v>
      </c>
      <c r="M16" s="322">
        <f>GETPIVOTDATA("Units",'AMMO Units'!$A$3,"Year",$L16,"Measure Index",$A16,"Savings Category","Regional_Market_2021PP")</f>
        <v>5315.6519324999999</v>
      </c>
      <c r="N16" s="323">
        <f>GETPIVOTDATA("Units",'AMMO Units'!$A$3,"Year",$L16,"Measure Index",$A16,"Savings Category","Local_Incentives_2021PP")</f>
        <v>210.97955253000001</v>
      </c>
      <c r="O16" s="323">
        <f>GETPIVOTDATA("Units",'AMMO Units'!$A$3,"Year",$L16,"Measure Index",$A16,"Savings Category","Baseline_2021PP")</f>
        <v>0</v>
      </c>
      <c r="P16" s="216" t="s">
        <v>1696</v>
      </c>
      <c r="Q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6">
        <f>GETPIVOTDATA("Savings Rate",'AMMO Savings Rates'!$A$3,"Year",$L16,"Measure Index",$A16,"Savings Rate Type","Savings_Rate_2021PP")</f>
        <v>1328.9311196399999</v>
      </c>
      <c r="S16" s="1101" t="s">
        <v>2950</v>
      </c>
      <c r="T16" s="1736">
        <f t="shared" si="12"/>
        <v>0.11278101631493494</v>
      </c>
      <c r="U16" s="726">
        <f t="shared" si="13"/>
        <v>4.4763066991884174E-3</v>
      </c>
      <c r="V16" s="357">
        <f t="shared" si="14"/>
        <v>0.10830470961574652</v>
      </c>
    </row>
    <row r="17" spans="1:22" hidden="1">
      <c r="A17" s="8" t="s">
        <v>956</v>
      </c>
      <c r="B17" s="9" t="s">
        <v>858</v>
      </c>
      <c r="C17" s="9">
        <v>0</v>
      </c>
      <c r="D17" s="9">
        <v>0</v>
      </c>
      <c r="E17" s="9">
        <v>1</v>
      </c>
      <c r="F17" s="9">
        <v>1</v>
      </c>
      <c r="G17" s="9" t="b">
        <v>1</v>
      </c>
      <c r="H17" s="313" t="s">
        <v>236</v>
      </c>
      <c r="I17" s="314" t="s">
        <v>857</v>
      </c>
      <c r="J17" s="441" t="s">
        <v>1395</v>
      </c>
      <c r="K17" s="314" t="s">
        <v>1327</v>
      </c>
      <c r="L17" s="977">
        <v>2025</v>
      </c>
      <c r="M17" s="322">
        <f>GETPIVOTDATA("Units",'AMMO Units'!$A$3,"Year",$L17,"Measure Index",$A17,"Savings Category","Regional_Market_2021PP")</f>
        <v>301.39936075999998</v>
      </c>
      <c r="N17" s="323">
        <f>GETPIVOTDATA("Units",'AMMO Units'!$A$3,"Year",$L17,"Measure Index",$A17,"Savings Category","Local_Incentives_2021PP")</f>
        <v>210.97955253000001</v>
      </c>
      <c r="O17" s="323">
        <f>GETPIVOTDATA("Units",'AMMO Units'!$A$3,"Year",$L17,"Measure Index",$A17,"Savings Category","Baseline_2021PP")</f>
        <v>0</v>
      </c>
      <c r="P17" s="216" t="s">
        <v>1696</v>
      </c>
      <c r="Q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6">
        <f>GETPIVOTDATA("Savings Rate",'AMMO Savings Rates'!$A$3,"Year",$L17,"Measure Index",$A17,"Savings Rate Type","Savings_Rate_2021PP")</f>
        <v>1893.4229323</v>
      </c>
      <c r="S17" s="1101" t="s">
        <v>2950</v>
      </c>
      <c r="T17" s="1736">
        <f t="shared" si="12"/>
        <v>9.1110190858046114E-3</v>
      </c>
      <c r="U17" s="726">
        <f t="shared" si="13"/>
        <v>6.3777133600027699E-3</v>
      </c>
      <c r="V17" s="357">
        <f t="shared" si="14"/>
        <v>2.7333057258018415E-3</v>
      </c>
    </row>
    <row r="19" spans="1:22" ht="15">
      <c r="H19" s="622" t="s">
        <v>995</v>
      </c>
      <c r="I19" s="274"/>
      <c r="J19" s="274"/>
      <c r="K19" s="274"/>
      <c r="L19" s="274"/>
      <c r="M19" s="275"/>
      <c r="N19" s="275"/>
      <c r="P19" s="428"/>
      <c r="Q19" s="428"/>
      <c r="R19" s="428"/>
    </row>
    <row r="20" spans="1:22" ht="32.25" customHeight="1">
      <c r="H20" s="2703" t="s">
        <v>1676</v>
      </c>
      <c r="I20" s="2704"/>
      <c r="J20" s="2704"/>
      <c r="K20" s="2704"/>
      <c r="L20" s="2704"/>
      <c r="M20" s="2704"/>
      <c r="N20" s="2704"/>
      <c r="O20" s="2705"/>
      <c r="P20"/>
      <c r="Q20"/>
    </row>
    <row r="21" spans="1:22" ht="15">
      <c r="P21"/>
      <c r="Q21"/>
    </row>
    <row r="22" spans="1:22" ht="15">
      <c r="H22" s="622" t="s">
        <v>999</v>
      </c>
      <c r="I22" s="428"/>
      <c r="J22" s="428"/>
      <c r="K22" s="428"/>
      <c r="L22" s="428"/>
      <c r="M22" s="428"/>
      <c r="N22" s="428"/>
      <c r="O22" s="428"/>
      <c r="P22"/>
      <c r="Q22"/>
    </row>
    <row r="23" spans="1:22" ht="87.75" customHeight="1">
      <c r="H23" s="2703" t="s">
        <v>2763</v>
      </c>
      <c r="I23" s="2704"/>
      <c r="J23" s="2704"/>
      <c r="K23" s="2704"/>
      <c r="L23" s="2704"/>
      <c r="M23" s="2704"/>
      <c r="N23" s="2704"/>
      <c r="O23" s="2705"/>
      <c r="P23"/>
      <c r="Q23"/>
    </row>
    <row r="26" spans="1:22" ht="25.9" customHeight="1">
      <c r="H26" s="2696" t="s">
        <v>1678</v>
      </c>
      <c r="I26" s="2697"/>
      <c r="J26" s="2697"/>
      <c r="K26" s="2697"/>
      <c r="L26" s="2698"/>
    </row>
    <row r="27" spans="1:22">
      <c r="H27" s="2699"/>
      <c r="I27" s="2700"/>
      <c r="J27" s="2700"/>
      <c r="K27" s="2700"/>
      <c r="L27" s="2701"/>
    </row>
    <row r="28" spans="1:22" ht="22.15" customHeight="1">
      <c r="H28" s="750" t="s">
        <v>1418</v>
      </c>
      <c r="I28" s="750" t="s">
        <v>1419</v>
      </c>
      <c r="J28" s="750" t="s">
        <v>1420</v>
      </c>
      <c r="K28" s="750" t="s">
        <v>1421</v>
      </c>
      <c r="L28" s="750" t="s">
        <v>233</v>
      </c>
    </row>
    <row r="29" spans="1:22">
      <c r="H29" s="1721" t="s">
        <v>1422</v>
      </c>
      <c r="I29" s="751">
        <v>1</v>
      </c>
      <c r="J29" s="751">
        <v>1</v>
      </c>
      <c r="K29" s="1708">
        <v>7093.8680322960008</v>
      </c>
      <c r="L29" s="1722">
        <v>0.45294484697819271</v>
      </c>
    </row>
    <row r="30" spans="1:22">
      <c r="H30" s="1721" t="s">
        <v>1422</v>
      </c>
      <c r="I30" s="751">
        <v>1</v>
      </c>
      <c r="J30" s="751">
        <v>2</v>
      </c>
      <c r="K30" s="1708">
        <v>7197.6481765680001</v>
      </c>
      <c r="L30" s="1722">
        <v>7.8956835861426294E-2</v>
      </c>
    </row>
    <row r="31" spans="1:22">
      <c r="H31" s="1721" t="s">
        <v>1422</v>
      </c>
      <c r="I31" s="751">
        <v>1</v>
      </c>
      <c r="J31" s="751">
        <v>3</v>
      </c>
      <c r="K31" s="1708">
        <v>7343.4752170720003</v>
      </c>
      <c r="L31" s="1722">
        <v>0.1463675076946496</v>
      </c>
    </row>
    <row r="32" spans="1:22">
      <c r="H32" s="1721" t="s">
        <v>1422</v>
      </c>
      <c r="I32" s="751">
        <v>2</v>
      </c>
      <c r="J32" s="751">
        <v>1</v>
      </c>
      <c r="K32" s="1708">
        <v>10556.935240772</v>
      </c>
      <c r="L32" s="1722">
        <v>6.1531304581922616E-2</v>
      </c>
    </row>
    <row r="33" spans="8:12">
      <c r="H33" s="1721" t="s">
        <v>1422</v>
      </c>
      <c r="I33" s="751">
        <v>2</v>
      </c>
      <c r="J33" s="751">
        <v>2</v>
      </c>
      <c r="K33" s="1708">
        <v>10660.806120907999</v>
      </c>
      <c r="L33" s="1722">
        <v>0.16921189725375199</v>
      </c>
    </row>
    <row r="34" spans="8:12">
      <c r="H34" s="1721" t="s">
        <v>1422</v>
      </c>
      <c r="I34" s="751">
        <v>2</v>
      </c>
      <c r="J34" s="751">
        <v>3</v>
      </c>
      <c r="K34" s="1708">
        <v>10806.726902083999</v>
      </c>
      <c r="L34" s="1722">
        <v>6.2857610482636109E-3</v>
      </c>
    </row>
    <row r="35" spans="8:12">
      <c r="H35" s="1721" t="s">
        <v>1422</v>
      </c>
      <c r="I35" s="751">
        <v>3</v>
      </c>
      <c r="J35" s="751">
        <v>1</v>
      </c>
      <c r="K35" s="1708">
        <v>13358.614925916001</v>
      </c>
      <c r="L35" s="1722">
        <v>7.6686505962010668E-2</v>
      </c>
    </row>
    <row r="36" spans="8:12">
      <c r="H36" s="1721" t="s">
        <v>1422</v>
      </c>
      <c r="I36" s="751">
        <v>3</v>
      </c>
      <c r="J36" s="751">
        <v>2</v>
      </c>
      <c r="K36" s="1708">
        <v>13462.508725219999</v>
      </c>
      <c r="L36" s="1722">
        <v>8.0153406197824174E-3</v>
      </c>
    </row>
    <row r="37" spans="8:12">
      <c r="H37" s="1721" t="s">
        <v>1422</v>
      </c>
      <c r="I37" s="751">
        <v>3</v>
      </c>
      <c r="J37" s="751">
        <v>3</v>
      </c>
      <c r="K37" s="1708">
        <v>13608.449553588</v>
      </c>
      <c r="L37" s="1722">
        <v>0</v>
      </c>
    </row>
    <row r="38" spans="8:12">
      <c r="H38" s="1721" t="s">
        <v>1397</v>
      </c>
      <c r="I38" s="751">
        <v>1</v>
      </c>
      <c r="J38" s="751">
        <v>1</v>
      </c>
      <c r="K38" s="1708">
        <v>4963.3039097279998</v>
      </c>
      <c r="L38" s="1722">
        <v>0.45294484697819271</v>
      </c>
    </row>
    <row r="39" spans="8:12">
      <c r="H39" s="1721" t="s">
        <v>1397</v>
      </c>
      <c r="I39" s="751">
        <v>1</v>
      </c>
      <c r="J39" s="751">
        <v>2</v>
      </c>
      <c r="K39" s="1708">
        <v>5045.0185861760001</v>
      </c>
      <c r="L39" s="1722">
        <v>7.8956835861426294E-2</v>
      </c>
    </row>
    <row r="40" spans="8:12">
      <c r="H40" s="1721" t="s">
        <v>1397</v>
      </c>
      <c r="I40" s="751">
        <v>1</v>
      </c>
      <c r="J40" s="751">
        <v>3</v>
      </c>
      <c r="K40" s="1708">
        <v>5157.0770859040003</v>
      </c>
      <c r="L40" s="1722">
        <v>0.1463675076946496</v>
      </c>
    </row>
    <row r="41" spans="8:12">
      <c r="H41" s="1721" t="s">
        <v>1397</v>
      </c>
      <c r="I41" s="751">
        <v>2</v>
      </c>
      <c r="J41" s="751">
        <v>1</v>
      </c>
      <c r="K41" s="1708">
        <v>7447.7889017079997</v>
      </c>
      <c r="L41" s="1722">
        <v>6.1531304581922616E-2</v>
      </c>
    </row>
    <row r="42" spans="8:12">
      <c r="H42" s="1721" t="s">
        <v>1397</v>
      </c>
      <c r="I42" s="751">
        <v>2</v>
      </c>
      <c r="J42" s="751">
        <v>2</v>
      </c>
      <c r="K42" s="1708">
        <v>7529.5224543799995</v>
      </c>
      <c r="L42" s="1722">
        <v>0.16921189725375199</v>
      </c>
    </row>
    <row r="43" spans="8:12">
      <c r="H43" s="1721" t="s">
        <v>1397</v>
      </c>
      <c r="I43" s="751">
        <v>2</v>
      </c>
      <c r="J43" s="751">
        <v>3</v>
      </c>
      <c r="K43" s="1708">
        <v>7641.5912995799999</v>
      </c>
      <c r="L43" s="1722">
        <v>6.2857610482636109E-3</v>
      </c>
    </row>
    <row r="44" spans="8:12">
      <c r="H44" s="1721" t="s">
        <v>1397</v>
      </c>
      <c r="I44" s="751">
        <v>3</v>
      </c>
      <c r="J44" s="751">
        <v>1</v>
      </c>
      <c r="K44" s="1708">
        <v>9430.0800008600017</v>
      </c>
      <c r="L44" s="1722">
        <v>7.6686505962010668E-2</v>
      </c>
    </row>
    <row r="45" spans="8:12">
      <c r="H45" s="1721" t="s">
        <v>1397</v>
      </c>
      <c r="I45" s="751">
        <v>3</v>
      </c>
      <c r="J45" s="751">
        <v>2</v>
      </c>
      <c r="K45" s="1708">
        <v>9511.8128391400005</v>
      </c>
      <c r="L45" s="1722">
        <v>8.0153406197824174E-3</v>
      </c>
    </row>
    <row r="46" spans="8:12">
      <c r="H46" s="1721" t="s">
        <v>1397</v>
      </c>
      <c r="I46" s="751">
        <v>3</v>
      </c>
      <c r="J46" s="751">
        <v>3</v>
      </c>
      <c r="K46" s="1708">
        <v>9623.8814402120006</v>
      </c>
      <c r="L46" s="1722">
        <v>0</v>
      </c>
    </row>
    <row r="47" spans="8:12">
      <c r="H47" s="1721" t="s">
        <v>1327</v>
      </c>
      <c r="I47" s="751">
        <v>1</v>
      </c>
      <c r="J47" s="751">
        <v>1</v>
      </c>
      <c r="K47" s="1708">
        <v>4472.7411441039994</v>
      </c>
      <c r="L47" s="1722">
        <v>0.45294484697819271</v>
      </c>
    </row>
    <row r="48" spans="8:12">
      <c r="H48" s="1721" t="s">
        <v>1327</v>
      </c>
      <c r="I48" s="751">
        <v>1</v>
      </c>
      <c r="J48" s="751">
        <v>2</v>
      </c>
      <c r="K48" s="1708">
        <v>4547.6843861599991</v>
      </c>
      <c r="L48" s="1722">
        <v>7.8956835861426294E-2</v>
      </c>
    </row>
    <row r="49" spans="8:12">
      <c r="H49" s="1721" t="s">
        <v>1327</v>
      </c>
      <c r="I49" s="751">
        <v>1</v>
      </c>
      <c r="J49" s="751">
        <v>3</v>
      </c>
      <c r="K49" s="1708">
        <v>4650.7423151439998</v>
      </c>
      <c r="L49" s="1722">
        <v>0.1463675076946496</v>
      </c>
    </row>
    <row r="50" spans="8:12">
      <c r="H50" s="1721" t="s">
        <v>1327</v>
      </c>
      <c r="I50" s="751">
        <v>2</v>
      </c>
      <c r="J50" s="751">
        <v>1</v>
      </c>
      <c r="K50" s="1708">
        <v>6780.0822690759996</v>
      </c>
      <c r="L50" s="1722">
        <v>6.1531304581922616E-2</v>
      </c>
    </row>
    <row r="51" spans="8:12">
      <c r="H51" s="1721" t="s">
        <v>1327</v>
      </c>
      <c r="I51" s="751">
        <v>2</v>
      </c>
      <c r="J51" s="751">
        <v>2</v>
      </c>
      <c r="K51" s="1708">
        <v>6855.0409776919987</v>
      </c>
      <c r="L51" s="1722">
        <v>0.16921189725375199</v>
      </c>
    </row>
    <row r="52" spans="8:12">
      <c r="H52" s="1721" t="s">
        <v>1327</v>
      </c>
      <c r="I52" s="751">
        <v>2</v>
      </c>
      <c r="J52" s="751">
        <v>3</v>
      </c>
      <c r="K52" s="1708">
        <v>6958.0993560199986</v>
      </c>
      <c r="L52" s="1722">
        <v>6.2857610482636109E-3</v>
      </c>
    </row>
    <row r="53" spans="8:12">
      <c r="H53" s="1721" t="s">
        <v>1327</v>
      </c>
      <c r="I53" s="751">
        <v>3</v>
      </c>
      <c r="J53" s="751">
        <v>1</v>
      </c>
      <c r="K53" s="1708">
        <v>8611.3338423960013</v>
      </c>
      <c r="L53" s="1722">
        <v>7.6686505962010668E-2</v>
      </c>
    </row>
    <row r="54" spans="8:12">
      <c r="H54" s="1721" t="s">
        <v>1327</v>
      </c>
      <c r="I54" s="751">
        <v>3</v>
      </c>
      <c r="J54" s="751">
        <v>2</v>
      </c>
      <c r="K54" s="1708">
        <v>8686.2904825719997</v>
      </c>
      <c r="L54" s="1722">
        <v>8.0153406197824174E-3</v>
      </c>
    </row>
    <row r="55" spans="8:12">
      <c r="H55" s="1721" t="s">
        <v>1327</v>
      </c>
      <c r="I55" s="751">
        <v>3</v>
      </c>
      <c r="J55" s="751">
        <v>3</v>
      </c>
      <c r="K55" s="1708">
        <v>8789.3489547320005</v>
      </c>
      <c r="L55" s="1722">
        <v>0</v>
      </c>
    </row>
    <row r="56" spans="8:12">
      <c r="H56" s="1723" t="s">
        <v>1422</v>
      </c>
      <c r="I56" s="1724" t="s">
        <v>1423</v>
      </c>
      <c r="J56" s="1724" t="s">
        <v>1423</v>
      </c>
      <c r="K56" s="1725">
        <f>SUMPRODUCT(K29:K37, L29:L37)</f>
        <v>8510.0584883126976</v>
      </c>
      <c r="L56" s="1726" t="s">
        <v>1413</v>
      </c>
    </row>
    <row r="57" spans="8:12">
      <c r="H57" s="1723" t="s">
        <v>1397</v>
      </c>
      <c r="I57" s="1724" t="s">
        <v>1423</v>
      </c>
      <c r="J57" s="1724" t="s">
        <v>1423</v>
      </c>
      <c r="K57" s="1725">
        <f>SUMPRODUCT(K38:K46,L38:L46)</f>
        <v>5981.060624633903</v>
      </c>
      <c r="L57" s="1726" t="s">
        <v>1413</v>
      </c>
    </row>
    <row r="58" spans="8:12">
      <c r="H58" s="1723" t="s">
        <v>1327</v>
      </c>
      <c r="I58" s="1724" t="s">
        <v>1423</v>
      </c>
      <c r="J58" s="1724" t="s">
        <v>1423</v>
      </c>
      <c r="K58" s="1725">
        <f>SUMPRODUCT(K47:K55, L47:L55)</f>
        <v>5416.5688119789902</v>
      </c>
      <c r="L58" s="1726" t="s">
        <v>1413</v>
      </c>
    </row>
    <row r="61" spans="8:12">
      <c r="H61" s="1727" t="s">
        <v>1418</v>
      </c>
      <c r="I61" s="1727" t="s">
        <v>1421</v>
      </c>
      <c r="J61" s="1727" t="s">
        <v>1677</v>
      </c>
    </row>
    <row r="62" spans="8:12">
      <c r="H62" s="1723" t="s">
        <v>1424</v>
      </c>
      <c r="I62" s="1725">
        <f>K56</f>
        <v>8510.0584883126976</v>
      </c>
      <c r="J62" s="1728">
        <v>0.5250085963965776</v>
      </c>
    </row>
    <row r="63" spans="8:12">
      <c r="H63" s="1723" t="s">
        <v>1397</v>
      </c>
      <c r="I63" s="1725">
        <f>K57</f>
        <v>5981.060624633903</v>
      </c>
      <c r="J63" s="1728">
        <v>0.4530455982470617</v>
      </c>
    </row>
    <row r="64" spans="8:12" ht="13.5" thickBot="1">
      <c r="H64" s="1729" t="s">
        <v>1327</v>
      </c>
      <c r="I64" s="1730">
        <f>K58</f>
        <v>5416.5688119789902</v>
      </c>
      <c r="J64" s="1731">
        <v>2.1945805356360655E-2</v>
      </c>
    </row>
    <row r="65" spans="8:10" ht="13.5" thickTop="1">
      <c r="H65" s="1732" t="s">
        <v>1679</v>
      </c>
      <c r="I65" s="1733">
        <f>SUMPRODUCT(I62:I64, J62:J64)</f>
        <v>7296.4180158880663</v>
      </c>
      <c r="J65" s="1734"/>
    </row>
    <row r="68" spans="8:10">
      <c r="H68" s="1727" t="s">
        <v>1418</v>
      </c>
      <c r="I68" s="1727" t="s">
        <v>1425</v>
      </c>
    </row>
    <row r="69" spans="8:10">
      <c r="H69" s="1723" t="s">
        <v>1424</v>
      </c>
      <c r="I69" s="1725">
        <f>I65-I62</f>
        <v>-1213.6404724246313</v>
      </c>
    </row>
    <row r="70" spans="8:10">
      <c r="H70" s="1723" t="s">
        <v>1426</v>
      </c>
      <c r="I70" s="1725">
        <v>0</v>
      </c>
    </row>
    <row r="71" spans="8:10">
      <c r="H71" s="1723" t="s">
        <v>1397</v>
      </c>
      <c r="I71" s="1725">
        <f>I65-I63</f>
        <v>1315.3573912541633</v>
      </c>
    </row>
    <row r="72" spans="8:10">
      <c r="H72" s="1723" t="s">
        <v>1327</v>
      </c>
      <c r="I72" s="1725">
        <f>I65-I64</f>
        <v>1879.8492039090761</v>
      </c>
    </row>
  </sheetData>
  <autoFilter ref="A5:V17" xr:uid="{C976C859-F228-46AA-B791-CFB54AA556BE}">
    <filterColumn colId="11">
      <filters>
        <filter val="2022"/>
        <filter val="2023"/>
      </filters>
    </filterColumn>
    <filterColumn colId="19">
      <filters>
        <filter val="0.00"/>
        <filter val="0.01"/>
      </filters>
    </filterColumn>
  </autoFilter>
  <mergeCells count="9">
    <mergeCell ref="R4:S4"/>
    <mergeCell ref="T4:V4"/>
    <mergeCell ref="H26:L27"/>
    <mergeCell ref="I2:Q2"/>
    <mergeCell ref="H23:O23"/>
    <mergeCell ref="H20:O20"/>
    <mergeCell ref="A4:G4"/>
    <mergeCell ref="H4:L4"/>
    <mergeCell ref="M4:Q4"/>
  </mergeCells>
  <hyperlinks>
    <hyperlink ref="H1" location="'Summary ALL'!A1" display="Summary Page" xr:uid="{8E87A724-F105-420A-BC35-DCF17F98AA83}"/>
  </hyperlink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filterMode="1">
    <tabColor rgb="FF0083CA"/>
    <pageSetUpPr fitToPage="1"/>
  </sheetPr>
  <dimension ref="A1:AD101"/>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9.42578125" style="272" hidden="1" customWidth="1" outlineLevel="1"/>
    <col min="3" max="3" width="8.28515625" style="273" hidden="1" customWidth="1" outlineLevel="1"/>
    <col min="4" max="4" width="6.28515625" style="273" hidden="1" customWidth="1" outlineLevel="1"/>
    <col min="5" max="5" width="13.7109375" style="273" hidden="1" customWidth="1" outlineLevel="1"/>
    <col min="6" max="6" width="12.28515625" style="273" hidden="1" customWidth="1" outlineLevel="1"/>
    <col min="7" max="7" width="17.28515625" style="272" hidden="1" customWidth="1" outlineLevel="1"/>
    <col min="8" max="8" width="17.28515625" style="274" customWidth="1" collapsed="1"/>
    <col min="9" max="9" width="23.5703125" style="274" customWidth="1"/>
    <col min="10" max="10" width="30" style="274" customWidth="1"/>
    <col min="11" max="11" width="27.140625" style="274" customWidth="1"/>
    <col min="12" max="12" width="11.7109375" style="274" customWidth="1"/>
    <col min="13" max="13" width="10.28515625" style="274" customWidth="1"/>
    <col min="14" max="14" width="14.7109375" style="275" customWidth="1"/>
    <col min="15" max="15" width="14.42578125" style="275" customWidth="1"/>
    <col min="16" max="16" width="31.140625" style="275" customWidth="1"/>
    <col min="17" max="17" width="9.28515625" style="274" customWidth="1"/>
    <col min="18" max="18" width="11.7109375" style="274" customWidth="1"/>
    <col min="19" max="19" width="41.7109375" style="274" customWidth="1"/>
    <col min="20" max="20" width="9" style="274" customWidth="1"/>
    <col min="21" max="21" width="10.28515625" style="274" customWidth="1"/>
    <col min="22" max="22" width="12.7109375" style="276" customWidth="1"/>
    <col min="23" max="23" width="19.5703125" style="274" customWidth="1"/>
    <col min="24" max="16384" width="18.7109375" style="274"/>
  </cols>
  <sheetData>
    <row r="1" spans="1:30" ht="12.75" customHeight="1">
      <c r="H1" s="168" t="s">
        <v>674</v>
      </c>
    </row>
    <row r="2" spans="1:30" ht="44.25" customHeight="1">
      <c r="E2" s="273" t="str">
        <f>"2019RES_201403_P8T1"</f>
        <v>2019RES_201403_P8T1</v>
      </c>
      <c r="H2" s="630" t="s">
        <v>1686</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Q2" s="270"/>
      <c r="R2" s="270"/>
      <c r="S2" s="270"/>
      <c r="AD2" s="274" t="s">
        <v>272</v>
      </c>
    </row>
    <row r="3" spans="1:30" ht="18" customHeight="1">
      <c r="E3" s="273" t="s">
        <v>471</v>
      </c>
      <c r="F3" s="273" t="b">
        <f>E3=E2</f>
        <v>1</v>
      </c>
      <c r="H3" s="486"/>
      <c r="N3" s="635"/>
      <c r="AD3" s="274" t="s">
        <v>273</v>
      </c>
    </row>
    <row r="4" spans="1:30" s="270" customFormat="1" ht="15.75" customHeight="1">
      <c r="A4" s="2569" t="s">
        <v>131</v>
      </c>
      <c r="B4" s="2570"/>
      <c r="C4" s="2570"/>
      <c r="D4" s="2570"/>
      <c r="E4" s="2570"/>
      <c r="F4" s="2570"/>
      <c r="G4" s="2571"/>
      <c r="H4" s="2706" t="s">
        <v>7</v>
      </c>
      <c r="I4" s="2597"/>
      <c r="J4" s="2597"/>
      <c r="K4" s="2597"/>
      <c r="L4" s="2597"/>
      <c r="M4" s="2707"/>
      <c r="N4" s="2623" t="s">
        <v>127</v>
      </c>
      <c r="O4" s="2594"/>
      <c r="P4" s="2594"/>
      <c r="Q4" s="2624"/>
      <c r="R4" s="2572" t="s">
        <v>129</v>
      </c>
      <c r="S4" s="2573"/>
      <c r="T4" s="2587" t="s">
        <v>130</v>
      </c>
      <c r="U4" s="2588"/>
      <c r="V4" s="2589"/>
    </row>
    <row r="5" spans="1:30" customFormat="1" ht="38.25" customHeight="1" thickBot="1">
      <c r="A5" s="487" t="s">
        <v>0</v>
      </c>
      <c r="B5" s="488" t="s">
        <v>11</v>
      </c>
      <c r="C5" s="489" t="s">
        <v>1</v>
      </c>
      <c r="D5" s="489" t="s">
        <v>2</v>
      </c>
      <c r="E5" s="489" t="s">
        <v>211</v>
      </c>
      <c r="F5" s="489" t="s">
        <v>237</v>
      </c>
      <c r="G5" s="490" t="s">
        <v>12</v>
      </c>
      <c r="H5" s="586" t="s">
        <v>3</v>
      </c>
      <c r="I5" s="586" t="s">
        <v>4</v>
      </c>
      <c r="J5" s="586" t="s">
        <v>5</v>
      </c>
      <c r="K5" s="864" t="s">
        <v>6</v>
      </c>
      <c r="L5" s="864" t="s">
        <v>2781</v>
      </c>
      <c r="M5" s="586" t="s">
        <v>8</v>
      </c>
      <c r="N5" s="851" t="s">
        <v>13</v>
      </c>
      <c r="O5" s="586" t="s">
        <v>14</v>
      </c>
      <c r="P5" s="586" t="s">
        <v>124</v>
      </c>
      <c r="Q5" s="507" t="str">
        <f>"Funder Share: "&amp;Selection!A2&amp;" "&amp;Selection!A3</f>
        <v>Funder Share: Puget Sound Energy Washington</v>
      </c>
      <c r="R5" s="759" t="s">
        <v>550</v>
      </c>
      <c r="S5" s="588" t="s">
        <v>125</v>
      </c>
      <c r="T5" s="587" t="s">
        <v>126</v>
      </c>
      <c r="U5" s="586" t="s">
        <v>18</v>
      </c>
      <c r="V5" s="589" t="s">
        <v>17</v>
      </c>
    </row>
    <row r="6" spans="1:30" customFormat="1" ht="12.75" customHeight="1" thickTop="1">
      <c r="A6" s="412" t="s">
        <v>501</v>
      </c>
      <c r="B6" s="413" t="str">
        <f t="shared" ref="B6:B27" si="0">LEFT(A6,10)</f>
        <v>RES_201403</v>
      </c>
      <c r="C6" s="413">
        <v>0</v>
      </c>
      <c r="D6" s="413">
        <v>0</v>
      </c>
      <c r="E6" s="413">
        <f t="shared" ref="E6:E51" si="1">COUNTIFS($A:$A,A6,$M:$M,M6)</f>
        <v>1</v>
      </c>
      <c r="F6" s="413">
        <v>1</v>
      </c>
      <c r="G6" s="413" t="b">
        <v>1</v>
      </c>
      <c r="H6" s="1358" t="str">
        <f>IF(LEFT(A6,3)="Res","Residential",IF(LEFT(A6,3)="Ind","industrial",IF(LEFT(A6,3)="Com","Commercial",IF(LEFT(A6,3)="AGR","Agriculture",""))))</f>
        <v>Residential</v>
      </c>
      <c r="I6" s="347" t="str">
        <f>INDEX('AMMO Measures'!B:B,MATCH($A6,'AMMO Measures'!$A:$A,0))</f>
        <v>Retail Product Portfolio</v>
      </c>
      <c r="J6" s="347" t="str">
        <f>INDEX('AMMO Measures'!C:C,MATCH($A6,'AMMO Measures'!$A:$A,0))</f>
        <v>Freezers- Compact</v>
      </c>
      <c r="K6" s="347" t="str">
        <f>INDEX('AMMO Measures'!D:D,MATCH($A6,'AMMO Measures'!$A:$A,0))</f>
        <v>ENERGY STAR v5</v>
      </c>
      <c r="L6" s="347">
        <f>VALUE(INDEX('AMMO Measures'!H:H,MATCH($A6,'AMMO Measures'!A:A,0)))</f>
        <v>6.5</v>
      </c>
      <c r="M6" s="23">
        <v>2022</v>
      </c>
      <c r="N6" s="1978">
        <f>GETPIVOTDATA("Units",'AMMO Units'!$A$3,"Year",$M6,"Measure Index",$A6,"Savings Category","Regional_Market_2021PP")</f>
        <v>3886.4699854099999</v>
      </c>
      <c r="O6" s="1979">
        <f>GETPIVOTDATA("Units",'AMMO Units'!$A$3,"Year",$M6,"Measure Index",$A6,"Savings Category","Local_Incentives_2021PP")</f>
        <v>0</v>
      </c>
      <c r="P6" s="215" t="s">
        <v>2783</v>
      </c>
      <c r="Q6" s="445">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5">
        <f>GETPIVOTDATA("Savings Rate",'AMMO Savings Rates'!$A$3,"Year",$M6,"Measure Index",$A6,"Savings Rate Type","Savings_Rate_2021PP")</f>
        <v>21.616066579999998</v>
      </c>
      <c r="S6" s="215" t="s">
        <v>2784</v>
      </c>
      <c r="T6" s="1980">
        <f>(N6)*Q6*R6/8760000</f>
        <v>1.3412476811963598E-3</v>
      </c>
      <c r="U6" s="1981">
        <f>IFERROR((O6)*Q6*R6/8760/1000,0)</f>
        <v>0</v>
      </c>
      <c r="V6" s="1982">
        <f t="shared" ref="V6:V7" si="2">T6-U6</f>
        <v>1.3412476811963598E-3</v>
      </c>
    </row>
    <row r="7" spans="1:30" customFormat="1" ht="12.75" customHeight="1">
      <c r="A7" s="417" t="s">
        <v>502</v>
      </c>
      <c r="B7" s="311" t="str">
        <f t="shared" si="0"/>
        <v>RES_201403</v>
      </c>
      <c r="C7" s="311">
        <v>0</v>
      </c>
      <c r="D7" s="311">
        <v>0</v>
      </c>
      <c r="E7" s="311">
        <f t="shared" si="1"/>
        <v>1</v>
      </c>
      <c r="F7" s="311">
        <v>1</v>
      </c>
      <c r="G7" s="311" t="b">
        <v>1</v>
      </c>
      <c r="H7" s="1359" t="str">
        <f t="shared" ref="H7:H11" si="3">IF(LEFT(A7,3)="Res","Residential",IF(LEFT(A7,3)="Ind","industrial",IF(LEFT(A7,3)="Com","Commercial",IF(LEFT(A7,3)="AGR","Agriculture",""))))</f>
        <v>Residential</v>
      </c>
      <c r="I7" s="314" t="str">
        <f>INDEX('AMMO Measures'!B:B,MATCH($A7,'AMMO Measures'!A:A,0))</f>
        <v>Retail Product Portfolio</v>
      </c>
      <c r="J7" s="314" t="str">
        <f>INDEX('AMMO Measures'!C:C,MATCH($A7,'AMMO Measures'!$A:$A,0))</f>
        <v>Freezers- Compact</v>
      </c>
      <c r="K7" s="314" t="str">
        <f>INDEX('AMMO Measures'!D:D,MATCH($A7,'AMMO Measures'!$A:$A,0))</f>
        <v>ENERGY STAR v5 +5%</v>
      </c>
      <c r="L7" s="314">
        <f>VALUE(INDEX('AMMO Measures'!H:H,MATCH($A7,'AMMO Measures'!A:A,0)))</f>
        <v>6.5</v>
      </c>
      <c r="M7" s="24">
        <v>2022</v>
      </c>
      <c r="N7" s="322">
        <f>GETPIVOTDATA("Units",'AMMO Units'!$A$3,"Year",$M7,"Measure Index",$A7,"Savings Category","Regional_Market_2021PP")</f>
        <v>43.871596879999998</v>
      </c>
      <c r="O7" s="323">
        <f>GETPIVOTDATA("Units",'AMMO Units'!$A$3,"Year",$M7,"Measure Index",$A7,"Savings Category","Local_Incentives_2021PP")</f>
        <v>0</v>
      </c>
      <c r="P7" s="216" t="s">
        <v>2783</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6">
        <f>GETPIVOTDATA("Savings Rate",'AMMO Savings Rates'!$A$3,"Year",$M7,"Measure Index",$A7,"Savings Rate Type","Savings_Rate_2021PP")</f>
        <v>44.790115290000003</v>
      </c>
      <c r="S7" s="217" t="s">
        <v>2784</v>
      </c>
      <c r="T7" s="1371">
        <f t="shared" ref="T7:T17" si="4">(N7)*Q7*R7/8760000</f>
        <v>3.1372029852806639E-5</v>
      </c>
      <c r="U7" s="1372">
        <f t="shared" ref="U7:U17" si="5">IFERROR((O7)*Q7*R7/8760/1000,0)</f>
        <v>0</v>
      </c>
      <c r="V7" s="320">
        <f t="shared" si="2"/>
        <v>3.1372029852806639E-5</v>
      </c>
    </row>
    <row r="8" spans="1:30" customFormat="1" ht="12.75" customHeight="1">
      <c r="A8" s="417" t="s">
        <v>501</v>
      </c>
      <c r="B8" s="311" t="str">
        <f t="shared" si="0"/>
        <v>RES_201403</v>
      </c>
      <c r="C8" s="311">
        <v>0</v>
      </c>
      <c r="D8" s="311">
        <v>0</v>
      </c>
      <c r="E8" s="311">
        <f t="shared" si="1"/>
        <v>1</v>
      </c>
      <c r="F8" s="311">
        <v>1</v>
      </c>
      <c r="G8" s="311" t="b">
        <v>1</v>
      </c>
      <c r="H8" s="1359" t="str">
        <f t="shared" si="3"/>
        <v>Residential</v>
      </c>
      <c r="I8" s="314" t="str">
        <f>INDEX('AMMO Measures'!B:B,MATCH($A8,'AMMO Measures'!A:A,0))</f>
        <v>Retail Product Portfolio</v>
      </c>
      <c r="J8" s="314" t="str">
        <f>INDEX('AMMO Measures'!C:C,MATCH($A8,'AMMO Measures'!$A:$A,0))</f>
        <v>Freezers- Compact</v>
      </c>
      <c r="K8" s="314" t="str">
        <f>INDEX('AMMO Measures'!D:D,MATCH($A8,'AMMO Measures'!$A:$A,0))</f>
        <v>ENERGY STAR v5</v>
      </c>
      <c r="L8" s="314">
        <f>VALUE(INDEX('AMMO Measures'!H:H,MATCH($A8,'AMMO Measures'!A:A,0)))</f>
        <v>6.5</v>
      </c>
      <c r="M8" s="880">
        <v>2023</v>
      </c>
      <c r="N8" s="322">
        <f>GETPIVOTDATA("Units",'AMMO Units'!$A$3,"Year",$M8,"Measure Index",$A8,"Savings Category","Regional_Market_2021PP")</f>
        <v>4933.6012024399997</v>
      </c>
      <c r="O8" s="323">
        <f>GETPIVOTDATA("Units",'AMMO Units'!$A$3,"Year",$M8,"Measure Index",$A8,"Savings Category","Local_Incentives_2021PP")</f>
        <v>0</v>
      </c>
      <c r="P8" s="216" t="s">
        <v>2783</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6">
        <f>GETPIVOTDATA("Savings Rate",'AMMO Savings Rates'!$A$3,"Year",$M8,"Measure Index",$A8,"Savings Rate Type","Savings_Rate_2021PP")</f>
        <v>21.616066579999998</v>
      </c>
      <c r="S8" s="216" t="s">
        <v>2784</v>
      </c>
      <c r="T8" s="1371">
        <f t="shared" si="4"/>
        <v>1.7026199089563139E-3</v>
      </c>
      <c r="U8" s="1372">
        <f t="shared" si="5"/>
        <v>0</v>
      </c>
      <c r="V8" s="320">
        <f>T8-U8</f>
        <v>1.7026199089563139E-3</v>
      </c>
    </row>
    <row r="9" spans="1:30" s="294" customFormat="1" ht="12.75" customHeight="1">
      <c r="A9" s="417" t="s">
        <v>502</v>
      </c>
      <c r="B9" s="311" t="str">
        <f t="shared" si="0"/>
        <v>RES_201403</v>
      </c>
      <c r="C9" s="311">
        <v>0</v>
      </c>
      <c r="D9" s="311">
        <v>0</v>
      </c>
      <c r="E9" s="311">
        <f t="shared" si="1"/>
        <v>1</v>
      </c>
      <c r="F9" s="311">
        <v>1</v>
      </c>
      <c r="G9" s="311" t="b">
        <v>1</v>
      </c>
      <c r="H9" s="1360" t="str">
        <f t="shared" si="3"/>
        <v>Residential</v>
      </c>
      <c r="I9" s="314" t="str">
        <f>INDEX('AMMO Measures'!B:B,MATCH($A9,'AMMO Measures'!A:A,0))</f>
        <v>Retail Product Portfolio</v>
      </c>
      <c r="J9" s="314" t="str">
        <f>INDEX('AMMO Measures'!C:C,MATCH($A9,'AMMO Measures'!$A:$A,0))</f>
        <v>Freezers- Compact</v>
      </c>
      <c r="K9" s="314" t="str">
        <f>INDEX('AMMO Measures'!D:D,MATCH($A9,'AMMO Measures'!$A:$A,0))</f>
        <v>ENERGY STAR v5 +5%</v>
      </c>
      <c r="L9" s="314">
        <f>VALUE(INDEX('AMMO Measures'!H:H,MATCH($A9,'AMMO Measures'!A:A,0)))</f>
        <v>6.5</v>
      </c>
      <c r="M9" s="880">
        <v>2023</v>
      </c>
      <c r="N9" s="322">
        <f>GETPIVOTDATA("Units",'AMMO Units'!$A$3,"Year",$M9,"Measure Index",$A9,"Savings Category","Regional_Market_2021PP")</f>
        <v>63.572335539999997</v>
      </c>
      <c r="O9" s="323">
        <f>GETPIVOTDATA("Units",'AMMO Units'!$A$3,"Year",$M9,"Measure Index",$A9,"Savings Category","Local_Incentives_2021PP")</f>
        <v>0</v>
      </c>
      <c r="P9" s="216" t="s">
        <v>2783</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6">
        <f>GETPIVOTDATA("Savings Rate",'AMMO Savings Rates'!$A$3,"Year",$M9,"Measure Index",$A9,"Savings Rate Type","Savings_Rate_2021PP")</f>
        <v>44.790115290000003</v>
      </c>
      <c r="S9" s="217" t="s">
        <v>2784</v>
      </c>
      <c r="T9" s="1371">
        <f t="shared" si="4"/>
        <v>4.5459781503479212E-5</v>
      </c>
      <c r="U9" s="1372">
        <f t="shared" si="5"/>
        <v>0</v>
      </c>
      <c r="V9" s="1983">
        <f t="shared" ref="V9:V22" si="6">T9-U9</f>
        <v>4.5459781503479212E-5</v>
      </c>
    </row>
    <row r="10" spans="1:30" s="294" customFormat="1" ht="12.75" customHeight="1">
      <c r="A10" s="417" t="s">
        <v>503</v>
      </c>
      <c r="B10" s="311" t="str">
        <f t="shared" si="0"/>
        <v>RES_201403</v>
      </c>
      <c r="C10" s="311">
        <v>0</v>
      </c>
      <c r="D10" s="311">
        <v>0</v>
      </c>
      <c r="E10" s="311">
        <f t="shared" si="1"/>
        <v>1</v>
      </c>
      <c r="F10" s="311">
        <v>1</v>
      </c>
      <c r="G10" s="311" t="b">
        <v>1</v>
      </c>
      <c r="H10" s="1361" t="str">
        <f t="shared" si="3"/>
        <v>Residential</v>
      </c>
      <c r="I10" s="314" t="str">
        <f>INDEX('AMMO Measures'!B:B,MATCH($A10,'AMMO Measures'!A:A,0))</f>
        <v>Retail Product Portfolio</v>
      </c>
      <c r="J10" s="314" t="str">
        <f>INDEX('AMMO Measures'!C:C,MATCH($A10,'AMMO Measures'!$A:$A,0))</f>
        <v>Freezers- Upright</v>
      </c>
      <c r="K10" s="314" t="str">
        <f>INDEX('AMMO Measures'!D:D,MATCH($A10,'AMMO Measures'!$A:$A,0))</f>
        <v>ENERGY STAR v5</v>
      </c>
      <c r="L10" s="314">
        <f>VALUE(INDEX('AMMO Measures'!H:H,MATCH($A10,'AMMO Measures'!A:A,0)))</f>
        <v>22</v>
      </c>
      <c r="M10" s="880">
        <v>2022</v>
      </c>
      <c r="N10" s="322">
        <f>GETPIVOTDATA("Units",'AMMO Units'!$A$3,"Year",$M10,"Measure Index",$A10,"Savings Category","Regional_Market_2021PP")</f>
        <v>12360.58163721</v>
      </c>
      <c r="O10" s="323">
        <f>GETPIVOTDATA("Units",'AMMO Units'!$A$3,"Year",$M10,"Measure Index",$A10,"Savings Category","Local_Incentives_2021PP")</f>
        <v>0</v>
      </c>
      <c r="P10" s="216" t="s">
        <v>2783</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6">
        <f>GETPIVOTDATA("Savings Rate",'AMMO Savings Rates'!$A$3,"Year",$M10,"Measure Index",$A10,"Savings Rate Type","Savings_Rate_2021PP")</f>
        <v>35.752220960000002</v>
      </c>
      <c r="S10" s="218" t="s">
        <v>2784</v>
      </c>
      <c r="T10" s="1371">
        <f t="shared" si="4"/>
        <v>7.0553559585460335E-3</v>
      </c>
      <c r="U10" s="1372">
        <f t="shared" si="5"/>
        <v>0</v>
      </c>
      <c r="V10" s="352">
        <f t="shared" si="6"/>
        <v>7.0553559585460335E-3</v>
      </c>
    </row>
    <row r="11" spans="1:30" s="294" customFormat="1" ht="12.75" customHeight="1">
      <c r="A11" s="417" t="s">
        <v>504</v>
      </c>
      <c r="B11" s="311" t="str">
        <f t="shared" si="0"/>
        <v>RES_201403</v>
      </c>
      <c r="C11" s="311">
        <v>0</v>
      </c>
      <c r="D11" s="311">
        <v>0</v>
      </c>
      <c r="E11" s="311">
        <f t="shared" si="1"/>
        <v>1</v>
      </c>
      <c r="F11" s="311">
        <v>1</v>
      </c>
      <c r="G11" s="311" t="b">
        <v>1</v>
      </c>
      <c r="H11" s="1359" t="str">
        <f t="shared" si="3"/>
        <v>Residential</v>
      </c>
      <c r="I11" s="314" t="str">
        <f>INDEX('AMMO Measures'!B:B,MATCH($A11,'AMMO Measures'!A:A,0))</f>
        <v>Retail Product Portfolio</v>
      </c>
      <c r="J11" s="314" t="str">
        <f>INDEX('AMMO Measures'!C:C,MATCH($A11,'AMMO Measures'!$A:$A,0))</f>
        <v>Freezers- Upright</v>
      </c>
      <c r="K11" s="314" t="str">
        <f>INDEX('AMMO Measures'!D:D,MATCH($A11,'AMMO Measures'!$A:$A,0))</f>
        <v>ENERGY STAR v5 +5%</v>
      </c>
      <c r="L11" s="314">
        <f>VALUE(INDEX('AMMO Measures'!H:H,MATCH($A11,'AMMO Measures'!A:A,0)))</f>
        <v>22</v>
      </c>
      <c r="M11" s="880">
        <v>2022</v>
      </c>
      <c r="N11" s="322">
        <f>GETPIVOTDATA("Units",'AMMO Units'!$A$3,"Year",$M11,"Measure Index",$A11,"Savings Category","Regional_Market_2021PP")</f>
        <v>1625.9321781399999</v>
      </c>
      <c r="O11" s="323">
        <f>GETPIVOTDATA("Units",'AMMO Units'!$A$3,"Year",$M11,"Measure Index",$A11,"Savings Category","Local_Incentives_2021PP")</f>
        <v>0</v>
      </c>
      <c r="P11" s="216" t="s">
        <v>2783</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6">
        <f>GETPIVOTDATA("Savings Rate",'AMMO Savings Rates'!$A$3,"Year",$M11,"Measure Index",$A11,"Savings Rate Type","Savings_Rate_2021PP")</f>
        <v>101.96812629999999</v>
      </c>
      <c r="S11" s="217" t="s">
        <v>2784</v>
      </c>
      <c r="T11" s="1371">
        <f t="shared" si="4"/>
        <v>2.646938567158186E-3</v>
      </c>
      <c r="U11" s="1372">
        <f t="shared" si="5"/>
        <v>0</v>
      </c>
      <c r="V11" s="320">
        <f t="shared" si="6"/>
        <v>2.646938567158186E-3</v>
      </c>
    </row>
    <row r="12" spans="1:30" s="294" customFormat="1" ht="12.75" customHeight="1">
      <c r="A12" s="417" t="s">
        <v>503</v>
      </c>
      <c r="B12" s="311" t="str">
        <f t="shared" si="0"/>
        <v>RES_201403</v>
      </c>
      <c r="C12" s="311">
        <v>0</v>
      </c>
      <c r="D12" s="311">
        <v>0</v>
      </c>
      <c r="E12" s="311">
        <f t="shared" si="1"/>
        <v>1</v>
      </c>
      <c r="F12" s="311">
        <v>1</v>
      </c>
      <c r="G12" s="311" t="b">
        <v>1</v>
      </c>
      <c r="H12" s="1359" t="str">
        <f>IF(LEFT(A12,3)="Res","Residential",IF(LEFT(A12,3)="Ind","industrial",IF(LEFT(A12,3)="Com","Commercial",IF(LEFT(A12,3)="AGR","Agriculture",""))))</f>
        <v>Residential</v>
      </c>
      <c r="I12" s="314" t="str">
        <f>INDEX('AMMO Measures'!B:B,MATCH($A12,'AMMO Measures'!A:A,0))</f>
        <v>Retail Product Portfolio</v>
      </c>
      <c r="J12" s="314" t="str">
        <f>INDEX('AMMO Measures'!C:C,MATCH($A12,'AMMO Measures'!$A:$A,0))</f>
        <v>Freezers- Upright</v>
      </c>
      <c r="K12" s="314" t="str">
        <f>INDEX('AMMO Measures'!D:D,MATCH($A12,'AMMO Measures'!$A:$A,0))</f>
        <v>ENERGY STAR v5</v>
      </c>
      <c r="L12" s="314">
        <f>VALUE(INDEX('AMMO Measures'!H:H,MATCH($A12,'AMMO Measures'!A:A,0)))</f>
        <v>22</v>
      </c>
      <c r="M12" s="880">
        <v>2023</v>
      </c>
      <c r="N12" s="322">
        <f>GETPIVOTDATA("Units",'AMMO Units'!$A$3,"Year",$M12,"Measure Index",$A12,"Savings Category","Regional_Market_2021PP")</f>
        <v>14624.780572940001</v>
      </c>
      <c r="O12" s="323">
        <f>GETPIVOTDATA("Units",'AMMO Units'!$A$3,"Year",$M12,"Measure Index",$A12,"Savings Category","Local_Incentives_2021PP")</f>
        <v>0</v>
      </c>
      <c r="P12" s="216" t="s">
        <v>2783</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6">
        <f>GETPIVOTDATA("Savings Rate",'AMMO Savings Rates'!$A$3,"Year",$M12,"Measure Index",$A12,"Savings Rate Type","Savings_Rate_2021PP")</f>
        <v>35.752220960000002</v>
      </c>
      <c r="S12" s="216" t="s">
        <v>2784</v>
      </c>
      <c r="T12" s="1371">
        <f t="shared" si="4"/>
        <v>8.3477489802826731E-3</v>
      </c>
      <c r="U12" s="1372">
        <f t="shared" si="5"/>
        <v>0</v>
      </c>
      <c r="V12" s="320">
        <f t="shared" si="6"/>
        <v>8.3477489802826731E-3</v>
      </c>
    </row>
    <row r="13" spans="1:30" s="294" customFormat="1" ht="12.75" customHeight="1">
      <c r="A13" s="417" t="s">
        <v>504</v>
      </c>
      <c r="B13" s="311" t="str">
        <f t="shared" si="0"/>
        <v>RES_201403</v>
      </c>
      <c r="C13" s="311">
        <v>0</v>
      </c>
      <c r="D13" s="311">
        <v>0</v>
      </c>
      <c r="E13" s="311">
        <f t="shared" si="1"/>
        <v>1</v>
      </c>
      <c r="F13" s="311">
        <v>1</v>
      </c>
      <c r="G13" s="311" t="b">
        <v>1</v>
      </c>
      <c r="H13" s="1360" t="str">
        <f t="shared" ref="H13:H22" si="7">IF(LEFT(A13,3)="Res","Residential",IF(LEFT(A13,3)="Ind","industrial",IF(LEFT(A13,3)="Com","Commercial",IF(LEFT(A13,3)="AGR","Agriculture",""))))</f>
        <v>Residential</v>
      </c>
      <c r="I13" s="314" t="str">
        <f>INDEX('AMMO Measures'!B:B,MATCH($A13,'AMMO Measures'!A:A,0))</f>
        <v>Retail Product Portfolio</v>
      </c>
      <c r="J13" s="314" t="str">
        <f>INDEX('AMMO Measures'!C:C,MATCH($A13,'AMMO Measures'!$A:$A,0))</f>
        <v>Freezers- Upright</v>
      </c>
      <c r="K13" s="314" t="str">
        <f>INDEX('AMMO Measures'!D:D,MATCH($A13,'AMMO Measures'!$A:$A,0))</f>
        <v>ENERGY STAR v5 +5%</v>
      </c>
      <c r="L13" s="314">
        <f>VALUE(INDEX('AMMO Measures'!H:H,MATCH($A13,'AMMO Measures'!A:A,0)))</f>
        <v>22</v>
      </c>
      <c r="M13" s="880">
        <v>2023</v>
      </c>
      <c r="N13" s="322">
        <f>GETPIVOTDATA("Units",'AMMO Units'!$A$3,"Year",$M13,"Measure Index",$A13,"Savings Category","Regional_Market_2021PP")</f>
        <v>3731.8616750599999</v>
      </c>
      <c r="O13" s="323">
        <f>GETPIVOTDATA("Units",'AMMO Units'!$A$3,"Year",$M13,"Measure Index",$A13,"Savings Category","Local_Incentives_2021PP")</f>
        <v>0</v>
      </c>
      <c r="P13" s="216" t="s">
        <v>2783</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6">
        <f>GETPIVOTDATA("Savings Rate",'AMMO Savings Rates'!$A$3,"Year",$M13,"Measure Index",$A13,"Savings Rate Type","Savings_Rate_2021PP")</f>
        <v>101.96812629999999</v>
      </c>
      <c r="S13" s="217" t="s">
        <v>2784</v>
      </c>
      <c r="T13" s="1371">
        <f t="shared" si="4"/>
        <v>6.0752894418486161E-3</v>
      </c>
      <c r="U13" s="1372">
        <f t="shared" si="5"/>
        <v>0</v>
      </c>
      <c r="V13" s="1983">
        <f t="shared" si="6"/>
        <v>6.0752894418486161E-3</v>
      </c>
    </row>
    <row r="14" spans="1:30" s="294" customFormat="1" ht="12.75" customHeight="1">
      <c r="A14" s="417" t="s">
        <v>505</v>
      </c>
      <c r="B14" s="311" t="str">
        <f t="shared" si="0"/>
        <v>RES_201403</v>
      </c>
      <c r="C14" s="311">
        <v>0</v>
      </c>
      <c r="D14" s="311">
        <v>0</v>
      </c>
      <c r="E14" s="311">
        <f t="shared" si="1"/>
        <v>1</v>
      </c>
      <c r="F14" s="311">
        <v>1</v>
      </c>
      <c r="G14" s="311" t="b">
        <v>1</v>
      </c>
      <c r="H14" s="1361" t="str">
        <f t="shared" si="7"/>
        <v>Residential</v>
      </c>
      <c r="I14" s="314" t="str">
        <f>INDEX('AMMO Measures'!B:B,MATCH($A14,'AMMO Measures'!A:A,0))</f>
        <v>Retail Product Portfolio</v>
      </c>
      <c r="J14" s="314" t="str">
        <f>INDEX('AMMO Measures'!C:C,MATCH($A14,'AMMO Measures'!$A:$A,0))</f>
        <v>Freezers- Chest</v>
      </c>
      <c r="K14" s="314" t="str">
        <f>INDEX('AMMO Measures'!D:D,MATCH($A14,'AMMO Measures'!$A:$A,0))</f>
        <v>ENERGY STAR v5</v>
      </c>
      <c r="L14" s="314">
        <f>VALUE(INDEX('AMMO Measures'!H:H,MATCH($A14,'AMMO Measures'!A:A,0)))</f>
        <v>22</v>
      </c>
      <c r="M14" s="880">
        <v>2022</v>
      </c>
      <c r="N14" s="322">
        <f>GETPIVOTDATA("Units",'AMMO Units'!$A$3,"Year",$M14,"Measure Index",$A14,"Savings Category","Regional_Market_2021PP")</f>
        <v>1908.1900012399999</v>
      </c>
      <c r="O14" s="323">
        <f>GETPIVOTDATA("Units",'AMMO Units'!$A$3,"Year",$M14,"Measure Index",$A14,"Savings Category","Local_Incentives_2021PP")</f>
        <v>0</v>
      </c>
      <c r="P14" s="216" t="s">
        <v>2783</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1476">
        <f>GETPIVOTDATA("Savings Rate",'AMMO Savings Rates'!$A$3,"Year",$M14,"Measure Index",$A14,"Savings Rate Type","Savings_Rate_2021PP")</f>
        <v>24.641119249999999</v>
      </c>
      <c r="S14" s="218" t="s">
        <v>2784</v>
      </c>
      <c r="T14" s="1371">
        <f t="shared" si="4"/>
        <v>7.5068725583654671E-4</v>
      </c>
      <c r="U14" s="1372">
        <f t="shared" si="5"/>
        <v>0</v>
      </c>
      <c r="V14" s="352">
        <f t="shared" si="6"/>
        <v>7.5068725583654671E-4</v>
      </c>
    </row>
    <row r="15" spans="1:30" s="294" customFormat="1" ht="12.75" customHeight="1">
      <c r="A15" s="417" t="s">
        <v>506</v>
      </c>
      <c r="B15" s="311" t="str">
        <f t="shared" si="0"/>
        <v>RES_201403</v>
      </c>
      <c r="C15" s="311">
        <v>0</v>
      </c>
      <c r="D15" s="311">
        <v>0</v>
      </c>
      <c r="E15" s="311">
        <f t="shared" si="1"/>
        <v>1</v>
      </c>
      <c r="F15" s="311">
        <v>1</v>
      </c>
      <c r="G15" s="311" t="b">
        <v>1</v>
      </c>
      <c r="H15" s="1359" t="str">
        <f t="shared" si="7"/>
        <v>Residential</v>
      </c>
      <c r="I15" s="314" t="str">
        <f>INDEX('AMMO Measures'!B:B,MATCH($A15,'AMMO Measures'!A:A,0))</f>
        <v>Retail Product Portfolio</v>
      </c>
      <c r="J15" s="314" t="str">
        <f>INDEX('AMMO Measures'!C:C,MATCH($A15,'AMMO Measures'!$A:$A,0))</f>
        <v>Freezers- Chest</v>
      </c>
      <c r="K15" s="314" t="str">
        <f>INDEX('AMMO Measures'!D:D,MATCH($A15,'AMMO Measures'!$A:$A,0))</f>
        <v>ENERGY STAR v5 +5%</v>
      </c>
      <c r="L15" s="314">
        <f>VALUE(INDEX('AMMO Measures'!H:H,MATCH($A15,'AMMO Measures'!A:A,0)))</f>
        <v>22</v>
      </c>
      <c r="M15" s="880">
        <v>2022</v>
      </c>
      <c r="N15" s="322">
        <f>GETPIVOTDATA("Units",'AMMO Units'!$A$3,"Year",$M15,"Measure Index",$A15,"Savings Category","Regional_Market_2021PP")</f>
        <v>2.8439357699999999</v>
      </c>
      <c r="O15" s="323">
        <f>GETPIVOTDATA("Units",'AMMO Units'!$A$3,"Year",$M15,"Measure Index",$A15,"Savings Category","Local_Incentives_2021PP")</f>
        <v>0</v>
      </c>
      <c r="P15" s="216" t="s">
        <v>2783</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6">
        <f>GETPIVOTDATA("Savings Rate",'AMMO Savings Rates'!$A$3,"Year",$M15,"Measure Index",$A15,"Savings Rate Type","Savings_Rate_2021PP")</f>
        <v>51.916314100000001</v>
      </c>
      <c r="S15" s="218" t="s">
        <v>2784</v>
      </c>
      <c r="T15" s="1371">
        <f t="shared" si="4"/>
        <v>2.3572227923225245E-6</v>
      </c>
      <c r="U15" s="1372">
        <f t="shared" si="5"/>
        <v>0</v>
      </c>
      <c r="V15" s="320">
        <f t="shared" si="6"/>
        <v>2.3572227923225245E-6</v>
      </c>
    </row>
    <row r="16" spans="1:30" s="294" customFormat="1" ht="12.75" customHeight="1">
      <c r="A16" s="417" t="s">
        <v>505</v>
      </c>
      <c r="B16" s="311" t="str">
        <f t="shared" si="0"/>
        <v>RES_201403</v>
      </c>
      <c r="C16" s="311">
        <v>0</v>
      </c>
      <c r="D16" s="311">
        <v>0</v>
      </c>
      <c r="E16" s="311">
        <f t="shared" si="1"/>
        <v>1</v>
      </c>
      <c r="F16" s="311">
        <v>1</v>
      </c>
      <c r="G16" s="311" t="b">
        <v>1</v>
      </c>
      <c r="H16" s="1359" t="str">
        <f t="shared" si="7"/>
        <v>Residential</v>
      </c>
      <c r="I16" s="314" t="str">
        <f>INDEX('AMMO Measures'!B:B,MATCH($A16,'AMMO Measures'!A:A,0))</f>
        <v>Retail Product Portfolio</v>
      </c>
      <c r="J16" s="314" t="str">
        <f>INDEX('AMMO Measures'!C:C,MATCH($A16,'AMMO Measures'!$A:$A,0))</f>
        <v>Freezers- Chest</v>
      </c>
      <c r="K16" s="314" t="str">
        <f>INDEX('AMMO Measures'!D:D,MATCH($A16,'AMMO Measures'!$A:$A,0))</f>
        <v>ENERGY STAR v5</v>
      </c>
      <c r="L16" s="314">
        <f>VALUE(INDEX('AMMO Measures'!H:H,MATCH($A16,'AMMO Measures'!A:A,0)))</f>
        <v>22</v>
      </c>
      <c r="M16" s="880">
        <v>2023</v>
      </c>
      <c r="N16" s="322">
        <f>GETPIVOTDATA("Units",'AMMO Units'!$A$3,"Year",$M16,"Measure Index",$A16,"Savings Category","Regional_Market_2021PP")</f>
        <v>2329.75393055</v>
      </c>
      <c r="O16" s="323">
        <f>GETPIVOTDATA("Units",'AMMO Units'!$A$3,"Year",$M16,"Measure Index",$A16,"Savings Category","Local_Incentives_2021PP")</f>
        <v>0</v>
      </c>
      <c r="P16" s="216" t="s">
        <v>2783</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6">
        <f>GETPIVOTDATA("Savings Rate",'AMMO Savings Rates'!$A$3,"Year",$M16,"Measure Index",$A16,"Savings Rate Type","Savings_Rate_2021PP")</f>
        <v>24.641119249999999</v>
      </c>
      <c r="S16" s="218" t="s">
        <v>2784</v>
      </c>
      <c r="T16" s="1371">
        <f t="shared" si="4"/>
        <v>9.1653167858677016E-4</v>
      </c>
      <c r="U16" s="1372">
        <f t="shared" si="5"/>
        <v>0</v>
      </c>
      <c r="V16" s="320">
        <f t="shared" si="6"/>
        <v>9.1653167858677016E-4</v>
      </c>
    </row>
    <row r="17" spans="1:23" s="294" customFormat="1" ht="12.75" customHeight="1">
      <c r="A17" s="417" t="s">
        <v>506</v>
      </c>
      <c r="B17" s="311" t="str">
        <f t="shared" si="0"/>
        <v>RES_201403</v>
      </c>
      <c r="C17" s="311">
        <v>0</v>
      </c>
      <c r="D17" s="311">
        <v>0</v>
      </c>
      <c r="E17" s="311">
        <f t="shared" si="1"/>
        <v>1</v>
      </c>
      <c r="F17" s="311">
        <v>1</v>
      </c>
      <c r="G17" s="311" t="b">
        <v>1</v>
      </c>
      <c r="H17" s="1362" t="str">
        <f t="shared" si="7"/>
        <v>Residential</v>
      </c>
      <c r="I17" s="1363" t="str">
        <f>INDEX('AMMO Measures'!B:B,MATCH($A17,'AMMO Measures'!A:A,0))</f>
        <v>Retail Product Portfolio</v>
      </c>
      <c r="J17" s="1363" t="str">
        <f>INDEX('AMMO Measures'!C:C,MATCH($A17,'AMMO Measures'!$A:$A,0))</f>
        <v>Freezers- Chest</v>
      </c>
      <c r="K17" s="1363" t="str">
        <f>INDEX('AMMO Measures'!D:D,MATCH($A17,'AMMO Measures'!$A:$A,0))</f>
        <v>ENERGY STAR v5 +5%</v>
      </c>
      <c r="L17" s="1363">
        <f>VALUE(INDEX('AMMO Measures'!H:H,MATCH($A17,'AMMO Measures'!A:A,0)))</f>
        <v>22</v>
      </c>
      <c r="M17" s="1364">
        <v>2023</v>
      </c>
      <c r="N17" s="1783">
        <f>GETPIVOTDATA("Units",'AMMO Units'!$A$3,"Year",$M17,"Measure Index",$A17,"Savings Category","Regional_Market_2021PP")</f>
        <v>6.8992005199999999</v>
      </c>
      <c r="O17" s="1784">
        <f>GETPIVOTDATA("Units",'AMMO Units'!$A$3,"Year",$M17,"Measure Index",$A17,"Savings Category","Local_Incentives_2021PP")</f>
        <v>0</v>
      </c>
      <c r="P17" s="217" t="s">
        <v>2783</v>
      </c>
      <c r="Q17" s="178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786">
        <f>GETPIVOTDATA("Savings Rate",'AMMO Savings Rates'!$A$3,"Year",$M17,"Measure Index",$A17,"Savings Rate Type","Savings_Rate_2021PP")</f>
        <v>51.916314079999999</v>
      </c>
      <c r="S17" s="1787" t="s">
        <v>2784</v>
      </c>
      <c r="T17" s="1788">
        <f t="shared" si="4"/>
        <v>5.7184669498644647E-6</v>
      </c>
      <c r="U17" s="1789">
        <f t="shared" si="5"/>
        <v>0</v>
      </c>
      <c r="V17" s="1983">
        <f t="shared" si="6"/>
        <v>5.7184669498644647E-6</v>
      </c>
    </row>
    <row r="18" spans="1:23" s="294" customFormat="1" ht="12.75" customHeight="1">
      <c r="A18" s="417" t="s">
        <v>95</v>
      </c>
      <c r="B18" s="311" t="str">
        <f t="shared" si="0"/>
        <v>RES_201403</v>
      </c>
      <c r="C18" s="311">
        <v>0</v>
      </c>
      <c r="D18" s="311">
        <v>0</v>
      </c>
      <c r="E18" s="311">
        <f t="shared" si="1"/>
        <v>1</v>
      </c>
      <c r="F18" s="311">
        <v>1</v>
      </c>
      <c r="G18" s="311" t="b">
        <v>1</v>
      </c>
      <c r="H18" s="1365" t="str">
        <f t="shared" si="7"/>
        <v>Residential</v>
      </c>
      <c r="I18" s="1366" t="str">
        <f>INDEX('AMMO Measures'!B:B,MATCH($A18,'AMMO Measures'!A:A,0))</f>
        <v>Retail Product Portfolio</v>
      </c>
      <c r="J18" s="1366" t="str">
        <f>INDEX('AMMO Measures'!C:C,MATCH($A18,'AMMO Measures'!$A:$A,0))</f>
        <v>Refrigerators- Other</v>
      </c>
      <c r="K18" s="1366" t="str">
        <f>INDEX('AMMO Measures'!D:D,MATCH($A18,'AMMO Measures'!$A:$A,0))</f>
        <v>ENERGY STAR v5</v>
      </c>
      <c r="L18" s="1366">
        <f>VALUE(INDEX('AMMO Measures'!H:H,MATCH($A18,'AMMO Measures'!A:A,0)))</f>
        <v>15.2</v>
      </c>
      <c r="M18" s="1367">
        <v>2022</v>
      </c>
      <c r="N18" s="1790">
        <f>GETPIVOTDATA("Units",'AMMO Units'!$A$3,"Year",$M18,"Measure Index",$A18,"Savings Category","Regional_Market_2021PP")</f>
        <v>4.0000000000000001E-8</v>
      </c>
      <c r="O18" s="1791">
        <f>GETPIVOTDATA("Units",'AMMO Units'!$A$3,"Year",$M18,"Measure Index",$A18,"Savings Category","Local_Incentives_2021PP")</f>
        <v>0</v>
      </c>
      <c r="P18" s="1792" t="s">
        <v>2783</v>
      </c>
      <c r="Q18" s="1793">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794">
        <f>GETPIVOTDATA("Savings Rate",'AMMO Savings Rates'!$A$3,"Year",$M18,"Measure Index",$A18,"Savings Rate Type","Savings_Rate_2021PP")</f>
        <v>5.7231145999999997</v>
      </c>
      <c r="S18" s="1795" t="s">
        <v>2782</v>
      </c>
      <c r="T18" s="1796">
        <f>(N18)*Q18*R18/8760000</f>
        <v>3.6548489292127855E-15</v>
      </c>
      <c r="U18" s="1797">
        <f>IFERROR((O18)*Q18*R18/8760/1000,0)</f>
        <v>0</v>
      </c>
      <c r="V18" s="1798">
        <f t="shared" si="6"/>
        <v>3.6548489292127855E-15</v>
      </c>
    </row>
    <row r="19" spans="1:23" s="294" customFormat="1" ht="12.75" customHeight="1">
      <c r="A19" s="417" t="s">
        <v>96</v>
      </c>
      <c r="B19" s="311" t="str">
        <f t="shared" si="0"/>
        <v>RES_201403</v>
      </c>
      <c r="C19" s="311">
        <v>0</v>
      </c>
      <c r="D19" s="311">
        <v>0</v>
      </c>
      <c r="E19" s="311">
        <f t="shared" si="1"/>
        <v>1</v>
      </c>
      <c r="F19" s="311">
        <v>1</v>
      </c>
      <c r="G19" s="311" t="b">
        <v>1</v>
      </c>
      <c r="H19" s="1368" t="str">
        <f t="shared" si="7"/>
        <v>Residential</v>
      </c>
      <c r="I19" s="362" t="str">
        <f>INDEX('AMMO Measures'!B:B,MATCH($A19,'AMMO Measures'!A:A,0))</f>
        <v>Retail Product Portfolio</v>
      </c>
      <c r="J19" s="362" t="str">
        <f>INDEX('AMMO Measures'!C:C,MATCH($A19,'AMMO Measures'!$A:$A,0))</f>
        <v>Refrigerators- Other</v>
      </c>
      <c r="K19" s="362" t="str">
        <f>INDEX('AMMO Measures'!D:D,MATCH($A19,'AMMO Measures'!$A:$A,0))</f>
        <v>ENERGY STAR Most Efficient</v>
      </c>
      <c r="L19" s="362">
        <f>VALUE(INDEX('AMMO Measures'!H:H,MATCH($A19,'AMMO Measures'!A:A,0)))</f>
        <v>15.2</v>
      </c>
      <c r="M19" s="125">
        <v>2022</v>
      </c>
      <c r="N19" s="322">
        <f>GETPIVOTDATA("Units",'AMMO Units'!$A$3,"Year",$M19,"Measure Index",$A19,"Savings Category","Regional_Market_2021PP")</f>
        <v>85034.356377570002</v>
      </c>
      <c r="O19" s="323">
        <f>GETPIVOTDATA("Units",'AMMO Units'!$A$3,"Year",$M19,"Measure Index",$A19,"Savings Category","Local_Incentives_2021PP")</f>
        <v>0</v>
      </c>
      <c r="P19" s="216" t="s">
        <v>2783</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6">
        <f>GETPIVOTDATA("Savings Rate",'AMMO Savings Rates'!$A$3,"Year",$M19,"Measure Index",$A19,"Savings Rate Type","Savings_Rate_2021PP")</f>
        <v>20.72905729</v>
      </c>
      <c r="S19" s="360" t="s">
        <v>2784</v>
      </c>
      <c r="T19" s="1371">
        <f>(N19)*Q19*R19/8760000</f>
        <v>2.8141742018398863E-2</v>
      </c>
      <c r="U19" s="1372">
        <f>IFERROR((O19*O19)*Q19*R19/8760/1000,0)</f>
        <v>0</v>
      </c>
      <c r="V19" s="363">
        <f t="shared" si="6"/>
        <v>2.8141742018398863E-2</v>
      </c>
    </row>
    <row r="20" spans="1:23" s="294" customFormat="1" ht="12.75" customHeight="1">
      <c r="A20" s="417" t="s">
        <v>449</v>
      </c>
      <c r="B20" s="311" t="str">
        <f t="shared" si="0"/>
        <v>RES_201403</v>
      </c>
      <c r="C20" s="311">
        <v>0</v>
      </c>
      <c r="D20" s="311">
        <v>0</v>
      </c>
      <c r="E20" s="311">
        <f t="shared" si="1"/>
        <v>1</v>
      </c>
      <c r="F20" s="311">
        <v>1</v>
      </c>
      <c r="G20" s="311" t="b">
        <v>1</v>
      </c>
      <c r="H20" s="1368" t="str">
        <f t="shared" si="7"/>
        <v>Residential</v>
      </c>
      <c r="I20" s="362" t="str">
        <f>INDEX('AMMO Measures'!B:B,MATCH($A20,'AMMO Measures'!A:A,0))</f>
        <v>Retail Product Portfolio</v>
      </c>
      <c r="J20" s="362" t="str">
        <f>INDEX('AMMO Measures'!C:C,MATCH($A20,'AMMO Measures'!$A:$A,0))</f>
        <v>Refrigerators- Side Freezers</v>
      </c>
      <c r="K20" s="362" t="str">
        <f>INDEX('AMMO Measures'!D:D,MATCH($A20,'AMMO Measures'!$A:$A,0))</f>
        <v>ENERGY STAR v5</v>
      </c>
      <c r="L20" s="362">
        <f>VALUE(INDEX('AMMO Measures'!H:H,MATCH($A20,'AMMO Measures'!A:A,0)))</f>
        <v>15.2</v>
      </c>
      <c r="M20" s="125">
        <v>2022</v>
      </c>
      <c r="N20" s="322">
        <f>GETPIVOTDATA("Units",'AMMO Units'!$A$3,"Year",$M20,"Measure Index",$A20,"Savings Category","Regional_Market_2021PP")</f>
        <v>6109.4500560200004</v>
      </c>
      <c r="O20" s="323">
        <f>GETPIVOTDATA("Units",'AMMO Units'!$A$3,"Year",$M20,"Measure Index",$A20,"Savings Category","Local_Incentives_2021PP")</f>
        <v>0</v>
      </c>
      <c r="P20" s="216" t="s">
        <v>2783</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6">
        <f>GETPIVOTDATA("Savings Rate",'AMMO Savings Rates'!$A$3,"Year",$M20,"Measure Index",$A20,"Savings Rate Type","Savings_Rate_2021PP")</f>
        <v>32.220843780000003</v>
      </c>
      <c r="S20" s="360" t="s">
        <v>2784</v>
      </c>
      <c r="T20" s="1371">
        <f t="shared" ref="T20:T26" si="8">(N20)*Q20*R20/8760000</f>
        <v>3.1427947924180465E-3</v>
      </c>
      <c r="U20" s="1372">
        <f t="shared" ref="U20:U26" si="9">IFERROR((O20*O20)*Q20*R20/8760/1000,0)</f>
        <v>0</v>
      </c>
      <c r="V20" s="363">
        <f t="shared" si="6"/>
        <v>3.1427947924180465E-3</v>
      </c>
    </row>
    <row r="21" spans="1:23" s="294" customFormat="1" ht="12.75" customHeight="1">
      <c r="A21" s="417" t="s">
        <v>450</v>
      </c>
      <c r="B21" s="311" t="str">
        <f t="shared" si="0"/>
        <v>RES_201403</v>
      </c>
      <c r="C21" s="311">
        <v>0</v>
      </c>
      <c r="D21" s="311">
        <v>0</v>
      </c>
      <c r="E21" s="311">
        <f t="shared" si="1"/>
        <v>1</v>
      </c>
      <c r="F21" s="311">
        <v>1</v>
      </c>
      <c r="G21" s="311" t="b">
        <v>1</v>
      </c>
      <c r="H21" s="1368" t="str">
        <f t="shared" si="7"/>
        <v>Residential</v>
      </c>
      <c r="I21" s="362" t="str">
        <f>INDEX('AMMO Measures'!B:B,MATCH($A21,'AMMO Measures'!A:A,0))</f>
        <v>Retail Product Portfolio</v>
      </c>
      <c r="J21" s="362" t="str">
        <f>INDEX('AMMO Measures'!C:C,MATCH($A21,'AMMO Measures'!$A:$A,0))</f>
        <v>Refrigerators- Side Freezers</v>
      </c>
      <c r="K21" s="362" t="str">
        <f>INDEX('AMMO Measures'!D:D,MATCH($A21,'AMMO Measures'!$A:$A,0))</f>
        <v>ENERGY STAR Most Efficient</v>
      </c>
      <c r="L21" s="362">
        <f>VALUE(INDEX('AMMO Measures'!H:H,MATCH($A21,'AMMO Measures'!A:A,0)))</f>
        <v>15.2</v>
      </c>
      <c r="M21" s="125">
        <v>2022</v>
      </c>
      <c r="N21" s="322">
        <f>GETPIVOTDATA("Units",'AMMO Units'!$A$3,"Year",$M21,"Measure Index",$A21,"Savings Category","Regional_Market_2021PP")</f>
        <v>4.9999999999999998E-8</v>
      </c>
      <c r="O21" s="323">
        <f>GETPIVOTDATA("Units",'AMMO Units'!$A$3,"Year",$M21,"Measure Index",$A21,"Savings Category","Local_Incentives_2021PP")</f>
        <v>0</v>
      </c>
      <c r="P21" s="216" t="s">
        <v>2783</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6">
        <f>GETPIVOTDATA("Savings Rate",'AMMO Savings Rates'!$A$3,"Year",$M21,"Measure Index",$A21,"Savings Rate Type","Savings_Rate_2021PP")</f>
        <v>1.41537398</v>
      </c>
      <c r="S21" s="360" t="s">
        <v>2784</v>
      </c>
      <c r="T21" s="1371">
        <f t="shared" si="8"/>
        <v>1.129843283943379E-15</v>
      </c>
      <c r="U21" s="1372">
        <f t="shared" si="9"/>
        <v>0</v>
      </c>
      <c r="V21" s="363">
        <f t="shared" si="6"/>
        <v>1.129843283943379E-15</v>
      </c>
    </row>
    <row r="22" spans="1:23" s="294" customFormat="1" ht="12.75" customHeight="1">
      <c r="A22" s="417" t="s">
        <v>448</v>
      </c>
      <c r="B22" s="311" t="str">
        <f t="shared" si="0"/>
        <v>RES_201403</v>
      </c>
      <c r="C22" s="311">
        <v>0</v>
      </c>
      <c r="D22" s="311">
        <v>0</v>
      </c>
      <c r="E22" s="311">
        <f t="shared" si="1"/>
        <v>1</v>
      </c>
      <c r="F22" s="311">
        <v>1</v>
      </c>
      <c r="G22" s="311" t="b">
        <v>1</v>
      </c>
      <c r="H22" s="1368" t="str">
        <f t="shared" si="7"/>
        <v>Residential</v>
      </c>
      <c r="I22" s="362" t="str">
        <f>INDEX('AMMO Measures'!B:B,MATCH($A22,'AMMO Measures'!A:A,0))</f>
        <v>Retail Product Portfolio</v>
      </c>
      <c r="J22" s="362" t="str">
        <f>INDEX('AMMO Measures'!C:C,MATCH($A22,'AMMO Measures'!$A:$A,0))</f>
        <v>Refrigerators- Bottom Freezers</v>
      </c>
      <c r="K22" s="362" t="str">
        <f>INDEX('AMMO Measures'!D:D,MATCH($A22,'AMMO Measures'!$A:$A,0))</f>
        <v>ENERGY STAR Most Efficient</v>
      </c>
      <c r="L22" s="362">
        <f>VALUE(INDEX('AMMO Measures'!H:H,MATCH($A22,'AMMO Measures'!A:A,0)))</f>
        <v>15.2</v>
      </c>
      <c r="M22" s="125">
        <v>2022</v>
      </c>
      <c r="N22" s="322">
        <f>GETPIVOTDATA("Units",'AMMO Units'!$A$3,"Year",$M22,"Measure Index",$A22,"Savings Category","Regional_Market_2021PP")</f>
        <v>17714.57354849</v>
      </c>
      <c r="O22" s="323">
        <f>GETPIVOTDATA("Units",'AMMO Units'!$A$3,"Year",$M22,"Measure Index",$A22,"Savings Category","Local_Incentives_2021PP")</f>
        <v>0</v>
      </c>
      <c r="P22" s="216" t="s">
        <v>2783</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6">
        <f>GETPIVOTDATA("Savings Rate",'AMMO Savings Rates'!$A$3,"Year",$M22,"Measure Index",$A22,"Savings Rate Type","Savings_Rate_2021PP")</f>
        <v>94.712395810000004</v>
      </c>
      <c r="S22" s="360" t="s">
        <v>2784</v>
      </c>
      <c r="T22" s="1371">
        <f t="shared" si="8"/>
        <v>2.6786410559037837E-2</v>
      </c>
      <c r="U22" s="1372">
        <f t="shared" si="9"/>
        <v>0</v>
      </c>
      <c r="V22" s="363">
        <f t="shared" si="6"/>
        <v>2.6786410559037837E-2</v>
      </c>
    </row>
    <row r="23" spans="1:23" s="294" customFormat="1" ht="12.75" customHeight="1">
      <c r="A23" s="417" t="s">
        <v>95</v>
      </c>
      <c r="B23" s="311" t="str">
        <f t="shared" si="0"/>
        <v>RES_201403</v>
      </c>
      <c r="C23" s="311">
        <v>0</v>
      </c>
      <c r="D23" s="311">
        <v>0</v>
      </c>
      <c r="E23" s="311">
        <f t="shared" si="1"/>
        <v>1</v>
      </c>
      <c r="F23" s="311">
        <v>1</v>
      </c>
      <c r="G23" s="311" t="b">
        <v>1</v>
      </c>
      <c r="H23" s="1368" t="str">
        <f t="shared" ref="H23:H27" si="10">IF(LEFT(A23,3)="Res","Residential",IF(LEFT(A23,3)="Ind","industrial",IF(LEFT(A23,3)="Com","Commercial",IF(LEFT(A23,3)="AGR","Agriculture",""))))</f>
        <v>Residential</v>
      </c>
      <c r="I23" s="362" t="str">
        <f>INDEX('AMMO Measures'!B:B,MATCH($A23,'AMMO Measures'!A:A,0))</f>
        <v>Retail Product Portfolio</v>
      </c>
      <c r="J23" s="362" t="str">
        <f>INDEX('AMMO Measures'!C:C,MATCH($A23,'AMMO Measures'!$A:$A,0))</f>
        <v>Refrigerators- Other</v>
      </c>
      <c r="K23" s="362" t="str">
        <f>INDEX('AMMO Measures'!D:D,MATCH($A23,'AMMO Measures'!$A:$A,0))</f>
        <v>ENERGY STAR v5</v>
      </c>
      <c r="L23" s="362">
        <f>VALUE(INDEX('AMMO Measures'!H:H,MATCH($A23,'AMMO Measures'!A:A,0)))</f>
        <v>15.2</v>
      </c>
      <c r="M23" s="125">
        <v>2023</v>
      </c>
      <c r="N23" s="322">
        <f>GETPIVOTDATA("Units",'AMMO Units'!$A$3,"Year",$M23,"Measure Index",$A23,"Savings Category","Regional_Market_2021PP")</f>
        <v>4.0000000000000001E-8</v>
      </c>
      <c r="O23" s="323">
        <f>GETPIVOTDATA("Units",'AMMO Units'!$A$3,"Year",$M23,"Measure Index",$A23,"Savings Category","Local_Incentives_2021PP")</f>
        <v>0</v>
      </c>
      <c r="P23" s="216" t="s">
        <v>2783</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6">
        <f>GETPIVOTDATA("Savings Rate",'AMMO Savings Rates'!$A$3,"Year",$M23,"Measure Index",$A23,"Savings Rate Type","Savings_Rate_2021PP")</f>
        <v>5.7231145999999997</v>
      </c>
      <c r="S23" s="360" t="s">
        <v>2784</v>
      </c>
      <c r="T23" s="1371">
        <f t="shared" si="8"/>
        <v>3.6548489292127855E-15</v>
      </c>
      <c r="U23" s="1372">
        <f t="shared" si="9"/>
        <v>0</v>
      </c>
      <c r="V23" s="363">
        <f t="shared" ref="V23:V26" si="11">T23-U23</f>
        <v>3.6548489292127855E-15</v>
      </c>
      <c r="W23" s="637"/>
    </row>
    <row r="24" spans="1:23" s="294" customFormat="1" ht="12.75" customHeight="1">
      <c r="A24" s="417" t="s">
        <v>96</v>
      </c>
      <c r="B24" s="311" t="str">
        <f t="shared" si="0"/>
        <v>RES_201403</v>
      </c>
      <c r="C24" s="311">
        <v>0</v>
      </c>
      <c r="D24" s="311">
        <v>0</v>
      </c>
      <c r="E24" s="311">
        <f t="shared" si="1"/>
        <v>1</v>
      </c>
      <c r="F24" s="311">
        <v>1</v>
      </c>
      <c r="G24" s="311" t="b">
        <v>1</v>
      </c>
      <c r="H24" s="1368" t="str">
        <f t="shared" si="10"/>
        <v>Residential</v>
      </c>
      <c r="I24" s="362" t="str">
        <f>INDEX('AMMO Measures'!B:B,MATCH($A24,'AMMO Measures'!A:A,0))</f>
        <v>Retail Product Portfolio</v>
      </c>
      <c r="J24" s="362" t="str">
        <f>INDEX('AMMO Measures'!C:C,MATCH($A24,'AMMO Measures'!$A:$A,0))</f>
        <v>Refrigerators- Other</v>
      </c>
      <c r="K24" s="362" t="str">
        <f>INDEX('AMMO Measures'!D:D,MATCH($A24,'AMMO Measures'!$A:$A,0))</f>
        <v>ENERGY STAR Most Efficient</v>
      </c>
      <c r="L24" s="362">
        <f>VALUE(INDEX('AMMO Measures'!H:H,MATCH($A24,'AMMO Measures'!A:A,0)))</f>
        <v>15.2</v>
      </c>
      <c r="M24" s="125">
        <v>2023</v>
      </c>
      <c r="N24" s="322">
        <f>GETPIVOTDATA("Units",'AMMO Units'!$A$3,"Year",$M24,"Measure Index",$A24,"Savings Category","Regional_Market_2021PP")</f>
        <v>105205.97779914</v>
      </c>
      <c r="O24" s="323">
        <f>GETPIVOTDATA("Units",'AMMO Units'!$A$3,"Year",$M24,"Measure Index",$A24,"Savings Category","Local_Incentives_2021PP")</f>
        <v>0</v>
      </c>
      <c r="P24" s="216" t="s">
        <v>2783</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6">
        <f>GETPIVOTDATA("Savings Rate",'AMMO Savings Rates'!$A$3,"Year",$M24,"Measure Index",$A24,"Savings Rate Type","Savings_Rate_2021PP")</f>
        <v>20.72905729</v>
      </c>
      <c r="S24" s="360" t="s">
        <v>2784</v>
      </c>
      <c r="T24" s="1371">
        <f t="shared" si="8"/>
        <v>3.4817450406407158E-2</v>
      </c>
      <c r="U24" s="1372">
        <f t="shared" si="9"/>
        <v>0</v>
      </c>
      <c r="V24" s="363">
        <f t="shared" si="11"/>
        <v>3.4817450406407158E-2</v>
      </c>
      <c r="W24" s="637"/>
    </row>
    <row r="25" spans="1:23" s="294" customFormat="1" ht="12.75" customHeight="1">
      <c r="A25" s="417" t="s">
        <v>449</v>
      </c>
      <c r="B25" s="311" t="str">
        <f t="shared" si="0"/>
        <v>RES_201403</v>
      </c>
      <c r="C25" s="311">
        <v>0</v>
      </c>
      <c r="D25" s="311">
        <v>0</v>
      </c>
      <c r="E25" s="311">
        <f t="shared" si="1"/>
        <v>1</v>
      </c>
      <c r="F25" s="311">
        <v>1</v>
      </c>
      <c r="G25" s="311" t="b">
        <v>1</v>
      </c>
      <c r="H25" s="1368" t="str">
        <f t="shared" si="10"/>
        <v>Residential</v>
      </c>
      <c r="I25" s="362" t="str">
        <f>INDEX('AMMO Measures'!B:B,MATCH($A25,'AMMO Measures'!A:A,0))</f>
        <v>Retail Product Portfolio</v>
      </c>
      <c r="J25" s="362" t="str">
        <f>INDEX('AMMO Measures'!C:C,MATCH($A25,'AMMO Measures'!$A:$A,0))</f>
        <v>Refrigerators- Side Freezers</v>
      </c>
      <c r="K25" s="362" t="str">
        <f>INDEX('AMMO Measures'!D:D,MATCH($A25,'AMMO Measures'!$A:$A,0))</f>
        <v>ENERGY STAR v5</v>
      </c>
      <c r="L25" s="362">
        <f>VALUE(INDEX('AMMO Measures'!H:H,MATCH($A25,'AMMO Measures'!A:A,0)))</f>
        <v>15.2</v>
      </c>
      <c r="M25" s="125">
        <v>2023</v>
      </c>
      <c r="N25" s="322">
        <f>GETPIVOTDATA("Units",'AMMO Units'!$A$3,"Year",$M25,"Measure Index",$A25,"Savings Category","Regional_Market_2021PP")</f>
        <v>6766.2089999999998</v>
      </c>
      <c r="O25" s="323">
        <f>GETPIVOTDATA("Units",'AMMO Units'!$A$3,"Year",$M25,"Measure Index",$A25,"Savings Category","Local_Incentives_2021PP")</f>
        <v>0</v>
      </c>
      <c r="P25" s="216" t="s">
        <v>2783</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6">
        <f>GETPIVOTDATA("Savings Rate",'AMMO Savings Rates'!$A$3,"Year",$M25,"Measure Index",$A25,"Savings Rate Type","Savings_Rate_2021PP")</f>
        <v>32.220843780000003</v>
      </c>
      <c r="S25" s="360" t="s">
        <v>2784</v>
      </c>
      <c r="T25" s="1371">
        <f t="shared" si="8"/>
        <v>3.4806416640821305E-3</v>
      </c>
      <c r="U25" s="1372">
        <f t="shared" si="9"/>
        <v>0</v>
      </c>
      <c r="V25" s="363">
        <f t="shared" si="11"/>
        <v>3.4806416640821305E-3</v>
      </c>
      <c r="W25" s="637"/>
    </row>
    <row r="26" spans="1:23" s="294" customFormat="1" ht="12.75" customHeight="1">
      <c r="A26" s="417" t="s">
        <v>450</v>
      </c>
      <c r="B26" s="311" t="str">
        <f t="shared" si="0"/>
        <v>RES_201403</v>
      </c>
      <c r="C26" s="311">
        <v>0</v>
      </c>
      <c r="D26" s="311">
        <v>0</v>
      </c>
      <c r="E26" s="311">
        <f t="shared" si="1"/>
        <v>1</v>
      </c>
      <c r="F26" s="311">
        <v>1</v>
      </c>
      <c r="G26" s="311" t="b">
        <v>1</v>
      </c>
      <c r="H26" s="1368" t="str">
        <f t="shared" si="10"/>
        <v>Residential</v>
      </c>
      <c r="I26" s="362" t="str">
        <f>INDEX('AMMO Measures'!B:B,MATCH($A26,'AMMO Measures'!A:A,0))</f>
        <v>Retail Product Portfolio</v>
      </c>
      <c r="J26" s="362" t="str">
        <f>INDEX('AMMO Measures'!C:C,MATCH($A26,'AMMO Measures'!$A:$A,0))</f>
        <v>Refrigerators- Side Freezers</v>
      </c>
      <c r="K26" s="362" t="str">
        <f>INDEX('AMMO Measures'!D:D,MATCH($A26,'AMMO Measures'!$A:$A,0))</f>
        <v>ENERGY STAR Most Efficient</v>
      </c>
      <c r="L26" s="362">
        <f>VALUE(INDEX('AMMO Measures'!H:H,MATCH($A26,'AMMO Measures'!A:A,0)))</f>
        <v>15.2</v>
      </c>
      <c r="M26" s="125">
        <v>2023</v>
      </c>
      <c r="N26" s="322">
        <f>GETPIVOTDATA("Units",'AMMO Units'!$A$3,"Year",$M26,"Measure Index",$A26,"Savings Category","Regional_Market_2021PP")</f>
        <v>1470.915</v>
      </c>
      <c r="O26" s="323">
        <f>GETPIVOTDATA("Units",'AMMO Units'!$A$3,"Year",$M26,"Measure Index",$A26,"Savings Category","Local_Incentives_2021PP")</f>
        <v>0</v>
      </c>
      <c r="P26" s="216" t="s">
        <v>2783</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6">
        <f>GETPIVOTDATA("Savings Rate",'AMMO Savings Rates'!$A$3,"Year",$M26,"Measure Index",$A26,"Savings Rate Type","Savings_Rate_2021PP")</f>
        <v>106.05575447</v>
      </c>
      <c r="S26" s="360" t="s">
        <v>2784</v>
      </c>
      <c r="T26" s="1371">
        <f t="shared" si="8"/>
        <v>2.4905703374499075E-3</v>
      </c>
      <c r="U26" s="1372">
        <f t="shared" si="9"/>
        <v>0</v>
      </c>
      <c r="V26" s="363">
        <f t="shared" si="11"/>
        <v>2.4905703374499075E-3</v>
      </c>
      <c r="W26" s="637"/>
    </row>
    <row r="27" spans="1:23" s="294" customFormat="1" ht="12.75" customHeight="1">
      <c r="A27" s="417" t="s">
        <v>448</v>
      </c>
      <c r="B27" s="311" t="str">
        <f t="shared" si="0"/>
        <v>RES_201403</v>
      </c>
      <c r="C27" s="311">
        <v>0</v>
      </c>
      <c r="D27" s="311">
        <v>0</v>
      </c>
      <c r="E27" s="311">
        <f t="shared" si="1"/>
        <v>1</v>
      </c>
      <c r="F27" s="311">
        <v>1</v>
      </c>
      <c r="G27" s="311" t="b">
        <v>1</v>
      </c>
      <c r="H27" s="2082" t="str">
        <f t="shared" si="10"/>
        <v>Residential</v>
      </c>
      <c r="I27" s="2083" t="str">
        <f>INDEX('AMMO Measures'!B:B,MATCH($A27,'AMMO Measures'!A:A,0))</f>
        <v>Retail Product Portfolio</v>
      </c>
      <c r="J27" s="2083" t="str">
        <f>INDEX('AMMO Measures'!C:C,MATCH($A27,'AMMO Measures'!$A:$A,0))</f>
        <v>Refrigerators- Bottom Freezers</v>
      </c>
      <c r="K27" s="2083" t="str">
        <f>INDEX('AMMO Measures'!D:D,MATCH($A27,'AMMO Measures'!$A:$A,0))</f>
        <v>ENERGY STAR Most Efficient</v>
      </c>
      <c r="L27" s="2083">
        <f>VALUE(INDEX('AMMO Measures'!H:H,MATCH($A27,'AMMO Measures'!A:A,0)))</f>
        <v>15.2</v>
      </c>
      <c r="M27" s="2084">
        <v>2023</v>
      </c>
      <c r="N27" s="2085">
        <f>GETPIVOTDATA("Units",'AMMO Units'!$A$3,"Year",$M27,"Measure Index",$A27,"Savings Category","Regional_Market_2021PP")</f>
        <v>22063.724999999999</v>
      </c>
      <c r="O27" s="2086">
        <f>GETPIVOTDATA("Units",'AMMO Units'!$A$3,"Year",$M27,"Measure Index",$A27,"Savings Category","Local_Incentives_2021PP")</f>
        <v>0</v>
      </c>
      <c r="P27" s="2087" t="s">
        <v>2783</v>
      </c>
      <c r="Q27" s="2088">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0.13985600000000001</v>
      </c>
      <c r="R27" s="2089">
        <f>GETPIVOTDATA("Savings Rate",'AMMO Savings Rates'!$A$3,"Year",$M27,"Measure Index",$A27,"Savings Rate Type","Savings_Rate_2021PP")</f>
        <v>94.712395810000004</v>
      </c>
      <c r="S27" s="2090" t="s">
        <v>2784</v>
      </c>
      <c r="T27" s="2091">
        <f t="shared" ref="T27:T39" si="12">(N27)*Q27*R27/8760000</f>
        <v>3.3362812527998165E-2</v>
      </c>
      <c r="U27" s="2092">
        <f t="shared" ref="U27:U39" si="13">IFERROR((O27*O27)*Q27*R27/8760/1000,0)</f>
        <v>0</v>
      </c>
      <c r="V27" s="2093">
        <f t="shared" ref="V27:V39" si="14">T27-U27</f>
        <v>3.3362812527998165E-2</v>
      </c>
      <c r="W27" s="637"/>
    </row>
    <row r="28" spans="1:23" s="294" customFormat="1" ht="12.75" hidden="1" customHeight="1">
      <c r="A28" s="272" t="s">
        <v>501</v>
      </c>
      <c r="B28" s="311" t="str">
        <f t="shared" ref="B28:B39" si="15">LEFT(A28,10)</f>
        <v>RES_201403</v>
      </c>
      <c r="C28" s="311">
        <v>0</v>
      </c>
      <c r="D28" s="311">
        <v>0</v>
      </c>
      <c r="E28" s="311">
        <f t="shared" si="1"/>
        <v>1</v>
      </c>
      <c r="F28" s="311">
        <v>1</v>
      </c>
      <c r="G28" s="311" t="b">
        <v>1</v>
      </c>
      <c r="H28" s="2094" t="str">
        <f t="shared" ref="H28:H39" si="16">IF(LEFT(A28,3)="Res","Residential",IF(LEFT(A28,3)="Ind","industrial",IF(LEFT(A28,3)="Com","Commercial",IF(LEFT(A28,3)="AGR","Agriculture",""))))</f>
        <v>Residential</v>
      </c>
      <c r="I28" s="2095" t="str">
        <f>INDEX('AMMO Measures'!B:B,MATCH($A28,'AMMO Measures'!A:A,0))</f>
        <v>Retail Product Portfolio</v>
      </c>
      <c r="J28" s="2095" t="str">
        <f>INDEX('AMMO Measures'!C:C,MATCH($A28,'AMMO Measures'!$A:$A,0))</f>
        <v>Freezers- Compact</v>
      </c>
      <c r="K28" s="2095" t="str">
        <f>INDEX('AMMO Measures'!D:D,MATCH($A28,'AMMO Measures'!$A:$A,0))</f>
        <v>ENERGY STAR v5</v>
      </c>
      <c r="L28" s="2095">
        <f>VALUE(INDEX('AMMO Measures'!H:H,MATCH($A28,'AMMO Measures'!A:A,0)))</f>
        <v>6.5</v>
      </c>
      <c r="M28" s="2096">
        <v>2024</v>
      </c>
      <c r="N28" s="1790">
        <f>GETPIVOTDATA("Units",'AMMO Units'!$A$3,"Year",$M28,"Measure Index",$A28,"Savings Category","Regional_Market_2021PP")</f>
        <v>4421.0497948100001</v>
      </c>
      <c r="O28" s="1791">
        <f>GETPIVOTDATA("Units",'AMMO Units'!$A$3,"Year",$M28,"Measure Index",$A28,"Savings Category","Local_Incentives_2021PP")</f>
        <v>0</v>
      </c>
      <c r="P28" s="1792" t="s">
        <v>2783</v>
      </c>
      <c r="Q28" s="1793">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794">
        <f>GETPIVOTDATA("Savings Rate",'AMMO Savings Rates'!$A$3,"Year",$M28,"Measure Index",$A28,"Savings Rate Type","Savings_Rate_2021PP")</f>
        <v>21.616066579999998</v>
      </c>
      <c r="S28" s="1795" t="s">
        <v>2784</v>
      </c>
      <c r="T28" s="1796">
        <f t="shared" si="12"/>
        <v>1.5257348720054513E-3</v>
      </c>
      <c r="U28" s="1797">
        <f t="shared" si="13"/>
        <v>0</v>
      </c>
      <c r="V28" s="1798">
        <f t="shared" si="14"/>
        <v>1.5257348720054513E-3</v>
      </c>
      <c r="W28" s="637"/>
    </row>
    <row r="29" spans="1:23" s="294" customFormat="1" ht="12.75" hidden="1" customHeight="1">
      <c r="A29" s="272" t="s">
        <v>502</v>
      </c>
      <c r="B29" s="311" t="str">
        <f t="shared" si="15"/>
        <v>RES_201403</v>
      </c>
      <c r="C29" s="311">
        <v>0</v>
      </c>
      <c r="D29" s="311">
        <v>0</v>
      </c>
      <c r="E29" s="311">
        <f t="shared" si="1"/>
        <v>1</v>
      </c>
      <c r="F29" s="311">
        <v>1</v>
      </c>
      <c r="G29" s="311" t="b">
        <v>1</v>
      </c>
      <c r="H29" s="1360" t="str">
        <f t="shared" si="16"/>
        <v>Residential</v>
      </c>
      <c r="I29" s="314" t="str">
        <f>INDEX('AMMO Measures'!B:B,MATCH($A29,'AMMO Measures'!A:A,0))</f>
        <v>Retail Product Portfolio</v>
      </c>
      <c r="J29" s="314" t="str">
        <f>INDEX('AMMO Measures'!C:C,MATCH($A29,'AMMO Measures'!$A:$A,0))</f>
        <v>Freezers- Compact</v>
      </c>
      <c r="K29" s="314" t="str">
        <f>INDEX('AMMO Measures'!D:D,MATCH($A29,'AMMO Measures'!$A:$A,0))</f>
        <v>ENERGY STAR v5 +5%</v>
      </c>
      <c r="L29" s="314">
        <f>VALUE(INDEX('AMMO Measures'!H:H,MATCH($A29,'AMMO Measures'!A:A,0)))</f>
        <v>6.5</v>
      </c>
      <c r="M29" s="880">
        <v>2024</v>
      </c>
      <c r="N29" s="322">
        <f>GETPIVOTDATA("Units",'AMMO Units'!$A$3,"Year",$M29,"Measure Index",$A29,"Savings Category","Regional_Market_2021PP")</f>
        <v>68.900102680000003</v>
      </c>
      <c r="O29" s="323">
        <f>GETPIVOTDATA("Units",'AMMO Units'!$A$3,"Year",$M29,"Measure Index",$A29,"Savings Category","Local_Incentives_2021PP")</f>
        <v>0</v>
      </c>
      <c r="P29" s="216" t="s">
        <v>2783</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6">
        <f>GETPIVOTDATA("Savings Rate",'AMMO Savings Rates'!$A$3,"Year",$M29,"Measure Index",$A29,"Savings Rate Type","Savings_Rate_2021PP")</f>
        <v>44.790115290000003</v>
      </c>
      <c r="S29" s="360" t="s">
        <v>2784</v>
      </c>
      <c r="T29" s="1371">
        <f t="shared" si="12"/>
        <v>4.9269601105488707E-5</v>
      </c>
      <c r="U29" s="1372">
        <f t="shared" si="13"/>
        <v>0</v>
      </c>
      <c r="V29" s="363">
        <f t="shared" si="14"/>
        <v>4.9269601105488707E-5</v>
      </c>
      <c r="W29" s="637"/>
    </row>
    <row r="30" spans="1:23" s="294" customFormat="1" ht="12.75" hidden="1" customHeight="1">
      <c r="A30" s="272" t="s">
        <v>503</v>
      </c>
      <c r="B30" s="311" t="str">
        <f t="shared" si="15"/>
        <v>RES_201403</v>
      </c>
      <c r="C30" s="311">
        <v>0</v>
      </c>
      <c r="D30" s="311">
        <v>0</v>
      </c>
      <c r="E30" s="311">
        <f t="shared" si="1"/>
        <v>1</v>
      </c>
      <c r="F30" s="311">
        <v>1</v>
      </c>
      <c r="G30" s="311" t="b">
        <v>1</v>
      </c>
      <c r="H30" s="1359" t="str">
        <f t="shared" si="16"/>
        <v>Residential</v>
      </c>
      <c r="I30" s="314" t="str">
        <f>INDEX('AMMO Measures'!B:B,MATCH($A30,'AMMO Measures'!A:A,0))</f>
        <v>Retail Product Portfolio</v>
      </c>
      <c r="J30" s="314" t="str">
        <f>INDEX('AMMO Measures'!C:C,MATCH($A30,'AMMO Measures'!$A:$A,0))</f>
        <v>Freezers- Upright</v>
      </c>
      <c r="K30" s="314" t="str">
        <f>INDEX('AMMO Measures'!D:D,MATCH($A30,'AMMO Measures'!$A:$A,0))</f>
        <v>ENERGY STAR v5</v>
      </c>
      <c r="L30" s="314">
        <f>VALUE(INDEX('AMMO Measures'!H:H,MATCH($A30,'AMMO Measures'!A:A,0)))</f>
        <v>22</v>
      </c>
      <c r="M30" s="880">
        <v>2024</v>
      </c>
      <c r="N30" s="322">
        <f>GETPIVOTDATA("Units",'AMMO Units'!$A$3,"Year",$M30,"Measure Index",$A30,"Savings Category","Regional_Market_2021PP")</f>
        <v>11217.720742199999</v>
      </c>
      <c r="O30" s="323">
        <f>GETPIVOTDATA("Units",'AMMO Units'!$A$3,"Year",$M30,"Measure Index",$A30,"Savings Category","Local_Incentives_2021PP")</f>
        <v>0</v>
      </c>
      <c r="P30" s="216" t="s">
        <v>2783</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6">
        <f>GETPIVOTDATA("Savings Rate",'AMMO Savings Rates'!$A$3,"Year",$M30,"Measure Index",$A30,"Savings Rate Type","Savings_Rate_2021PP")</f>
        <v>35.752220960000002</v>
      </c>
      <c r="S30" s="360" t="s">
        <v>2784</v>
      </c>
      <c r="T30" s="1371">
        <f t="shared" si="12"/>
        <v>6.4030168808181269E-3</v>
      </c>
      <c r="U30" s="1372">
        <f t="shared" si="13"/>
        <v>0</v>
      </c>
      <c r="V30" s="363">
        <f t="shared" si="14"/>
        <v>6.4030168808181269E-3</v>
      </c>
      <c r="W30" s="637"/>
    </row>
    <row r="31" spans="1:23" s="294" customFormat="1" ht="12.75" hidden="1" customHeight="1">
      <c r="A31" s="272" t="s">
        <v>504</v>
      </c>
      <c r="B31" s="311" t="str">
        <f t="shared" si="15"/>
        <v>RES_201403</v>
      </c>
      <c r="C31" s="311">
        <v>0</v>
      </c>
      <c r="D31" s="311">
        <v>0</v>
      </c>
      <c r="E31" s="311">
        <f t="shared" si="1"/>
        <v>1</v>
      </c>
      <c r="F31" s="311">
        <v>1</v>
      </c>
      <c r="G31" s="311" t="b">
        <v>1</v>
      </c>
      <c r="H31" s="1360" t="str">
        <f t="shared" si="16"/>
        <v>Residential</v>
      </c>
      <c r="I31" s="314" t="str">
        <f>INDEX('AMMO Measures'!B:B,MATCH($A31,'AMMO Measures'!A:A,0))</f>
        <v>Retail Product Portfolio</v>
      </c>
      <c r="J31" s="314" t="str">
        <f>INDEX('AMMO Measures'!C:C,MATCH($A31,'AMMO Measures'!$A:$A,0))</f>
        <v>Freezers- Upright</v>
      </c>
      <c r="K31" s="314" t="str">
        <f>INDEX('AMMO Measures'!D:D,MATCH($A31,'AMMO Measures'!$A:$A,0))</f>
        <v>ENERGY STAR v5 +5%</v>
      </c>
      <c r="L31" s="314">
        <f>VALUE(INDEX('AMMO Measures'!H:H,MATCH($A31,'AMMO Measures'!A:A,0)))</f>
        <v>22</v>
      </c>
      <c r="M31" s="880">
        <v>2024</v>
      </c>
      <c r="N31" s="322">
        <f>GETPIVOTDATA("Units",'AMMO Units'!$A$3,"Year",$M31,"Measure Index",$A31,"Savings Category","Regional_Market_2021PP")</f>
        <v>5398.2712816499998</v>
      </c>
      <c r="O31" s="323">
        <f>GETPIVOTDATA("Units",'AMMO Units'!$A$3,"Year",$M31,"Measure Index",$A31,"Savings Category","Local_Incentives_2021PP")</f>
        <v>0</v>
      </c>
      <c r="P31" s="216" t="s">
        <v>2783</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6">
        <f>GETPIVOTDATA("Savings Rate",'AMMO Savings Rates'!$A$3,"Year",$M31,"Measure Index",$A31,"Savings Rate Type","Savings_Rate_2021PP")</f>
        <v>101.96812629999999</v>
      </c>
      <c r="S31" s="360" t="s">
        <v>2784</v>
      </c>
      <c r="T31" s="1371">
        <f t="shared" si="12"/>
        <v>8.788123295356479E-3</v>
      </c>
      <c r="U31" s="1372">
        <f t="shared" si="13"/>
        <v>0</v>
      </c>
      <c r="V31" s="363">
        <f t="shared" si="14"/>
        <v>8.788123295356479E-3</v>
      </c>
      <c r="W31" s="637"/>
    </row>
    <row r="32" spans="1:23" s="294" customFormat="1" ht="12.75" hidden="1" customHeight="1">
      <c r="A32" s="272" t="s">
        <v>505</v>
      </c>
      <c r="B32" s="311" t="str">
        <f t="shared" si="15"/>
        <v>RES_201403</v>
      </c>
      <c r="C32" s="311">
        <v>0</v>
      </c>
      <c r="D32" s="311">
        <v>0</v>
      </c>
      <c r="E32" s="311">
        <f t="shared" si="1"/>
        <v>1</v>
      </c>
      <c r="F32" s="311">
        <v>1</v>
      </c>
      <c r="G32" s="311" t="b">
        <v>1</v>
      </c>
      <c r="H32" s="1359" t="str">
        <f t="shared" si="16"/>
        <v>Residential</v>
      </c>
      <c r="I32" s="314" t="str">
        <f>INDEX('AMMO Measures'!B:B,MATCH($A32,'AMMO Measures'!A:A,0))</f>
        <v>Retail Product Portfolio</v>
      </c>
      <c r="J32" s="314" t="str">
        <f>INDEX('AMMO Measures'!C:C,MATCH($A32,'AMMO Measures'!$A:$A,0))</f>
        <v>Freezers- Chest</v>
      </c>
      <c r="K32" s="314" t="str">
        <f>INDEX('AMMO Measures'!D:D,MATCH($A32,'AMMO Measures'!$A:$A,0))</f>
        <v>ENERGY STAR v5</v>
      </c>
      <c r="L32" s="314">
        <f>VALUE(INDEX('AMMO Measures'!H:H,MATCH($A32,'AMMO Measures'!A:A,0)))</f>
        <v>22</v>
      </c>
      <c r="M32" s="880">
        <v>2024</v>
      </c>
      <c r="N32" s="322">
        <f>GETPIVOTDATA("Units",'AMMO Units'!$A$3,"Year",$M32,"Measure Index",$A32,"Savings Category","Regional_Market_2021PP")</f>
        <v>1956.67515568</v>
      </c>
      <c r="O32" s="323">
        <f>GETPIVOTDATA("Units",'AMMO Units'!$A$3,"Year",$M32,"Measure Index",$A32,"Savings Category","Local_Incentives_2021PP")</f>
        <v>0</v>
      </c>
      <c r="P32" s="216" t="s">
        <v>2783</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6">
        <f>GETPIVOTDATA("Savings Rate",'AMMO Savings Rates'!$A$3,"Year",$M32,"Measure Index",$A32,"Savings Rate Type","Savings_Rate_2021PP")</f>
        <v>24.641119249999999</v>
      </c>
      <c r="S32" s="360" t="s">
        <v>2784</v>
      </c>
      <c r="T32" s="1371">
        <f t="shared" si="12"/>
        <v>7.6976145049835855E-4</v>
      </c>
      <c r="U32" s="1372">
        <f t="shared" si="13"/>
        <v>0</v>
      </c>
      <c r="V32" s="363">
        <f t="shared" si="14"/>
        <v>7.6976145049835855E-4</v>
      </c>
      <c r="W32" s="637"/>
    </row>
    <row r="33" spans="1:23" s="294" customFormat="1" ht="12.75" hidden="1" customHeight="1">
      <c r="A33" s="272" t="s">
        <v>506</v>
      </c>
      <c r="B33" s="311" t="str">
        <f t="shared" si="15"/>
        <v>RES_201403</v>
      </c>
      <c r="C33" s="311">
        <v>0</v>
      </c>
      <c r="D33" s="311">
        <v>0</v>
      </c>
      <c r="E33" s="311">
        <f t="shared" si="1"/>
        <v>1</v>
      </c>
      <c r="F33" s="311">
        <v>1</v>
      </c>
      <c r="G33" s="311" t="b">
        <v>1</v>
      </c>
      <c r="H33" s="2097" t="str">
        <f t="shared" si="16"/>
        <v>Residential</v>
      </c>
      <c r="I33" s="349" t="str">
        <f>INDEX('AMMO Measures'!B:B,MATCH($A33,'AMMO Measures'!A:A,0))</f>
        <v>Retail Product Portfolio</v>
      </c>
      <c r="J33" s="349" t="str">
        <f>INDEX('AMMO Measures'!C:C,MATCH($A33,'AMMO Measures'!$A:$A,0))</f>
        <v>Freezers- Chest</v>
      </c>
      <c r="K33" s="349" t="str">
        <f>INDEX('AMMO Measures'!D:D,MATCH($A33,'AMMO Measures'!$A:$A,0))</f>
        <v>ENERGY STAR v5 +5%</v>
      </c>
      <c r="L33" s="349">
        <f>VALUE(INDEX('AMMO Measures'!H:H,MATCH($A33,'AMMO Measures'!A:A,0)))</f>
        <v>22</v>
      </c>
      <c r="M33" s="2098">
        <v>2024</v>
      </c>
      <c r="N33" s="2085">
        <f>GETPIVOTDATA("Units",'AMMO Units'!$A$3,"Year",$M33,"Measure Index",$A33,"Savings Category","Regional_Market_2021PP")</f>
        <v>11.06283155</v>
      </c>
      <c r="O33" s="2086">
        <f>GETPIVOTDATA("Units",'AMMO Units'!$A$3,"Year",$M33,"Measure Index",$A33,"Savings Category","Local_Incentives_2021PP")</f>
        <v>0</v>
      </c>
      <c r="P33" s="2087" t="s">
        <v>2783</v>
      </c>
      <c r="Q33" s="2088">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2089">
        <f>GETPIVOTDATA("Savings Rate",'AMMO Savings Rates'!$A$3,"Year",$M33,"Measure Index",$A33,"Savings Rate Type","Savings_Rate_2021PP")</f>
        <v>51.916314069999999</v>
      </c>
      <c r="S33" s="2090" t="s">
        <v>2784</v>
      </c>
      <c r="T33" s="2091">
        <f t="shared" si="12"/>
        <v>9.1695315123856397E-6</v>
      </c>
      <c r="U33" s="2092">
        <f t="shared" si="13"/>
        <v>0</v>
      </c>
      <c r="V33" s="2093">
        <f t="shared" si="14"/>
        <v>9.1695315123856397E-6</v>
      </c>
      <c r="W33" s="637"/>
    </row>
    <row r="34" spans="1:23" s="294" customFormat="1" ht="12.75" hidden="1" customHeight="1">
      <c r="A34" s="272" t="s">
        <v>95</v>
      </c>
      <c r="B34" s="311" t="str">
        <f t="shared" si="15"/>
        <v>RES_201403</v>
      </c>
      <c r="C34" s="311">
        <v>0</v>
      </c>
      <c r="D34" s="311">
        <v>0</v>
      </c>
      <c r="E34" s="311">
        <f t="shared" si="1"/>
        <v>1</v>
      </c>
      <c r="F34" s="311">
        <v>1</v>
      </c>
      <c r="G34" s="311" t="b">
        <v>1</v>
      </c>
      <c r="H34" s="2099" t="str">
        <f t="shared" si="16"/>
        <v>Residential</v>
      </c>
      <c r="I34" s="2100" t="str">
        <f>INDEX('AMMO Measures'!B:B,MATCH($A34,'AMMO Measures'!A:A,0))</f>
        <v>Retail Product Portfolio</v>
      </c>
      <c r="J34" s="2100" t="str">
        <f>INDEX('AMMO Measures'!C:C,MATCH($A34,'AMMO Measures'!$A:$A,0))</f>
        <v>Refrigerators- Other</v>
      </c>
      <c r="K34" s="2100" t="str">
        <f>INDEX('AMMO Measures'!D:D,MATCH($A34,'AMMO Measures'!$A:$A,0))</f>
        <v>ENERGY STAR v5</v>
      </c>
      <c r="L34" s="2100">
        <f>VALUE(INDEX('AMMO Measures'!H:H,MATCH($A34,'AMMO Measures'!A:A,0)))</f>
        <v>15.2</v>
      </c>
      <c r="M34" s="2101">
        <v>2024</v>
      </c>
      <c r="N34" s="1790">
        <f>GETPIVOTDATA("Units",'AMMO Units'!$A$3,"Year",$M34,"Measure Index",$A34,"Savings Category","Regional_Market_2021PP")</f>
        <v>4.0000000000000001E-8</v>
      </c>
      <c r="O34" s="1791">
        <f>GETPIVOTDATA("Units",'AMMO Units'!$A$3,"Year",$M34,"Measure Index",$A34,"Savings Category","Local_Incentives_2021PP")</f>
        <v>0</v>
      </c>
      <c r="P34" s="1792" t="s">
        <v>2783</v>
      </c>
      <c r="Q34" s="1793">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794">
        <f>GETPIVOTDATA("Savings Rate",'AMMO Savings Rates'!$A$3,"Year",$M34,"Measure Index",$A34,"Savings Rate Type","Savings_Rate_2021PP")</f>
        <v>5.7231145999999997</v>
      </c>
      <c r="S34" s="1795" t="s">
        <v>2784</v>
      </c>
      <c r="T34" s="1796">
        <f t="shared" si="12"/>
        <v>3.6548489292127855E-15</v>
      </c>
      <c r="U34" s="1797">
        <f t="shared" si="13"/>
        <v>0</v>
      </c>
      <c r="V34" s="1798">
        <f t="shared" si="14"/>
        <v>3.6548489292127855E-15</v>
      </c>
      <c r="W34" s="637"/>
    </row>
    <row r="35" spans="1:23" s="294" customFormat="1" ht="12.75" hidden="1" customHeight="1">
      <c r="A35" s="272" t="s">
        <v>96</v>
      </c>
      <c r="B35" s="311" t="str">
        <f t="shared" si="15"/>
        <v>RES_201403</v>
      </c>
      <c r="C35" s="311">
        <v>0</v>
      </c>
      <c r="D35" s="311">
        <v>0</v>
      </c>
      <c r="E35" s="311">
        <f t="shared" si="1"/>
        <v>1</v>
      </c>
      <c r="F35" s="311">
        <v>1</v>
      </c>
      <c r="G35" s="311" t="b">
        <v>1</v>
      </c>
      <c r="H35" s="1368" t="str">
        <f t="shared" si="16"/>
        <v>Residential</v>
      </c>
      <c r="I35" s="362" t="str">
        <f>INDEX('AMMO Measures'!B:B,MATCH($A35,'AMMO Measures'!A:A,0))</f>
        <v>Retail Product Portfolio</v>
      </c>
      <c r="J35" s="362" t="str">
        <f>INDEX('AMMO Measures'!C:C,MATCH($A35,'AMMO Measures'!$A:$A,0))</f>
        <v>Refrigerators- Other</v>
      </c>
      <c r="K35" s="362" t="str">
        <f>INDEX('AMMO Measures'!D:D,MATCH($A35,'AMMO Measures'!$A:$A,0))</f>
        <v>ENERGY STAR Most Efficient</v>
      </c>
      <c r="L35" s="362">
        <f>VALUE(INDEX('AMMO Measures'!H:H,MATCH($A35,'AMMO Measures'!A:A,0)))</f>
        <v>15.2</v>
      </c>
      <c r="M35" s="125">
        <v>2024</v>
      </c>
      <c r="N35" s="322">
        <f>GETPIVOTDATA("Units",'AMMO Units'!$A$3,"Year",$M35,"Measure Index",$A35,"Savings Category","Regional_Market_2021PP")</f>
        <v>126570.68124186</v>
      </c>
      <c r="O35" s="323">
        <f>GETPIVOTDATA("Units",'AMMO Units'!$A$3,"Year",$M35,"Measure Index",$A35,"Savings Category","Local_Incentives_2021PP")</f>
        <v>0</v>
      </c>
      <c r="P35" s="216" t="s">
        <v>2783</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6">
        <f>GETPIVOTDATA("Savings Rate",'AMMO Savings Rates'!$A$3,"Year",$M35,"Measure Index",$A35,"Savings Rate Type","Savings_Rate_2021PP")</f>
        <v>20.72905729</v>
      </c>
      <c r="S35" s="360" t="s">
        <v>2784</v>
      </c>
      <c r="T35" s="1371">
        <f t="shared" si="12"/>
        <v>4.1888003982599301E-2</v>
      </c>
      <c r="U35" s="1372">
        <f t="shared" si="13"/>
        <v>0</v>
      </c>
      <c r="V35" s="363">
        <f t="shared" si="14"/>
        <v>4.1888003982599301E-2</v>
      </c>
      <c r="W35" s="637"/>
    </row>
    <row r="36" spans="1:23" s="294" customFormat="1" ht="12.75" hidden="1" customHeight="1">
      <c r="A36" s="272" t="s">
        <v>449</v>
      </c>
      <c r="B36" s="311" t="str">
        <f t="shared" si="15"/>
        <v>RES_201403</v>
      </c>
      <c r="C36" s="311">
        <v>0</v>
      </c>
      <c r="D36" s="311">
        <v>0</v>
      </c>
      <c r="E36" s="311">
        <f t="shared" si="1"/>
        <v>1</v>
      </c>
      <c r="F36" s="311">
        <v>1</v>
      </c>
      <c r="G36" s="311" t="b">
        <v>1</v>
      </c>
      <c r="H36" s="1368" t="str">
        <f t="shared" si="16"/>
        <v>Residential</v>
      </c>
      <c r="I36" s="362" t="str">
        <f>INDEX('AMMO Measures'!B:B,MATCH($A36,'AMMO Measures'!A:A,0))</f>
        <v>Retail Product Portfolio</v>
      </c>
      <c r="J36" s="362" t="str">
        <f>INDEX('AMMO Measures'!C:C,MATCH($A36,'AMMO Measures'!$A:$A,0))</f>
        <v>Refrigerators- Side Freezers</v>
      </c>
      <c r="K36" s="362" t="str">
        <f>INDEX('AMMO Measures'!D:D,MATCH($A36,'AMMO Measures'!$A:$A,0))</f>
        <v>ENERGY STAR v5</v>
      </c>
      <c r="L36" s="362">
        <f>VALUE(INDEX('AMMO Measures'!H:H,MATCH($A36,'AMMO Measures'!A:A,0)))</f>
        <v>15.2</v>
      </c>
      <c r="M36" s="125">
        <v>2024</v>
      </c>
      <c r="N36" s="322">
        <f>GETPIVOTDATA("Units",'AMMO Units'!$A$3,"Year",$M36,"Measure Index",$A36,"Savings Category","Regional_Market_2021PP")</f>
        <v>7511.4516877300002</v>
      </c>
      <c r="O36" s="323">
        <f>GETPIVOTDATA("Units",'AMMO Units'!$A$3,"Year",$M36,"Measure Index",$A36,"Savings Category","Local_Incentives_2021PP")</f>
        <v>0</v>
      </c>
      <c r="P36" s="216" t="s">
        <v>2783</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6">
        <f>GETPIVOTDATA("Savings Rate",'AMMO Savings Rates'!$A$3,"Year",$M36,"Measure Index",$A36,"Savings Rate Type","Savings_Rate_2021PP")</f>
        <v>32.220843780000003</v>
      </c>
      <c r="S36" s="360" t="s">
        <v>2784</v>
      </c>
      <c r="T36" s="1371">
        <f t="shared" si="12"/>
        <v>3.8640059303596853E-3</v>
      </c>
      <c r="U36" s="1372">
        <f t="shared" si="13"/>
        <v>0</v>
      </c>
      <c r="V36" s="363">
        <f t="shared" si="14"/>
        <v>3.8640059303596853E-3</v>
      </c>
      <c r="W36" s="637"/>
    </row>
    <row r="37" spans="1:23" s="294" customFormat="1" ht="12.75" hidden="1" customHeight="1">
      <c r="A37" s="272" t="s">
        <v>450</v>
      </c>
      <c r="B37" s="311" t="str">
        <f t="shared" si="15"/>
        <v>RES_201403</v>
      </c>
      <c r="C37" s="311">
        <v>0</v>
      </c>
      <c r="D37" s="311">
        <v>0</v>
      </c>
      <c r="E37" s="311">
        <f t="shared" si="1"/>
        <v>1</v>
      </c>
      <c r="F37" s="311">
        <v>1</v>
      </c>
      <c r="G37" s="311" t="b">
        <v>1</v>
      </c>
      <c r="H37" s="1368" t="str">
        <f t="shared" si="16"/>
        <v>Residential</v>
      </c>
      <c r="I37" s="362" t="str">
        <f>INDEX('AMMO Measures'!B:B,MATCH($A37,'AMMO Measures'!A:A,0))</f>
        <v>Retail Product Portfolio</v>
      </c>
      <c r="J37" s="362" t="str">
        <f>INDEX('AMMO Measures'!C:C,MATCH($A37,'AMMO Measures'!$A:$A,0))</f>
        <v>Refrigerators- Side Freezers</v>
      </c>
      <c r="K37" s="362" t="str">
        <f>INDEX('AMMO Measures'!D:D,MATCH($A37,'AMMO Measures'!$A:$A,0))</f>
        <v>ENERGY STAR Most Efficient</v>
      </c>
      <c r="L37" s="362">
        <f>VALUE(INDEX('AMMO Measures'!H:H,MATCH($A37,'AMMO Measures'!A:A,0)))</f>
        <v>15.2</v>
      </c>
      <c r="M37" s="125">
        <v>2024</v>
      </c>
      <c r="N37" s="322">
        <f>GETPIVOTDATA("Units",'AMMO Units'!$A$3,"Year",$M37,"Measure Index",$A37,"Savings Category","Regional_Market_2021PP")</f>
        <v>5781.3720000000003</v>
      </c>
      <c r="O37" s="323">
        <f>GETPIVOTDATA("Units",'AMMO Units'!$A$3,"Year",$M37,"Measure Index",$A37,"Savings Category","Local_Incentives_2021PP")</f>
        <v>0</v>
      </c>
      <c r="P37" s="216" t="s">
        <v>2783</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6">
        <f>GETPIVOTDATA("Savings Rate",'AMMO Savings Rates'!$A$3,"Year",$M37,"Measure Index",$A37,"Savings Rate Type","Savings_Rate_2021PP")</f>
        <v>106.05575447</v>
      </c>
      <c r="S37" s="360" t="s">
        <v>2784</v>
      </c>
      <c r="T37" s="1371">
        <f t="shared" si="12"/>
        <v>9.7890861218788636E-3</v>
      </c>
      <c r="U37" s="1372">
        <f t="shared" si="13"/>
        <v>0</v>
      </c>
      <c r="V37" s="363">
        <f t="shared" si="14"/>
        <v>9.7890861218788636E-3</v>
      </c>
      <c r="W37" s="637"/>
    </row>
    <row r="38" spans="1:23" s="294" customFormat="1" ht="12.75" hidden="1" customHeight="1">
      <c r="A38" s="272" t="s">
        <v>447</v>
      </c>
      <c r="B38" s="311" t="str">
        <f t="shared" si="15"/>
        <v>RES_201403</v>
      </c>
      <c r="C38" s="311">
        <v>0</v>
      </c>
      <c r="D38" s="311">
        <v>0</v>
      </c>
      <c r="E38" s="311">
        <f t="shared" si="1"/>
        <v>1</v>
      </c>
      <c r="F38" s="311">
        <v>1</v>
      </c>
      <c r="G38" s="311" t="b">
        <v>1</v>
      </c>
      <c r="H38" s="1368" t="str">
        <f t="shared" si="16"/>
        <v>Residential</v>
      </c>
      <c r="I38" s="362" t="str">
        <f>INDEX('AMMO Measures'!B:B,MATCH($A38,'AMMO Measures'!A:A,0))</f>
        <v>Retail Product Portfolio</v>
      </c>
      <c r="J38" s="362" t="str">
        <f>INDEX('AMMO Measures'!C:C,MATCH($A38,'AMMO Measures'!$A:$A,0))</f>
        <v>Refrigerators- Bottom Freezers</v>
      </c>
      <c r="K38" s="362" t="str">
        <f>INDEX('AMMO Measures'!D:D,MATCH($A38,'AMMO Measures'!$A:$A,0))</f>
        <v>ENERGY STAR v5</v>
      </c>
      <c r="L38" s="362">
        <f>VALUE(INDEX('AMMO Measures'!H:H,MATCH($A38,'AMMO Measures'!A:A,0)))</f>
        <v>15.2</v>
      </c>
      <c r="M38" s="125">
        <v>2024</v>
      </c>
      <c r="N38" s="322">
        <f>GETPIVOTDATA("Units",'AMMO Units'!$A$3,"Year",$M38,"Measure Index",$A38,"Savings Category","Regional_Market_2021PP")</f>
        <v>186580.64936059</v>
      </c>
      <c r="O38" s="323">
        <f>GETPIVOTDATA("Units",'AMMO Units'!$A$3,"Year",$M38,"Measure Index",$A38,"Savings Category","Local_Incentives_2021PP")</f>
        <v>0</v>
      </c>
      <c r="P38" s="216" t="s">
        <v>2783</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6">
        <f>GETPIVOTDATA("Savings Rate",'AMMO Savings Rates'!$A$3,"Year",$M38,"Measure Index",$A38,"Savings Rate Type","Savings_Rate_2021PP")</f>
        <v>-7.9734500700000002</v>
      </c>
      <c r="S38" s="360" t="s">
        <v>2784</v>
      </c>
      <c r="T38" s="1371">
        <f t="shared" si="12"/>
        <v>-2.3751436217337031E-2</v>
      </c>
      <c r="U38" s="1372">
        <f t="shared" si="13"/>
        <v>0</v>
      </c>
      <c r="V38" s="363">
        <f t="shared" si="14"/>
        <v>-2.3751436217337031E-2</v>
      </c>
      <c r="W38" s="637"/>
    </row>
    <row r="39" spans="1:23" s="294" customFormat="1" ht="12.75" hidden="1" customHeight="1">
      <c r="A39" s="272" t="s">
        <v>448</v>
      </c>
      <c r="B39" s="311" t="str">
        <f t="shared" si="15"/>
        <v>RES_201403</v>
      </c>
      <c r="C39" s="311">
        <v>0</v>
      </c>
      <c r="D39" s="311">
        <v>0</v>
      </c>
      <c r="E39" s="311">
        <f t="shared" si="1"/>
        <v>1</v>
      </c>
      <c r="F39" s="311">
        <v>1</v>
      </c>
      <c r="G39" s="311" t="b">
        <v>1</v>
      </c>
      <c r="H39" s="2082" t="str">
        <f t="shared" si="16"/>
        <v>Residential</v>
      </c>
      <c r="I39" s="2083" t="str">
        <f>INDEX('AMMO Measures'!B:B,MATCH($A39,'AMMO Measures'!A:A,0))</f>
        <v>Retail Product Portfolio</v>
      </c>
      <c r="J39" s="2083" t="str">
        <f>INDEX('AMMO Measures'!C:C,MATCH($A39,'AMMO Measures'!$A:$A,0))</f>
        <v>Refrigerators- Bottom Freezers</v>
      </c>
      <c r="K39" s="2083" t="str">
        <f>INDEX('AMMO Measures'!D:D,MATCH($A39,'AMMO Measures'!$A:$A,0))</f>
        <v>ENERGY STAR Most Efficient</v>
      </c>
      <c r="L39" s="2083">
        <f>VALUE(INDEX('AMMO Measures'!H:H,MATCH($A39,'AMMO Measures'!A:A,0)))</f>
        <v>15.2</v>
      </c>
      <c r="M39" s="2084">
        <v>2024</v>
      </c>
      <c r="N39" s="2085">
        <f>GETPIVOTDATA("Units",'AMMO Units'!$A$3,"Year",$M39,"Measure Index",$A39,"Savings Category","Regional_Market_2021PP")</f>
        <v>27692.280052940001</v>
      </c>
      <c r="O39" s="2086">
        <f>GETPIVOTDATA("Units",'AMMO Units'!$A$3,"Year",$M39,"Measure Index",$A39,"Savings Category","Local_Incentives_2021PP")</f>
        <v>0</v>
      </c>
      <c r="P39" s="2087" t="s">
        <v>2783</v>
      </c>
      <c r="Q39" s="2088">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2089">
        <f>GETPIVOTDATA("Savings Rate",'AMMO Savings Rates'!$A$3,"Year",$M39,"Measure Index",$A39,"Savings Rate Type","Savings_Rate_2021PP")</f>
        <v>94.712395810000004</v>
      </c>
      <c r="S39" s="2090" t="s">
        <v>2784</v>
      </c>
      <c r="T39" s="2091">
        <f t="shared" si="12"/>
        <v>4.1873815408733583E-2</v>
      </c>
      <c r="U39" s="2092">
        <f t="shared" si="13"/>
        <v>0</v>
      </c>
      <c r="V39" s="2093">
        <f t="shared" si="14"/>
        <v>4.1873815408733583E-2</v>
      </c>
      <c r="W39" s="637"/>
    </row>
    <row r="40" spans="1:23" ht="12.75" hidden="1" customHeight="1">
      <c r="A40" s="272" t="s">
        <v>501</v>
      </c>
      <c r="B40" s="311" t="str">
        <f t="shared" ref="B40:B51" si="17">LEFT(A40,10)</f>
        <v>RES_201403</v>
      </c>
      <c r="C40" s="311">
        <v>0</v>
      </c>
      <c r="D40" s="311">
        <v>0</v>
      </c>
      <c r="E40" s="311">
        <f t="shared" si="1"/>
        <v>1</v>
      </c>
      <c r="F40" s="311">
        <v>1</v>
      </c>
      <c r="G40" s="311" t="b">
        <v>1</v>
      </c>
      <c r="H40" s="2094" t="str">
        <f t="shared" ref="H40:H51" si="18">IF(LEFT(A40,3)="Res","Residential",IF(LEFT(A40,3)="Ind","industrial",IF(LEFT(A40,3)="Com","Commercial",IF(LEFT(A40,3)="AGR","Agriculture",""))))</f>
        <v>Residential</v>
      </c>
      <c r="I40" s="2095" t="str">
        <f>INDEX('AMMO Measures'!B:B,MATCH($A40,'AMMO Measures'!A:A,0))</f>
        <v>Retail Product Portfolio</v>
      </c>
      <c r="J40" s="2095" t="str">
        <f>INDEX('AMMO Measures'!C:C,MATCH($A40,'AMMO Measures'!$A:$A,0))</f>
        <v>Freezers- Compact</v>
      </c>
      <c r="K40" s="2095" t="str">
        <f>INDEX('AMMO Measures'!D:D,MATCH($A40,'AMMO Measures'!$A:$A,0))</f>
        <v>ENERGY STAR v5</v>
      </c>
      <c r="L40" s="2095">
        <f>VALUE(INDEX('AMMO Measures'!H:H,MATCH($A40,'AMMO Measures'!A:A,0)))</f>
        <v>6.5</v>
      </c>
      <c r="M40" s="2096">
        <v>2025</v>
      </c>
      <c r="N40" s="1790">
        <f>GETPIVOTDATA("Units",'AMMO Units'!$A$3,"Year",$M40,"Measure Index",$A40,"Savings Category","Regional_Market_2021PP")</f>
        <v>5599.1036528200002</v>
      </c>
      <c r="O40" s="1791">
        <f>GETPIVOTDATA("Units",'AMMO Units'!$A$3,"Year",$M40,"Measure Index",$A40,"Savings Category","Local_Incentives_2021PP")</f>
        <v>0</v>
      </c>
      <c r="P40" s="1792" t="s">
        <v>2783</v>
      </c>
      <c r="Q40" s="1793">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0.13985600000000001</v>
      </c>
      <c r="R40" s="1794">
        <f>GETPIVOTDATA("Savings Rate",'AMMO Savings Rates'!$A$3,"Year",$M40,"Measure Index",$A40,"Savings Rate Type","Savings_Rate_2021PP")</f>
        <v>21.616066579999998</v>
      </c>
      <c r="S40" s="1795" t="s">
        <v>2784</v>
      </c>
      <c r="T40" s="1796">
        <f t="shared" ref="T40:T51" si="19">(N40)*Q40*R40/8760000</f>
        <v>1.9322894089790982E-3</v>
      </c>
      <c r="U40" s="1797">
        <f t="shared" ref="U40:U51" si="20">IFERROR((O40*O40)*Q40*R40/8760/1000,0)</f>
        <v>0</v>
      </c>
      <c r="V40" s="1798">
        <f t="shared" ref="V40:V51" si="21">T40-U40</f>
        <v>1.9322894089790982E-3</v>
      </c>
    </row>
    <row r="41" spans="1:23" ht="12.75" hidden="1" customHeight="1">
      <c r="A41" s="272" t="s">
        <v>502</v>
      </c>
      <c r="B41" s="311" t="str">
        <f t="shared" si="17"/>
        <v>RES_201403</v>
      </c>
      <c r="C41" s="311">
        <v>0</v>
      </c>
      <c r="D41" s="311">
        <v>0</v>
      </c>
      <c r="E41" s="311">
        <f t="shared" si="1"/>
        <v>1</v>
      </c>
      <c r="F41" s="311">
        <v>1</v>
      </c>
      <c r="G41" s="311" t="b">
        <v>1</v>
      </c>
      <c r="H41" s="1360" t="str">
        <f t="shared" si="18"/>
        <v>Residential</v>
      </c>
      <c r="I41" s="314" t="str">
        <f>INDEX('AMMO Measures'!B:B,MATCH($A41,'AMMO Measures'!A:A,0))</f>
        <v>Retail Product Portfolio</v>
      </c>
      <c r="J41" s="314" t="str">
        <f>INDEX('AMMO Measures'!C:C,MATCH($A41,'AMMO Measures'!$A:$A,0))</f>
        <v>Freezers- Compact</v>
      </c>
      <c r="K41" s="314" t="str">
        <f>INDEX('AMMO Measures'!D:D,MATCH($A41,'AMMO Measures'!$A:$A,0))</f>
        <v>ENERGY STAR v5 +5%</v>
      </c>
      <c r="L41" s="314">
        <f>VALUE(INDEX('AMMO Measures'!H:H,MATCH($A41,'AMMO Measures'!A:A,0)))</f>
        <v>6.5</v>
      </c>
      <c r="M41" s="880">
        <v>2025</v>
      </c>
      <c r="N41" s="322">
        <f>GETPIVOTDATA("Units",'AMMO Units'!$A$3,"Year",$M41,"Measure Index",$A41,"Savings Category","Regional_Market_2021PP")</f>
        <v>110.11726195999999</v>
      </c>
      <c r="O41" s="323">
        <f>GETPIVOTDATA("Units",'AMMO Units'!$A$3,"Year",$M41,"Measure Index",$A41,"Savings Category","Local_Incentives_2021PP")</f>
        <v>0</v>
      </c>
      <c r="P41" s="216" t="s">
        <v>2783</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6">
        <f>GETPIVOTDATA("Savings Rate",'AMMO Savings Rates'!$A$3,"Year",$M41,"Measure Index",$A41,"Savings Rate Type","Savings_Rate_2021PP")</f>
        <v>44.790115290000003</v>
      </c>
      <c r="S41" s="360" t="s">
        <v>2784</v>
      </c>
      <c r="T41" s="1371">
        <f t="shared" si="19"/>
        <v>7.8743475852216315E-5</v>
      </c>
      <c r="U41" s="1372">
        <f t="shared" si="20"/>
        <v>0</v>
      </c>
      <c r="V41" s="363">
        <f t="shared" si="21"/>
        <v>7.8743475852216315E-5</v>
      </c>
    </row>
    <row r="42" spans="1:23" ht="12.75" hidden="1" customHeight="1">
      <c r="A42" s="272" t="s">
        <v>503</v>
      </c>
      <c r="B42" s="311" t="str">
        <f t="shared" si="17"/>
        <v>RES_201403</v>
      </c>
      <c r="C42" s="311">
        <v>0</v>
      </c>
      <c r="D42" s="311">
        <v>0</v>
      </c>
      <c r="E42" s="311">
        <f t="shared" si="1"/>
        <v>1</v>
      </c>
      <c r="F42" s="311">
        <v>1</v>
      </c>
      <c r="G42" s="311" t="b">
        <v>1</v>
      </c>
      <c r="H42" s="1359" t="str">
        <f t="shared" si="18"/>
        <v>Residential</v>
      </c>
      <c r="I42" s="314" t="str">
        <f>INDEX('AMMO Measures'!B:B,MATCH($A42,'AMMO Measures'!A:A,0))</f>
        <v>Retail Product Portfolio</v>
      </c>
      <c r="J42" s="314" t="str">
        <f>INDEX('AMMO Measures'!C:C,MATCH($A42,'AMMO Measures'!$A:$A,0))</f>
        <v>Freezers- Upright</v>
      </c>
      <c r="K42" s="314" t="str">
        <f>INDEX('AMMO Measures'!D:D,MATCH($A42,'AMMO Measures'!$A:$A,0))</f>
        <v>ENERGY STAR v5</v>
      </c>
      <c r="L42" s="314">
        <f>VALUE(INDEX('AMMO Measures'!H:H,MATCH($A42,'AMMO Measures'!A:A,0)))</f>
        <v>22</v>
      </c>
      <c r="M42" s="880">
        <v>2025</v>
      </c>
      <c r="N42" s="322">
        <f>GETPIVOTDATA("Units",'AMMO Units'!$A$3,"Year",$M42,"Measure Index",$A42,"Savings Category","Regional_Market_2021PP")</f>
        <v>15975.13348602</v>
      </c>
      <c r="O42" s="323">
        <f>GETPIVOTDATA("Units",'AMMO Units'!$A$3,"Year",$M42,"Measure Index",$A42,"Savings Category","Local_Incentives_2021PP")</f>
        <v>0</v>
      </c>
      <c r="P42" s="216" t="s">
        <v>2783</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6">
        <f>GETPIVOTDATA("Savings Rate",'AMMO Savings Rates'!$A$3,"Year",$M42,"Measure Index",$A42,"Savings Rate Type","Savings_Rate_2021PP")</f>
        <v>35.752220960000002</v>
      </c>
      <c r="S42" s="360" t="s">
        <v>2784</v>
      </c>
      <c r="T42" s="1371">
        <f t="shared" si="19"/>
        <v>9.1185234269121444E-3</v>
      </c>
      <c r="U42" s="1372">
        <f t="shared" si="20"/>
        <v>0</v>
      </c>
      <c r="V42" s="363">
        <f t="shared" si="21"/>
        <v>9.1185234269121444E-3</v>
      </c>
    </row>
    <row r="43" spans="1:23" ht="12.75" hidden="1" customHeight="1">
      <c r="A43" s="272" t="s">
        <v>504</v>
      </c>
      <c r="B43" s="311" t="str">
        <f t="shared" si="17"/>
        <v>RES_201403</v>
      </c>
      <c r="C43" s="311">
        <v>0</v>
      </c>
      <c r="D43" s="311">
        <v>0</v>
      </c>
      <c r="E43" s="311">
        <f t="shared" si="1"/>
        <v>1</v>
      </c>
      <c r="F43" s="311">
        <v>1</v>
      </c>
      <c r="G43" s="311" t="b">
        <v>1</v>
      </c>
      <c r="H43" s="1360" t="str">
        <f t="shared" si="18"/>
        <v>Residential</v>
      </c>
      <c r="I43" s="314" t="str">
        <f>INDEX('AMMO Measures'!B:B,MATCH($A43,'AMMO Measures'!A:A,0))</f>
        <v>Retail Product Portfolio</v>
      </c>
      <c r="J43" s="314" t="str">
        <f>INDEX('AMMO Measures'!C:C,MATCH($A43,'AMMO Measures'!$A:$A,0))</f>
        <v>Freezers- Upright</v>
      </c>
      <c r="K43" s="314" t="str">
        <f>INDEX('AMMO Measures'!D:D,MATCH($A43,'AMMO Measures'!$A:$A,0))</f>
        <v>ENERGY STAR v5 +5%</v>
      </c>
      <c r="L43" s="314">
        <f>VALUE(INDEX('AMMO Measures'!H:H,MATCH($A43,'AMMO Measures'!A:A,0)))</f>
        <v>22</v>
      </c>
      <c r="M43" s="880">
        <v>2025</v>
      </c>
      <c r="N43" s="322">
        <f>GETPIVOTDATA("Units",'AMMO Units'!$A$3,"Year",$M43,"Measure Index",$A43,"Savings Category","Regional_Market_2021PP")</f>
        <v>14292.72177887</v>
      </c>
      <c r="O43" s="323">
        <f>GETPIVOTDATA("Units",'AMMO Units'!$A$3,"Year",$M43,"Measure Index",$A43,"Savings Category","Local_Incentives_2021PP")</f>
        <v>0</v>
      </c>
      <c r="P43" s="216" t="s">
        <v>2783</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6">
        <f>GETPIVOTDATA("Savings Rate",'AMMO Savings Rates'!$A$3,"Year",$M43,"Measure Index",$A43,"Savings Rate Type","Savings_Rate_2021PP")</f>
        <v>101.96812629999999</v>
      </c>
      <c r="S43" s="360" t="s">
        <v>2784</v>
      </c>
      <c r="T43" s="1371">
        <f t="shared" si="19"/>
        <v>2.3267856442469186E-2</v>
      </c>
      <c r="U43" s="1372">
        <f t="shared" si="20"/>
        <v>0</v>
      </c>
      <c r="V43" s="363">
        <f t="shared" si="21"/>
        <v>2.3267856442469186E-2</v>
      </c>
    </row>
    <row r="44" spans="1:23" ht="12.75" hidden="1" customHeight="1">
      <c r="A44" s="272" t="s">
        <v>505</v>
      </c>
      <c r="B44" s="311" t="str">
        <f t="shared" si="17"/>
        <v>RES_201403</v>
      </c>
      <c r="C44" s="311">
        <v>0</v>
      </c>
      <c r="D44" s="311">
        <v>0</v>
      </c>
      <c r="E44" s="311">
        <f t="shared" si="1"/>
        <v>1</v>
      </c>
      <c r="F44" s="311">
        <v>1</v>
      </c>
      <c r="G44" s="311" t="b">
        <v>1</v>
      </c>
      <c r="H44" s="1359" t="str">
        <f t="shared" si="18"/>
        <v>Residential</v>
      </c>
      <c r="I44" s="314" t="str">
        <f>INDEX('AMMO Measures'!B:B,MATCH($A44,'AMMO Measures'!A:A,0))</f>
        <v>Retail Product Portfolio</v>
      </c>
      <c r="J44" s="314" t="str">
        <f>INDEX('AMMO Measures'!C:C,MATCH($A44,'AMMO Measures'!$A:$A,0))</f>
        <v>Freezers- Chest</v>
      </c>
      <c r="K44" s="314" t="str">
        <f>INDEX('AMMO Measures'!D:D,MATCH($A44,'AMMO Measures'!$A:$A,0))</f>
        <v>ENERGY STAR v5</v>
      </c>
      <c r="L44" s="314">
        <f>VALUE(INDEX('AMMO Measures'!H:H,MATCH($A44,'AMMO Measures'!A:A,0)))</f>
        <v>22</v>
      </c>
      <c r="M44" s="880">
        <v>2025</v>
      </c>
      <c r="N44" s="322">
        <f>GETPIVOTDATA("Units",'AMMO Units'!$A$3,"Year",$M44,"Measure Index",$A44,"Savings Category","Regional_Market_2021PP")</f>
        <v>2429.2923328000002</v>
      </c>
      <c r="O44" s="323">
        <f>GETPIVOTDATA("Units",'AMMO Units'!$A$3,"Year",$M44,"Measure Index",$A44,"Savings Category","Local_Incentives_2021PP")</f>
        <v>0</v>
      </c>
      <c r="P44" s="216" t="s">
        <v>2783</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6">
        <f>GETPIVOTDATA("Savings Rate",'AMMO Savings Rates'!$A$3,"Year",$M44,"Measure Index",$A44,"Savings Rate Type","Savings_Rate_2021PP")</f>
        <v>24.641119249999999</v>
      </c>
      <c r="S44" s="360" t="s">
        <v>2784</v>
      </c>
      <c r="T44" s="1371">
        <f t="shared" si="19"/>
        <v>9.5569036298761602E-4</v>
      </c>
      <c r="U44" s="1372">
        <f t="shared" si="20"/>
        <v>0</v>
      </c>
      <c r="V44" s="363">
        <f t="shared" si="21"/>
        <v>9.5569036298761602E-4</v>
      </c>
    </row>
    <row r="45" spans="1:23" ht="12.75" hidden="1" customHeight="1">
      <c r="A45" s="272" t="s">
        <v>506</v>
      </c>
      <c r="B45" s="311" t="str">
        <f t="shared" si="17"/>
        <v>RES_201403</v>
      </c>
      <c r="C45" s="311">
        <v>0</v>
      </c>
      <c r="D45" s="311">
        <v>0</v>
      </c>
      <c r="E45" s="311">
        <f t="shared" si="1"/>
        <v>1</v>
      </c>
      <c r="F45" s="311">
        <v>1</v>
      </c>
      <c r="G45" s="311" t="b">
        <v>1</v>
      </c>
      <c r="H45" s="2097" t="str">
        <f t="shared" si="18"/>
        <v>Residential</v>
      </c>
      <c r="I45" s="349" t="str">
        <f>INDEX('AMMO Measures'!B:B,MATCH($A45,'AMMO Measures'!A:A,0))</f>
        <v>Retail Product Portfolio</v>
      </c>
      <c r="J45" s="349" t="str">
        <f>INDEX('AMMO Measures'!C:C,MATCH($A45,'AMMO Measures'!$A:$A,0))</f>
        <v>Freezers- Chest</v>
      </c>
      <c r="K45" s="349" t="str">
        <f>INDEX('AMMO Measures'!D:D,MATCH($A45,'AMMO Measures'!$A:$A,0))</f>
        <v>ENERGY STAR v5 +5%</v>
      </c>
      <c r="L45" s="349">
        <f>VALUE(INDEX('AMMO Measures'!H:H,MATCH($A45,'AMMO Measures'!A:A,0)))</f>
        <v>22</v>
      </c>
      <c r="M45" s="2098">
        <v>2025</v>
      </c>
      <c r="N45" s="2085">
        <f>GETPIVOTDATA("Units",'AMMO Units'!$A$3,"Year",$M45,"Measure Index",$A45,"Savings Category","Regional_Market_2021PP")</f>
        <v>24.677809719999999</v>
      </c>
      <c r="O45" s="2086">
        <f>GETPIVOTDATA("Units",'AMMO Units'!$A$3,"Year",$M45,"Measure Index",$A45,"Savings Category","Local_Incentives_2021PP")</f>
        <v>0</v>
      </c>
      <c r="P45" s="2087" t="s">
        <v>2783</v>
      </c>
      <c r="Q45" s="2088">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2089">
        <f>GETPIVOTDATA("Savings Rate",'AMMO Savings Rates'!$A$3,"Year",$M45,"Measure Index",$A45,"Savings Rate Type","Savings_Rate_2021PP")</f>
        <v>51.916314059999998</v>
      </c>
      <c r="S45" s="2090" t="s">
        <v>2784</v>
      </c>
      <c r="T45" s="2091">
        <f t="shared" si="19"/>
        <v>2.0454433642769365E-5</v>
      </c>
      <c r="U45" s="2092">
        <f t="shared" si="20"/>
        <v>0</v>
      </c>
      <c r="V45" s="2093">
        <f t="shared" si="21"/>
        <v>2.0454433642769365E-5</v>
      </c>
    </row>
    <row r="46" spans="1:23" ht="12.75" hidden="1" customHeight="1">
      <c r="A46" s="272" t="s">
        <v>95</v>
      </c>
      <c r="B46" s="311" t="str">
        <f t="shared" si="17"/>
        <v>RES_201403</v>
      </c>
      <c r="C46" s="311">
        <v>0</v>
      </c>
      <c r="D46" s="311">
        <v>0</v>
      </c>
      <c r="E46" s="311">
        <f t="shared" si="1"/>
        <v>1</v>
      </c>
      <c r="F46" s="311">
        <v>1</v>
      </c>
      <c r="G46" s="311" t="b">
        <v>1</v>
      </c>
      <c r="H46" s="2099" t="str">
        <f t="shared" si="18"/>
        <v>Residential</v>
      </c>
      <c r="I46" s="2100" t="str">
        <f>INDEX('AMMO Measures'!B:B,MATCH($A46,'AMMO Measures'!A:A,0))</f>
        <v>Retail Product Portfolio</v>
      </c>
      <c r="J46" s="2100" t="str">
        <f>INDEX('AMMO Measures'!C:C,MATCH($A46,'AMMO Measures'!$A:$A,0))</f>
        <v>Refrigerators- Other</v>
      </c>
      <c r="K46" s="2100" t="str">
        <f>INDEX('AMMO Measures'!D:D,MATCH($A46,'AMMO Measures'!$A:$A,0))</f>
        <v>ENERGY STAR v5</v>
      </c>
      <c r="L46" s="2100">
        <f>VALUE(INDEX('AMMO Measures'!H:H,MATCH($A46,'AMMO Measures'!A:A,0)))</f>
        <v>15.2</v>
      </c>
      <c r="M46" s="2101">
        <v>2025</v>
      </c>
      <c r="N46" s="1790">
        <f>GETPIVOTDATA("Units",'AMMO Units'!$A$3,"Year",$M46,"Measure Index",$A46,"Savings Category","Regional_Market_2021PP")</f>
        <v>4.0000000000000001E-8</v>
      </c>
      <c r="O46" s="1791">
        <f>GETPIVOTDATA("Units",'AMMO Units'!$A$3,"Year",$M46,"Measure Index",$A46,"Savings Category","Local_Incentives_2021PP")</f>
        <v>0</v>
      </c>
      <c r="P46" s="1792" t="s">
        <v>2783</v>
      </c>
      <c r="Q46" s="1793">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794">
        <f>GETPIVOTDATA("Savings Rate",'AMMO Savings Rates'!$A$3,"Year",$M46,"Measure Index",$A46,"Savings Rate Type","Savings_Rate_2021PP")</f>
        <v>5.7231145999999997</v>
      </c>
      <c r="S46" s="1795" t="s">
        <v>2784</v>
      </c>
      <c r="T46" s="1796">
        <f t="shared" si="19"/>
        <v>3.6548489292127855E-15</v>
      </c>
      <c r="U46" s="1797">
        <f t="shared" si="20"/>
        <v>0</v>
      </c>
      <c r="V46" s="1798">
        <f t="shared" si="21"/>
        <v>3.6548489292127855E-15</v>
      </c>
    </row>
    <row r="47" spans="1:23" ht="12.75" hidden="1" customHeight="1">
      <c r="A47" s="272" t="s">
        <v>96</v>
      </c>
      <c r="B47" s="311" t="str">
        <f t="shared" si="17"/>
        <v>RES_201403</v>
      </c>
      <c r="C47" s="311">
        <v>0</v>
      </c>
      <c r="D47" s="311">
        <v>0</v>
      </c>
      <c r="E47" s="311">
        <f t="shared" si="1"/>
        <v>1</v>
      </c>
      <c r="F47" s="311">
        <v>1</v>
      </c>
      <c r="G47" s="311" t="b">
        <v>1</v>
      </c>
      <c r="H47" s="1368" t="str">
        <f t="shared" si="18"/>
        <v>Residential</v>
      </c>
      <c r="I47" s="362" t="str">
        <f>INDEX('AMMO Measures'!B:B,MATCH($A47,'AMMO Measures'!A:A,0))</f>
        <v>Retail Product Portfolio</v>
      </c>
      <c r="J47" s="362" t="str">
        <f>INDEX('AMMO Measures'!C:C,MATCH($A47,'AMMO Measures'!$A:$A,0))</f>
        <v>Refrigerators- Other</v>
      </c>
      <c r="K47" s="362" t="str">
        <f>INDEX('AMMO Measures'!D:D,MATCH($A47,'AMMO Measures'!$A:$A,0))</f>
        <v>ENERGY STAR Most Efficient</v>
      </c>
      <c r="L47" s="362">
        <f>VALUE(INDEX('AMMO Measures'!H:H,MATCH($A47,'AMMO Measures'!A:A,0)))</f>
        <v>15.2</v>
      </c>
      <c r="M47" s="125">
        <v>2025</v>
      </c>
      <c r="N47" s="322">
        <f>GETPIVOTDATA("Units",'AMMO Units'!$A$3,"Year",$M47,"Measure Index",$A47,"Savings Category","Regional_Market_2021PP")</f>
        <v>154257.3328414</v>
      </c>
      <c r="O47" s="323">
        <f>GETPIVOTDATA("Units",'AMMO Units'!$A$3,"Year",$M47,"Measure Index",$A47,"Savings Category","Local_Incentives_2021PP")</f>
        <v>0</v>
      </c>
      <c r="P47" s="216" t="s">
        <v>2783</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6">
        <f>GETPIVOTDATA("Savings Rate",'AMMO Savings Rates'!$A$3,"Year",$M47,"Measure Index",$A47,"Savings Rate Type","Savings_Rate_2021PP")</f>
        <v>20.72905729</v>
      </c>
      <c r="S47" s="360" t="s">
        <v>2784</v>
      </c>
      <c r="T47" s="1371">
        <f t="shared" si="19"/>
        <v>5.1050778181864785E-2</v>
      </c>
      <c r="U47" s="1372">
        <f t="shared" si="20"/>
        <v>0</v>
      </c>
      <c r="V47" s="363">
        <f t="shared" si="21"/>
        <v>5.1050778181864785E-2</v>
      </c>
    </row>
    <row r="48" spans="1:23" ht="12.75" hidden="1" customHeight="1">
      <c r="A48" s="272" t="s">
        <v>449</v>
      </c>
      <c r="B48" s="311" t="str">
        <f t="shared" si="17"/>
        <v>RES_201403</v>
      </c>
      <c r="C48" s="311">
        <v>0</v>
      </c>
      <c r="D48" s="311">
        <v>0</v>
      </c>
      <c r="E48" s="311">
        <f t="shared" si="1"/>
        <v>1</v>
      </c>
      <c r="F48" s="311">
        <v>1</v>
      </c>
      <c r="G48" s="311" t="b">
        <v>1</v>
      </c>
      <c r="H48" s="1368" t="str">
        <f t="shared" si="18"/>
        <v>Residential</v>
      </c>
      <c r="I48" s="362" t="str">
        <f>INDEX('AMMO Measures'!B:B,MATCH($A48,'AMMO Measures'!A:A,0))</f>
        <v>Retail Product Portfolio</v>
      </c>
      <c r="J48" s="362" t="str">
        <f>INDEX('AMMO Measures'!C:C,MATCH($A48,'AMMO Measures'!$A:$A,0))</f>
        <v>Refrigerators- Side Freezers</v>
      </c>
      <c r="K48" s="362" t="str">
        <f>INDEX('AMMO Measures'!D:D,MATCH($A48,'AMMO Measures'!$A:$A,0))</f>
        <v>ENERGY STAR v5</v>
      </c>
      <c r="L48" s="362">
        <f>VALUE(INDEX('AMMO Measures'!H:H,MATCH($A48,'AMMO Measures'!A:A,0)))</f>
        <v>15.2</v>
      </c>
      <c r="M48" s="125">
        <v>2025</v>
      </c>
      <c r="N48" s="322">
        <f>GETPIVOTDATA("Units",'AMMO Units'!$A$3,"Year",$M48,"Measure Index",$A48,"Savings Category","Regional_Market_2021PP")</f>
        <v>10553.974034749999</v>
      </c>
      <c r="O48" s="323">
        <f>GETPIVOTDATA("Units",'AMMO Units'!$A$3,"Year",$M48,"Measure Index",$A48,"Savings Category","Local_Incentives_2021PP")</f>
        <v>0</v>
      </c>
      <c r="P48" s="216" t="s">
        <v>2783</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6">
        <f>GETPIVOTDATA("Savings Rate",'AMMO Savings Rates'!$A$3,"Year",$M48,"Measure Index",$A48,"Savings Rate Type","Savings_Rate_2021PP")</f>
        <v>32.220843780000003</v>
      </c>
      <c r="S48" s="360" t="s">
        <v>2784</v>
      </c>
      <c r="T48" s="1371">
        <f t="shared" si="19"/>
        <v>5.4291260803489569E-3</v>
      </c>
      <c r="U48" s="1372">
        <f t="shared" si="20"/>
        <v>0</v>
      </c>
      <c r="V48" s="363">
        <f t="shared" si="21"/>
        <v>5.4291260803489569E-3</v>
      </c>
    </row>
    <row r="49" spans="1:22" ht="12.75" hidden="1" customHeight="1">
      <c r="A49" s="272" t="s">
        <v>450</v>
      </c>
      <c r="B49" s="311" t="str">
        <f t="shared" si="17"/>
        <v>RES_201403</v>
      </c>
      <c r="C49" s="311">
        <v>0</v>
      </c>
      <c r="D49" s="311">
        <v>0</v>
      </c>
      <c r="E49" s="311">
        <f t="shared" si="1"/>
        <v>1</v>
      </c>
      <c r="F49" s="311">
        <v>1</v>
      </c>
      <c r="G49" s="311" t="b">
        <v>1</v>
      </c>
      <c r="H49" s="1368" t="str">
        <f t="shared" si="18"/>
        <v>Residential</v>
      </c>
      <c r="I49" s="362" t="str">
        <f>INDEX('AMMO Measures'!B:B,MATCH($A49,'AMMO Measures'!A:A,0))</f>
        <v>Retail Product Portfolio</v>
      </c>
      <c r="J49" s="362" t="str">
        <f>INDEX('AMMO Measures'!C:C,MATCH($A49,'AMMO Measures'!$A:$A,0))</f>
        <v>Refrigerators- Side Freezers</v>
      </c>
      <c r="K49" s="362" t="str">
        <f>INDEX('AMMO Measures'!D:D,MATCH($A49,'AMMO Measures'!$A:$A,0))</f>
        <v>ENERGY STAR Most Efficient</v>
      </c>
      <c r="L49" s="362">
        <f>VALUE(INDEX('AMMO Measures'!H:H,MATCH($A49,'AMMO Measures'!A:A,0)))</f>
        <v>15.2</v>
      </c>
      <c r="M49" s="125">
        <v>2025</v>
      </c>
      <c r="N49" s="322">
        <f>GETPIVOTDATA("Units",'AMMO Units'!$A$3,"Year",$M49,"Measure Index",$A49,"Savings Category","Regional_Market_2021PP")</f>
        <v>10853.47237827</v>
      </c>
      <c r="O49" s="323">
        <f>GETPIVOTDATA("Units",'AMMO Units'!$A$3,"Year",$M49,"Measure Index",$A49,"Savings Category","Local_Incentives_2021PP")</f>
        <v>0</v>
      </c>
      <c r="P49" s="216" t="s">
        <v>2783</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6">
        <f>GETPIVOTDATA("Savings Rate",'AMMO Savings Rates'!$A$3,"Year",$M49,"Measure Index",$A49,"Savings Rate Type","Savings_Rate_2021PP")</f>
        <v>106.05575447</v>
      </c>
      <c r="S49" s="360" t="s">
        <v>2784</v>
      </c>
      <c r="T49" s="1371">
        <f t="shared" si="19"/>
        <v>1.8377225307819395E-2</v>
      </c>
      <c r="U49" s="1372">
        <f t="shared" si="20"/>
        <v>0</v>
      </c>
      <c r="V49" s="363">
        <f t="shared" si="21"/>
        <v>1.8377225307819395E-2</v>
      </c>
    </row>
    <row r="50" spans="1:22" ht="12.75" hidden="1" customHeight="1">
      <c r="A50" s="272" t="s">
        <v>447</v>
      </c>
      <c r="B50" s="311" t="str">
        <f t="shared" si="17"/>
        <v>RES_201403</v>
      </c>
      <c r="C50" s="311">
        <v>0</v>
      </c>
      <c r="D50" s="311">
        <v>0</v>
      </c>
      <c r="E50" s="311">
        <f t="shared" si="1"/>
        <v>1</v>
      </c>
      <c r="F50" s="311">
        <v>1</v>
      </c>
      <c r="G50" s="311" t="b">
        <v>1</v>
      </c>
      <c r="H50" s="1368" t="str">
        <f t="shared" si="18"/>
        <v>Residential</v>
      </c>
      <c r="I50" s="362" t="str">
        <f>INDEX('AMMO Measures'!B:B,MATCH($A50,'AMMO Measures'!A:A,0))</f>
        <v>Retail Product Portfolio</v>
      </c>
      <c r="J50" s="362" t="str">
        <f>INDEX('AMMO Measures'!C:C,MATCH($A50,'AMMO Measures'!$A:$A,0))</f>
        <v>Refrigerators- Bottom Freezers</v>
      </c>
      <c r="K50" s="362" t="str">
        <f>INDEX('AMMO Measures'!D:D,MATCH($A50,'AMMO Measures'!$A:$A,0))</f>
        <v>ENERGY STAR v5</v>
      </c>
      <c r="L50" s="362">
        <f>VALUE(INDEX('AMMO Measures'!H:H,MATCH($A50,'AMMO Measures'!A:A,0)))</f>
        <v>15.2</v>
      </c>
      <c r="M50" s="125">
        <v>2025</v>
      </c>
      <c r="N50" s="322">
        <f>GETPIVOTDATA("Units",'AMMO Units'!$A$3,"Year",$M50,"Measure Index",$A50,"Savings Category","Regional_Market_2021PP")</f>
        <v>174008.90068016999</v>
      </c>
      <c r="O50" s="323">
        <f>GETPIVOTDATA("Units",'AMMO Units'!$A$3,"Year",$M50,"Measure Index",$A50,"Savings Category","Local_Incentives_2021PP")</f>
        <v>0</v>
      </c>
      <c r="P50" s="216" t="s">
        <v>2783</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6">
        <f>GETPIVOTDATA("Savings Rate",'AMMO Savings Rates'!$A$3,"Year",$M50,"Measure Index",$A50,"Savings Rate Type","Savings_Rate_2021PP")</f>
        <v>-7.9734500700000002</v>
      </c>
      <c r="S50" s="360" t="s">
        <v>2784</v>
      </c>
      <c r="T50" s="1371">
        <f t="shared" si="19"/>
        <v>-2.2151071506705589E-2</v>
      </c>
      <c r="U50" s="1372">
        <f t="shared" si="20"/>
        <v>0</v>
      </c>
      <c r="V50" s="363">
        <f t="shared" si="21"/>
        <v>-2.2151071506705589E-2</v>
      </c>
    </row>
    <row r="51" spans="1:22" ht="12.75" hidden="1" customHeight="1">
      <c r="A51" s="272" t="s">
        <v>448</v>
      </c>
      <c r="B51" s="311" t="str">
        <f t="shared" si="17"/>
        <v>RES_201403</v>
      </c>
      <c r="C51" s="311">
        <v>0</v>
      </c>
      <c r="D51" s="311">
        <v>0</v>
      </c>
      <c r="E51" s="311">
        <f t="shared" si="1"/>
        <v>1</v>
      </c>
      <c r="F51" s="311">
        <v>1</v>
      </c>
      <c r="G51" s="311" t="b">
        <v>1</v>
      </c>
      <c r="H51" s="2082" t="str">
        <f t="shared" si="18"/>
        <v>Residential</v>
      </c>
      <c r="I51" s="2083" t="str">
        <f>INDEX('AMMO Measures'!B:B,MATCH($A51,'AMMO Measures'!A:A,0))</f>
        <v>Retail Product Portfolio</v>
      </c>
      <c r="J51" s="2083" t="str">
        <f>INDEX('AMMO Measures'!C:C,MATCH($A51,'AMMO Measures'!$A:$A,0))</f>
        <v>Refrigerators- Bottom Freezers</v>
      </c>
      <c r="K51" s="2083" t="str">
        <f>INDEX('AMMO Measures'!D:D,MATCH($A51,'AMMO Measures'!$A:$A,0))</f>
        <v>ENERGY STAR Most Efficient</v>
      </c>
      <c r="L51" s="2083">
        <f>VALUE(INDEX('AMMO Measures'!H:H,MATCH($A51,'AMMO Measures'!A:A,0)))</f>
        <v>15.2</v>
      </c>
      <c r="M51" s="2084">
        <v>2025</v>
      </c>
      <c r="N51" s="2085">
        <f>GETPIVOTDATA("Units",'AMMO Units'!$A$3,"Year",$M51,"Measure Index",$A51,"Savings Category","Regional_Market_2021PP")</f>
        <v>48010.681102499999</v>
      </c>
      <c r="O51" s="2086">
        <f>GETPIVOTDATA("Units",'AMMO Units'!$A$3,"Year",$M51,"Measure Index",$A51,"Savings Category","Local_Incentives_2021PP")</f>
        <v>0</v>
      </c>
      <c r="P51" s="2087" t="s">
        <v>2783</v>
      </c>
      <c r="Q51" s="2088">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2089">
        <f>GETPIVOTDATA("Savings Rate",'AMMO Savings Rates'!$A$3,"Year",$M51,"Measure Index",$A51,"Savings Rate Type","Savings_Rate_2021PP")</f>
        <v>94.712395810000004</v>
      </c>
      <c r="S51" s="2090" t="s">
        <v>2784</v>
      </c>
      <c r="T51" s="2091">
        <f t="shared" si="19"/>
        <v>7.25975035024327E-2</v>
      </c>
      <c r="U51" s="2092">
        <f t="shared" si="20"/>
        <v>0</v>
      </c>
      <c r="V51" s="2093">
        <f t="shared" si="21"/>
        <v>7.25975035024327E-2</v>
      </c>
    </row>
    <row r="52" spans="1:22" ht="12.75" customHeight="1">
      <c r="F52" s="311"/>
      <c r="H52" s="496"/>
      <c r="I52" s="496"/>
      <c r="J52" s="496"/>
      <c r="K52" s="496"/>
      <c r="L52" s="496"/>
      <c r="M52" s="76"/>
    </row>
    <row r="53" spans="1:22" ht="20.25" customHeight="1">
      <c r="F53" s="311"/>
      <c r="H53" s="495" t="s">
        <v>839</v>
      </c>
      <c r="I53" s="496"/>
      <c r="J53" s="496"/>
      <c r="K53" s="496"/>
      <c r="L53" s="496"/>
      <c r="M53" s="76"/>
    </row>
    <row r="54" spans="1:22" ht="76.5" customHeight="1">
      <c r="F54" s="311"/>
      <c r="H54" s="2727" t="s">
        <v>1685</v>
      </c>
      <c r="I54" s="2728"/>
      <c r="J54" s="2728"/>
      <c r="K54" s="2728"/>
      <c r="L54" s="2729"/>
      <c r="M54" s="2730"/>
    </row>
    <row r="55" spans="1:22" ht="29.25" customHeight="1">
      <c r="F55" s="311"/>
      <c r="H55" s="495" t="s">
        <v>841</v>
      </c>
      <c r="I55" s="496"/>
      <c r="J55" s="496"/>
      <c r="K55" s="496"/>
      <c r="L55" s="496"/>
      <c r="M55" s="76"/>
    </row>
    <row r="56" spans="1:22" ht="122.25" customHeight="1">
      <c r="F56" s="311"/>
      <c r="H56" s="2727" t="s">
        <v>1688</v>
      </c>
      <c r="I56" s="2728"/>
      <c r="J56" s="2728"/>
      <c r="K56" s="2728"/>
      <c r="L56" s="2729"/>
      <c r="M56" s="2730"/>
    </row>
    <row r="58" spans="1:22" ht="12.75" hidden="1" customHeight="1">
      <c r="H58" s="639" t="s">
        <v>1159</v>
      </c>
    </row>
    <row r="59" spans="1:22" ht="12.75" hidden="1" customHeight="1">
      <c r="H59" s="2717" t="s">
        <v>781</v>
      </c>
      <c r="I59" s="2718"/>
      <c r="J59" s="652" t="s">
        <v>782</v>
      </c>
      <c r="K59" s="652" t="s">
        <v>783</v>
      </c>
      <c r="L59" s="652"/>
      <c r="M59" s="652" t="s">
        <v>784</v>
      </c>
      <c r="N59" s="652" t="s">
        <v>785</v>
      </c>
      <c r="O59" s="652" t="s">
        <v>842</v>
      </c>
      <c r="P59" s="653" t="s">
        <v>1120</v>
      </c>
      <c r="Q59" s="653" t="s">
        <v>1121</v>
      </c>
      <c r="R59" s="653" t="s">
        <v>843</v>
      </c>
      <c r="S59" s="654" t="s">
        <v>844</v>
      </c>
      <c r="T59" s="655" t="s">
        <v>786</v>
      </c>
      <c r="U59" s="656" t="s">
        <v>234</v>
      </c>
      <c r="V59" s="657" t="s">
        <v>1122</v>
      </c>
    </row>
    <row r="60" spans="1:22" ht="12.75" hidden="1" customHeight="1">
      <c r="H60" s="2719">
        <v>10</v>
      </c>
      <c r="I60" s="2720" t="s">
        <v>789</v>
      </c>
      <c r="J60" s="658" t="s">
        <v>787</v>
      </c>
      <c r="K60" s="659">
        <v>299.61880000000002</v>
      </c>
      <c r="L60" s="1772"/>
      <c r="M60" s="659">
        <v>15.039363</v>
      </c>
      <c r="N60" s="659">
        <v>-6.1995890000000001E-3</v>
      </c>
      <c r="O60" s="660">
        <v>3452</v>
      </c>
      <c r="P60" s="659">
        <v>288.55497622509284</v>
      </c>
      <c r="Q60" s="659">
        <v>288.62062430062855</v>
      </c>
      <c r="R60" s="659">
        <v>288.62062430062855</v>
      </c>
      <c r="S60" s="661">
        <v>0.10218762025990942</v>
      </c>
      <c r="T60" s="642">
        <v>2015</v>
      </c>
      <c r="U60" s="640" t="s">
        <v>508</v>
      </c>
      <c r="V60" s="662">
        <v>0.7865193183551531</v>
      </c>
    </row>
    <row r="61" spans="1:22" ht="12.75" hidden="1" customHeight="1">
      <c r="H61" s="2719"/>
      <c r="I61" s="2720"/>
      <c r="J61" s="658" t="s">
        <v>845</v>
      </c>
      <c r="K61" s="659">
        <v>218.19589999999999</v>
      </c>
      <c r="L61" s="1772"/>
      <c r="M61" s="659">
        <v>10.617182</v>
      </c>
      <c r="N61" s="659">
        <v>0.1059392</v>
      </c>
      <c r="O61" s="660">
        <v>873</v>
      </c>
      <c r="P61" s="659">
        <v>256.3961421850546</v>
      </c>
      <c r="Q61" s="659">
        <v>256.45447392318442</v>
      </c>
      <c r="R61" s="659">
        <v>256.45447392318442</v>
      </c>
      <c r="S61" s="661">
        <v>2.5842929457387288E-2</v>
      </c>
      <c r="T61" s="642">
        <v>2015</v>
      </c>
      <c r="U61" s="640" t="s">
        <v>508</v>
      </c>
      <c r="V61" s="662">
        <v>0.21348068164484693</v>
      </c>
    </row>
    <row r="62" spans="1:22" ht="12.75" hidden="1" customHeight="1">
      <c r="H62" s="2719"/>
      <c r="I62" s="2720"/>
      <c r="J62" s="658" t="s">
        <v>846</v>
      </c>
      <c r="K62" s="659" t="s">
        <v>788</v>
      </c>
      <c r="L62" s="1772"/>
      <c r="M62" s="659" t="s">
        <v>788</v>
      </c>
      <c r="N62" s="659" t="s">
        <v>788</v>
      </c>
      <c r="O62" s="660">
        <v>0</v>
      </c>
      <c r="P62" s="659" t="s">
        <v>788</v>
      </c>
      <c r="Q62" s="659" t="s">
        <v>788</v>
      </c>
      <c r="R62" s="659" t="s">
        <v>788</v>
      </c>
      <c r="S62" s="661">
        <v>0</v>
      </c>
      <c r="T62" s="642">
        <v>2015</v>
      </c>
      <c r="U62" s="641" t="s">
        <v>508</v>
      </c>
      <c r="V62" s="662">
        <v>0</v>
      </c>
    </row>
    <row r="63" spans="1:22" ht="12.75" hidden="1" customHeight="1">
      <c r="H63" s="2721" t="s">
        <v>790</v>
      </c>
      <c r="I63" s="2724" t="s">
        <v>791</v>
      </c>
      <c r="J63" s="643" t="s">
        <v>787</v>
      </c>
      <c r="K63" s="663" t="s">
        <v>788</v>
      </c>
      <c r="L63" s="1773"/>
      <c r="M63" s="663" t="s">
        <v>788</v>
      </c>
      <c r="N63" s="663" t="s">
        <v>788</v>
      </c>
      <c r="O63" s="664">
        <v>0</v>
      </c>
      <c r="P63" s="663" t="s">
        <v>788</v>
      </c>
      <c r="Q63" s="663" t="s">
        <v>788</v>
      </c>
      <c r="R63" s="663" t="s">
        <v>788</v>
      </c>
      <c r="S63" s="665">
        <v>0</v>
      </c>
      <c r="T63" s="645">
        <v>2015</v>
      </c>
      <c r="U63" s="644" t="s">
        <v>508</v>
      </c>
      <c r="V63" s="666">
        <v>0</v>
      </c>
    </row>
    <row r="64" spans="1:22" ht="12.75" hidden="1" customHeight="1">
      <c r="H64" s="2722"/>
      <c r="I64" s="2725"/>
      <c r="J64" s="643" t="s">
        <v>845</v>
      </c>
      <c r="K64" s="663" t="s">
        <v>788</v>
      </c>
      <c r="L64" s="1773"/>
      <c r="M64" s="663" t="s">
        <v>788</v>
      </c>
      <c r="N64" s="663" t="s">
        <v>788</v>
      </c>
      <c r="O64" s="664">
        <v>0</v>
      </c>
      <c r="P64" s="663" t="s">
        <v>788</v>
      </c>
      <c r="Q64" s="663" t="s">
        <v>788</v>
      </c>
      <c r="R64" s="663" t="s">
        <v>788</v>
      </c>
      <c r="S64" s="665">
        <v>0</v>
      </c>
      <c r="T64" s="645">
        <v>2015</v>
      </c>
      <c r="U64" s="644" t="s">
        <v>508</v>
      </c>
      <c r="V64" s="666">
        <v>0</v>
      </c>
    </row>
    <row r="65" spans="8:22" ht="12.75" hidden="1" customHeight="1">
      <c r="H65" s="2723"/>
      <c r="I65" s="2726"/>
      <c r="J65" s="643" t="s">
        <v>846</v>
      </c>
      <c r="K65" s="663" t="s">
        <v>788</v>
      </c>
      <c r="L65" s="1773"/>
      <c r="M65" s="663" t="s">
        <v>788</v>
      </c>
      <c r="N65" s="663" t="s">
        <v>788</v>
      </c>
      <c r="O65" s="664">
        <v>0</v>
      </c>
      <c r="P65" s="663" t="s">
        <v>788</v>
      </c>
      <c r="Q65" s="663" t="s">
        <v>788</v>
      </c>
      <c r="R65" s="663" t="s">
        <v>788</v>
      </c>
      <c r="S65" s="665">
        <v>0</v>
      </c>
      <c r="T65" s="645">
        <v>2015</v>
      </c>
      <c r="U65" s="644" t="s">
        <v>508</v>
      </c>
      <c r="V65" s="666">
        <v>0</v>
      </c>
    </row>
    <row r="66" spans="8:22" ht="12.75" hidden="1" customHeight="1">
      <c r="H66" s="2731">
        <v>10</v>
      </c>
      <c r="I66" s="2732" t="s">
        <v>789</v>
      </c>
      <c r="J66" s="667" t="s">
        <v>787</v>
      </c>
      <c r="K66" s="668">
        <v>294.83539999999999</v>
      </c>
      <c r="L66" s="1774"/>
      <c r="M66" s="668">
        <v>14.657188</v>
      </c>
      <c r="N66" s="668">
        <v>-6.0577540000000005E-4</v>
      </c>
      <c r="O66" s="669">
        <v>9973</v>
      </c>
      <c r="P66" s="668">
        <v>286.95079871597682</v>
      </c>
      <c r="Q66" s="668">
        <v>287.01608183101979</v>
      </c>
      <c r="R66" s="668">
        <v>291.48426182587571</v>
      </c>
      <c r="S66" s="670">
        <v>0.12448821649690434</v>
      </c>
      <c r="T66" s="651">
        <v>2018</v>
      </c>
      <c r="U66" s="649" t="s">
        <v>508</v>
      </c>
      <c r="V66" s="671">
        <v>0.90581289736603088</v>
      </c>
    </row>
    <row r="67" spans="8:22" ht="12.75" hidden="1" customHeight="1">
      <c r="H67" s="2731"/>
      <c r="I67" s="2732"/>
      <c r="J67" s="667" t="s">
        <v>845</v>
      </c>
      <c r="K67" s="668">
        <v>223.9</v>
      </c>
      <c r="L67" s="1774"/>
      <c r="M67" s="668">
        <v>11.11</v>
      </c>
      <c r="N67" s="668">
        <v>0.1057028</v>
      </c>
      <c r="O67" s="669">
        <v>920</v>
      </c>
      <c r="P67" s="668">
        <v>256.46393628587253</v>
      </c>
      <c r="Q67" s="668">
        <v>256.52228344758754</v>
      </c>
      <c r="R67" s="668">
        <v>260.51574516521379</v>
      </c>
      <c r="S67" s="670">
        <v>1.1483922508488117E-2</v>
      </c>
      <c r="T67" s="651">
        <v>2018</v>
      </c>
      <c r="U67" s="649" t="s">
        <v>508</v>
      </c>
      <c r="V67" s="671">
        <v>8.3560399636693913E-2</v>
      </c>
    </row>
    <row r="68" spans="8:22" ht="12.75" hidden="1" customHeight="1">
      <c r="H68" s="2731"/>
      <c r="I68" s="2732"/>
      <c r="J68" s="667" t="s">
        <v>846</v>
      </c>
      <c r="K68" s="668">
        <v>346</v>
      </c>
      <c r="L68" s="1774"/>
      <c r="M68" s="668">
        <v>25.66</v>
      </c>
      <c r="N68" s="668">
        <v>0.2082677</v>
      </c>
      <c r="O68" s="669">
        <v>117</v>
      </c>
      <c r="P68" s="668">
        <v>227.05067414128916</v>
      </c>
      <c r="Q68" s="668">
        <v>227.10232960050686</v>
      </c>
      <c r="R68" s="668">
        <v>230.63779032951081</v>
      </c>
      <c r="S68" s="670">
        <v>1.4604553624925104E-3</v>
      </c>
      <c r="T68" s="651">
        <v>2018</v>
      </c>
      <c r="U68" s="650" t="s">
        <v>508</v>
      </c>
      <c r="V68" s="671">
        <v>1.0626702997275205E-2</v>
      </c>
    </row>
    <row r="69" spans="8:22" ht="12.75" hidden="1" customHeight="1">
      <c r="H69" s="2711" t="s">
        <v>790</v>
      </c>
      <c r="I69" s="2714" t="s">
        <v>791</v>
      </c>
      <c r="J69" s="646" t="s">
        <v>787</v>
      </c>
      <c r="K69" s="672" t="s">
        <v>788</v>
      </c>
      <c r="L69" s="1775"/>
      <c r="M69" s="672" t="s">
        <v>788</v>
      </c>
      <c r="N69" s="672" t="s">
        <v>788</v>
      </c>
      <c r="O69" s="673">
        <v>0</v>
      </c>
      <c r="P69" s="672" t="s">
        <v>788</v>
      </c>
      <c r="Q69" s="672" t="s">
        <v>788</v>
      </c>
      <c r="R69" s="672" t="s">
        <v>788</v>
      </c>
      <c r="S69" s="674">
        <v>0</v>
      </c>
      <c r="T69" s="648">
        <v>2018</v>
      </c>
      <c r="U69" s="647" t="s">
        <v>508</v>
      </c>
      <c r="V69" s="675">
        <v>0</v>
      </c>
    </row>
    <row r="70" spans="8:22" ht="12.75" hidden="1" customHeight="1">
      <c r="H70" s="2712"/>
      <c r="I70" s="2715"/>
      <c r="J70" s="646" t="s">
        <v>845</v>
      </c>
      <c r="K70" s="672" t="s">
        <v>788</v>
      </c>
      <c r="L70" s="1775"/>
      <c r="M70" s="672" t="s">
        <v>788</v>
      </c>
      <c r="N70" s="672" t="s">
        <v>788</v>
      </c>
      <c r="O70" s="673">
        <v>0</v>
      </c>
      <c r="P70" s="672" t="s">
        <v>788</v>
      </c>
      <c r="Q70" s="672" t="s">
        <v>788</v>
      </c>
      <c r="R70" s="672" t="s">
        <v>788</v>
      </c>
      <c r="S70" s="674">
        <v>0</v>
      </c>
      <c r="T70" s="648">
        <v>2018</v>
      </c>
      <c r="U70" s="647" t="s">
        <v>508</v>
      </c>
      <c r="V70" s="675">
        <v>0</v>
      </c>
    </row>
    <row r="71" spans="8:22" ht="12.75" hidden="1" customHeight="1">
      <c r="H71" s="2713"/>
      <c r="I71" s="2716"/>
      <c r="J71" s="676" t="s">
        <v>846</v>
      </c>
      <c r="K71" s="677" t="s">
        <v>788</v>
      </c>
      <c r="L71" s="677"/>
      <c r="M71" s="677" t="s">
        <v>788</v>
      </c>
      <c r="N71" s="677" t="s">
        <v>788</v>
      </c>
      <c r="O71" s="678">
        <v>0</v>
      </c>
      <c r="P71" s="677" t="s">
        <v>788</v>
      </c>
      <c r="Q71" s="677" t="s">
        <v>788</v>
      </c>
      <c r="R71" s="677" t="s">
        <v>788</v>
      </c>
      <c r="S71" s="679">
        <v>0</v>
      </c>
      <c r="T71" s="680">
        <v>2018</v>
      </c>
      <c r="U71" s="681" t="s">
        <v>508</v>
      </c>
      <c r="V71" s="682">
        <v>0</v>
      </c>
    </row>
    <row r="72" spans="8:22" ht="12.75" hidden="1" customHeight="1">
      <c r="H72" s="270" t="s">
        <v>1123</v>
      </c>
      <c r="I72" s="270"/>
      <c r="J72" s="270"/>
      <c r="K72" s="270"/>
      <c r="L72" s="270"/>
      <c r="M72" s="270"/>
      <c r="N72" s="270"/>
      <c r="O72" s="270"/>
      <c r="P72" s="270"/>
      <c r="Q72" s="270"/>
      <c r="R72" s="270"/>
      <c r="S72" s="270"/>
      <c r="T72" s="270"/>
      <c r="U72" s="270"/>
      <c r="V72" s="270"/>
    </row>
    <row r="73" spans="8:22" ht="12.75" hidden="1" customHeight="1">
      <c r="H73" s="683" t="s">
        <v>1124</v>
      </c>
      <c r="I73" s="270" t="s">
        <v>1125</v>
      </c>
      <c r="J73" s="684"/>
      <c r="K73" s="270"/>
      <c r="L73" s="270"/>
      <c r="M73" s="270"/>
      <c r="N73" s="270"/>
      <c r="O73" s="270"/>
      <c r="P73" s="270"/>
      <c r="Q73" s="270"/>
      <c r="R73" s="270"/>
      <c r="S73" s="270"/>
      <c r="T73" s="270"/>
      <c r="U73" s="270"/>
      <c r="V73" s="270"/>
    </row>
    <row r="74" spans="8:22" ht="12.75" hidden="1" customHeight="1">
      <c r="H74" s="683" t="s">
        <v>1126</v>
      </c>
      <c r="I74" s="270" t="s">
        <v>1127</v>
      </c>
      <c r="J74" s="270"/>
      <c r="K74" s="270"/>
      <c r="L74" s="270"/>
      <c r="M74" s="270"/>
      <c r="N74" s="270"/>
      <c r="O74" s="270"/>
      <c r="P74" s="270"/>
      <c r="Q74" s="270"/>
      <c r="R74" s="270"/>
      <c r="S74" s="270"/>
      <c r="T74" s="270" t="s">
        <v>15</v>
      </c>
      <c r="U74" s="270"/>
      <c r="V74" s="448">
        <f>SUMPRODUCT(R60:R65,V60:V65)</f>
        <v>281.75377259216111</v>
      </c>
    </row>
    <row r="75" spans="8:22" ht="12.75" hidden="1" customHeight="1">
      <c r="H75" s="683" t="s">
        <v>1128</v>
      </c>
      <c r="I75" s="270" t="s">
        <v>1129</v>
      </c>
      <c r="J75" s="270"/>
      <c r="K75" s="270"/>
      <c r="L75" s="270"/>
      <c r="M75" s="270"/>
      <c r="N75" s="270"/>
      <c r="O75" s="270"/>
      <c r="P75" s="270"/>
      <c r="Q75" s="270"/>
      <c r="R75" s="270"/>
      <c r="S75" s="270"/>
      <c r="T75" s="270" t="s">
        <v>1130</v>
      </c>
      <c r="U75" s="270"/>
      <c r="V75" s="448">
        <f>R68</f>
        <v>230.63779032951081</v>
      </c>
    </row>
    <row r="76" spans="8:22" ht="12.75" hidden="1" customHeight="1">
      <c r="H76" s="683" t="s">
        <v>1131</v>
      </c>
      <c r="I76" s="270" t="s">
        <v>1132</v>
      </c>
      <c r="J76" s="270"/>
      <c r="K76" s="270"/>
      <c r="L76" s="270"/>
      <c r="M76" s="270"/>
      <c r="N76" s="270"/>
      <c r="O76" s="270"/>
      <c r="P76" s="270"/>
      <c r="Q76" s="270"/>
      <c r="R76" s="270"/>
      <c r="S76" s="270"/>
      <c r="T76" s="270"/>
      <c r="U76" s="270"/>
      <c r="V76" s="449">
        <f>V74-V75</f>
        <v>51.115982262650306</v>
      </c>
    </row>
    <row r="77" spans="8:22" ht="12.75" hidden="1" customHeight="1">
      <c r="H77" s="683" t="s">
        <v>1133</v>
      </c>
      <c r="I77" s="270" t="s">
        <v>1134</v>
      </c>
      <c r="J77" s="270"/>
      <c r="K77" s="270"/>
      <c r="L77" s="270"/>
      <c r="M77" s="270"/>
      <c r="N77" s="270"/>
      <c r="O77" s="270"/>
      <c r="P77" s="270"/>
      <c r="Q77" s="270"/>
      <c r="R77" s="270"/>
      <c r="S77" s="270"/>
      <c r="T77" s="270"/>
      <c r="U77" s="270"/>
      <c r="V77" s="270"/>
    </row>
    <row r="78" spans="8:22" ht="12.75" hidden="1" customHeight="1">
      <c r="H78" s="683" t="s">
        <v>1135</v>
      </c>
      <c r="I78" s="270" t="s">
        <v>1136</v>
      </c>
      <c r="J78" s="270"/>
      <c r="K78" s="270"/>
      <c r="L78" s="270"/>
      <c r="M78" s="270"/>
      <c r="N78" s="270"/>
      <c r="O78" s="270"/>
      <c r="P78" s="270"/>
      <c r="Q78" s="270"/>
      <c r="R78" s="270"/>
      <c r="S78" s="270"/>
      <c r="T78" s="270"/>
      <c r="U78" s="270"/>
      <c r="V78" s="270"/>
    </row>
    <row r="79" spans="8:22" ht="12.75" hidden="1" customHeight="1">
      <c r="H79" s="683" t="s">
        <v>1137</v>
      </c>
      <c r="I79" s="270" t="s">
        <v>1138</v>
      </c>
      <c r="J79" s="270"/>
      <c r="K79" s="270"/>
      <c r="L79" s="270"/>
      <c r="M79" s="270"/>
      <c r="N79" s="270"/>
      <c r="O79" s="270"/>
      <c r="P79" s="270"/>
      <c r="Q79" s="270"/>
      <c r="R79" s="270"/>
      <c r="S79" s="270"/>
      <c r="T79" s="270"/>
      <c r="U79" s="270"/>
      <c r="V79" s="270"/>
    </row>
    <row r="80" spans="8:22" ht="12.75" hidden="1" customHeight="1">
      <c r="H80" s="683" t="s">
        <v>1139</v>
      </c>
      <c r="I80" s="270" t="s">
        <v>1140</v>
      </c>
      <c r="J80" s="270"/>
      <c r="K80" s="270"/>
      <c r="L80" s="270"/>
      <c r="M80" s="270"/>
      <c r="N80" s="270"/>
      <c r="O80" s="270"/>
      <c r="P80" s="270"/>
      <c r="Q80" s="270"/>
      <c r="R80" s="270"/>
      <c r="S80" s="270"/>
      <c r="T80" s="270"/>
      <c r="U80" s="270"/>
      <c r="V80" s="270"/>
    </row>
    <row r="81" spans="8:22" ht="12.75" hidden="1" customHeight="1">
      <c r="H81" s="683" t="s">
        <v>1141</v>
      </c>
      <c r="I81" s="270" t="s">
        <v>1142</v>
      </c>
      <c r="J81" s="270"/>
      <c r="K81" s="270"/>
      <c r="L81" s="270"/>
      <c r="M81" s="270"/>
      <c r="N81" s="270"/>
      <c r="O81" s="270"/>
      <c r="P81" s="270"/>
      <c r="Q81" s="270"/>
      <c r="R81" s="270"/>
      <c r="S81" s="270"/>
      <c r="T81" s="270"/>
      <c r="U81" s="270"/>
      <c r="V81" s="270"/>
    </row>
    <row r="82" spans="8:22" ht="12.75" hidden="1" customHeight="1">
      <c r="H82" s="683" t="s">
        <v>1143</v>
      </c>
      <c r="I82" s="270" t="s">
        <v>1144</v>
      </c>
      <c r="J82" s="270"/>
      <c r="K82" s="270"/>
      <c r="L82" s="270"/>
      <c r="M82" s="270"/>
      <c r="N82" s="270"/>
      <c r="O82" s="270"/>
      <c r="P82" s="270"/>
      <c r="Q82" s="270"/>
      <c r="R82" s="270"/>
      <c r="S82" s="270"/>
      <c r="T82" s="270"/>
      <c r="U82" s="270"/>
      <c r="V82" s="270"/>
    </row>
    <row r="83" spans="8:22" ht="12.75" hidden="1" customHeight="1">
      <c r="H83" s="683" t="s">
        <v>1145</v>
      </c>
      <c r="I83" s="270" t="s">
        <v>1146</v>
      </c>
      <c r="J83" s="270"/>
      <c r="K83" s="270"/>
      <c r="L83" s="270"/>
      <c r="M83" s="270"/>
      <c r="N83" s="270"/>
      <c r="O83" s="270"/>
      <c r="P83" s="270"/>
      <c r="Q83" s="270"/>
      <c r="R83" s="270"/>
      <c r="S83" s="270"/>
      <c r="T83" s="270"/>
      <c r="U83" s="270"/>
      <c r="V83" s="270"/>
    </row>
    <row r="84" spans="8:22" ht="12.75" hidden="1" customHeight="1">
      <c r="H84" s="683" t="s">
        <v>1147</v>
      </c>
      <c r="I84" s="270" t="s">
        <v>1148</v>
      </c>
      <c r="J84" s="270"/>
      <c r="K84" s="270"/>
      <c r="L84" s="270"/>
      <c r="M84" s="270"/>
      <c r="N84" s="270"/>
      <c r="O84" s="270"/>
      <c r="P84" s="270"/>
      <c r="Q84" s="270"/>
      <c r="R84" s="270"/>
      <c r="S84" s="270"/>
      <c r="T84" s="270"/>
      <c r="U84" s="270"/>
      <c r="V84" s="270"/>
    </row>
    <row r="85" spans="8:22" ht="12.75" hidden="1" customHeight="1">
      <c r="H85" s="683" t="s">
        <v>1149</v>
      </c>
      <c r="I85" s="270" t="s">
        <v>1150</v>
      </c>
      <c r="J85" s="270"/>
      <c r="K85" s="270"/>
      <c r="L85" s="270"/>
      <c r="M85" s="270"/>
      <c r="N85" s="270"/>
      <c r="O85" s="270"/>
      <c r="P85" s="270"/>
      <c r="Q85" s="270"/>
      <c r="R85" s="270"/>
      <c r="S85" s="270"/>
      <c r="T85" s="270"/>
      <c r="U85" s="270"/>
      <c r="V85" s="270"/>
    </row>
    <row r="86" spans="8:22" ht="12.75" hidden="1" customHeight="1">
      <c r="H86" s="683" t="s">
        <v>1151</v>
      </c>
      <c r="I86" s="270" t="s">
        <v>1152</v>
      </c>
      <c r="J86" s="270"/>
      <c r="K86" s="270"/>
      <c r="L86" s="270"/>
      <c r="M86" s="270"/>
      <c r="N86" s="270"/>
      <c r="O86" s="270"/>
      <c r="P86" s="270"/>
      <c r="Q86" s="270"/>
      <c r="R86" s="270"/>
      <c r="S86" s="270"/>
      <c r="T86" s="270"/>
      <c r="U86" s="270"/>
      <c r="V86" s="270"/>
    </row>
    <row r="87" spans="8:22" ht="12.75" hidden="1" customHeight="1">
      <c r="H87" s="683" t="s">
        <v>1153</v>
      </c>
      <c r="I87" s="270" t="s">
        <v>1154</v>
      </c>
      <c r="J87" s="270"/>
      <c r="K87" s="270"/>
      <c r="L87" s="270"/>
      <c r="M87" s="270"/>
      <c r="N87" s="270"/>
      <c r="O87" s="270"/>
      <c r="P87" s="270"/>
      <c r="Q87" s="270"/>
      <c r="R87" s="270"/>
      <c r="S87" s="270"/>
      <c r="T87" s="270"/>
      <c r="U87" s="270"/>
      <c r="V87" s="270"/>
    </row>
    <row r="88" spans="8:22" ht="12.75" hidden="1" customHeight="1">
      <c r="H88" s="683" t="s">
        <v>1155</v>
      </c>
      <c r="I88" s="270" t="s">
        <v>1156</v>
      </c>
      <c r="J88" s="270"/>
      <c r="K88" s="270"/>
      <c r="L88" s="270"/>
      <c r="M88" s="270"/>
      <c r="N88" s="270"/>
      <c r="O88" s="270"/>
      <c r="P88" s="270"/>
      <c r="Q88" s="270"/>
      <c r="R88" s="270"/>
      <c r="S88" s="270"/>
      <c r="T88" s="270"/>
      <c r="U88" s="270"/>
      <c r="V88" s="270"/>
    </row>
    <row r="89" spans="8:22" ht="12.75" hidden="1" customHeight="1">
      <c r="H89" s="683" t="s">
        <v>1157</v>
      </c>
      <c r="I89" s="270" t="s">
        <v>1158</v>
      </c>
      <c r="J89" s="270"/>
      <c r="K89" s="270"/>
      <c r="L89" s="270"/>
      <c r="M89" s="270"/>
      <c r="N89" s="270"/>
      <c r="O89" s="270"/>
      <c r="P89" s="270"/>
      <c r="Q89" s="270"/>
      <c r="R89" s="270"/>
      <c r="S89" s="270"/>
      <c r="T89" s="270"/>
      <c r="U89" s="270"/>
      <c r="V89" s="270"/>
    </row>
    <row r="90" spans="8:22" ht="12.75" hidden="1" customHeight="1">
      <c r="H90" s="639" t="s">
        <v>1268</v>
      </c>
    </row>
    <row r="91" spans="8:22" ht="36" hidden="1" customHeight="1">
      <c r="H91" s="861" t="s">
        <v>1687</v>
      </c>
      <c r="I91" s="861" t="s">
        <v>1257</v>
      </c>
      <c r="J91" s="861" t="s">
        <v>1256</v>
      </c>
      <c r="K91" s="861" t="s">
        <v>1261</v>
      </c>
      <c r="L91" s="861"/>
      <c r="M91" s="861" t="s">
        <v>1258</v>
      </c>
      <c r="N91" s="862" t="s">
        <v>1259</v>
      </c>
      <c r="O91" s="862" t="s">
        <v>1260</v>
      </c>
    </row>
    <row r="92" spans="8:22" ht="12.75" hidden="1" customHeight="1">
      <c r="H92" s="858" t="s">
        <v>315</v>
      </c>
      <c r="I92" s="858" t="s">
        <v>1262</v>
      </c>
      <c r="J92" s="859">
        <v>41897</v>
      </c>
      <c r="K92" s="863" t="s">
        <v>1263</v>
      </c>
      <c r="L92" s="863"/>
      <c r="M92" s="863" t="s">
        <v>157</v>
      </c>
      <c r="N92" s="859">
        <v>41897</v>
      </c>
      <c r="O92" s="858" t="s">
        <v>1264</v>
      </c>
    </row>
    <row r="93" spans="8:22" ht="12.75" hidden="1" customHeight="1">
      <c r="H93" s="858" t="s">
        <v>315</v>
      </c>
      <c r="I93" s="858" t="s">
        <v>947</v>
      </c>
      <c r="J93" s="859">
        <v>41897</v>
      </c>
      <c r="K93" s="863" t="s">
        <v>1265</v>
      </c>
      <c r="L93" s="863"/>
      <c r="M93" s="863" t="s">
        <v>158</v>
      </c>
      <c r="N93" s="859">
        <v>41897</v>
      </c>
      <c r="O93" s="858" t="s">
        <v>1264</v>
      </c>
    </row>
    <row r="94" spans="8:22" ht="12.75" hidden="1" customHeight="1">
      <c r="H94" s="858" t="s">
        <v>315</v>
      </c>
      <c r="I94" s="858" t="s">
        <v>1255</v>
      </c>
      <c r="J94" s="859">
        <v>41897</v>
      </c>
      <c r="K94" s="863" t="s">
        <v>1266</v>
      </c>
      <c r="L94" s="863"/>
      <c r="M94" s="863" t="s">
        <v>158</v>
      </c>
      <c r="N94" s="859">
        <v>41897</v>
      </c>
      <c r="O94" s="858" t="s">
        <v>1264</v>
      </c>
    </row>
    <row r="95" spans="8:22" ht="12.75" hidden="1" customHeight="1">
      <c r="H95" s="858" t="s">
        <v>1267</v>
      </c>
      <c r="I95" s="858" t="s">
        <v>1262</v>
      </c>
      <c r="J95" s="859">
        <v>41897</v>
      </c>
      <c r="K95" s="863" t="s">
        <v>1263</v>
      </c>
      <c r="L95" s="863"/>
      <c r="M95" s="863" t="s">
        <v>157</v>
      </c>
      <c r="N95" s="859">
        <v>41897</v>
      </c>
      <c r="O95" s="858" t="s">
        <v>1264</v>
      </c>
    </row>
    <row r="96" spans="8:22" ht="12.75" hidden="1" customHeight="1">
      <c r="H96" s="858" t="s">
        <v>1267</v>
      </c>
      <c r="I96" s="858" t="s">
        <v>947</v>
      </c>
      <c r="J96" s="859">
        <v>41897</v>
      </c>
      <c r="K96" s="863" t="s">
        <v>1265</v>
      </c>
      <c r="L96" s="863"/>
      <c r="M96" s="863" t="s">
        <v>158</v>
      </c>
      <c r="N96" s="859">
        <v>41897</v>
      </c>
      <c r="O96" s="858" t="s">
        <v>1264</v>
      </c>
    </row>
    <row r="97" spans="8:15" ht="12.75" hidden="1" customHeight="1">
      <c r="H97" s="858" t="s">
        <v>1267</v>
      </c>
      <c r="I97" s="858" t="s">
        <v>1255</v>
      </c>
      <c r="J97" s="859">
        <v>41897</v>
      </c>
      <c r="K97" s="863" t="s">
        <v>1266</v>
      </c>
      <c r="L97" s="863"/>
      <c r="M97" s="863" t="s">
        <v>158</v>
      </c>
      <c r="N97" s="859">
        <v>41897</v>
      </c>
      <c r="O97" s="858" t="s">
        <v>1264</v>
      </c>
    </row>
    <row r="98" spans="8:15" ht="12.75" hidden="1" customHeight="1">
      <c r="H98" s="858" t="s">
        <v>317</v>
      </c>
      <c r="I98" s="858" t="s">
        <v>1262</v>
      </c>
      <c r="J98" s="859">
        <v>41897</v>
      </c>
      <c r="K98" s="863" t="s">
        <v>1263</v>
      </c>
      <c r="L98" s="863"/>
      <c r="M98" s="863" t="s">
        <v>157</v>
      </c>
      <c r="N98" s="859">
        <v>41897</v>
      </c>
      <c r="O98" s="858" t="s">
        <v>1264</v>
      </c>
    </row>
    <row r="99" spans="8:15" ht="12.75" hidden="1" customHeight="1">
      <c r="H99" s="858" t="s">
        <v>317</v>
      </c>
      <c r="I99" s="858" t="s">
        <v>947</v>
      </c>
      <c r="J99" s="859">
        <v>41897</v>
      </c>
      <c r="K99" s="863" t="s">
        <v>1265</v>
      </c>
      <c r="L99" s="863"/>
      <c r="M99" s="863" t="s">
        <v>158</v>
      </c>
      <c r="N99" s="859">
        <v>41897</v>
      </c>
      <c r="O99" s="858" t="s">
        <v>1264</v>
      </c>
    </row>
    <row r="100" spans="8:15" ht="12.75" hidden="1" customHeight="1">
      <c r="H100" s="858" t="s">
        <v>317</v>
      </c>
      <c r="I100" s="858" t="s">
        <v>1255</v>
      </c>
      <c r="J100" s="859">
        <v>41897</v>
      </c>
      <c r="K100" s="863" t="s">
        <v>1266</v>
      </c>
      <c r="L100" s="863"/>
      <c r="M100" s="863" t="s">
        <v>158</v>
      </c>
      <c r="N100" s="859">
        <v>41897</v>
      </c>
      <c r="O100" s="858" t="s">
        <v>1264</v>
      </c>
    </row>
    <row r="101" spans="8:15" ht="12.75" hidden="1" customHeight="1">
      <c r="M101" s="275"/>
    </row>
  </sheetData>
  <autoFilter ref="H5:V51" xr:uid="{00000000-0009-0000-0000-00001B000000}">
    <filterColumn colId="5">
      <filters>
        <filter val="2022"/>
        <filter val="2023"/>
      </filters>
    </filterColumn>
  </autoFilter>
  <dataConsolidate/>
  <mergeCells count="17">
    <mergeCell ref="I2:M2"/>
    <mergeCell ref="A4:G4"/>
    <mergeCell ref="H4:M4"/>
    <mergeCell ref="N4:Q4"/>
    <mergeCell ref="R4:S4"/>
    <mergeCell ref="T4:V4"/>
    <mergeCell ref="H54:M54"/>
    <mergeCell ref="H56:M56"/>
    <mergeCell ref="H66:H68"/>
    <mergeCell ref="I66:I68"/>
    <mergeCell ref="H69:H71"/>
    <mergeCell ref="I69:I71"/>
    <mergeCell ref="H59:I59"/>
    <mergeCell ref="H60:H62"/>
    <mergeCell ref="I60:I62"/>
    <mergeCell ref="H63:H65"/>
    <mergeCell ref="I63:I65"/>
  </mergeCells>
  <hyperlinks>
    <hyperlink ref="K5" location="Frig_Freezers!H223" display="Tier" xr:uid="{00000000-0004-0000-1B00-000001000000}"/>
    <hyperlink ref="H1" location="'Summary ALL'!A1" display="Summary Page" xr:uid="{8D1BBD17-A068-49F3-9287-B46150E82B39}"/>
  </hyperlinks>
  <pageMargins left="0.7" right="0.7" top="0.75" bottom="0.75" header="0.3" footer="0.3"/>
  <pageSetup scale="2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filterMode="1">
    <tabColor rgb="FF0083CA"/>
    <pageSetUpPr fitToPage="1"/>
  </sheetPr>
  <dimension ref="A1:AC31"/>
  <sheetViews>
    <sheetView showGridLines="0" topLeftCell="H1" zoomScale="90" zoomScaleNormal="90" workbookViewId="0">
      <selection activeCell="H1" sqref="H1"/>
    </sheetView>
  </sheetViews>
  <sheetFormatPr defaultColWidth="26.5703125" defaultRowHeight="12.75" customHeight="1" outlineLevelCol="1"/>
  <cols>
    <col min="1" max="2" width="26.5703125" style="272" hidden="1" customWidth="1" outlineLevel="1"/>
    <col min="3" max="3" width="7.85546875" style="273" hidden="1" customWidth="1" outlineLevel="1"/>
    <col min="4" max="4" width="11.42578125" style="273" hidden="1" customWidth="1" outlineLevel="1"/>
    <col min="5" max="5" width="19.7109375" style="273" hidden="1" customWidth="1" outlineLevel="1"/>
    <col min="6" max="6" width="21.85546875" style="273" hidden="1" customWidth="1" outlineLevel="1"/>
    <col min="7" max="7" width="26.5703125" style="272" hidden="1" customWidth="1" outlineLevel="1"/>
    <col min="8" max="8" width="15.7109375" style="274" customWidth="1" collapsed="1"/>
    <col min="9" max="9" width="26.5703125" style="274"/>
    <col min="10" max="10" width="34" style="274" customWidth="1"/>
    <col min="11" max="11" width="43" style="274" customWidth="1"/>
    <col min="12" max="12" width="12.7109375" style="274" customWidth="1"/>
    <col min="13" max="13" width="14.42578125" style="275" customWidth="1"/>
    <col min="14" max="14" width="13.7109375" style="275" customWidth="1"/>
    <col min="15" max="15" width="26.5703125" style="275"/>
    <col min="16" max="16" width="13.42578125" style="274" customWidth="1"/>
    <col min="17" max="17" width="13.7109375" style="274" customWidth="1"/>
    <col min="18" max="18" width="14.85546875" style="274" customWidth="1"/>
    <col min="19" max="19" width="12.28515625" style="274" customWidth="1"/>
    <col min="20" max="20" width="10.28515625" style="274" customWidth="1"/>
    <col min="21" max="21" width="10.7109375" style="276" customWidth="1"/>
    <col min="22" max="16384" width="26.5703125" style="274"/>
  </cols>
  <sheetData>
    <row r="1" spans="1:29" ht="12.75" customHeight="1">
      <c r="H1" s="168" t="s">
        <v>674</v>
      </c>
    </row>
    <row r="2" spans="1:29" ht="45.75" customHeight="1">
      <c r="E2" s="273"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Z2" s="274" t="s">
        <v>10</v>
      </c>
      <c r="AA2" s="725" t="s">
        <v>272</v>
      </c>
      <c r="AC2" s="274" t="s">
        <v>272</v>
      </c>
    </row>
    <row r="3" spans="1:29" ht="10.5" customHeight="1">
      <c r="E3" s="273" t="s">
        <v>471</v>
      </c>
      <c r="F3" s="273" t="b">
        <f>E3=E2</f>
        <v>1</v>
      </c>
      <c r="H3" s="486"/>
      <c r="M3" s="635"/>
      <c r="Q3" s="632"/>
      <c r="AC3" s="274" t="s">
        <v>273</v>
      </c>
    </row>
    <row r="4" spans="1:29" s="270" customFormat="1" ht="15.75" customHeight="1">
      <c r="A4" s="2569" t="s">
        <v>131</v>
      </c>
      <c r="B4" s="2570"/>
      <c r="C4" s="2570"/>
      <c r="D4" s="2570"/>
      <c r="E4" s="2570"/>
      <c r="F4" s="2570"/>
      <c r="G4" s="2571"/>
      <c r="H4" s="2706" t="s">
        <v>7</v>
      </c>
      <c r="I4" s="2597"/>
      <c r="J4" s="2597"/>
      <c r="K4" s="2597"/>
      <c r="L4" s="2597"/>
      <c r="M4" s="2623" t="s">
        <v>127</v>
      </c>
      <c r="N4" s="2594"/>
      <c r="O4" s="2594"/>
      <c r="P4" s="2624"/>
      <c r="Q4" s="2572" t="s">
        <v>129</v>
      </c>
      <c r="R4" s="2573"/>
      <c r="S4" s="2587" t="s">
        <v>130</v>
      </c>
      <c r="T4" s="2588"/>
      <c r="U4" s="2589"/>
    </row>
    <row r="5" spans="1:29" s="491" customFormat="1" ht="41.1" customHeight="1" thickBot="1">
      <c r="A5" s="487" t="s">
        <v>0</v>
      </c>
      <c r="B5" s="488" t="s">
        <v>11</v>
      </c>
      <c r="C5" s="489" t="s">
        <v>1</v>
      </c>
      <c r="D5" s="489" t="s">
        <v>2</v>
      </c>
      <c r="E5" s="489" t="s">
        <v>211</v>
      </c>
      <c r="F5" s="489" t="s">
        <v>237</v>
      </c>
      <c r="G5" s="490" t="s">
        <v>12</v>
      </c>
      <c r="H5" s="729" t="s">
        <v>3</v>
      </c>
      <c r="I5" s="730" t="s">
        <v>4</v>
      </c>
      <c r="J5" s="730" t="s">
        <v>5</v>
      </c>
      <c r="K5" s="860" t="s">
        <v>6</v>
      </c>
      <c r="L5" s="730" t="s">
        <v>8</v>
      </c>
      <c r="M5" s="851" t="s">
        <v>13</v>
      </c>
      <c r="N5" s="586" t="s">
        <v>14</v>
      </c>
      <c r="O5" s="586" t="s">
        <v>124</v>
      </c>
      <c r="P5" s="507" t="str">
        <f>"Funder Share: "&amp;Selection!A2&amp;" "&amp;Selection!A3</f>
        <v>Funder Share: Puget Sound Energy Washington</v>
      </c>
      <c r="Q5" s="759" t="s">
        <v>550</v>
      </c>
      <c r="R5" s="731" t="s">
        <v>125</v>
      </c>
      <c r="S5" s="729" t="s">
        <v>126</v>
      </c>
      <c r="T5" s="730" t="s">
        <v>18</v>
      </c>
      <c r="U5" s="732" t="s">
        <v>17</v>
      </c>
    </row>
    <row r="6" spans="1:29" ht="12.75" customHeight="1" thickTop="1">
      <c r="A6" s="310" t="s">
        <v>97</v>
      </c>
      <c r="B6" s="311" t="str">
        <f t="shared" ref="B6:B11" si="0">LEFT(A6,10)</f>
        <v>RES_201403</v>
      </c>
      <c r="C6" s="311">
        <v>0</v>
      </c>
      <c r="D6" s="311">
        <v>0</v>
      </c>
      <c r="E6" s="311">
        <f t="shared" ref="E6:E17" si="1">COUNTIFS($A:$A,A6,$L:$L,L6)</f>
        <v>1</v>
      </c>
      <c r="F6" s="311">
        <v>1</v>
      </c>
      <c r="G6" s="312" t="b">
        <v>1</v>
      </c>
      <c r="H6" s="727" t="str">
        <f t="shared" ref="H6:H11" si="2">IF(LEFT(A6,3)="Res","Residential",IF(LEFT(A6,3)="Ind","industrial",IF(LEFT(A6,3)="Com","Commercial",IF(LEFT(A6,3)="AGR","Agriculture",""))))</f>
        <v>Residential</v>
      </c>
      <c r="I6" s="727" t="str">
        <f>INDEX('AMMO Measures'!B:B,MATCH($A6,'AMMO Measures'!$A:$A,0))</f>
        <v>Retail Product Portfolio</v>
      </c>
      <c r="J6" s="727" t="str">
        <f>INDEX('AMMO Measures'!C:C,MATCH($A6,'AMMO Measures'!$A:$A,0))</f>
        <v>Clothes Washers Front Loading</v>
      </c>
      <c r="K6" s="727" t="str">
        <f>INDEX('AMMO Measures'!D:D,MATCH($A6,'AMMO Measures'!$A:$A,0))</f>
        <v>ENERGY STAR Most Efficient 2017</v>
      </c>
      <c r="L6" s="182">
        <v>2022</v>
      </c>
      <c r="M6" s="744">
        <f>GETPIVOTDATA("Units",'AMMO Units'!$A$3,"Year",$L6,"Measure Index",$A6,"Savings Category","Regional_Market_2021PP")</f>
        <v>11273.822707859999</v>
      </c>
      <c r="N6" s="443">
        <f>GETPIVOTDATA("Units",'AMMO Units'!$A$3,"Year",$L6,"Measure Index",$A6,"Savings Category","Local_Incentives_2021PP")</f>
        <v>0</v>
      </c>
      <c r="O6" s="216" t="s">
        <v>1911</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728">
        <f t="shared" ref="Q6:Q17" si="3">$J$30</f>
        <v>119.9</v>
      </c>
      <c r="R6" s="2191" t="s">
        <v>2703</v>
      </c>
      <c r="S6" s="1369">
        <f>(M6)*P6*Q6/8760000</f>
        <v>2.1580792084565426E-2</v>
      </c>
      <c r="T6" s="1370">
        <f>IFERROR((N6/M6*N6)*P6*Q6/8760/1000,0)</f>
        <v>0</v>
      </c>
      <c r="U6" s="352">
        <f t="shared" ref="U6:U11" si="4">S6-T6</f>
        <v>2.1580792084565426E-2</v>
      </c>
    </row>
    <row r="7" spans="1:29" ht="12.75" customHeight="1">
      <c r="A7" s="310" t="s">
        <v>98</v>
      </c>
      <c r="B7" s="311" t="str">
        <f t="shared" si="0"/>
        <v>RES_201403</v>
      </c>
      <c r="C7" s="311">
        <v>0</v>
      </c>
      <c r="D7" s="311">
        <v>0</v>
      </c>
      <c r="E7" s="311">
        <f t="shared" si="1"/>
        <v>1</v>
      </c>
      <c r="F7" s="311">
        <v>1</v>
      </c>
      <c r="G7" s="312" t="b">
        <v>1</v>
      </c>
      <c r="H7" s="313" t="str">
        <f t="shared" si="2"/>
        <v>Residential</v>
      </c>
      <c r="I7" s="313" t="str">
        <f>INDEX('AMMO Measures'!B:B,MATCH($A7,'AMMO Measures'!$A:$A,0))</f>
        <v>Retail Product Portfolio</v>
      </c>
      <c r="J7" s="313" t="str">
        <f>INDEX('AMMO Measures'!C:C,MATCH($A7,'AMMO Measures'!$A:$A,0))</f>
        <v>Clothes Washers Front Loading</v>
      </c>
      <c r="K7" s="313" t="str">
        <f>INDEX('AMMO Measures'!D:D,MATCH($A7,'AMMO Measures'!$A:$A,0))</f>
        <v>ENERGY STAR Most Efficient 2018 through 2020</v>
      </c>
      <c r="L7" s="24">
        <v>2022</v>
      </c>
      <c r="M7" s="322">
        <f>GETPIVOTDATA("Units",'AMMO Units'!$A$3,"Year",$L7,"Measure Index",$A7,"Savings Category","Regional_Market_2021PP")</f>
        <v>155202.60862645999</v>
      </c>
      <c r="N7" s="323">
        <f>GETPIVOTDATA("Units",'AMMO Units'!$A$3,"Year",$L7,"Measure Index",$A7,"Savings Category","Local_Incentives_2021PP")</f>
        <v>0</v>
      </c>
      <c r="O7" s="216" t="s">
        <v>1911</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728">
        <f t="shared" si="3"/>
        <v>119.9</v>
      </c>
      <c r="R7" s="86" t="s">
        <v>2703</v>
      </c>
      <c r="S7" s="1369">
        <f>(M7)*P7*Q7/8760000</f>
        <v>0.29709489979957271</v>
      </c>
      <c r="T7" s="1370">
        <f>IFERROR((N7/M7*N7)*P7*Q7/8760/1000,0)</f>
        <v>0</v>
      </c>
      <c r="U7" s="320">
        <f t="shared" si="4"/>
        <v>0.29709489979957271</v>
      </c>
    </row>
    <row r="8" spans="1:29" ht="12.75" hidden="1" customHeight="1">
      <c r="A8" s="272" t="s">
        <v>99</v>
      </c>
      <c r="B8" s="311" t="str">
        <f t="shared" si="0"/>
        <v>RES_201403</v>
      </c>
      <c r="C8" s="311">
        <v>0</v>
      </c>
      <c r="D8" s="311">
        <v>0</v>
      </c>
      <c r="E8" s="311">
        <f t="shared" si="1"/>
        <v>1</v>
      </c>
      <c r="F8" s="311">
        <v>1</v>
      </c>
      <c r="G8" s="312" t="b">
        <v>1</v>
      </c>
      <c r="H8" s="313" t="str">
        <f t="shared" si="2"/>
        <v>Residential</v>
      </c>
      <c r="I8" s="313" t="str">
        <f>INDEX('AMMO Measures'!B:B,MATCH($A8,'AMMO Measures'!$A:$A,0))</f>
        <v>Retail Product Portfolio</v>
      </c>
      <c r="J8" s="313" t="str">
        <f>INDEX('AMMO Measures'!C:C,MATCH($A8,'AMMO Measures'!$A:$A,0))</f>
        <v>Clothes Washers Front Loading</v>
      </c>
      <c r="K8" s="313" t="str">
        <f>INDEX('AMMO Measures'!D:D,MATCH($A8,'AMMO Measures'!$A:$A,0))</f>
        <v>ENERGY STAR Most Efficient TBD</v>
      </c>
      <c r="L8" s="24">
        <v>2022</v>
      </c>
      <c r="M8" s="322">
        <f>GETPIVOTDATA("Units",'AMMO Units'!$A$3,"Year",$L8,"Measure Index",$A8,"Savings Category","Regional_Market_2021PP")</f>
        <v>0</v>
      </c>
      <c r="N8" s="323">
        <f>GETPIVOTDATA("Units",'AMMO Units'!$A$3,"Year",$L8,"Measure Index",$A8,"Savings Category","Local_Incentives_2021PP")</f>
        <v>0</v>
      </c>
      <c r="O8" s="216" t="s">
        <v>1911</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728">
        <f>$J$30</f>
        <v>119.9</v>
      </c>
      <c r="R8" s="86" t="s">
        <v>2703</v>
      </c>
      <c r="S8" s="1369">
        <f t="shared" ref="S8:S11" si="5">(M8)*P8*Q8/8760000</f>
        <v>0</v>
      </c>
      <c r="T8" s="1370">
        <f>IFERROR((N8/M8*N8)*P8*Q8/8760/1000,0)</f>
        <v>0</v>
      </c>
      <c r="U8" s="357">
        <f t="shared" si="4"/>
        <v>0</v>
      </c>
    </row>
    <row r="9" spans="1:29" s="294" customFormat="1" ht="12.75" customHeight="1">
      <c r="A9" s="417" t="s">
        <v>97</v>
      </c>
      <c r="B9" s="311" t="str">
        <f t="shared" si="0"/>
        <v>RES_201403</v>
      </c>
      <c r="C9" s="311">
        <v>0</v>
      </c>
      <c r="D9" s="311">
        <v>0</v>
      </c>
      <c r="E9" s="311">
        <f t="shared" si="1"/>
        <v>1</v>
      </c>
      <c r="F9" s="311">
        <v>1</v>
      </c>
      <c r="G9" s="312" t="b">
        <v>1</v>
      </c>
      <c r="H9" s="313" t="str">
        <f t="shared" si="2"/>
        <v>Residential</v>
      </c>
      <c r="I9" s="313" t="str">
        <f>INDEX('AMMO Measures'!B:B,MATCH($A9,'AMMO Measures'!$A:$A,0))</f>
        <v>Retail Product Portfolio</v>
      </c>
      <c r="J9" s="313" t="str">
        <f>INDEX('AMMO Measures'!C:C,MATCH($A9,'AMMO Measures'!$A:$A,0))</f>
        <v>Clothes Washers Front Loading</v>
      </c>
      <c r="K9" s="313" t="str">
        <f>INDEX('AMMO Measures'!D:D,MATCH($A9,'AMMO Measures'!$A:$A,0))</f>
        <v>ENERGY STAR Most Efficient 2017</v>
      </c>
      <c r="L9" s="125">
        <v>2023</v>
      </c>
      <c r="M9" s="322">
        <f>GETPIVOTDATA("Units",'AMMO Units'!$A$3,"Year",$L9,"Measure Index",$A9,"Savings Category","Regional_Market_2021PP")</f>
        <v>4470.8281114199999</v>
      </c>
      <c r="N9" s="323">
        <f>GETPIVOTDATA("Units",'AMMO Units'!$A$3,"Year",$L9,"Measure Index",$A9,"Savings Category","Local_Incentives_2021PP")</f>
        <v>0</v>
      </c>
      <c r="O9" s="216" t="s">
        <v>1911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852">
        <f t="shared" si="3"/>
        <v>119.9</v>
      </c>
      <c r="R9" s="881" t="s">
        <v>2703</v>
      </c>
      <c r="S9" s="1369">
        <f t="shared" si="5"/>
        <v>8.5582339210565749E-3</v>
      </c>
      <c r="T9" s="1370">
        <f t="shared" ref="T9:T10" si="6">IFERROR((N9/M9*N9)*P9*Q9/8760/1000,0)</f>
        <v>0</v>
      </c>
      <c r="U9" s="363">
        <f t="shared" si="4"/>
        <v>8.5582339210565749E-3</v>
      </c>
    </row>
    <row r="10" spans="1:29" s="294" customFormat="1" ht="12.75" customHeight="1">
      <c r="A10" s="417" t="s">
        <v>98</v>
      </c>
      <c r="B10" s="311" t="str">
        <f t="shared" si="0"/>
        <v>RES_201403</v>
      </c>
      <c r="C10" s="311">
        <v>0</v>
      </c>
      <c r="D10" s="311">
        <v>0</v>
      </c>
      <c r="E10" s="311">
        <f t="shared" si="1"/>
        <v>1</v>
      </c>
      <c r="F10" s="311">
        <v>1</v>
      </c>
      <c r="G10" s="312" t="b">
        <v>1</v>
      </c>
      <c r="H10" s="313" t="str">
        <f t="shared" si="2"/>
        <v>Residential</v>
      </c>
      <c r="I10" s="313" t="str">
        <f>INDEX('AMMO Measures'!B:B,MATCH($A10,'AMMO Measures'!$A:$A,0))</f>
        <v>Retail Product Portfolio</v>
      </c>
      <c r="J10" s="313" t="str">
        <f>INDEX('AMMO Measures'!C:C,MATCH($A10,'AMMO Measures'!$A:$A,0))</f>
        <v>Clothes Washers Front Loading</v>
      </c>
      <c r="K10" s="313" t="str">
        <f>INDEX('AMMO Measures'!D:D,MATCH($A10,'AMMO Measures'!$A:$A,0))</f>
        <v>ENERGY STAR Most Efficient 2018 through 2020</v>
      </c>
      <c r="L10" s="125">
        <v>2023</v>
      </c>
      <c r="M10" s="322">
        <f>GETPIVOTDATA("Units",'AMMO Units'!$A$3,"Year",$L10,"Measure Index",$A10,"Savings Category","Regional_Market_2021PP")</f>
        <v>165709.71004079</v>
      </c>
      <c r="N10" s="323">
        <f>GETPIVOTDATA("Units",'AMMO Units'!$A$3,"Year",$L10,"Measure Index",$A10,"Savings Category","Local_Incentives_2021PP")</f>
        <v>0</v>
      </c>
      <c r="O10" s="216" t="s">
        <v>1911</v>
      </c>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Q10" s="852">
        <f t="shared" si="3"/>
        <v>119.9</v>
      </c>
      <c r="R10" s="881" t="s">
        <v>2703</v>
      </c>
      <c r="S10" s="1369">
        <f t="shared" si="5"/>
        <v>0.31720800401541333</v>
      </c>
      <c r="T10" s="1370">
        <f t="shared" si="6"/>
        <v>0</v>
      </c>
      <c r="U10" s="363">
        <f t="shared" si="4"/>
        <v>0.31720800401541333</v>
      </c>
      <c r="V10" s="1374"/>
    </row>
    <row r="11" spans="1:29" s="294" customFormat="1" ht="12.75" hidden="1" customHeight="1">
      <c r="A11" s="417" t="s">
        <v>99</v>
      </c>
      <c r="B11" s="311" t="str">
        <f t="shared" si="0"/>
        <v>RES_201403</v>
      </c>
      <c r="C11" s="311">
        <v>0</v>
      </c>
      <c r="D11" s="311">
        <v>0</v>
      </c>
      <c r="E11" s="311">
        <f t="shared" si="1"/>
        <v>1</v>
      </c>
      <c r="F11" s="311">
        <v>1</v>
      </c>
      <c r="G11" s="312" t="b">
        <v>1</v>
      </c>
      <c r="H11" s="313" t="str">
        <f t="shared" si="2"/>
        <v>Residential</v>
      </c>
      <c r="I11" s="313" t="str">
        <f>INDEX('AMMO Measures'!B:B,MATCH($A11,'AMMO Measures'!$A:$A,0))</f>
        <v>Retail Product Portfolio</v>
      </c>
      <c r="J11" s="313" t="str">
        <f>INDEX('AMMO Measures'!C:C,MATCH($A11,'AMMO Measures'!$A:$A,0))</f>
        <v>Clothes Washers Front Loading</v>
      </c>
      <c r="K11" s="313" t="str">
        <f>INDEX('AMMO Measures'!D:D,MATCH($A11,'AMMO Measures'!$A:$A,0))</f>
        <v>ENERGY STAR Most Efficient TBD</v>
      </c>
      <c r="L11" s="125">
        <v>2023</v>
      </c>
      <c r="M11" s="322">
        <f>GETPIVOTDATA("Units",'AMMO Units'!$A$3,"Year",$L11,"Measure Index",$A11,"Savings Category","Regional_Market_2021PP")</f>
        <v>0</v>
      </c>
      <c r="N11" s="323">
        <f>GETPIVOTDATA("Units",'AMMO Units'!$A$3,"Year",$L11,"Measure Index",$A11,"Savings Category","Local_Incentives_2021PP")</f>
        <v>0</v>
      </c>
      <c r="O11" s="216" t="s">
        <v>1911</v>
      </c>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v>
      </c>
      <c r="Q11" s="852">
        <f t="shared" si="3"/>
        <v>119.9</v>
      </c>
      <c r="R11" s="881" t="s">
        <v>1910</v>
      </c>
      <c r="S11" s="1369">
        <f t="shared" si="5"/>
        <v>0</v>
      </c>
      <c r="T11" s="853">
        <f>IFERROR((N11-#REF!/M11*N11)*P11*Q11/8760/1000,0)</f>
        <v>0</v>
      </c>
      <c r="U11" s="854">
        <f t="shared" si="4"/>
        <v>0</v>
      </c>
      <c r="V11" s="1374"/>
    </row>
    <row r="12" spans="1:29" s="294" customFormat="1" ht="12.75" hidden="1" customHeight="1">
      <c r="A12" s="272" t="s">
        <v>97</v>
      </c>
      <c r="B12" s="311" t="str">
        <f t="shared" ref="B12:B14" si="7">LEFT(A12,10)</f>
        <v>RES_201403</v>
      </c>
      <c r="C12" s="311">
        <v>0</v>
      </c>
      <c r="D12" s="311">
        <v>0</v>
      </c>
      <c r="E12" s="311">
        <f t="shared" si="1"/>
        <v>1</v>
      </c>
      <c r="F12" s="311">
        <v>1</v>
      </c>
      <c r="G12" s="312" t="b">
        <v>1</v>
      </c>
      <c r="H12" s="313" t="str">
        <f t="shared" ref="H12:H14" si="8">IF(LEFT(A12,3)="Res","Residential",IF(LEFT(A12,3)="Ind","industrial",IF(LEFT(A12,3)="Com","Commercial",IF(LEFT(A12,3)="AGR","Agriculture",""))))</f>
        <v>Residential</v>
      </c>
      <c r="I12" s="313" t="str">
        <f>INDEX('AMMO Measures'!B:B,MATCH($A12,'AMMO Measures'!$A:$A,0))</f>
        <v>Retail Product Portfolio</v>
      </c>
      <c r="J12" s="313" t="str">
        <f>INDEX('AMMO Measures'!C:C,MATCH($A12,'AMMO Measures'!$A:$A,0))</f>
        <v>Clothes Washers Front Loading</v>
      </c>
      <c r="K12" s="313" t="str">
        <f>INDEX('AMMO Measures'!D:D,MATCH($A12,'AMMO Measures'!$A:$A,0))</f>
        <v>ENERGY STAR Most Efficient 2017</v>
      </c>
      <c r="L12" s="125">
        <v>2024</v>
      </c>
      <c r="M12" s="322">
        <f>GETPIVOTDATA("Units",'AMMO Units'!$A$3,"Year",$L12,"Measure Index",$A12,"Savings Category","Regional_Market_2021PP")</f>
        <v>1596.72432551</v>
      </c>
      <c r="N12" s="323">
        <f>GETPIVOTDATA("Units",'AMMO Units'!$A$3,"Year",$L12,"Measure Index",$A12,"Savings Category","Local_Incentives_2021PP")</f>
        <v>0</v>
      </c>
      <c r="O12" s="216" t="s">
        <v>1911</v>
      </c>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852">
        <f t="shared" si="3"/>
        <v>119.9</v>
      </c>
      <c r="R12" s="232" t="s">
        <v>2703</v>
      </c>
      <c r="S12" s="1369">
        <f t="shared" ref="S12:S14" si="9">(M12)*P12*Q12/8760000</f>
        <v>3.0565121146685316E-3</v>
      </c>
      <c r="T12" s="853">
        <f>IFERROR((N12-#REF!/M12*N12)*P12*Q12/8760/1000,0)</f>
        <v>0</v>
      </c>
      <c r="U12" s="854">
        <f t="shared" ref="U12:U14" si="10">S12-T12</f>
        <v>3.0565121146685316E-3</v>
      </c>
      <c r="V12" s="1374"/>
    </row>
    <row r="13" spans="1:29" s="294" customFormat="1" ht="12.75" hidden="1" customHeight="1">
      <c r="A13" s="272" t="s">
        <v>98</v>
      </c>
      <c r="B13" s="311" t="str">
        <f t="shared" si="7"/>
        <v>RES_201403</v>
      </c>
      <c r="C13" s="311">
        <v>0</v>
      </c>
      <c r="D13" s="311">
        <v>0</v>
      </c>
      <c r="E13" s="311">
        <f t="shared" si="1"/>
        <v>1</v>
      </c>
      <c r="F13" s="311">
        <v>1</v>
      </c>
      <c r="G13" s="312" t="b">
        <v>1</v>
      </c>
      <c r="H13" s="313" t="str">
        <f t="shared" si="8"/>
        <v>Residential</v>
      </c>
      <c r="I13" s="313" t="str">
        <f>INDEX('AMMO Measures'!B:B,MATCH($A13,'AMMO Measures'!$A:$A,0))</f>
        <v>Retail Product Portfolio</v>
      </c>
      <c r="J13" s="313" t="str">
        <f>INDEX('AMMO Measures'!C:C,MATCH($A13,'AMMO Measures'!$A:$A,0))</f>
        <v>Clothes Washers Front Loading</v>
      </c>
      <c r="K13" s="313" t="str">
        <f>INDEX('AMMO Measures'!D:D,MATCH($A13,'AMMO Measures'!$A:$A,0))</f>
        <v>ENERGY STAR Most Efficient 2018 through 2020</v>
      </c>
      <c r="L13" s="125">
        <v>2024</v>
      </c>
      <c r="M13" s="322">
        <f>GETPIVOTDATA("Units",'AMMO Units'!$A$3,"Year",$L13,"Measure Index",$A13,"Savings Category","Regional_Market_2021PP")</f>
        <v>170783.59154724001</v>
      </c>
      <c r="N13" s="323">
        <f>GETPIVOTDATA("Units",'AMMO Units'!$A$3,"Year",$L13,"Measure Index",$A13,"Savings Category","Local_Incentives_2021PP")</f>
        <v>0</v>
      </c>
      <c r="O13" s="216" t="s">
        <v>1911</v>
      </c>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852">
        <f t="shared" si="3"/>
        <v>119.9</v>
      </c>
      <c r="R13" s="232" t="s">
        <v>2703</v>
      </c>
      <c r="S13" s="1369">
        <f t="shared" si="9"/>
        <v>0.32692062631663843</v>
      </c>
      <c r="T13" s="853">
        <f>IFERROR((N13-#REF!/M13*N13)*P13*Q13/8760/1000,0)</f>
        <v>0</v>
      </c>
      <c r="U13" s="854">
        <f t="shared" si="10"/>
        <v>0.32692062631663843</v>
      </c>
      <c r="V13" s="1374"/>
    </row>
    <row r="14" spans="1:29" s="294" customFormat="1" ht="12.75" hidden="1" customHeight="1">
      <c r="A14" s="272" t="s">
        <v>99</v>
      </c>
      <c r="B14" s="311" t="str">
        <f t="shared" si="7"/>
        <v>RES_201403</v>
      </c>
      <c r="C14" s="311">
        <v>0</v>
      </c>
      <c r="D14" s="311">
        <v>0</v>
      </c>
      <c r="E14" s="311">
        <f t="shared" si="1"/>
        <v>1</v>
      </c>
      <c r="F14" s="311">
        <v>1</v>
      </c>
      <c r="G14" s="312" t="b">
        <v>1</v>
      </c>
      <c r="H14" s="313" t="str">
        <f t="shared" si="8"/>
        <v>Residential</v>
      </c>
      <c r="I14" s="313" t="str">
        <f>INDEX('AMMO Measures'!B:B,MATCH($A14,'AMMO Measures'!$A:$A,0))</f>
        <v>Retail Product Portfolio</v>
      </c>
      <c r="J14" s="313" t="str">
        <f>INDEX('AMMO Measures'!C:C,MATCH($A14,'AMMO Measures'!$A:$A,0))</f>
        <v>Clothes Washers Front Loading</v>
      </c>
      <c r="K14" s="313" t="str">
        <f>INDEX('AMMO Measures'!D:D,MATCH($A14,'AMMO Measures'!$A:$A,0))</f>
        <v>ENERGY STAR Most Efficient TBD</v>
      </c>
      <c r="L14" s="125">
        <v>2024</v>
      </c>
      <c r="M14" s="322">
        <f>GETPIVOTDATA("Units",'AMMO Units'!$A$3,"Year",$L14,"Measure Index",$A14,"Savings Category","Regional_Market_2021PP")</f>
        <v>0</v>
      </c>
      <c r="N14" s="323">
        <f>GETPIVOTDATA("Units",'AMMO Units'!$A$3,"Year",$L14,"Measure Index",$A14,"Savings Category","Local_Incentives_2021PP")</f>
        <v>0</v>
      </c>
      <c r="O14" s="216" t="s">
        <v>1911</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852">
        <f t="shared" si="3"/>
        <v>119.9</v>
      </c>
      <c r="R14" s="232" t="s">
        <v>2703</v>
      </c>
      <c r="S14" s="1369">
        <f t="shared" si="9"/>
        <v>0</v>
      </c>
      <c r="T14" s="853">
        <f>IFERROR((N14-#REF!/M14*N14)*P14*Q14/8760/1000,0)</f>
        <v>0</v>
      </c>
      <c r="U14" s="854">
        <f t="shared" si="10"/>
        <v>0</v>
      </c>
      <c r="V14" s="1374"/>
    </row>
    <row r="15" spans="1:29" s="294" customFormat="1" ht="12.75" hidden="1" customHeight="1">
      <c r="A15" s="272" t="s">
        <v>97</v>
      </c>
      <c r="B15" s="311" t="str">
        <f t="shared" ref="B15:B17" si="11">LEFT(A15,10)</f>
        <v>RES_201403</v>
      </c>
      <c r="C15" s="311">
        <v>0</v>
      </c>
      <c r="D15" s="311">
        <v>0</v>
      </c>
      <c r="E15" s="311">
        <f t="shared" si="1"/>
        <v>1</v>
      </c>
      <c r="F15" s="311">
        <v>1</v>
      </c>
      <c r="G15" s="312" t="b">
        <v>1</v>
      </c>
      <c r="H15" s="313" t="str">
        <f t="shared" ref="H15:H17" si="12">IF(LEFT(A15,3)="Res","Residential",IF(LEFT(A15,3)="Ind","industrial",IF(LEFT(A15,3)="Com","Commercial",IF(LEFT(A15,3)="AGR","Agriculture",""))))</f>
        <v>Residential</v>
      </c>
      <c r="I15" s="313" t="str">
        <f>INDEX('AMMO Measures'!B:B,MATCH($A15,'AMMO Measures'!$A:$A,0))</f>
        <v>Retail Product Portfolio</v>
      </c>
      <c r="J15" s="313" t="str">
        <f>INDEX('AMMO Measures'!C:C,MATCH($A15,'AMMO Measures'!$A:$A,0))</f>
        <v>Clothes Washers Front Loading</v>
      </c>
      <c r="K15" s="313" t="str">
        <f>INDEX('AMMO Measures'!D:D,MATCH($A15,'AMMO Measures'!$A:$A,0))</f>
        <v>ENERGY STAR Most Efficient 2017</v>
      </c>
      <c r="L15" s="125">
        <v>2025</v>
      </c>
      <c r="M15" s="322">
        <f>GETPIVOTDATA("Units",'AMMO Units'!$A$3,"Year",$L15,"Measure Index",$A15,"Savings Category","Regional_Market_2021PP")</f>
        <v>556.12739923000004</v>
      </c>
      <c r="N15" s="323">
        <f>GETPIVOTDATA("Units",'AMMO Units'!$A$3,"Year",$L15,"Measure Index",$A15,"Savings Category","Local_Incentives_2021PP")</f>
        <v>0</v>
      </c>
      <c r="O15" s="216" t="s">
        <v>1911</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Q15" s="852">
        <f t="shared" si="3"/>
        <v>119.9</v>
      </c>
      <c r="R15" s="232" t="s">
        <v>2703</v>
      </c>
      <c r="S15" s="1369">
        <f t="shared" ref="S15:S17" si="13">(M15)*P15*Q15/8760000</f>
        <v>1.0645608048231317E-3</v>
      </c>
      <c r="T15" s="853">
        <f>IFERROR((N15-#REF!/M15*N15)*P15*Q15/8760/1000,0)</f>
        <v>0</v>
      </c>
      <c r="U15" s="854">
        <f t="shared" ref="U15:U17" si="14">S15-T15</f>
        <v>1.0645608048231317E-3</v>
      </c>
      <c r="V15" s="1374"/>
    </row>
    <row r="16" spans="1:29" s="294" customFormat="1" ht="12.75" hidden="1" customHeight="1">
      <c r="A16" s="272" t="s">
        <v>98</v>
      </c>
      <c r="B16" s="311" t="str">
        <f t="shared" si="11"/>
        <v>RES_201403</v>
      </c>
      <c r="C16" s="311">
        <v>0</v>
      </c>
      <c r="D16" s="311">
        <v>0</v>
      </c>
      <c r="E16" s="311">
        <f t="shared" si="1"/>
        <v>1</v>
      </c>
      <c r="F16" s="311">
        <v>1</v>
      </c>
      <c r="G16" s="312" t="b">
        <v>1</v>
      </c>
      <c r="H16" s="313" t="str">
        <f t="shared" si="12"/>
        <v>Residential</v>
      </c>
      <c r="I16" s="313" t="str">
        <f>INDEX('AMMO Measures'!B:B,MATCH($A16,'AMMO Measures'!$A:$A,0))</f>
        <v>Retail Product Portfolio</v>
      </c>
      <c r="J16" s="313" t="str">
        <f>INDEX('AMMO Measures'!C:C,MATCH($A16,'AMMO Measures'!$A:$A,0))</f>
        <v>Clothes Washers Front Loading</v>
      </c>
      <c r="K16" s="313" t="str">
        <f>INDEX('AMMO Measures'!D:D,MATCH($A16,'AMMO Measures'!$A:$A,0))</f>
        <v>ENERGY STAR Most Efficient 2018 through 2020</v>
      </c>
      <c r="L16" s="125">
        <v>2025</v>
      </c>
      <c r="M16" s="322">
        <f>GETPIVOTDATA("Units",'AMMO Units'!$A$3,"Year",$L16,"Measure Index",$A16,"Savings Category","Regional_Market_2021PP")</f>
        <v>176092.68745254001</v>
      </c>
      <c r="N16" s="323">
        <f>GETPIVOTDATA("Units",'AMMO Units'!$A$3,"Year",$L16,"Measure Index",$A16,"Savings Category","Local_Incentives_2021PP")</f>
        <v>0</v>
      </c>
      <c r="O16" s="216" t="s">
        <v>1911</v>
      </c>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Q16" s="852">
        <f t="shared" si="3"/>
        <v>119.9</v>
      </c>
      <c r="R16" s="232" t="s">
        <v>2703</v>
      </c>
      <c r="S16" s="1369">
        <f t="shared" si="13"/>
        <v>0.33708350521391056</v>
      </c>
      <c r="T16" s="853">
        <f>IFERROR((N16-#REF!/M16*N16)*P16*Q16/8760/1000,0)</f>
        <v>0</v>
      </c>
      <c r="U16" s="854">
        <f t="shared" si="14"/>
        <v>0.33708350521391056</v>
      </c>
      <c r="V16" s="1374"/>
    </row>
    <row r="17" spans="1:22" s="294" customFormat="1" ht="12.75" hidden="1" customHeight="1">
      <c r="A17" s="272" t="s">
        <v>99</v>
      </c>
      <c r="B17" s="311" t="str">
        <f t="shared" si="11"/>
        <v>RES_201403</v>
      </c>
      <c r="C17" s="311">
        <v>0</v>
      </c>
      <c r="D17" s="311">
        <v>0</v>
      </c>
      <c r="E17" s="311">
        <f t="shared" si="1"/>
        <v>1</v>
      </c>
      <c r="F17" s="311">
        <v>1</v>
      </c>
      <c r="G17" s="312" t="b">
        <v>1</v>
      </c>
      <c r="H17" s="313" t="str">
        <f t="shared" si="12"/>
        <v>Residential</v>
      </c>
      <c r="I17" s="313" t="str">
        <f>INDEX('AMMO Measures'!B:B,MATCH($A17,'AMMO Measures'!$A:$A,0))</f>
        <v>Retail Product Portfolio</v>
      </c>
      <c r="J17" s="313" t="str">
        <f>INDEX('AMMO Measures'!C:C,MATCH($A17,'AMMO Measures'!$A:$A,0))</f>
        <v>Clothes Washers Front Loading</v>
      </c>
      <c r="K17" s="313" t="str">
        <f>INDEX('AMMO Measures'!D:D,MATCH($A17,'AMMO Measures'!$A:$A,0))</f>
        <v>ENERGY STAR Most Efficient TBD</v>
      </c>
      <c r="L17" s="125">
        <v>2025</v>
      </c>
      <c r="M17" s="322">
        <f>GETPIVOTDATA("Units",'AMMO Units'!$A$3,"Year",$L17,"Measure Index",$A17,"Savings Category","Regional_Market_2021PP")</f>
        <v>0</v>
      </c>
      <c r="N17" s="323">
        <f>GETPIVOTDATA("Units",'AMMO Units'!$A$3,"Year",$L17,"Measure Index",$A17,"Savings Category","Local_Incentives_2021PP")</f>
        <v>0</v>
      </c>
      <c r="O17" s="216" t="s">
        <v>1911</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Q17" s="852">
        <f t="shared" si="3"/>
        <v>119.9</v>
      </c>
      <c r="R17" s="232" t="s">
        <v>2703</v>
      </c>
      <c r="S17" s="1369">
        <f t="shared" si="13"/>
        <v>0</v>
      </c>
      <c r="T17" s="853">
        <f>IFERROR((N17-#REF!/M17*N17)*P17*Q17/8760/1000,0)</f>
        <v>0</v>
      </c>
      <c r="U17" s="854">
        <f t="shared" si="14"/>
        <v>0</v>
      </c>
      <c r="V17" s="1374"/>
    </row>
    <row r="18" spans="1:22" ht="12.75" customHeight="1">
      <c r="F18" s="311"/>
      <c r="H18" s="496"/>
      <c r="I18" s="496"/>
      <c r="J18" s="496"/>
      <c r="K18" s="496"/>
      <c r="L18" s="76"/>
      <c r="M18" s="274"/>
      <c r="N18" s="274"/>
      <c r="O18" s="274"/>
      <c r="U18" s="274"/>
    </row>
    <row r="19" spans="1:22" ht="12.75" customHeight="1">
      <c r="F19" s="311"/>
      <c r="H19" s="469" t="s">
        <v>2768</v>
      </c>
      <c r="I19" s="496"/>
      <c r="J19" s="496"/>
      <c r="K19" s="496"/>
      <c r="L19" s="76"/>
    </row>
    <row r="20" spans="1:22" ht="9.75" customHeight="1">
      <c r="F20" s="311"/>
      <c r="H20" s="2733" t="s">
        <v>1689</v>
      </c>
      <c r="I20" s="2734"/>
      <c r="J20" s="2734"/>
      <c r="K20" s="2734"/>
      <c r="L20" s="2735"/>
    </row>
    <row r="21" spans="1:22" ht="50.25" customHeight="1">
      <c r="F21" s="311"/>
      <c r="H21" s="2736"/>
      <c r="I21" s="2737"/>
      <c r="J21" s="2737"/>
      <c r="K21" s="2737"/>
      <c r="L21" s="2738"/>
    </row>
    <row r="22" spans="1:22" ht="63.75" customHeight="1">
      <c r="F22" s="311"/>
      <c r="H22" s="2739"/>
      <c r="I22" s="2740"/>
      <c r="J22" s="2740"/>
      <c r="K22" s="2740"/>
      <c r="L22" s="2741"/>
    </row>
    <row r="23" spans="1:22" ht="12.75" customHeight="1">
      <c r="F23" s="311"/>
      <c r="H23" s="496"/>
      <c r="I23" s="496"/>
      <c r="J23" s="496"/>
      <c r="K23" s="496"/>
      <c r="L23" s="76"/>
    </row>
    <row r="24" spans="1:22" s="270" customFormat="1" ht="20.25" customHeight="1">
      <c r="A24" s="272"/>
      <c r="B24" s="272"/>
      <c r="C24" s="273"/>
      <c r="D24" s="273"/>
      <c r="E24" s="273"/>
      <c r="F24" s="311"/>
      <c r="G24" s="272"/>
      <c r="H24" s="469" t="s">
        <v>209</v>
      </c>
      <c r="U24" s="1373"/>
    </row>
    <row r="25" spans="1:22" ht="12.75" customHeight="1">
      <c r="H25" s="1751" t="s">
        <v>1095</v>
      </c>
      <c r="I25" s="1752" t="s">
        <v>1096</v>
      </c>
      <c r="J25" s="1752" t="s">
        <v>1690</v>
      </c>
    </row>
    <row r="26" spans="1:22" ht="12.75" customHeight="1">
      <c r="H26" s="1753" t="s">
        <v>1691</v>
      </c>
      <c r="I26" s="1753"/>
      <c r="J26" s="1753">
        <v>171.2</v>
      </c>
    </row>
    <row r="27" spans="1:22" ht="12.75" customHeight="1">
      <c r="H27" s="1753" t="s">
        <v>1692</v>
      </c>
      <c r="I27" s="1753"/>
      <c r="J27" s="1753">
        <v>59.5</v>
      </c>
    </row>
    <row r="28" spans="1:22" ht="12.75" customHeight="1">
      <c r="H28" s="1753" t="s">
        <v>1693</v>
      </c>
      <c r="I28" s="1753"/>
      <c r="J28" s="1753">
        <v>108.4</v>
      </c>
    </row>
    <row r="29" spans="1:22" ht="12.75" customHeight="1">
      <c r="H29" s="1753" t="s">
        <v>1694</v>
      </c>
      <c r="I29" s="1753"/>
      <c r="J29" s="1753">
        <v>-3.3</v>
      </c>
    </row>
    <row r="30" spans="1:22" ht="12.75" customHeight="1">
      <c r="H30" s="1753" t="s">
        <v>1695</v>
      </c>
      <c r="I30" s="1753"/>
      <c r="J30" s="1753">
        <v>119.9</v>
      </c>
    </row>
    <row r="31" spans="1:22" ht="12.75" customHeight="1">
      <c r="H31" s="237" t="s">
        <v>1912</v>
      </c>
    </row>
  </sheetData>
  <autoFilter ref="A5:AC17" xr:uid="{00000000-0009-0000-0000-00001A000000}">
    <filterColumn colId="11">
      <filters>
        <filter val="2022"/>
        <filter val="2023"/>
      </filters>
    </filterColumn>
    <filterColumn colId="18">
      <filters>
        <filter val="0.00"/>
        <filter val="0.05"/>
        <filter val="0.06"/>
      </filters>
    </filterColumn>
    <sortState xmlns:xlrd2="http://schemas.microsoft.com/office/spreadsheetml/2017/richdata2" ref="A6:T11">
      <sortCondition ref="L5:L11"/>
    </sortState>
  </autoFilter>
  <dataConsolidate/>
  <mergeCells count="7">
    <mergeCell ref="S4:U4"/>
    <mergeCell ref="H20:L22"/>
    <mergeCell ref="I2:L2"/>
    <mergeCell ref="A4:G4"/>
    <mergeCell ref="H4:L4"/>
    <mergeCell ref="M4:P4"/>
    <mergeCell ref="Q4:R4"/>
  </mergeCells>
  <phoneticPr fontId="183" type="noConversion"/>
  <dataValidations disablePrompts="1" count="1">
    <dataValidation type="list" allowBlank="1" showInputMessage="1" showErrorMessage="1" sqref="AA2" xr:uid="{00000000-0002-0000-1A00-000000000000}">
      <formula1>$AC$2:$AC$3</formula1>
    </dataValidation>
  </dataValidations>
  <hyperlinks>
    <hyperlink ref="K5" location="Clothes_Washers!A222" display="Tier" xr:uid="{00000000-0004-0000-1A00-000010000000}"/>
    <hyperlink ref="H1" location="'Summary ALL'!A1" display="Summary Page" xr:uid="{0A8E4530-3562-40F1-BBE9-DF3914B022AA}"/>
  </hyperlinks>
  <pageMargins left="0.7" right="0.7" top="0.75" bottom="0.75" header="0.3" footer="0.3"/>
  <pageSetup scale="1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filterMode="1">
    <tabColor rgb="FF0083CA"/>
    <pageSetUpPr fitToPage="1"/>
  </sheetPr>
  <dimension ref="A1:AA99"/>
  <sheetViews>
    <sheetView showGridLines="0" topLeftCell="H1" zoomScale="90" zoomScaleNormal="90" workbookViewId="0">
      <selection activeCell="H1" sqref="H1"/>
    </sheetView>
  </sheetViews>
  <sheetFormatPr defaultColWidth="11.7109375" defaultRowHeight="12.75" customHeight="1" outlineLevelCol="1"/>
  <cols>
    <col min="1" max="1" width="20.5703125" style="272" hidden="1" customWidth="1" outlineLevel="1"/>
    <col min="2" max="2" width="10" style="272" hidden="1" customWidth="1" outlineLevel="1"/>
    <col min="3" max="3" width="11.7109375" style="273" hidden="1" customWidth="1" outlineLevel="1"/>
    <col min="4" max="4" width="15.28515625" style="273" hidden="1" customWidth="1" outlineLevel="1"/>
    <col min="5" max="5" width="9.28515625" style="273" hidden="1" customWidth="1" outlineLevel="1"/>
    <col min="6" max="6" width="9" style="273" hidden="1" customWidth="1" outlineLevel="1"/>
    <col min="7" max="7" width="13.7109375" style="272" hidden="1" customWidth="1" outlineLevel="1"/>
    <col min="8" max="8" width="11.7109375" style="274" collapsed="1"/>
    <col min="9" max="9" width="31" style="274" customWidth="1"/>
    <col min="10" max="10" width="23" style="274" customWidth="1"/>
    <col min="11" max="11" width="23.7109375" style="274" customWidth="1"/>
    <col min="12" max="12" width="11.7109375" style="274"/>
    <col min="13" max="16" width="11.7109375" style="275"/>
    <col min="17" max="21" width="11.7109375" style="274"/>
    <col min="22" max="22" width="11.7109375" style="276"/>
    <col min="23" max="16384" width="11.7109375" style="274"/>
  </cols>
  <sheetData>
    <row r="1" spans="1:22" ht="12.75" customHeight="1">
      <c r="H1" s="168" t="s">
        <v>674</v>
      </c>
    </row>
    <row r="2" spans="1:22" ht="51" customHeight="1">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N2" s="2568"/>
      <c r="O2" s="2568"/>
      <c r="P2" s="2568"/>
      <c r="Q2" s="2568"/>
      <c r="R2" s="2568"/>
      <c r="V2" s="274"/>
    </row>
    <row r="3" spans="1:22" ht="15.75" customHeight="1">
      <c r="H3" s="486"/>
    </row>
    <row r="4" spans="1:22" s="270" customFormat="1" ht="15.75" customHeight="1">
      <c r="A4" s="2569" t="s">
        <v>131</v>
      </c>
      <c r="B4" s="2570"/>
      <c r="C4" s="2570"/>
      <c r="D4" s="2570"/>
      <c r="E4" s="2570"/>
      <c r="F4" s="2570"/>
      <c r="G4" s="2571"/>
      <c r="H4" s="2706" t="s">
        <v>7</v>
      </c>
      <c r="I4" s="2597"/>
      <c r="J4" s="2597"/>
      <c r="K4" s="2597"/>
      <c r="L4" s="2707"/>
      <c r="M4" s="2593" t="s">
        <v>127</v>
      </c>
      <c r="N4" s="2594"/>
      <c r="O4" s="2594"/>
      <c r="P4" s="2595"/>
      <c r="Q4" s="2759" t="s">
        <v>129</v>
      </c>
      <c r="R4" s="2760"/>
      <c r="S4" s="2742" t="s">
        <v>130</v>
      </c>
      <c r="T4" s="2588"/>
      <c r="U4" s="2743"/>
    </row>
    <row r="5" spans="1:22" customFormat="1" ht="60" customHeight="1">
      <c r="A5" s="692" t="s">
        <v>0</v>
      </c>
      <c r="B5" s="693" t="s">
        <v>11</v>
      </c>
      <c r="C5" s="694" t="s">
        <v>1</v>
      </c>
      <c r="D5" s="694" t="s">
        <v>2</v>
      </c>
      <c r="E5" s="694" t="s">
        <v>211</v>
      </c>
      <c r="F5" s="694" t="s">
        <v>237</v>
      </c>
      <c r="G5" s="695" t="s">
        <v>12</v>
      </c>
      <c r="H5" s="1985" t="s">
        <v>3</v>
      </c>
      <c r="I5" s="1986" t="s">
        <v>4</v>
      </c>
      <c r="J5" s="1986" t="s">
        <v>5</v>
      </c>
      <c r="K5" s="1986" t="s">
        <v>6</v>
      </c>
      <c r="L5" s="1987" t="s">
        <v>8</v>
      </c>
      <c r="M5" s="1800" t="s">
        <v>13</v>
      </c>
      <c r="N5" s="1801" t="s">
        <v>14</v>
      </c>
      <c r="O5" s="1801" t="s">
        <v>124</v>
      </c>
      <c r="P5" s="1802" t="str">
        <f>"Funder Share: "&amp;Selection!A2&amp;" "&amp;Selection!A3</f>
        <v>Funder Share: Puget Sound Energy Washington</v>
      </c>
      <c r="Q5" s="1803" t="s">
        <v>550</v>
      </c>
      <c r="R5" s="1804" t="s">
        <v>125</v>
      </c>
      <c r="S5" s="1800" t="s">
        <v>126</v>
      </c>
      <c r="T5" s="1801" t="s">
        <v>18</v>
      </c>
      <c r="U5" s="1805" t="s">
        <v>17</v>
      </c>
    </row>
    <row r="6" spans="1:22" ht="12.75" customHeight="1">
      <c r="A6" s="310" t="s">
        <v>1534</v>
      </c>
      <c r="B6" s="311" t="str">
        <f t="shared" ref="B6:B11" si="0">LEFT(A6,10)</f>
        <v>RES_201403</v>
      </c>
      <c r="C6" s="311">
        <v>0</v>
      </c>
      <c r="D6" s="311">
        <v>0</v>
      </c>
      <c r="E6" s="311">
        <f t="shared" ref="E6:E29" si="1">COUNTIFS($A:$A,A6,$L:$L,L6)</f>
        <v>1</v>
      </c>
      <c r="F6" s="311">
        <v>1</v>
      </c>
      <c r="G6" s="312" t="b">
        <v>1</v>
      </c>
      <c r="H6" s="1984" t="str">
        <f>IF(LEFT(A6,3)="Res","Residential",IF(LEFT(A6,3)="Ind","industrial",IF(LEFT(A6,3)="Com","Commercial",IF(LEFT(A6,3)="AGR","Agriculture",""))))</f>
        <v>Residential</v>
      </c>
      <c r="I6" s="727" t="str">
        <f>INDEX('AMMO Measures'!B:B,MATCH($A6,'AMMO Measures'!$A:$A,0))</f>
        <v>Retail Product Portfolio</v>
      </c>
      <c r="J6" s="727" t="str">
        <f>INDEX('AMMO Measures'!C:C,MATCH($A6,'AMMO Measures'!$A:$A,0))</f>
        <v>Clothes Dryers (Standard)</v>
      </c>
      <c r="K6" s="727" t="str">
        <f>INDEX('AMMO Measures'!D:D,MATCH($A6,'AMMO Measures'!$A:$A,0))</f>
        <v>ENERGY STAR v1</v>
      </c>
      <c r="L6" s="182">
        <v>2022</v>
      </c>
      <c r="M6" s="1807">
        <f>GETPIVOTDATA("Units",'AMMO Units'!$A$3,"Year",$L6,"Measure Index",$A6,"Savings Category","Regional_Market_2021PP")</f>
        <v>164473.17791368</v>
      </c>
      <c r="N6" s="1808">
        <f>GETPIVOTDATA("Units",'AMMO Units'!$A$3,"Year",$L6,"Measure Index",$A6,"Savings Category","Local_Incentives_2021PP")</f>
        <v>23162.707369939999</v>
      </c>
      <c r="O6" s="2761" t="s">
        <v>2989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809">
        <f>GETPIVOTDATA("Savings Rate",'AMMO Savings Rates'!$A$3,"Year",$L6,"Measure Index",$A6,"Savings Rate Type","Savings_Rate_2021PP")</f>
        <v>52.031702559999999</v>
      </c>
      <c r="R6" s="2757" t="s">
        <v>2988</v>
      </c>
      <c r="S6" s="1816">
        <f>(M6)*P6*Q6/8760000</f>
        <v>0.13662812786739117</v>
      </c>
      <c r="T6" s="1817">
        <f>IFERROR((N6)*P6*Q6/8760/1000,0)</f>
        <v>1.9241297483508439E-2</v>
      </c>
      <c r="U6" s="1799">
        <f t="shared" ref="U6:U11" si="2">S6-T6</f>
        <v>0.11738683038388273</v>
      </c>
      <c r="V6" s="274"/>
    </row>
    <row r="7" spans="1:22" ht="12.75" customHeight="1">
      <c r="A7" s="310" t="s">
        <v>1537</v>
      </c>
      <c r="B7" s="311" t="str">
        <f t="shared" si="0"/>
        <v>RES_201403</v>
      </c>
      <c r="C7" s="311">
        <v>0</v>
      </c>
      <c r="D7" s="311">
        <v>0</v>
      </c>
      <c r="E7" s="311">
        <f t="shared" si="1"/>
        <v>1</v>
      </c>
      <c r="F7" s="311">
        <v>1</v>
      </c>
      <c r="G7" s="312" t="b">
        <v>1</v>
      </c>
      <c r="H7" s="348" t="str">
        <f t="shared" ref="H7:H11" si="3">IF(LEFT(A7,3)="Res","Residential",IF(LEFT(A7,3)="Ind","industrial",IF(LEFT(A7,3)="Com","Commercial",IF(LEFT(A7,3)="AGR","Agriculture",""))))</f>
        <v>Residential</v>
      </c>
      <c r="I7" s="727" t="str">
        <f>INDEX('AMMO Measures'!B:B,MATCH($A7,'AMMO Measures'!$A:$A,0))</f>
        <v>Retail Product Portfolio</v>
      </c>
      <c r="J7" s="727" t="str">
        <f>INDEX('AMMO Measures'!C:C,MATCH($A7,'AMMO Measures'!$A:$A,0))</f>
        <v>Clothes Dryers (Standard)</v>
      </c>
      <c r="K7" s="727" t="str">
        <f>INDEX('AMMO Measures'!D:D,MATCH($A7,'AMMO Measures'!$A:$A,0))</f>
        <v>UCEF 3.00 to 4.19</v>
      </c>
      <c r="L7" s="24">
        <v>2022</v>
      </c>
      <c r="M7" s="322">
        <f>GETPIVOTDATA("Units",'AMMO Units'!$A$3,"Year",$L7,"Measure Index",$A7,"Savings Category","Regional_Market_2021PP")</f>
        <v>2793.2035820900001</v>
      </c>
      <c r="N7" s="323">
        <f>GETPIVOTDATA("Units",'AMMO Units'!$A$3,"Year",$L7,"Measure Index",$A7,"Savings Category","Local_Incentives_2021PP")</f>
        <v>1775.63612203</v>
      </c>
      <c r="O7" s="2591"/>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280.96180164999998</v>
      </c>
      <c r="R7" s="2758"/>
      <c r="S7" s="1369">
        <f t="shared" ref="S7:S16" si="4">(M7)*P7*Q7/8760000</f>
        <v>1.2529301676522662E-2</v>
      </c>
      <c r="T7" s="1370">
        <f t="shared" ref="T7:T16" si="5">IFERROR((N7)*P7*Q7/8760/1000,0)</f>
        <v>7.9648618465533103E-3</v>
      </c>
      <c r="U7" s="320">
        <f t="shared" si="2"/>
        <v>4.5644398299693519E-3</v>
      </c>
      <c r="V7" s="274"/>
    </row>
    <row r="8" spans="1:22" ht="12.75" hidden="1" customHeight="1">
      <c r="A8" s="272" t="s">
        <v>1538</v>
      </c>
      <c r="B8" s="311" t="str">
        <f t="shared" si="0"/>
        <v>RES_201403</v>
      </c>
      <c r="C8" s="311">
        <v>0</v>
      </c>
      <c r="D8" s="311">
        <v>0</v>
      </c>
      <c r="E8" s="311">
        <f t="shared" si="1"/>
        <v>1</v>
      </c>
      <c r="F8" s="311">
        <v>1</v>
      </c>
      <c r="G8" s="312" t="b">
        <v>1</v>
      </c>
      <c r="H8" s="348" t="str">
        <f t="shared" si="3"/>
        <v>Residential</v>
      </c>
      <c r="I8" s="727" t="str">
        <f>INDEX('AMMO Measures'!B:B,MATCH($A8,'AMMO Measures'!$A:$A,0))</f>
        <v>Retail Product Portfolio</v>
      </c>
      <c r="J8" s="727" t="str">
        <f>INDEX('AMMO Measures'!C:C,MATCH($A8,'AMMO Measures'!$A:$A,0))</f>
        <v>Clothes Dryers (Standard)</v>
      </c>
      <c r="K8" s="727" t="str">
        <f>INDEX('AMMO Measures'!D:D,MATCH($A8,'AMMO Measures'!$A:$A,0))</f>
        <v>UCEF 4.20 to 5.29</v>
      </c>
      <c r="L8" s="24">
        <v>2022</v>
      </c>
      <c r="M8" s="322">
        <f>GETPIVOTDATA("Units",'AMMO Units'!$A$3,"Year",$L8,"Measure Index",$A8,"Savings Category","Regional_Market_2021PP")</f>
        <v>0</v>
      </c>
      <c r="N8" s="323">
        <f>GETPIVOTDATA("Units",'AMMO Units'!$A$3,"Year",$L8,"Measure Index",$A8,"Savings Category","Local_Incentives_2021PP")</f>
        <v>0</v>
      </c>
      <c r="O8" s="2591"/>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1476">
        <f>GETPIVOTDATA("Savings Rate",'AMMO Savings Rates'!$A$3,"Year",$L8,"Measure Index",$A8,"Savings Rate Type","Savings_Rate_2021PP")</f>
        <v>355.55630531000003</v>
      </c>
      <c r="R8" s="2758"/>
      <c r="S8" s="1369">
        <f t="shared" si="4"/>
        <v>0</v>
      </c>
      <c r="T8" s="1370">
        <f t="shared" si="5"/>
        <v>0</v>
      </c>
      <c r="U8" s="320">
        <f t="shared" si="2"/>
        <v>0</v>
      </c>
      <c r="V8" s="274"/>
    </row>
    <row r="9" spans="1:22" ht="12.75" hidden="1" customHeight="1">
      <c r="A9" s="272" t="s">
        <v>1539</v>
      </c>
      <c r="B9" s="311" t="str">
        <f t="shared" si="0"/>
        <v>RES_201403</v>
      </c>
      <c r="C9" s="311">
        <v>0</v>
      </c>
      <c r="D9" s="311">
        <v>0</v>
      </c>
      <c r="E9" s="311">
        <f t="shared" si="1"/>
        <v>1</v>
      </c>
      <c r="F9" s="311">
        <v>1</v>
      </c>
      <c r="G9" s="312" t="b">
        <v>1</v>
      </c>
      <c r="H9" s="348" t="str">
        <f t="shared" si="3"/>
        <v>Residential</v>
      </c>
      <c r="I9" s="727" t="str">
        <f>INDEX('AMMO Measures'!B:B,MATCH($A9,'AMMO Measures'!$A:$A,0))</f>
        <v>Retail Product Portfolio</v>
      </c>
      <c r="J9" s="727" t="str">
        <f>INDEX('AMMO Measures'!C:C,MATCH($A9,'AMMO Measures'!$A:$A,0))</f>
        <v>Clothes Dryers (Standard)</v>
      </c>
      <c r="K9" s="727" t="str">
        <f>INDEX('AMMO Measures'!D:D,MATCH($A9,'AMMO Measures'!$A:$A,0))</f>
        <v>UCEF 5.30 to 6.09</v>
      </c>
      <c r="L9" s="24">
        <v>2022</v>
      </c>
      <c r="M9" s="322">
        <f>GETPIVOTDATA("Units",'AMMO Units'!$A$3,"Year",$L9,"Measure Index",$A9,"Savings Category","Regional_Market_2021PP")</f>
        <v>0</v>
      </c>
      <c r="N9" s="323">
        <f>GETPIVOTDATA("Units",'AMMO Units'!$A$3,"Year",$L9,"Measure Index",$A9,"Savings Category","Local_Incentives_2021PP")</f>
        <v>0</v>
      </c>
      <c r="O9" s="2591"/>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Q9" s="1476">
        <f>GETPIVOTDATA("Savings Rate",'AMMO Savings Rates'!$A$3,"Year",$L9,"Measure Index",$A9,"Savings Rate Type","Savings_Rate_2021PP")</f>
        <v>436.91925670000001</v>
      </c>
      <c r="R9" s="2758"/>
      <c r="S9" s="1369">
        <f t="shared" si="4"/>
        <v>0</v>
      </c>
      <c r="T9" s="1370">
        <f t="shared" si="5"/>
        <v>0</v>
      </c>
      <c r="U9" s="320">
        <f t="shared" si="2"/>
        <v>0</v>
      </c>
      <c r="V9" s="274"/>
    </row>
    <row r="10" spans="1:22" ht="12.75" hidden="1" customHeight="1">
      <c r="A10" s="272" t="s">
        <v>1540</v>
      </c>
      <c r="B10" s="311" t="str">
        <f t="shared" si="0"/>
        <v>RES_201403</v>
      </c>
      <c r="C10" s="311">
        <v>0</v>
      </c>
      <c r="D10" s="311">
        <v>0</v>
      </c>
      <c r="E10" s="311">
        <f t="shared" si="1"/>
        <v>1</v>
      </c>
      <c r="F10" s="311">
        <v>1</v>
      </c>
      <c r="G10" s="312" t="b">
        <v>1</v>
      </c>
      <c r="H10" s="348" t="str">
        <f t="shared" si="3"/>
        <v>Residential</v>
      </c>
      <c r="I10" s="727" t="str">
        <f>INDEX('AMMO Measures'!B:B,MATCH($A10,'AMMO Measures'!$A:$A,0))</f>
        <v>Retail Product Portfolio</v>
      </c>
      <c r="J10" s="727" t="str">
        <f>INDEX('AMMO Measures'!C:C,MATCH($A10,'AMMO Measures'!$A:$A,0))</f>
        <v>Clothes Dryers (Standard)</v>
      </c>
      <c r="K10" s="727" t="str">
        <f>INDEX('AMMO Measures'!D:D,MATCH($A10,'AMMO Measures'!$A:$A,0))</f>
        <v>UCEF 6.10 to 7.19</v>
      </c>
      <c r="L10" s="24">
        <v>2022</v>
      </c>
      <c r="M10" s="322">
        <f>GETPIVOTDATA("Units",'AMMO Units'!$A$3,"Year",$L10,"Measure Index",$A10,"Savings Category","Regional_Market_2021PP")</f>
        <v>0</v>
      </c>
      <c r="N10" s="323">
        <f>GETPIVOTDATA("Units",'AMMO Units'!$A$3,"Year",$L10,"Measure Index",$A10,"Savings Category","Local_Incentives_2021PP")</f>
        <v>0</v>
      </c>
      <c r="O10" s="2591"/>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Q10" s="1476">
        <f>GETPIVOTDATA("Savings Rate",'AMMO Savings Rates'!$A$3,"Year",$L10,"Measure Index",$A10,"Savings Rate Type","Savings_Rate_2021PP")</f>
        <v>478.15276754000001</v>
      </c>
      <c r="R10" s="2758"/>
      <c r="S10" s="1369">
        <f t="shared" si="4"/>
        <v>0</v>
      </c>
      <c r="T10" s="1370">
        <f t="shared" si="5"/>
        <v>0</v>
      </c>
      <c r="U10" s="320">
        <f t="shared" si="2"/>
        <v>0</v>
      </c>
      <c r="V10" s="274"/>
    </row>
    <row r="11" spans="1:22" ht="12.75" customHeight="1" thickBot="1">
      <c r="A11" s="272" t="s">
        <v>1541</v>
      </c>
      <c r="B11" s="311" t="str">
        <f t="shared" si="0"/>
        <v>RES_201403</v>
      </c>
      <c r="C11" s="311">
        <v>0</v>
      </c>
      <c r="D11" s="311">
        <v>0</v>
      </c>
      <c r="E11" s="311">
        <f t="shared" si="1"/>
        <v>1</v>
      </c>
      <c r="F11" s="311">
        <v>1</v>
      </c>
      <c r="G11" s="312" t="b">
        <v>1</v>
      </c>
      <c r="H11" s="348" t="str">
        <f t="shared" si="3"/>
        <v>Residential</v>
      </c>
      <c r="I11" s="727" t="str">
        <f>INDEX('AMMO Measures'!B:B,MATCH($A11,'AMMO Measures'!$A:$A,0))</f>
        <v>Retail Product Portfolio</v>
      </c>
      <c r="J11" s="727" t="str">
        <f>INDEX('AMMO Measures'!C:C,MATCH($A11,'AMMO Measures'!$A:$A,0))</f>
        <v>Clothes Dryers (Standard)</v>
      </c>
      <c r="K11" s="727" t="str">
        <f>INDEX('AMMO Measures'!D:D,MATCH($A11,'AMMO Measures'!$A:$A,0))</f>
        <v>UCEF 7.20 to 8.00</v>
      </c>
      <c r="L11" s="24">
        <v>2022</v>
      </c>
      <c r="M11" s="322">
        <f>GETPIVOTDATA("Units",'AMMO Units'!$A$3,"Year",$L11,"Measure Index",$A11,"Savings Category","Regional_Market_2021PP")</f>
        <v>1516.1373239500001</v>
      </c>
      <c r="N11" s="323">
        <f>GETPIVOTDATA("Units",'AMMO Units'!$A$3,"Year",$L11,"Measure Index",$A11,"Savings Category","Local_Incentives_2021PP")</f>
        <v>379.03433099</v>
      </c>
      <c r="O11" s="2591"/>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Q11" s="1476">
        <f>GETPIVOTDATA("Savings Rate",'AMMO Savings Rates'!$A$3,"Year",$L11,"Measure Index",$A11,"Savings Rate Type","Savings_Rate_2021PP")</f>
        <v>510.39602108999998</v>
      </c>
      <c r="R11" s="2758"/>
      <c r="S11" s="1369">
        <f t="shared" si="4"/>
        <v>1.2354432930813557E-2</v>
      </c>
      <c r="T11" s="1370">
        <f t="shared" si="5"/>
        <v>3.0886082327237605E-3</v>
      </c>
      <c r="U11" s="320">
        <f t="shared" si="2"/>
        <v>9.2658246980897967E-3</v>
      </c>
      <c r="V11" s="274"/>
    </row>
    <row r="12" spans="1:22" customFormat="1" ht="12.75" customHeight="1" thickBot="1">
      <c r="A12" s="412" t="s">
        <v>1534</v>
      </c>
      <c r="B12" s="311" t="str">
        <f t="shared" ref="B12:B16" si="6">LEFT(A12,10)</f>
        <v>RES_201403</v>
      </c>
      <c r="C12" s="311">
        <v>0</v>
      </c>
      <c r="D12" s="311">
        <v>0</v>
      </c>
      <c r="E12" s="311">
        <f t="shared" si="1"/>
        <v>1</v>
      </c>
      <c r="F12" s="311">
        <v>1</v>
      </c>
      <c r="G12" s="312" t="b">
        <v>1</v>
      </c>
      <c r="H12" s="1428" t="str">
        <f t="shared" ref="H12:H17" si="7">IF(LEFT(A12,3)="Res","Residential",IF(LEFT(A12,3)="Ind","industrial",IF(LEFT(A12,3)="Com","Commercial",IF(LEFT(A12,3)="AGR","Agriculture",""))))</f>
        <v>Residential</v>
      </c>
      <c r="I12" s="727" t="str">
        <f>INDEX('AMMO Measures'!B:B,MATCH($A12,'AMMO Measures'!$A:$A,0))</f>
        <v>Retail Product Portfolio</v>
      </c>
      <c r="J12" s="727" t="str">
        <f>INDEX('AMMO Measures'!C:C,MATCH($A12,'AMMO Measures'!$A:$A,0))</f>
        <v>Clothes Dryers (Standard)</v>
      </c>
      <c r="K12" s="727" t="str">
        <f>INDEX('AMMO Measures'!D:D,MATCH($A12,'AMMO Measures'!$A:$A,0))</f>
        <v>ENERGY STAR v1</v>
      </c>
      <c r="L12" s="24">
        <v>2023</v>
      </c>
      <c r="M12" s="322">
        <f>GETPIVOTDATA("Units",'AMMO Units'!$A$3,"Year",$L12,"Measure Index",$A12,"Savings Category","Regional_Market_2021PP")</f>
        <v>168336.77283105999</v>
      </c>
      <c r="N12" s="323">
        <f>GETPIVOTDATA("Units",'AMMO Units'!$A$3,"Year",$L12,"Measure Index",$A12,"Savings Category","Local_Incentives_2021PP")</f>
        <v>24533.098932379999</v>
      </c>
      <c r="O12" s="2591"/>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1476">
        <f>GETPIVOTDATA("Savings Rate",'AMMO Savings Rates'!$A$3,"Year",$L12,"Measure Index",$A12,"Savings Rate Type","Savings_Rate_2021PP")</f>
        <v>52.031702559999999</v>
      </c>
      <c r="R12" s="2758"/>
      <c r="S12" s="1369">
        <f t="shared" si="4"/>
        <v>0.13983762224875859</v>
      </c>
      <c r="T12" s="1370">
        <f t="shared" si="5"/>
        <v>2.0379683912204499E-2</v>
      </c>
      <c r="U12" s="320">
        <f t="shared" ref="U12:U16" si="8">S12-T12</f>
        <v>0.11945793833655409</v>
      </c>
    </row>
    <row r="13" spans="1:22" s="294" customFormat="1" ht="12.75" customHeight="1" thickBot="1">
      <c r="A13" s="412" t="s">
        <v>1537</v>
      </c>
      <c r="B13" s="311" t="str">
        <f t="shared" si="6"/>
        <v>RES_201403</v>
      </c>
      <c r="C13" s="311">
        <v>0</v>
      </c>
      <c r="D13" s="311">
        <v>0</v>
      </c>
      <c r="E13" s="311">
        <f t="shared" si="1"/>
        <v>1</v>
      </c>
      <c r="F13" s="311">
        <v>1</v>
      </c>
      <c r="G13" s="312" t="b">
        <v>1</v>
      </c>
      <c r="H13" s="1428" t="str">
        <f t="shared" si="7"/>
        <v>Residential</v>
      </c>
      <c r="I13" s="727" t="str">
        <f>INDEX('AMMO Measures'!B:B,MATCH($A13,'AMMO Measures'!$A:$A,0))</f>
        <v>Retail Product Portfolio</v>
      </c>
      <c r="J13" s="727" t="str">
        <f>INDEX('AMMO Measures'!C:C,MATCH($A13,'AMMO Measures'!$A:$A,0))</f>
        <v>Clothes Dryers (Standard)</v>
      </c>
      <c r="K13" s="727" t="str">
        <f>INDEX('AMMO Measures'!D:D,MATCH($A13,'AMMO Measures'!$A:$A,0))</f>
        <v>UCEF 3.00 to 4.19</v>
      </c>
      <c r="L13" s="24">
        <v>2023</v>
      </c>
      <c r="M13" s="322">
        <f>GETPIVOTDATA("Units",'AMMO Units'!$A$3,"Year",$L13,"Measure Index",$A13,"Savings Category","Regional_Market_2021PP")</f>
        <v>5069.21189177</v>
      </c>
      <c r="N13" s="323">
        <f>GETPIVOTDATA("Units",'AMMO Units'!$A$3,"Year",$L13,"Measure Index",$A13,"Savings Category","Local_Incentives_2021PP")</f>
        <v>1267.30297294</v>
      </c>
      <c r="O13" s="2591"/>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1476">
        <f>GETPIVOTDATA("Savings Rate",'AMMO Savings Rates'!$A$3,"Year",$L13,"Measure Index",$A13,"Savings Rate Type","Savings_Rate_2021PP")</f>
        <v>280.96180164999998</v>
      </c>
      <c r="R13" s="2758"/>
      <c r="S13" s="1369">
        <f t="shared" si="4"/>
        <v>2.2738652299263733E-2</v>
      </c>
      <c r="T13" s="1370">
        <f t="shared" si="5"/>
        <v>5.6846630748047192E-3</v>
      </c>
      <c r="U13" s="320">
        <f t="shared" si="8"/>
        <v>1.7053989224459012E-2</v>
      </c>
    </row>
    <row r="14" spans="1:22" s="294" customFormat="1" ht="12.75" hidden="1" customHeight="1" thickBot="1">
      <c r="A14" s="412" t="s">
        <v>1538</v>
      </c>
      <c r="B14" s="311" t="str">
        <f t="shared" si="6"/>
        <v>RES_201403</v>
      </c>
      <c r="C14" s="311">
        <v>0</v>
      </c>
      <c r="D14" s="311">
        <v>0</v>
      </c>
      <c r="E14" s="311">
        <f t="shared" si="1"/>
        <v>1</v>
      </c>
      <c r="F14" s="311">
        <v>1</v>
      </c>
      <c r="G14" s="312" t="b">
        <v>1</v>
      </c>
      <c r="H14" s="1428" t="str">
        <f t="shared" si="7"/>
        <v>Residential</v>
      </c>
      <c r="I14" s="727" t="str">
        <f>INDEX('AMMO Measures'!B:B,MATCH($A14,'AMMO Measures'!$A:$A,0))</f>
        <v>Retail Product Portfolio</v>
      </c>
      <c r="J14" s="727" t="str">
        <f>INDEX('AMMO Measures'!C:C,MATCH($A14,'AMMO Measures'!$A:$A,0))</f>
        <v>Clothes Dryers (Standard)</v>
      </c>
      <c r="K14" s="727" t="str">
        <f>INDEX('AMMO Measures'!D:D,MATCH($A14,'AMMO Measures'!$A:$A,0))</f>
        <v>UCEF 4.20 to 5.29</v>
      </c>
      <c r="L14" s="24">
        <v>2023</v>
      </c>
      <c r="M14" s="322">
        <f>GETPIVOTDATA("Units",'AMMO Units'!$A$3,"Year",$L14,"Measure Index",$A14,"Savings Category","Regional_Market_2021PP")</f>
        <v>0</v>
      </c>
      <c r="N14" s="323">
        <f>GETPIVOTDATA("Units",'AMMO Units'!$A$3,"Year",$L14,"Measure Index",$A14,"Savings Category","Local_Incentives_2021PP")</f>
        <v>0</v>
      </c>
      <c r="O14" s="2591"/>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1476">
        <f>GETPIVOTDATA("Savings Rate",'AMMO Savings Rates'!$A$3,"Year",$L14,"Measure Index",$A14,"Savings Rate Type","Savings_Rate_2021PP")</f>
        <v>355.55630531000003</v>
      </c>
      <c r="R14" s="2758"/>
      <c r="S14" s="1369">
        <f t="shared" si="4"/>
        <v>0</v>
      </c>
      <c r="T14" s="1370">
        <f t="shared" si="5"/>
        <v>0</v>
      </c>
      <c r="U14" s="320">
        <f t="shared" si="8"/>
        <v>0</v>
      </c>
    </row>
    <row r="15" spans="1:22" s="294" customFormat="1" ht="12.75" hidden="1" customHeight="1" thickBot="1">
      <c r="A15" s="412" t="s">
        <v>1539</v>
      </c>
      <c r="B15" s="311" t="str">
        <f t="shared" si="6"/>
        <v>RES_201403</v>
      </c>
      <c r="C15" s="311">
        <v>0</v>
      </c>
      <c r="D15" s="311">
        <v>0</v>
      </c>
      <c r="E15" s="311">
        <f t="shared" si="1"/>
        <v>1</v>
      </c>
      <c r="F15" s="311">
        <v>1</v>
      </c>
      <c r="G15" s="312" t="b">
        <v>1</v>
      </c>
      <c r="H15" s="1428" t="str">
        <f t="shared" si="7"/>
        <v>Residential</v>
      </c>
      <c r="I15" s="727" t="str">
        <f>INDEX('AMMO Measures'!B:B,MATCH($A15,'AMMO Measures'!$A:$A,0))</f>
        <v>Retail Product Portfolio</v>
      </c>
      <c r="J15" s="727" t="str">
        <f>INDEX('AMMO Measures'!C:C,MATCH($A15,'AMMO Measures'!$A:$A,0))</f>
        <v>Clothes Dryers (Standard)</v>
      </c>
      <c r="K15" s="727" t="str">
        <f>INDEX('AMMO Measures'!D:D,MATCH($A15,'AMMO Measures'!$A:$A,0))</f>
        <v>UCEF 5.30 to 6.09</v>
      </c>
      <c r="L15" s="24">
        <v>2023</v>
      </c>
      <c r="M15" s="322">
        <f>GETPIVOTDATA("Units",'AMMO Units'!$A$3,"Year",$L15,"Measure Index",$A15,"Savings Category","Regional_Market_2021PP")</f>
        <v>0</v>
      </c>
      <c r="N15" s="323">
        <f>GETPIVOTDATA("Units",'AMMO Units'!$A$3,"Year",$L15,"Measure Index",$A15,"Savings Category","Local_Incentives_2021PP")</f>
        <v>0</v>
      </c>
      <c r="O15" s="2591"/>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v>
      </c>
      <c r="Q15" s="1476">
        <f>GETPIVOTDATA("Savings Rate",'AMMO Savings Rates'!$A$3,"Year",$L15,"Measure Index",$A15,"Savings Rate Type","Savings_Rate_2021PP")</f>
        <v>436.91925670000001</v>
      </c>
      <c r="R15" s="2758"/>
      <c r="S15" s="1369">
        <f t="shared" si="4"/>
        <v>0</v>
      </c>
      <c r="T15" s="1370">
        <f t="shared" si="5"/>
        <v>0</v>
      </c>
      <c r="U15" s="320">
        <f t="shared" si="8"/>
        <v>0</v>
      </c>
    </row>
    <row r="16" spans="1:22" s="294" customFormat="1" ht="12.75" hidden="1" customHeight="1" thickBot="1">
      <c r="A16" s="412" t="s">
        <v>1540</v>
      </c>
      <c r="B16" s="311" t="str">
        <f t="shared" si="6"/>
        <v>RES_201403</v>
      </c>
      <c r="C16" s="311">
        <v>0</v>
      </c>
      <c r="D16" s="311">
        <v>0</v>
      </c>
      <c r="E16" s="311">
        <f t="shared" si="1"/>
        <v>1</v>
      </c>
      <c r="F16" s="311">
        <v>1</v>
      </c>
      <c r="G16" s="312" t="b">
        <v>1</v>
      </c>
      <c r="H16" s="1428" t="str">
        <f t="shared" si="7"/>
        <v>Residential</v>
      </c>
      <c r="I16" s="727" t="str">
        <f>INDEX('AMMO Measures'!B:B,MATCH($A16,'AMMO Measures'!$A:$A,0))</f>
        <v>Retail Product Portfolio</v>
      </c>
      <c r="J16" s="727" t="str">
        <f>INDEX('AMMO Measures'!C:C,MATCH($A16,'AMMO Measures'!$A:$A,0))</f>
        <v>Clothes Dryers (Standard)</v>
      </c>
      <c r="K16" s="727" t="str">
        <f>INDEX('AMMO Measures'!D:D,MATCH($A16,'AMMO Measures'!$A:$A,0))</f>
        <v>UCEF 6.10 to 7.19</v>
      </c>
      <c r="L16" s="24">
        <v>2023</v>
      </c>
      <c r="M16" s="322">
        <f>GETPIVOTDATA("Units",'AMMO Units'!$A$3,"Year",$L16,"Measure Index",$A16,"Savings Category","Regional_Market_2021PP")</f>
        <v>0</v>
      </c>
      <c r="N16" s="323">
        <f>GETPIVOTDATA("Units",'AMMO Units'!$A$3,"Year",$L16,"Measure Index",$A16,"Savings Category","Local_Incentives_2021PP")</f>
        <v>0</v>
      </c>
      <c r="O16" s="2591"/>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Q16" s="1476">
        <f>GETPIVOTDATA("Savings Rate",'AMMO Savings Rates'!$A$3,"Year",$L16,"Measure Index",$A16,"Savings Rate Type","Savings_Rate_2021PP")</f>
        <v>478.15276754000001</v>
      </c>
      <c r="R16" s="2758"/>
      <c r="S16" s="1369">
        <f t="shared" si="4"/>
        <v>0</v>
      </c>
      <c r="T16" s="1370">
        <f t="shared" si="5"/>
        <v>0</v>
      </c>
      <c r="U16" s="320">
        <f t="shared" si="8"/>
        <v>0</v>
      </c>
    </row>
    <row r="17" spans="1:27" customFormat="1" ht="12.75" customHeight="1" thickBot="1">
      <c r="A17" s="412" t="s">
        <v>1541</v>
      </c>
      <c r="B17" s="422" t="str">
        <f t="shared" ref="B17:B23" si="9">LEFT(A17,10)</f>
        <v>RES_201403</v>
      </c>
      <c r="C17" s="422">
        <v>0</v>
      </c>
      <c r="D17" s="422">
        <v>0</v>
      </c>
      <c r="E17" s="422">
        <f t="shared" si="1"/>
        <v>1</v>
      </c>
      <c r="F17" s="422">
        <v>1</v>
      </c>
      <c r="G17" s="423" t="b">
        <v>1</v>
      </c>
      <c r="H17" s="1988" t="str">
        <f t="shared" si="7"/>
        <v>Residential</v>
      </c>
      <c r="I17" s="1989" t="str">
        <f>INDEX('AMMO Measures'!B:B,MATCH($A17,'AMMO Measures'!$A:$A,0))</f>
        <v>Retail Product Portfolio</v>
      </c>
      <c r="J17" s="1989" t="str">
        <f>INDEX('AMMO Measures'!C:C,MATCH($A17,'AMMO Measures'!$A:$A,0))</f>
        <v>Clothes Dryers (Standard)</v>
      </c>
      <c r="K17" s="1989" t="str">
        <f>INDEX('AMMO Measures'!D:D,MATCH($A17,'AMMO Measures'!$A:$A,0))</f>
        <v>UCEF 7.20 to 8.00</v>
      </c>
      <c r="L17" s="1990">
        <v>2023</v>
      </c>
      <c r="M17" s="1783">
        <f>GETPIVOTDATA("Units",'AMMO Units'!$A$3,"Year",$L17,"Measure Index",$A17,"Savings Category","Regional_Market_2021PP")</f>
        <v>2104.95803101</v>
      </c>
      <c r="N17" s="1784">
        <f>GETPIVOTDATA("Units",'AMMO Units'!$A$3,"Year",$L17,"Measure Index",$A17,"Savings Category","Local_Incentives_2021PP")</f>
        <v>526.23950775000003</v>
      </c>
      <c r="O17" s="2591"/>
      <c r="P17" s="178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Q17" s="1786">
        <f>GETPIVOTDATA("Savings Rate",'AMMO Savings Rates'!$A$3,"Year",$L17,"Measure Index",$A17,"Savings Rate Type","Savings_Rate_2021PP")</f>
        <v>510.39602108999998</v>
      </c>
      <c r="R17" s="2758"/>
      <c r="S17" s="1993">
        <f t="shared" ref="S17:S23" si="10">(M17)*P17*Q17/8760000</f>
        <v>1.7152511454924142E-2</v>
      </c>
      <c r="T17" s="1994">
        <f t="shared" ref="T17:T23" si="11">IFERROR((N17)*P17*Q17/8760/1000,0)</f>
        <v>4.2881278637106638E-3</v>
      </c>
      <c r="U17" s="1983">
        <f t="shared" ref="U17:U23" si="12">S17-T17</f>
        <v>1.2864383591213478E-2</v>
      </c>
    </row>
    <row r="18" spans="1:27" s="1375" customFormat="1" ht="12.75" hidden="1" customHeight="1">
      <c r="A18" s="272" t="s">
        <v>1534</v>
      </c>
      <c r="B18" s="311" t="str">
        <f t="shared" si="9"/>
        <v>RES_201403</v>
      </c>
      <c r="C18" s="311">
        <v>0</v>
      </c>
      <c r="D18" s="311">
        <v>0</v>
      </c>
      <c r="E18" s="311">
        <f t="shared" si="1"/>
        <v>1</v>
      </c>
      <c r="F18" s="311">
        <v>1</v>
      </c>
      <c r="G18" s="311" t="b">
        <v>1</v>
      </c>
      <c r="H18" s="1991" t="str">
        <f t="shared" ref="H18:H23" si="13">IF(LEFT(A18,3)="Res","Residential",IF(LEFT(A18,3)="Ind","industrial",IF(LEFT(A18,3)="Com","Commercial",IF(LEFT(A18,3)="AGR","Agriculture",""))))</f>
        <v>Residential</v>
      </c>
      <c r="I18" s="1992" t="str">
        <f>INDEX('AMMO Measures'!B:B,MATCH($A18,'AMMO Measures'!$A:$A,0))</f>
        <v>Retail Product Portfolio</v>
      </c>
      <c r="J18" s="1992" t="str">
        <f>INDEX('AMMO Measures'!C:C,MATCH($A18,'AMMO Measures'!$A:$A,0))</f>
        <v>Clothes Dryers (Standard)</v>
      </c>
      <c r="K18" s="1992" t="str">
        <f>INDEX('AMMO Measures'!D:D,MATCH($A18,'AMMO Measures'!$A:$A,0))</f>
        <v>ENERGY STAR v1</v>
      </c>
      <c r="L18" s="1806">
        <v>2024</v>
      </c>
      <c r="M18" s="1790">
        <f>GETPIVOTDATA("Units",'AMMO Units'!$A$3,"Year",$L18,"Measure Index",$A18,"Savings Category","Regional_Market_2021PP")</f>
        <v>163509.74881724</v>
      </c>
      <c r="N18" s="1791">
        <f>GETPIVOTDATA("Units",'AMMO Units'!$A$3,"Year",$L18,"Measure Index",$A18,"Savings Category","Local_Incentives_2021PP")</f>
        <v>23093.239510930001</v>
      </c>
      <c r="O18" s="2591"/>
      <c r="P18" s="1793">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Q18" s="1794">
        <f>GETPIVOTDATA("Savings Rate",'AMMO Savings Rates'!$A$3,"Year",$L18,"Measure Index",$A18,"Savings Rate Type","Savings_Rate_2021PP")</f>
        <v>52.031702559999999</v>
      </c>
      <c r="R18" s="2758"/>
      <c r="S18" s="1816">
        <f t="shared" si="10"/>
        <v>0.13582780579999215</v>
      </c>
      <c r="T18" s="1817">
        <f t="shared" si="11"/>
        <v>1.918359042364684E-2</v>
      </c>
      <c r="U18" s="1799">
        <f t="shared" si="12"/>
        <v>0.11664421537634531</v>
      </c>
    </row>
    <row r="19" spans="1:27" s="1375" customFormat="1" ht="12.75" hidden="1" customHeight="1">
      <c r="A19" s="272" t="s">
        <v>1537</v>
      </c>
      <c r="B19" s="311" t="str">
        <f t="shared" si="9"/>
        <v>RES_201403</v>
      </c>
      <c r="C19" s="311">
        <v>0</v>
      </c>
      <c r="D19" s="311">
        <v>0</v>
      </c>
      <c r="E19" s="311">
        <f t="shared" si="1"/>
        <v>1</v>
      </c>
      <c r="F19" s="311">
        <v>1</v>
      </c>
      <c r="G19" s="311" t="b">
        <v>1</v>
      </c>
      <c r="H19" s="1428" t="str">
        <f t="shared" si="13"/>
        <v>Residential</v>
      </c>
      <c r="I19" s="727" t="str">
        <f>INDEX('AMMO Measures'!B:B,MATCH($A19,'AMMO Measures'!$A:$A,0))</f>
        <v>Retail Product Portfolio</v>
      </c>
      <c r="J19" s="727" t="str">
        <f>INDEX('AMMO Measures'!C:C,MATCH($A19,'AMMO Measures'!$A:$A,0))</f>
        <v>Clothes Dryers (Standard)</v>
      </c>
      <c r="K19" s="727" t="str">
        <f>INDEX('AMMO Measures'!D:D,MATCH($A19,'AMMO Measures'!$A:$A,0))</f>
        <v>UCEF 3.00 to 4.19</v>
      </c>
      <c r="L19" s="24">
        <v>2024</v>
      </c>
      <c r="M19" s="322">
        <f>GETPIVOTDATA("Units",'AMMO Units'!$A$3,"Year",$L19,"Measure Index",$A19,"Savings Category","Regional_Market_2021PP")</f>
        <v>11524.01976273</v>
      </c>
      <c r="N19" s="323">
        <f>GETPIVOTDATA("Units",'AMMO Units'!$A$3,"Year",$L19,"Measure Index",$A19,"Savings Category","Local_Incentives_2021PP")</f>
        <v>2881.0049406799999</v>
      </c>
      <c r="O19" s="2591"/>
      <c r="P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Q19" s="1476">
        <f>GETPIVOTDATA("Savings Rate",'AMMO Savings Rates'!$A$3,"Year",$L19,"Measure Index",$A19,"Savings Rate Type","Savings_Rate_2021PP")</f>
        <v>280.96180164999998</v>
      </c>
      <c r="R19" s="2758"/>
      <c r="S19" s="1369">
        <f t="shared" si="10"/>
        <v>5.1692587342815802E-2</v>
      </c>
      <c r="T19" s="1370">
        <f t="shared" si="11"/>
        <v>1.2923146835692734E-2</v>
      </c>
      <c r="U19" s="320">
        <f t="shared" si="12"/>
        <v>3.8769440507123068E-2</v>
      </c>
    </row>
    <row r="20" spans="1:27" s="1375" customFormat="1" ht="12.75" hidden="1" customHeight="1">
      <c r="A20" s="272" t="s">
        <v>1538</v>
      </c>
      <c r="B20" s="311" t="str">
        <f t="shared" si="9"/>
        <v>RES_201403</v>
      </c>
      <c r="C20" s="311">
        <v>0</v>
      </c>
      <c r="D20" s="311">
        <v>0</v>
      </c>
      <c r="E20" s="311">
        <f t="shared" si="1"/>
        <v>1</v>
      </c>
      <c r="F20" s="311">
        <v>1</v>
      </c>
      <c r="G20" s="311" t="b">
        <v>1</v>
      </c>
      <c r="H20" s="1428" t="str">
        <f t="shared" si="13"/>
        <v>Residential</v>
      </c>
      <c r="I20" s="727" t="str">
        <f>INDEX('AMMO Measures'!B:B,MATCH($A20,'AMMO Measures'!$A:$A,0))</f>
        <v>Retail Product Portfolio</v>
      </c>
      <c r="J20" s="727" t="str">
        <f>INDEX('AMMO Measures'!C:C,MATCH($A20,'AMMO Measures'!$A:$A,0))</f>
        <v>Clothes Dryers (Standard)</v>
      </c>
      <c r="K20" s="727" t="str">
        <f>INDEX('AMMO Measures'!D:D,MATCH($A20,'AMMO Measures'!$A:$A,0))</f>
        <v>UCEF 4.20 to 5.29</v>
      </c>
      <c r="L20" s="24">
        <v>2024</v>
      </c>
      <c r="M20" s="322">
        <f>GETPIVOTDATA("Units",'AMMO Units'!$A$3,"Year",$L20,"Measure Index",$A20,"Savings Category","Regional_Market_2021PP")</f>
        <v>0</v>
      </c>
      <c r="N20" s="323">
        <f>GETPIVOTDATA("Units",'AMMO Units'!$A$3,"Year",$L20,"Measure Index",$A20,"Savings Category","Local_Incentives_2021PP")</f>
        <v>0</v>
      </c>
      <c r="O20" s="2591"/>
      <c r="P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Q20" s="1476">
        <f>GETPIVOTDATA("Savings Rate",'AMMO Savings Rates'!$A$3,"Year",$L20,"Measure Index",$A20,"Savings Rate Type","Savings_Rate_2021PP")</f>
        <v>355.55630531000003</v>
      </c>
      <c r="R20" s="2758"/>
      <c r="S20" s="1369">
        <f t="shared" si="10"/>
        <v>0</v>
      </c>
      <c r="T20" s="1370">
        <f t="shared" si="11"/>
        <v>0</v>
      </c>
      <c r="U20" s="320">
        <f t="shared" si="12"/>
        <v>0</v>
      </c>
    </row>
    <row r="21" spans="1:27" s="1375" customFormat="1" ht="12.75" hidden="1" customHeight="1">
      <c r="A21" s="272" t="s">
        <v>1539</v>
      </c>
      <c r="B21" s="311" t="str">
        <f t="shared" si="9"/>
        <v>RES_201403</v>
      </c>
      <c r="C21" s="311">
        <v>0</v>
      </c>
      <c r="D21" s="311">
        <v>0</v>
      </c>
      <c r="E21" s="311">
        <f t="shared" si="1"/>
        <v>1</v>
      </c>
      <c r="F21" s="311">
        <v>1</v>
      </c>
      <c r="G21" s="311" t="b">
        <v>1</v>
      </c>
      <c r="H21" s="1428" t="str">
        <f t="shared" si="13"/>
        <v>Residential</v>
      </c>
      <c r="I21" s="727" t="str">
        <f>INDEX('AMMO Measures'!B:B,MATCH($A21,'AMMO Measures'!$A:$A,0))</f>
        <v>Retail Product Portfolio</v>
      </c>
      <c r="J21" s="727" t="str">
        <f>INDEX('AMMO Measures'!C:C,MATCH($A21,'AMMO Measures'!$A:$A,0))</f>
        <v>Clothes Dryers (Standard)</v>
      </c>
      <c r="K21" s="727" t="str">
        <f>INDEX('AMMO Measures'!D:D,MATCH($A21,'AMMO Measures'!$A:$A,0))</f>
        <v>UCEF 5.30 to 6.09</v>
      </c>
      <c r="L21" s="24">
        <v>2024</v>
      </c>
      <c r="M21" s="322">
        <f>GETPIVOTDATA("Units",'AMMO Units'!$A$3,"Year",$L21,"Measure Index",$A21,"Savings Category","Regional_Market_2021PP")</f>
        <v>0</v>
      </c>
      <c r="N21" s="323">
        <f>GETPIVOTDATA("Units",'AMMO Units'!$A$3,"Year",$L21,"Measure Index",$A21,"Savings Category","Local_Incentives_2021PP")</f>
        <v>0</v>
      </c>
      <c r="O21" s="2591"/>
      <c r="P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v>
      </c>
      <c r="Q21" s="1476">
        <f>GETPIVOTDATA("Savings Rate",'AMMO Savings Rates'!$A$3,"Year",$L21,"Measure Index",$A21,"Savings Rate Type","Savings_Rate_2021PP")</f>
        <v>436.91925670000001</v>
      </c>
      <c r="R21" s="2758"/>
      <c r="S21" s="1369">
        <f t="shared" si="10"/>
        <v>0</v>
      </c>
      <c r="T21" s="1370">
        <f t="shared" si="11"/>
        <v>0</v>
      </c>
      <c r="U21" s="320">
        <f t="shared" si="12"/>
        <v>0</v>
      </c>
    </row>
    <row r="22" spans="1:27" s="1375" customFormat="1" ht="12.75" hidden="1" customHeight="1">
      <c r="A22" s="272" t="s">
        <v>1540</v>
      </c>
      <c r="B22" s="311" t="str">
        <f t="shared" si="9"/>
        <v>RES_201403</v>
      </c>
      <c r="C22" s="311">
        <v>0</v>
      </c>
      <c r="D22" s="311">
        <v>0</v>
      </c>
      <c r="E22" s="311">
        <f t="shared" si="1"/>
        <v>1</v>
      </c>
      <c r="F22" s="311">
        <v>1</v>
      </c>
      <c r="G22" s="311" t="b">
        <v>1</v>
      </c>
      <c r="H22" s="1428" t="str">
        <f t="shared" si="13"/>
        <v>Residential</v>
      </c>
      <c r="I22" s="727" t="str">
        <f>INDEX('AMMO Measures'!B:B,MATCH($A22,'AMMO Measures'!$A:$A,0))</f>
        <v>Retail Product Portfolio</v>
      </c>
      <c r="J22" s="727" t="str">
        <f>INDEX('AMMO Measures'!C:C,MATCH($A22,'AMMO Measures'!$A:$A,0))</f>
        <v>Clothes Dryers (Standard)</v>
      </c>
      <c r="K22" s="727" t="str">
        <f>INDEX('AMMO Measures'!D:D,MATCH($A22,'AMMO Measures'!$A:$A,0))</f>
        <v>UCEF 6.10 to 7.19</v>
      </c>
      <c r="L22" s="24">
        <v>2024</v>
      </c>
      <c r="M22" s="322">
        <f>GETPIVOTDATA("Units",'AMMO Units'!$A$3,"Year",$L22,"Measure Index",$A22,"Savings Category","Regional_Market_2021PP")</f>
        <v>0</v>
      </c>
      <c r="N22" s="323">
        <f>GETPIVOTDATA("Units",'AMMO Units'!$A$3,"Year",$L22,"Measure Index",$A22,"Savings Category","Local_Incentives_2021PP")</f>
        <v>0</v>
      </c>
      <c r="O22" s="2591"/>
      <c r="P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v>
      </c>
      <c r="Q22" s="1476">
        <f>GETPIVOTDATA("Savings Rate",'AMMO Savings Rates'!$A$3,"Year",$L22,"Measure Index",$A22,"Savings Rate Type","Savings_Rate_2021PP")</f>
        <v>478.15276754000001</v>
      </c>
      <c r="R22" s="2758"/>
      <c r="S22" s="1369">
        <f t="shared" si="10"/>
        <v>0</v>
      </c>
      <c r="T22" s="1370">
        <f t="shared" si="11"/>
        <v>0</v>
      </c>
      <c r="U22" s="320">
        <f t="shared" si="12"/>
        <v>0</v>
      </c>
    </row>
    <row r="23" spans="1:27" s="1375" customFormat="1" ht="12.75" hidden="1" customHeight="1">
      <c r="A23" s="272" t="s">
        <v>1541</v>
      </c>
      <c r="B23" s="311" t="str">
        <f t="shared" si="9"/>
        <v>RES_201403</v>
      </c>
      <c r="C23" s="311">
        <v>0</v>
      </c>
      <c r="D23" s="311">
        <v>0</v>
      </c>
      <c r="E23" s="311">
        <f t="shared" si="1"/>
        <v>1</v>
      </c>
      <c r="F23" s="311">
        <v>1</v>
      </c>
      <c r="G23" s="311" t="b">
        <v>1</v>
      </c>
      <c r="H23" s="1428" t="str">
        <f t="shared" si="13"/>
        <v>Residential</v>
      </c>
      <c r="I23" s="727" t="str">
        <f>INDEX('AMMO Measures'!B:B,MATCH($A23,'AMMO Measures'!$A:$A,0))</f>
        <v>Retail Product Portfolio</v>
      </c>
      <c r="J23" s="727" t="str">
        <f>INDEX('AMMO Measures'!C:C,MATCH($A23,'AMMO Measures'!$A:$A,0))</f>
        <v>Clothes Dryers (Standard)</v>
      </c>
      <c r="K23" s="727" t="str">
        <f>INDEX('AMMO Measures'!D:D,MATCH($A23,'AMMO Measures'!$A:$A,0))</f>
        <v>UCEF 7.20 to 8.00</v>
      </c>
      <c r="L23" s="24">
        <v>2024</v>
      </c>
      <c r="M23" s="322">
        <f>GETPIVOTDATA("Units",'AMMO Units'!$A$3,"Year",$L23,"Measure Index",$A23,"Savings Category","Regional_Market_2021PP")</f>
        <v>2808.2083538000002</v>
      </c>
      <c r="N23" s="323">
        <f>GETPIVOTDATA("Units",'AMMO Units'!$A$3,"Year",$L23,"Measure Index",$A23,"Savings Category","Local_Incentives_2021PP")</f>
        <v>702.05208845000004</v>
      </c>
      <c r="O23" s="2591"/>
      <c r="P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Q23" s="1476">
        <f>GETPIVOTDATA("Savings Rate",'AMMO Savings Rates'!$A$3,"Year",$L23,"Measure Index",$A23,"Savings Rate Type","Savings_Rate_2021PP")</f>
        <v>510.39602108999998</v>
      </c>
      <c r="R23" s="2758"/>
      <c r="S23" s="1369">
        <f t="shared" si="10"/>
        <v>2.2883033887975572E-2</v>
      </c>
      <c r="T23" s="1370">
        <f t="shared" si="11"/>
        <v>5.720758471993893E-3</v>
      </c>
      <c r="U23" s="320">
        <f t="shared" si="12"/>
        <v>1.7162275415981677E-2</v>
      </c>
    </row>
    <row r="24" spans="1:27" s="1375" customFormat="1" ht="12.75" hidden="1" customHeight="1">
      <c r="A24" s="272" t="s">
        <v>1534</v>
      </c>
      <c r="B24" s="311" t="str">
        <f t="shared" ref="B24:B29" si="14">LEFT(A24,10)</f>
        <v>RES_201403</v>
      </c>
      <c r="C24" s="311">
        <v>0</v>
      </c>
      <c r="D24" s="311">
        <v>0</v>
      </c>
      <c r="E24" s="311">
        <f t="shared" si="1"/>
        <v>1</v>
      </c>
      <c r="F24" s="311">
        <v>1</v>
      </c>
      <c r="G24" s="311" t="b">
        <v>1</v>
      </c>
      <c r="H24" s="1428" t="str">
        <f t="shared" ref="H24:H29" si="15">IF(LEFT(A24,3)="Res","Residential",IF(LEFT(A24,3)="Ind","industrial",IF(LEFT(A24,3)="Com","Commercial",IF(LEFT(A24,3)="AGR","Agriculture",""))))</f>
        <v>Residential</v>
      </c>
      <c r="I24" s="727" t="str">
        <f>INDEX('AMMO Measures'!B:B,MATCH($A24,'AMMO Measures'!$A:$A,0))</f>
        <v>Retail Product Portfolio</v>
      </c>
      <c r="J24" s="727" t="str">
        <f>INDEX('AMMO Measures'!C:C,MATCH($A24,'AMMO Measures'!$A:$A,0))</f>
        <v>Clothes Dryers (Standard)</v>
      </c>
      <c r="K24" s="727" t="str">
        <f>INDEX('AMMO Measures'!D:D,MATCH($A24,'AMMO Measures'!$A:$A,0))</f>
        <v>ENERGY STAR v1</v>
      </c>
      <c r="L24" s="24">
        <v>2025</v>
      </c>
      <c r="M24" s="322">
        <f>GETPIVOTDATA("Units",'AMMO Units'!$A$3,"Year",$L24,"Measure Index",$A24,"Savings Category","Regional_Market_2021PP")</f>
        <v>151398.28612373001</v>
      </c>
      <c r="N24" s="323">
        <f>GETPIVOTDATA("Units",'AMMO Units'!$A$3,"Year",$L24,"Measure Index",$A24,"Savings Category","Local_Incentives_2021PP")</f>
        <v>19817.499284639998</v>
      </c>
      <c r="O24" s="2591"/>
      <c r="P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Q24" s="1476">
        <f>GETPIVOTDATA("Savings Rate",'AMMO Savings Rates'!$A$3,"Year",$L24,"Measure Index",$A24,"Savings Rate Type","Savings_Rate_2021PP")</f>
        <v>52.031702559999999</v>
      </c>
      <c r="R24" s="2758"/>
      <c r="S24" s="1369">
        <f t="shared" ref="S24:S29" si="16">(M24)*P24*Q24/8760000</f>
        <v>0.12576679467015009</v>
      </c>
      <c r="T24" s="1370">
        <f t="shared" ref="T24:T29" si="17">IFERROR((N24)*P24*Q24/8760/1000,0)</f>
        <v>1.6462427859786133E-2</v>
      </c>
      <c r="U24" s="320">
        <f t="shared" ref="U24:U29" si="18">S24-T24</f>
        <v>0.10930436681036396</v>
      </c>
    </row>
    <row r="25" spans="1:27" s="1375" customFormat="1" ht="12.75" hidden="1" customHeight="1">
      <c r="A25" s="272" t="s">
        <v>1537</v>
      </c>
      <c r="B25" s="311" t="str">
        <f t="shared" si="14"/>
        <v>RES_201403</v>
      </c>
      <c r="C25" s="311">
        <v>0</v>
      </c>
      <c r="D25" s="311">
        <v>0</v>
      </c>
      <c r="E25" s="311">
        <f t="shared" si="1"/>
        <v>1</v>
      </c>
      <c r="F25" s="311">
        <v>1</v>
      </c>
      <c r="G25" s="311" t="b">
        <v>1</v>
      </c>
      <c r="H25" s="1428" t="str">
        <f t="shared" si="15"/>
        <v>Residential</v>
      </c>
      <c r="I25" s="727" t="str">
        <f>INDEX('AMMO Measures'!B:B,MATCH($A25,'AMMO Measures'!$A:$A,0))</f>
        <v>Retail Product Portfolio</v>
      </c>
      <c r="J25" s="727" t="str">
        <f>INDEX('AMMO Measures'!C:C,MATCH($A25,'AMMO Measures'!$A:$A,0))</f>
        <v>Clothes Dryers (Standard)</v>
      </c>
      <c r="K25" s="727" t="str">
        <f>INDEX('AMMO Measures'!D:D,MATCH($A25,'AMMO Measures'!$A:$A,0))</f>
        <v>UCEF 3.00 to 4.19</v>
      </c>
      <c r="L25" s="24">
        <v>2025</v>
      </c>
      <c r="M25" s="322">
        <f>GETPIVOTDATA("Units",'AMMO Units'!$A$3,"Year",$L25,"Measure Index",$A25,"Savings Category","Regional_Market_2021PP")</f>
        <v>25307.131796760001</v>
      </c>
      <c r="N25" s="323">
        <f>GETPIVOTDATA("Units",'AMMO Units'!$A$3,"Year",$L25,"Measure Index",$A25,"Savings Category","Local_Incentives_2021PP")</f>
        <v>6326.7829491900002</v>
      </c>
      <c r="O25" s="2591"/>
      <c r="P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Q25" s="1476">
        <f>GETPIVOTDATA("Savings Rate",'AMMO Savings Rates'!$A$3,"Year",$L25,"Measure Index",$A25,"Savings Rate Type","Savings_Rate_2021PP")</f>
        <v>280.96180164999998</v>
      </c>
      <c r="R25" s="2758"/>
      <c r="S25" s="1369">
        <f t="shared" si="16"/>
        <v>0.11351864607443723</v>
      </c>
      <c r="T25" s="1370">
        <f t="shared" si="17"/>
        <v>2.8379661518609312E-2</v>
      </c>
      <c r="U25" s="320">
        <f t="shared" si="18"/>
        <v>8.5138984555827926E-2</v>
      </c>
    </row>
    <row r="26" spans="1:27" s="1375" customFormat="1" ht="12.75" hidden="1" customHeight="1">
      <c r="A26" s="272" t="s">
        <v>1538</v>
      </c>
      <c r="B26" s="311" t="str">
        <f t="shared" si="14"/>
        <v>RES_201403</v>
      </c>
      <c r="C26" s="311">
        <v>0</v>
      </c>
      <c r="D26" s="311">
        <v>0</v>
      </c>
      <c r="E26" s="311">
        <f t="shared" si="1"/>
        <v>1</v>
      </c>
      <c r="F26" s="311">
        <v>1</v>
      </c>
      <c r="G26" s="311" t="b">
        <v>1</v>
      </c>
      <c r="H26" s="1428" t="str">
        <f t="shared" si="15"/>
        <v>Residential</v>
      </c>
      <c r="I26" s="727" t="str">
        <f>INDEX('AMMO Measures'!B:B,MATCH($A26,'AMMO Measures'!$A:$A,0))</f>
        <v>Retail Product Portfolio</v>
      </c>
      <c r="J26" s="727" t="str">
        <f>INDEX('AMMO Measures'!C:C,MATCH($A26,'AMMO Measures'!$A:$A,0))</f>
        <v>Clothes Dryers (Standard)</v>
      </c>
      <c r="K26" s="727" t="str">
        <f>INDEX('AMMO Measures'!D:D,MATCH($A26,'AMMO Measures'!$A:$A,0))</f>
        <v>UCEF 4.20 to 5.29</v>
      </c>
      <c r="L26" s="24">
        <v>2025</v>
      </c>
      <c r="M26" s="322">
        <f>GETPIVOTDATA("Units",'AMMO Units'!$A$3,"Year",$L26,"Measure Index",$A26,"Savings Category","Regional_Market_2021PP")</f>
        <v>0</v>
      </c>
      <c r="N26" s="323">
        <f>GETPIVOTDATA("Units",'AMMO Units'!$A$3,"Year",$L26,"Measure Index",$A26,"Savings Category","Local_Incentives_2021PP")</f>
        <v>0</v>
      </c>
      <c r="O26" s="2591"/>
      <c r="P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Q26" s="1476">
        <f>GETPIVOTDATA("Savings Rate",'AMMO Savings Rates'!$A$3,"Year",$L26,"Measure Index",$A26,"Savings Rate Type","Savings_Rate_2021PP")</f>
        <v>355.55630531000003</v>
      </c>
      <c r="R26" s="2758"/>
      <c r="S26" s="1369">
        <f t="shared" si="16"/>
        <v>0</v>
      </c>
      <c r="T26" s="1370">
        <f t="shared" si="17"/>
        <v>0</v>
      </c>
      <c r="U26" s="320">
        <f t="shared" si="18"/>
        <v>0</v>
      </c>
    </row>
    <row r="27" spans="1:27" s="1375" customFormat="1" ht="12.75" hidden="1" customHeight="1">
      <c r="A27" s="272" t="s">
        <v>1539</v>
      </c>
      <c r="B27" s="311" t="str">
        <f t="shared" si="14"/>
        <v>RES_201403</v>
      </c>
      <c r="C27" s="311">
        <v>0</v>
      </c>
      <c r="D27" s="311">
        <v>0</v>
      </c>
      <c r="E27" s="311">
        <f t="shared" si="1"/>
        <v>1</v>
      </c>
      <c r="F27" s="311">
        <v>1</v>
      </c>
      <c r="G27" s="311" t="b">
        <v>1</v>
      </c>
      <c r="H27" s="1428" t="str">
        <f t="shared" si="15"/>
        <v>Residential</v>
      </c>
      <c r="I27" s="727" t="str">
        <f>INDEX('AMMO Measures'!B:B,MATCH($A27,'AMMO Measures'!$A:$A,0))</f>
        <v>Retail Product Portfolio</v>
      </c>
      <c r="J27" s="727" t="str">
        <f>INDEX('AMMO Measures'!C:C,MATCH($A27,'AMMO Measures'!$A:$A,0))</f>
        <v>Clothes Dryers (Standard)</v>
      </c>
      <c r="K27" s="727" t="str">
        <f>INDEX('AMMO Measures'!D:D,MATCH($A27,'AMMO Measures'!$A:$A,0))</f>
        <v>UCEF 5.30 to 6.09</v>
      </c>
      <c r="L27" s="24">
        <v>2025</v>
      </c>
      <c r="M27" s="322">
        <f>GETPIVOTDATA("Units",'AMMO Units'!$A$3,"Year",$L27,"Measure Index",$A27,"Savings Category","Regional_Market_2021PP")</f>
        <v>0</v>
      </c>
      <c r="N27" s="323">
        <f>GETPIVOTDATA("Units",'AMMO Units'!$A$3,"Year",$L27,"Measure Index",$A27,"Savings Category","Local_Incentives_2021PP")</f>
        <v>0</v>
      </c>
      <c r="O27" s="2591"/>
      <c r="P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Q27" s="1476">
        <f>GETPIVOTDATA("Savings Rate",'AMMO Savings Rates'!$A$3,"Year",$L27,"Measure Index",$A27,"Savings Rate Type","Savings_Rate_2021PP")</f>
        <v>436.91925670000001</v>
      </c>
      <c r="R27" s="2758"/>
      <c r="S27" s="1369">
        <f t="shared" si="16"/>
        <v>0</v>
      </c>
      <c r="T27" s="1370">
        <f t="shared" si="17"/>
        <v>0</v>
      </c>
      <c r="U27" s="320">
        <f t="shared" si="18"/>
        <v>0</v>
      </c>
    </row>
    <row r="28" spans="1:27" s="1375" customFormat="1" ht="12.75" hidden="1" customHeight="1">
      <c r="A28" s="272" t="s">
        <v>1540</v>
      </c>
      <c r="B28" s="311" t="str">
        <f t="shared" si="14"/>
        <v>RES_201403</v>
      </c>
      <c r="C28" s="311">
        <v>0</v>
      </c>
      <c r="D28" s="311">
        <v>0</v>
      </c>
      <c r="E28" s="311">
        <f t="shared" si="1"/>
        <v>1</v>
      </c>
      <c r="F28" s="311">
        <v>1</v>
      </c>
      <c r="G28" s="311" t="b">
        <v>1</v>
      </c>
      <c r="H28" s="1428" t="str">
        <f t="shared" si="15"/>
        <v>Residential</v>
      </c>
      <c r="I28" s="727" t="str">
        <f>INDEX('AMMO Measures'!B:B,MATCH($A28,'AMMO Measures'!$A:$A,0))</f>
        <v>Retail Product Portfolio</v>
      </c>
      <c r="J28" s="727" t="str">
        <f>INDEX('AMMO Measures'!C:C,MATCH($A28,'AMMO Measures'!$A:$A,0))</f>
        <v>Clothes Dryers (Standard)</v>
      </c>
      <c r="K28" s="727" t="str">
        <f>INDEX('AMMO Measures'!D:D,MATCH($A28,'AMMO Measures'!$A:$A,0))</f>
        <v>UCEF 6.10 to 7.19</v>
      </c>
      <c r="L28" s="24">
        <v>2025</v>
      </c>
      <c r="M28" s="322">
        <f>GETPIVOTDATA("Units",'AMMO Units'!$A$3,"Year",$L28,"Measure Index",$A28,"Savings Category","Regional_Market_2021PP")</f>
        <v>0</v>
      </c>
      <c r="N28" s="323">
        <f>GETPIVOTDATA("Units",'AMMO Units'!$A$3,"Year",$L28,"Measure Index",$A28,"Savings Category","Local_Incentives_2021PP")</f>
        <v>0</v>
      </c>
      <c r="O28" s="2591"/>
      <c r="P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v>
      </c>
      <c r="Q28" s="1476">
        <f>GETPIVOTDATA("Savings Rate",'AMMO Savings Rates'!$A$3,"Year",$L28,"Measure Index",$A28,"Savings Rate Type","Savings_Rate_2021PP")</f>
        <v>478.15276754000001</v>
      </c>
      <c r="R28" s="2758"/>
      <c r="S28" s="1369">
        <f t="shared" si="16"/>
        <v>0</v>
      </c>
      <c r="T28" s="1370">
        <f t="shared" si="17"/>
        <v>0</v>
      </c>
      <c r="U28" s="320">
        <f t="shared" si="18"/>
        <v>0</v>
      </c>
    </row>
    <row r="29" spans="1:27" s="1375" customFormat="1" ht="12.75" hidden="1" customHeight="1">
      <c r="A29" s="272" t="s">
        <v>1541</v>
      </c>
      <c r="B29" s="311" t="str">
        <f t="shared" si="14"/>
        <v>RES_201403</v>
      </c>
      <c r="C29" s="311">
        <v>0</v>
      </c>
      <c r="D29" s="311">
        <v>0</v>
      </c>
      <c r="E29" s="311">
        <f t="shared" si="1"/>
        <v>1</v>
      </c>
      <c r="F29" s="311">
        <v>1</v>
      </c>
      <c r="G29" s="311" t="b">
        <v>1</v>
      </c>
      <c r="H29" s="1428" t="str">
        <f t="shared" si="15"/>
        <v>Residential</v>
      </c>
      <c r="I29" s="727" t="str">
        <f>INDEX('AMMO Measures'!B:B,MATCH($A29,'AMMO Measures'!$A:$A,0))</f>
        <v>Retail Product Portfolio</v>
      </c>
      <c r="J29" s="727" t="str">
        <f>INDEX('AMMO Measures'!C:C,MATCH($A29,'AMMO Measures'!$A:$A,0))</f>
        <v>Clothes Dryers (Standard)</v>
      </c>
      <c r="K29" s="727" t="str">
        <f>INDEX('AMMO Measures'!D:D,MATCH($A29,'AMMO Measures'!$A:$A,0))</f>
        <v>UCEF 7.20 to 8.00</v>
      </c>
      <c r="L29" s="24">
        <v>2025</v>
      </c>
      <c r="M29" s="322">
        <f>GETPIVOTDATA("Units",'AMMO Units'!$A$3,"Year",$L29,"Measure Index",$A29,"Savings Category","Regional_Market_2021PP")</f>
        <v>3615.3045423899998</v>
      </c>
      <c r="N29" s="323">
        <f>GETPIVOTDATA("Units",'AMMO Units'!$A$3,"Year",$L29,"Measure Index",$A29,"Savings Category","Local_Incentives_2021PP")</f>
        <v>903.82613560000004</v>
      </c>
      <c r="O29" s="2591"/>
      <c r="P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Q29" s="1476">
        <f>GETPIVOTDATA("Savings Rate",'AMMO Savings Rates'!$A$3,"Year",$L29,"Measure Index",$A29,"Savings Rate Type","Savings_Rate_2021PP")</f>
        <v>510.39602108999998</v>
      </c>
      <c r="R29" s="2758"/>
      <c r="S29" s="1369">
        <f t="shared" si="16"/>
        <v>2.9459757231658151E-2</v>
      </c>
      <c r="T29" s="1370">
        <f t="shared" si="17"/>
        <v>7.3649393079349102E-3</v>
      </c>
      <c r="U29" s="320">
        <f t="shared" si="18"/>
        <v>2.2094817923723239E-2</v>
      </c>
    </row>
    <row r="30" spans="1:27" ht="12.75" customHeight="1">
      <c r="B30" s="311"/>
      <c r="C30" s="311"/>
      <c r="D30" s="311"/>
      <c r="E30" s="311"/>
      <c r="F30" s="311"/>
      <c r="G30" s="311"/>
      <c r="H30" s="270"/>
      <c r="I30" s="270"/>
      <c r="J30" s="270"/>
      <c r="K30" s="270"/>
      <c r="L30" s="270"/>
      <c r="M30" s="270"/>
      <c r="N30" s="270"/>
      <c r="O30" s="270"/>
      <c r="P30" s="270"/>
      <c r="Q30" s="270"/>
      <c r="R30" s="270"/>
      <c r="S30" s="270"/>
      <c r="T30" s="270"/>
      <c r="U30" s="270"/>
      <c r="V30" s="270"/>
      <c r="W30" s="270"/>
    </row>
    <row r="31" spans="1:27" ht="12.75" customHeight="1">
      <c r="F31" s="311"/>
      <c r="H31" s="495" t="s">
        <v>840</v>
      </c>
      <c r="I31" s="496"/>
      <c r="J31" s="496"/>
      <c r="K31" s="496"/>
      <c r="L31" s="76"/>
    </row>
    <row r="32" spans="1:27" ht="126" customHeight="1">
      <c r="F32" s="311"/>
      <c r="H32" s="2727" t="s">
        <v>1610</v>
      </c>
      <c r="I32" s="2728"/>
      <c r="J32" s="2728"/>
      <c r="K32" s="2728"/>
      <c r="L32" s="2728"/>
      <c r="M32" s="2730"/>
      <c r="R32"/>
      <c r="S32"/>
      <c r="T32"/>
      <c r="U32"/>
      <c r="V32"/>
      <c r="W32"/>
      <c r="X32"/>
      <c r="Y32"/>
      <c r="Z32"/>
      <c r="AA32"/>
    </row>
    <row r="33" spans="1:27" ht="12.75" customHeight="1">
      <c r="B33" s="311"/>
      <c r="C33" s="311"/>
      <c r="D33" s="311"/>
      <c r="E33" s="311"/>
      <c r="F33" s="311"/>
      <c r="G33" s="311"/>
      <c r="H33" s="270"/>
      <c r="I33" s="270"/>
      <c r="J33" s="270"/>
      <c r="K33" s="270"/>
      <c r="L33" s="270"/>
      <c r="M33" s="270"/>
      <c r="N33" s="270"/>
      <c r="O33" s="270"/>
      <c r="P33" s="270"/>
      <c r="Q33" s="270"/>
      <c r="R33"/>
      <c r="S33"/>
      <c r="T33"/>
      <c r="U33"/>
      <c r="V33"/>
      <c r="W33"/>
      <c r="X33"/>
      <c r="Y33"/>
      <c r="Z33"/>
      <c r="AA33"/>
    </row>
    <row r="34" spans="1:27" ht="12.75" customHeight="1">
      <c r="B34" s="311"/>
      <c r="C34" s="311"/>
      <c r="D34" s="311"/>
      <c r="E34" s="311"/>
      <c r="F34" s="311"/>
      <c r="G34" s="311"/>
      <c r="H34" s="270"/>
      <c r="I34" s="270"/>
      <c r="J34" s="270"/>
      <c r="K34" s="270"/>
      <c r="L34" s="270"/>
      <c r="M34" s="270"/>
      <c r="N34" s="270"/>
      <c r="O34" s="270"/>
      <c r="P34" s="270"/>
      <c r="Q34" s="270"/>
      <c r="R34"/>
      <c r="S34"/>
      <c r="T34"/>
      <c r="U34"/>
      <c r="V34"/>
      <c r="W34"/>
      <c r="X34"/>
      <c r="Y34"/>
      <c r="Z34"/>
      <c r="AA34"/>
    </row>
    <row r="35" spans="1:27" s="270" customFormat="1" ht="27" customHeight="1">
      <c r="A35" s="272"/>
      <c r="B35" s="272"/>
      <c r="C35" s="273"/>
      <c r="D35" s="273"/>
      <c r="E35" s="273"/>
      <c r="F35" s="311"/>
      <c r="G35" s="272"/>
      <c r="H35" s="469" t="s">
        <v>10</v>
      </c>
      <c r="R35"/>
      <c r="S35"/>
      <c r="T35"/>
      <c r="U35"/>
      <c r="V35"/>
      <c r="W35"/>
      <c r="X35"/>
      <c r="Y35"/>
      <c r="Z35"/>
      <c r="AA35"/>
    </row>
    <row r="36" spans="1:27" ht="12.75" customHeight="1">
      <c r="R36"/>
      <c r="S36"/>
      <c r="T36"/>
      <c r="U36"/>
      <c r="V36"/>
      <c r="W36"/>
      <c r="X36"/>
      <c r="Y36"/>
      <c r="Z36"/>
      <c r="AA36"/>
    </row>
    <row r="37" spans="1:27" ht="12.75" customHeight="1">
      <c r="H37" s="2748" t="s">
        <v>1729</v>
      </c>
      <c r="I37" s="2748"/>
      <c r="J37" s="2748"/>
      <c r="K37" s="2748"/>
      <c r="L37" s="2748"/>
      <c r="M37" s="2748"/>
      <c r="N37" s="2748"/>
      <c r="O37" s="2748"/>
      <c r="P37" s="2748"/>
      <c r="R37"/>
      <c r="S37"/>
      <c r="T37"/>
      <c r="U37"/>
      <c r="V37"/>
      <c r="W37"/>
      <c r="X37"/>
      <c r="Y37"/>
      <c r="Z37"/>
      <c r="AA37"/>
    </row>
    <row r="38" spans="1:27" ht="12.75" customHeight="1" thickBot="1">
      <c r="R38"/>
      <c r="S38"/>
      <c r="T38"/>
      <c r="U38"/>
      <c r="V38"/>
      <c r="W38"/>
      <c r="X38"/>
      <c r="Y38"/>
      <c r="Z38"/>
      <c r="AA38"/>
    </row>
    <row r="39" spans="1:27" ht="12.75" customHeight="1" thickTop="1" thickBot="1">
      <c r="H39" s="270" t="s">
        <v>589</v>
      </c>
      <c r="I39" s="2580" t="s">
        <v>2954</v>
      </c>
      <c r="J39" s="2581"/>
      <c r="K39" s="2582"/>
      <c r="L39" s="275"/>
      <c r="R39"/>
      <c r="S39"/>
      <c r="T39"/>
      <c r="U39"/>
      <c r="V39"/>
      <c r="W39"/>
      <c r="X39"/>
      <c r="Y39"/>
      <c r="Z39"/>
      <c r="AA39"/>
    </row>
    <row r="40" spans="1:27" ht="12.75" customHeight="1" thickTop="1">
      <c r="R40"/>
      <c r="S40"/>
      <c r="T40"/>
      <c r="U40"/>
      <c r="V40"/>
      <c r="W40"/>
      <c r="X40"/>
      <c r="Y40"/>
      <c r="Z40"/>
      <c r="AA40"/>
    </row>
    <row r="41" spans="1:27" ht="12.75" customHeight="1">
      <c r="R41"/>
      <c r="S41"/>
      <c r="T41"/>
      <c r="U41"/>
      <c r="V41"/>
      <c r="W41"/>
      <c r="X41"/>
      <c r="Y41"/>
      <c r="Z41"/>
      <c r="AA41"/>
    </row>
    <row r="42" spans="1:27" ht="62.25" customHeight="1">
      <c r="H42" s="2747" t="s">
        <v>1730</v>
      </c>
      <c r="I42" s="2747"/>
      <c r="J42" s="2747"/>
      <c r="K42" s="2747"/>
      <c r="L42" s="2747"/>
      <c r="M42" s="2747"/>
      <c r="N42" s="2747"/>
      <c r="O42" s="2747"/>
      <c r="P42" s="2747"/>
      <c r="Q42" s="700"/>
      <c r="R42"/>
      <c r="S42"/>
      <c r="T42"/>
      <c r="U42"/>
      <c r="V42"/>
      <c r="W42"/>
      <c r="X42"/>
      <c r="Y42"/>
      <c r="Z42"/>
      <c r="AA42"/>
    </row>
    <row r="43" spans="1:27" ht="12.75" customHeight="1">
      <c r="R43"/>
      <c r="S43"/>
      <c r="T43"/>
      <c r="U43"/>
      <c r="V43"/>
      <c r="W43"/>
      <c r="X43"/>
      <c r="Y43"/>
      <c r="Z43"/>
      <c r="AA43"/>
    </row>
    <row r="44" spans="1:27" ht="12.75" customHeight="1" thickBot="1">
      <c r="H44" s="712"/>
      <c r="I44" s="712"/>
      <c r="J44" s="712"/>
      <c r="K44" s="712"/>
      <c r="L44" s="712"/>
      <c r="M44" s="712"/>
      <c r="N44" s="712"/>
      <c r="O44" s="712"/>
      <c r="R44"/>
      <c r="S44"/>
      <c r="T44"/>
      <c r="U44"/>
      <c r="V44"/>
      <c r="W44"/>
      <c r="X44"/>
      <c r="Y44"/>
      <c r="Z44"/>
      <c r="AA44"/>
    </row>
    <row r="45" spans="1:27" ht="27.6" customHeight="1">
      <c r="H45" s="1996"/>
      <c r="I45" s="1997"/>
      <c r="J45" s="2749" t="s">
        <v>2955</v>
      </c>
      <c r="K45" s="2750"/>
      <c r="L45" s="2751"/>
      <c r="M45" s="2752" t="s">
        <v>2956</v>
      </c>
      <c r="N45" s="2753"/>
      <c r="O45" s="2754"/>
      <c r="P45" s="2755" t="s">
        <v>1097</v>
      </c>
      <c r="Q45" s="2756"/>
      <c r="R45"/>
      <c r="S45"/>
      <c r="T45"/>
      <c r="U45"/>
      <c r="V45"/>
      <c r="W45"/>
      <c r="X45"/>
      <c r="Y45"/>
      <c r="Z45"/>
      <c r="AA45"/>
    </row>
    <row r="46" spans="1:27" ht="64.150000000000006" customHeight="1" thickBot="1">
      <c r="H46" s="1998" t="s">
        <v>1095</v>
      </c>
      <c r="I46" s="1999" t="s">
        <v>1096</v>
      </c>
      <c r="J46" s="2000" t="s">
        <v>1690</v>
      </c>
      <c r="K46" s="2001" t="s">
        <v>2957</v>
      </c>
      <c r="L46" s="2002" t="s">
        <v>2958</v>
      </c>
      <c r="M46" s="2003" t="s">
        <v>2959</v>
      </c>
      <c r="N46" s="2001" t="s">
        <v>2960</v>
      </c>
      <c r="O46" s="2002" t="s">
        <v>2961</v>
      </c>
      <c r="P46" s="2003" t="s">
        <v>2729</v>
      </c>
      <c r="Q46" s="2004" t="s">
        <v>2962</v>
      </c>
      <c r="R46"/>
      <c r="S46"/>
      <c r="T46"/>
      <c r="U46"/>
      <c r="V46"/>
      <c r="W46"/>
      <c r="X46"/>
      <c r="Y46"/>
      <c r="Z46"/>
      <c r="AA46"/>
    </row>
    <row r="47" spans="1:27" ht="12.75" customHeight="1">
      <c r="H47" s="1995" t="s">
        <v>2963</v>
      </c>
      <c r="I47" s="1995" t="s">
        <v>2964</v>
      </c>
      <c r="J47" s="1995">
        <v>52.5</v>
      </c>
      <c r="K47" s="1995"/>
      <c r="L47" s="1995" t="s">
        <v>1098</v>
      </c>
      <c r="M47" s="1995">
        <v>-0.06</v>
      </c>
      <c r="N47" s="1995"/>
      <c r="O47" s="1995" t="s">
        <v>1098</v>
      </c>
      <c r="P47" s="1995">
        <v>12</v>
      </c>
      <c r="Q47" s="1995"/>
      <c r="R47"/>
      <c r="S47"/>
      <c r="T47"/>
      <c r="U47"/>
      <c r="V47"/>
      <c r="W47"/>
      <c r="X47"/>
      <c r="Y47"/>
      <c r="Z47"/>
      <c r="AA47"/>
    </row>
    <row r="48" spans="1:27" ht="12.75" customHeight="1">
      <c r="H48" s="1995" t="s">
        <v>2965</v>
      </c>
      <c r="I48" s="1995" t="s">
        <v>2964</v>
      </c>
      <c r="J48" s="1995">
        <v>154.4</v>
      </c>
      <c r="K48" s="1995"/>
      <c r="L48" s="1995" t="s">
        <v>1098</v>
      </c>
      <c r="M48" s="1995">
        <v>-0.18</v>
      </c>
      <c r="N48" s="1995"/>
      <c r="O48" s="1995" t="s">
        <v>1098</v>
      </c>
      <c r="P48" s="1995">
        <v>12</v>
      </c>
      <c r="Q48" s="1995"/>
      <c r="R48"/>
      <c r="S48"/>
      <c r="T48"/>
      <c r="U48"/>
      <c r="V48"/>
      <c r="W48"/>
      <c r="X48"/>
      <c r="Y48"/>
      <c r="Z48"/>
      <c r="AA48"/>
    </row>
    <row r="49" spans="8:27" ht="12.75" customHeight="1">
      <c r="H49" s="1995" t="s">
        <v>2966</v>
      </c>
      <c r="I49" s="1995" t="s">
        <v>2964</v>
      </c>
      <c r="J49" s="1995">
        <v>188.6</v>
      </c>
      <c r="K49" s="1995"/>
      <c r="L49" s="1995" t="s">
        <v>1098</v>
      </c>
      <c r="M49" s="1995">
        <v>-0.18</v>
      </c>
      <c r="N49" s="1995"/>
      <c r="O49" s="1995" t="s">
        <v>1098</v>
      </c>
      <c r="P49" s="1995">
        <v>12</v>
      </c>
      <c r="Q49" s="1995"/>
      <c r="R49"/>
      <c r="S49"/>
      <c r="T49"/>
      <c r="U49"/>
      <c r="V49"/>
      <c r="W49"/>
      <c r="X49"/>
      <c r="Y49"/>
      <c r="Z49"/>
      <c r="AA49"/>
    </row>
    <row r="50" spans="8:27" ht="12.75" customHeight="1">
      <c r="H50" s="1995" t="s">
        <v>2967</v>
      </c>
      <c r="I50" s="1995" t="s">
        <v>2964</v>
      </c>
      <c r="J50" s="1995">
        <v>218.9</v>
      </c>
      <c r="K50" s="1995"/>
      <c r="L50" s="1995" t="s">
        <v>1098</v>
      </c>
      <c r="M50" s="1995">
        <v>-0.18</v>
      </c>
      <c r="N50" s="1995"/>
      <c r="O50" s="1995" t="s">
        <v>1098</v>
      </c>
      <c r="P50" s="1995">
        <v>12</v>
      </c>
      <c r="Q50" s="1995"/>
      <c r="R50"/>
      <c r="S50"/>
      <c r="T50"/>
      <c r="U50"/>
      <c r="V50"/>
      <c r="W50"/>
      <c r="X50"/>
      <c r="Y50"/>
      <c r="Z50"/>
      <c r="AA50"/>
    </row>
    <row r="51" spans="8:27" ht="12.75" customHeight="1">
      <c r="H51" s="1995" t="s">
        <v>2968</v>
      </c>
      <c r="I51" s="1995" t="s">
        <v>2964</v>
      </c>
      <c r="J51" s="1995">
        <v>246</v>
      </c>
      <c r="K51" s="1995"/>
      <c r="L51" s="1995" t="s">
        <v>1098</v>
      </c>
      <c r="M51" s="1995">
        <v>-0.18</v>
      </c>
      <c r="N51" s="1995"/>
      <c r="O51" s="1995" t="s">
        <v>1098</v>
      </c>
      <c r="P51" s="1995">
        <v>12</v>
      </c>
      <c r="Q51" s="1995"/>
      <c r="R51"/>
      <c r="S51"/>
      <c r="T51"/>
      <c r="U51"/>
      <c r="V51"/>
      <c r="W51"/>
      <c r="X51"/>
      <c r="Y51"/>
      <c r="Z51"/>
      <c r="AA51"/>
    </row>
    <row r="52" spans="8:27" ht="12.75" customHeight="1">
      <c r="H52" s="1995" t="s">
        <v>2969</v>
      </c>
      <c r="I52" s="1995" t="s">
        <v>2964</v>
      </c>
      <c r="J52" s="1995">
        <v>280.60000000000002</v>
      </c>
      <c r="K52" s="1995"/>
      <c r="L52" s="1995" t="s">
        <v>1098</v>
      </c>
      <c r="M52" s="1995">
        <v>-0.18</v>
      </c>
      <c r="N52" s="1995"/>
      <c r="O52" s="1995" t="s">
        <v>1098</v>
      </c>
      <c r="P52" s="1995">
        <v>12</v>
      </c>
      <c r="Q52" s="1995"/>
      <c r="R52"/>
      <c r="S52"/>
      <c r="T52"/>
      <c r="U52"/>
      <c r="V52"/>
      <c r="W52"/>
      <c r="X52"/>
      <c r="Y52"/>
      <c r="Z52"/>
      <c r="AA52"/>
    </row>
    <row r="53" spans="8:27" ht="12.75" customHeight="1">
      <c r="H53" s="1995" t="s">
        <v>2970</v>
      </c>
      <c r="I53" s="1995" t="s">
        <v>2964</v>
      </c>
      <c r="J53" s="1995">
        <v>324.60000000000002</v>
      </c>
      <c r="K53" s="1995"/>
      <c r="L53" s="1995" t="s">
        <v>1098</v>
      </c>
      <c r="M53" s="1995">
        <v>-0.18</v>
      </c>
      <c r="N53" s="1995"/>
      <c r="O53" s="1995" t="s">
        <v>1098</v>
      </c>
      <c r="P53" s="1995">
        <v>12</v>
      </c>
      <c r="Q53" s="1995"/>
      <c r="R53"/>
      <c r="S53"/>
      <c r="T53"/>
      <c r="U53"/>
      <c r="V53"/>
      <c r="W53"/>
      <c r="X53"/>
      <c r="Y53"/>
      <c r="Z53"/>
      <c r="AA53"/>
    </row>
    <row r="54" spans="8:27" ht="12.75" customHeight="1">
      <c r="H54" s="1995" t="s">
        <v>2971</v>
      </c>
      <c r="I54" s="1995" t="s">
        <v>2964</v>
      </c>
      <c r="J54" s="1995">
        <v>367.5</v>
      </c>
      <c r="K54" s="1995"/>
      <c r="L54" s="1995" t="s">
        <v>1098</v>
      </c>
      <c r="M54" s="1995">
        <v>-0.19</v>
      </c>
      <c r="N54" s="1995"/>
      <c r="O54" s="1995" t="s">
        <v>1098</v>
      </c>
      <c r="P54" s="1995">
        <v>12</v>
      </c>
      <c r="Q54" s="1995"/>
      <c r="R54"/>
      <c r="S54"/>
      <c r="T54"/>
      <c r="U54"/>
      <c r="V54"/>
      <c r="W54"/>
      <c r="X54"/>
      <c r="Y54"/>
      <c r="Z54"/>
      <c r="AA54"/>
    </row>
    <row r="55" spans="8:27" ht="12.75" customHeight="1">
      <c r="H55" s="1995" t="s">
        <v>2972</v>
      </c>
      <c r="I55" s="1995" t="s">
        <v>2964</v>
      </c>
      <c r="J55" s="1995">
        <v>410.1</v>
      </c>
      <c r="K55" s="1995"/>
      <c r="L55" s="1995" t="s">
        <v>1098</v>
      </c>
      <c r="M55" s="1995">
        <v>-0.19</v>
      </c>
      <c r="N55" s="1995"/>
      <c r="O55" s="1995" t="s">
        <v>1098</v>
      </c>
      <c r="P55" s="1995">
        <v>12</v>
      </c>
      <c r="Q55" s="1995"/>
      <c r="R55"/>
      <c r="S55"/>
      <c r="T55"/>
      <c r="U55"/>
      <c r="V55"/>
      <c r="W55"/>
      <c r="X55"/>
      <c r="Y55"/>
      <c r="Z55"/>
      <c r="AA55"/>
    </row>
    <row r="56" spans="8:27" ht="12.75" customHeight="1">
      <c r="H56" s="1995" t="s">
        <v>2973</v>
      </c>
      <c r="I56" s="1995" t="s">
        <v>2964</v>
      </c>
      <c r="J56" s="1995">
        <v>453.6</v>
      </c>
      <c r="K56" s="1995"/>
      <c r="L56" s="1995" t="s">
        <v>1098</v>
      </c>
      <c r="M56" s="1995">
        <v>-0.19</v>
      </c>
      <c r="N56" s="1995"/>
      <c r="O56" s="1995" t="s">
        <v>1098</v>
      </c>
      <c r="P56" s="1995">
        <v>12</v>
      </c>
      <c r="Q56" s="1995"/>
      <c r="R56"/>
      <c r="S56"/>
      <c r="T56"/>
      <c r="U56"/>
      <c r="V56"/>
      <c r="W56"/>
      <c r="X56"/>
      <c r="Y56"/>
      <c r="Z56"/>
      <c r="AA56"/>
    </row>
    <row r="57" spans="8:27" ht="12.75" customHeight="1">
      <c r="H57" s="1995" t="s">
        <v>2974</v>
      </c>
      <c r="I57" s="1995" t="s">
        <v>2964</v>
      </c>
      <c r="J57" s="1995">
        <v>487.6</v>
      </c>
      <c r="K57" s="1995"/>
      <c r="L57" s="1995" t="s">
        <v>1098</v>
      </c>
      <c r="M57" s="1995">
        <v>-0.19</v>
      </c>
      <c r="N57" s="1995"/>
      <c r="O57" s="1995" t="s">
        <v>1098</v>
      </c>
      <c r="P57" s="1995">
        <v>12</v>
      </c>
      <c r="Q57" s="1995"/>
      <c r="R57"/>
      <c r="S57"/>
      <c r="T57"/>
      <c r="U57"/>
      <c r="V57"/>
      <c r="W57"/>
    </row>
    <row r="58" spans="8:27" ht="12.75" customHeight="1">
      <c r="H58" s="1995" t="s">
        <v>2975</v>
      </c>
      <c r="I58" s="1995" t="s">
        <v>2964</v>
      </c>
      <c r="J58" s="1995">
        <v>96.6</v>
      </c>
      <c r="K58" s="1995"/>
      <c r="L58" s="1995" t="s">
        <v>1098</v>
      </c>
      <c r="M58" s="1995">
        <v>4.8899999999999997</v>
      </c>
      <c r="N58" s="1995"/>
      <c r="O58" s="1995" t="s">
        <v>1098</v>
      </c>
      <c r="P58" s="1995">
        <v>12</v>
      </c>
      <c r="Q58" s="1995"/>
      <c r="R58"/>
      <c r="S58"/>
      <c r="T58"/>
      <c r="U58"/>
      <c r="V58"/>
      <c r="W58"/>
    </row>
    <row r="59" spans="8:27" ht="12.75" customHeight="1">
      <c r="H59" s="1995" t="s">
        <v>2976</v>
      </c>
      <c r="I59" s="1995" t="s">
        <v>2964</v>
      </c>
      <c r="J59" s="1995">
        <v>194.6</v>
      </c>
      <c r="K59" s="1995"/>
      <c r="L59" s="1995" t="s">
        <v>1098</v>
      </c>
      <c r="M59" s="1995">
        <v>4.26</v>
      </c>
      <c r="N59" s="1995"/>
      <c r="O59" s="1995" t="s">
        <v>1098</v>
      </c>
      <c r="P59" s="1995">
        <v>12</v>
      </c>
      <c r="Q59" s="1995"/>
      <c r="R59"/>
      <c r="S59"/>
      <c r="T59"/>
      <c r="U59"/>
      <c r="V59"/>
      <c r="W59"/>
    </row>
    <row r="60" spans="8:27" ht="12.75" customHeight="1">
      <c r="H60" s="1995" t="s">
        <v>2977</v>
      </c>
      <c r="I60" s="1995" t="s">
        <v>2964</v>
      </c>
      <c r="J60" s="1995">
        <v>227.1</v>
      </c>
      <c r="K60" s="1995"/>
      <c r="L60" s="1995" t="s">
        <v>1098</v>
      </c>
      <c r="M60" s="1995">
        <v>4.0599999999999996</v>
      </c>
      <c r="N60" s="1995"/>
      <c r="O60" s="1995" t="s">
        <v>1098</v>
      </c>
      <c r="P60" s="1995">
        <v>12</v>
      </c>
      <c r="Q60" s="1995"/>
      <c r="R60"/>
      <c r="S60"/>
      <c r="T60"/>
      <c r="U60"/>
      <c r="V60"/>
      <c r="W60"/>
    </row>
    <row r="61" spans="8:27" ht="12.75" customHeight="1">
      <c r="H61" s="1995" t="s">
        <v>2978</v>
      </c>
      <c r="I61" s="1995" t="s">
        <v>2964</v>
      </c>
      <c r="J61" s="1995">
        <v>255.8</v>
      </c>
      <c r="K61" s="1995"/>
      <c r="L61" s="1995" t="s">
        <v>1098</v>
      </c>
      <c r="M61" s="1995">
        <v>3.87</v>
      </c>
      <c r="N61" s="1995"/>
      <c r="O61" s="1995" t="s">
        <v>1098</v>
      </c>
      <c r="P61" s="1995">
        <v>12</v>
      </c>
      <c r="Q61" s="1995"/>
      <c r="R61"/>
      <c r="S61"/>
      <c r="T61"/>
      <c r="U61"/>
      <c r="V61"/>
      <c r="W61"/>
    </row>
    <row r="62" spans="8:27" ht="12.75" customHeight="1">
      <c r="H62" s="1995" t="s">
        <v>2979</v>
      </c>
      <c r="I62" s="1995" t="s">
        <v>2964</v>
      </c>
      <c r="J62" s="1995">
        <v>281.5</v>
      </c>
      <c r="K62" s="1995"/>
      <c r="L62" s="1995" t="s">
        <v>1098</v>
      </c>
      <c r="M62" s="1995">
        <v>3.71</v>
      </c>
      <c r="N62" s="1995"/>
      <c r="O62" s="1995" t="s">
        <v>1098</v>
      </c>
      <c r="P62" s="1995">
        <v>12</v>
      </c>
      <c r="Q62" s="1995"/>
      <c r="R62"/>
      <c r="S62"/>
      <c r="T62"/>
      <c r="U62"/>
      <c r="V62"/>
      <c r="W62"/>
    </row>
    <row r="63" spans="8:27" ht="12.75" customHeight="1">
      <c r="H63" s="1995" t="s">
        <v>2980</v>
      </c>
      <c r="I63" s="1995" t="s">
        <v>2964</v>
      </c>
      <c r="J63" s="1995">
        <v>314.3</v>
      </c>
      <c r="K63" s="1995"/>
      <c r="L63" s="1995" t="s">
        <v>1098</v>
      </c>
      <c r="M63" s="1995">
        <v>3.5</v>
      </c>
      <c r="N63" s="1995"/>
      <c r="O63" s="1995" t="s">
        <v>1098</v>
      </c>
      <c r="P63" s="1995">
        <v>12</v>
      </c>
      <c r="Q63" s="1995"/>
      <c r="R63"/>
      <c r="S63"/>
      <c r="T63"/>
      <c r="U63"/>
      <c r="V63"/>
      <c r="W63"/>
    </row>
    <row r="64" spans="8:27" ht="12.75" customHeight="1">
      <c r="H64" s="1995" t="s">
        <v>2981</v>
      </c>
      <c r="I64" s="1995" t="s">
        <v>2964</v>
      </c>
      <c r="J64" s="1995">
        <v>356.1</v>
      </c>
      <c r="K64" s="1995"/>
      <c r="L64" s="1995" t="s">
        <v>1098</v>
      </c>
      <c r="M64" s="1995">
        <v>3.23</v>
      </c>
      <c r="N64" s="1995"/>
      <c r="O64" s="1995" t="s">
        <v>1098</v>
      </c>
      <c r="P64" s="1995">
        <v>12</v>
      </c>
      <c r="Q64" s="1995"/>
      <c r="R64"/>
      <c r="S64"/>
      <c r="T64"/>
      <c r="U64"/>
      <c r="V64"/>
      <c r="W64"/>
    </row>
    <row r="65" spans="8:23" ht="12.75" customHeight="1">
      <c r="H65" s="1995" t="s">
        <v>2982</v>
      </c>
      <c r="I65" s="1995" t="s">
        <v>2964</v>
      </c>
      <c r="J65" s="1995">
        <v>397</v>
      </c>
      <c r="K65" s="1995"/>
      <c r="L65" s="1995" t="s">
        <v>1098</v>
      </c>
      <c r="M65" s="1995">
        <v>2.97</v>
      </c>
      <c r="N65" s="1995"/>
      <c r="O65" s="1995" t="s">
        <v>1098</v>
      </c>
      <c r="P65" s="1995">
        <v>12</v>
      </c>
      <c r="Q65" s="1995"/>
      <c r="R65"/>
      <c r="S65"/>
      <c r="T65"/>
      <c r="U65"/>
      <c r="V65"/>
      <c r="W65"/>
    </row>
    <row r="66" spans="8:23" ht="12.75" customHeight="1">
      <c r="H66" s="1995" t="s">
        <v>2983</v>
      </c>
      <c r="I66" s="1995" t="s">
        <v>2964</v>
      </c>
      <c r="J66" s="1995">
        <v>437.4</v>
      </c>
      <c r="K66" s="1995"/>
      <c r="L66" s="1995" t="s">
        <v>1098</v>
      </c>
      <c r="M66" s="1995">
        <v>2.71</v>
      </c>
      <c r="N66" s="1995"/>
      <c r="O66" s="1995" t="s">
        <v>1098</v>
      </c>
      <c r="P66" s="1995">
        <v>12</v>
      </c>
      <c r="Q66" s="1995"/>
      <c r="R66"/>
      <c r="S66"/>
      <c r="T66"/>
      <c r="U66"/>
      <c r="V66"/>
      <c r="W66"/>
    </row>
    <row r="67" spans="8:23" ht="12.75" customHeight="1">
      <c r="H67" s="1995" t="s">
        <v>2984</v>
      </c>
      <c r="I67" s="1995" t="s">
        <v>2964</v>
      </c>
      <c r="J67" s="1995">
        <v>478.7</v>
      </c>
      <c r="K67" s="1995"/>
      <c r="L67" s="1995" t="s">
        <v>1098</v>
      </c>
      <c r="M67" s="1995">
        <v>2.4500000000000002</v>
      </c>
      <c r="N67" s="1995"/>
      <c r="O67" s="1995" t="s">
        <v>1098</v>
      </c>
      <c r="P67" s="1995">
        <v>12</v>
      </c>
      <c r="Q67" s="1995"/>
      <c r="R67"/>
      <c r="S67"/>
      <c r="T67"/>
      <c r="U67"/>
      <c r="V67"/>
      <c r="W67"/>
    </row>
    <row r="68" spans="8:23" ht="12.75" customHeight="1">
      <c r="H68" s="1995" t="s">
        <v>2985</v>
      </c>
      <c r="I68" s="1995" t="s">
        <v>2964</v>
      </c>
      <c r="J68" s="1995">
        <v>510.9</v>
      </c>
      <c r="K68" s="1995"/>
      <c r="L68" s="1995" t="s">
        <v>1098</v>
      </c>
      <c r="M68" s="1995">
        <v>2.2400000000000002</v>
      </c>
      <c r="N68" s="1995"/>
      <c r="O68" s="1995" t="s">
        <v>1098</v>
      </c>
      <c r="P68" s="1995">
        <v>12</v>
      </c>
      <c r="Q68" s="1995"/>
      <c r="R68"/>
      <c r="S68"/>
      <c r="T68"/>
      <c r="U68"/>
      <c r="V68"/>
      <c r="W68"/>
    </row>
    <row r="69" spans="8:23" ht="12.75" customHeight="1">
      <c r="H69" s="1995"/>
      <c r="I69" s="1995"/>
      <c r="J69" s="1995"/>
      <c r="K69" s="1995"/>
      <c r="L69" s="1995"/>
      <c r="M69" s="1995"/>
      <c r="N69" s="1995"/>
      <c r="O69" s="1995"/>
      <c r="P69" s="1995"/>
      <c r="Q69" s="1995"/>
      <c r="R69"/>
      <c r="S69"/>
      <c r="T69"/>
      <c r="U69"/>
      <c r="V69"/>
      <c r="W69"/>
    </row>
    <row r="70" spans="8:23" ht="12.75" customHeight="1">
      <c r="R70"/>
      <c r="S70"/>
      <c r="T70"/>
      <c r="U70"/>
      <c r="V70"/>
      <c r="W70"/>
    </row>
    <row r="71" spans="8:23" ht="12.75" customHeight="1">
      <c r="H71" s="2744" t="s">
        <v>1099</v>
      </c>
      <c r="I71" s="2745"/>
      <c r="J71" s="2745"/>
      <c r="K71" s="2745"/>
      <c r="L71" s="2745"/>
      <c r="M71" s="2746"/>
    </row>
    <row r="72" spans="8:23" ht="12.75" customHeight="1">
      <c r="H72" s="701" t="s">
        <v>1100</v>
      </c>
      <c r="I72" s="702" t="s">
        <v>604</v>
      </c>
      <c r="J72" s="714" t="s">
        <v>1611</v>
      </c>
      <c r="K72" s="295"/>
      <c r="L72" s="713"/>
      <c r="M72" s="2006">
        <f>J47</f>
        <v>52.5</v>
      </c>
    </row>
    <row r="73" spans="8:23" ht="12.75" customHeight="1">
      <c r="H73" s="701" t="s">
        <v>1100</v>
      </c>
      <c r="I73" s="702" t="s">
        <v>605</v>
      </c>
      <c r="J73" s="714" t="s">
        <v>1386</v>
      </c>
      <c r="K73" s="295"/>
      <c r="L73" s="713"/>
      <c r="M73" s="2007">
        <f>J51</f>
        <v>246</v>
      </c>
    </row>
    <row r="74" spans="8:23" ht="12.75" customHeight="1">
      <c r="H74" s="701" t="s">
        <v>1100</v>
      </c>
      <c r="I74" s="702" t="s">
        <v>606</v>
      </c>
      <c r="J74" s="714" t="s">
        <v>1387</v>
      </c>
      <c r="K74" s="295"/>
      <c r="L74" s="713"/>
      <c r="M74" s="2007">
        <f>J53</f>
        <v>324.60000000000002</v>
      </c>
    </row>
    <row r="75" spans="8:23" ht="12.75" customHeight="1">
      <c r="H75" s="701" t="s">
        <v>1100</v>
      </c>
      <c r="I75" s="702" t="s">
        <v>1101</v>
      </c>
      <c r="J75" s="714" t="s">
        <v>1388</v>
      </c>
      <c r="K75" s="295"/>
      <c r="L75" s="713"/>
      <c r="M75" s="2007">
        <f>J55</f>
        <v>410.1</v>
      </c>
    </row>
    <row r="76" spans="8:23" ht="12.75" customHeight="1">
      <c r="H76" s="701" t="s">
        <v>1100</v>
      </c>
      <c r="I76" s="702" t="s">
        <v>1102</v>
      </c>
      <c r="J76" s="714" t="s">
        <v>1389</v>
      </c>
      <c r="K76" s="295"/>
      <c r="L76" s="713"/>
      <c r="M76" s="2007">
        <f>J56</f>
        <v>453.6</v>
      </c>
    </row>
    <row r="77" spans="8:23" ht="12.75" customHeight="1">
      <c r="H77" s="701" t="s">
        <v>1100</v>
      </c>
      <c r="I77" s="702" t="s">
        <v>1103</v>
      </c>
      <c r="J77" s="714" t="s">
        <v>1390</v>
      </c>
      <c r="K77" s="295"/>
      <c r="L77" s="713"/>
      <c r="M77" s="2007">
        <f>J57</f>
        <v>487.6</v>
      </c>
    </row>
    <row r="78" spans="8:23" ht="12.75" customHeight="1">
      <c r="H78" s="701" t="s">
        <v>1104</v>
      </c>
      <c r="I78" s="702" t="s">
        <v>604</v>
      </c>
      <c r="J78" s="714" t="s">
        <v>1385</v>
      </c>
      <c r="K78" s="295"/>
      <c r="L78" s="713"/>
      <c r="M78" s="2007">
        <f>J58</f>
        <v>96.6</v>
      </c>
    </row>
    <row r="79" spans="8:23" ht="12.75" customHeight="1">
      <c r="H79" s="701" t="s">
        <v>1104</v>
      </c>
      <c r="I79" s="702" t="s">
        <v>605</v>
      </c>
      <c r="J79" s="714" t="s">
        <v>1386</v>
      </c>
      <c r="K79" s="295"/>
      <c r="L79" s="713"/>
      <c r="M79" s="2007">
        <f>J62</f>
        <v>281.5</v>
      </c>
    </row>
    <row r="80" spans="8:23" ht="12.75" customHeight="1">
      <c r="H80" s="701" t="s">
        <v>1104</v>
      </c>
      <c r="I80" s="702" t="s">
        <v>606</v>
      </c>
      <c r="J80" s="714" t="s">
        <v>1387</v>
      </c>
      <c r="K80" s="295"/>
      <c r="L80" s="713"/>
      <c r="M80" s="2007">
        <f>J64</f>
        <v>356.1</v>
      </c>
    </row>
    <row r="81" spans="8:19" ht="12.75" customHeight="1">
      <c r="H81" s="701" t="s">
        <v>1104</v>
      </c>
      <c r="I81" s="702" t="s">
        <v>1101</v>
      </c>
      <c r="J81" s="714" t="s">
        <v>1388</v>
      </c>
      <c r="K81" s="295"/>
      <c r="L81" s="713"/>
      <c r="M81" s="2007">
        <f>J66</f>
        <v>437.4</v>
      </c>
    </row>
    <row r="82" spans="8:19" ht="12.75" customHeight="1">
      <c r="H82" s="701" t="s">
        <v>1104</v>
      </c>
      <c r="I82" s="702" t="s">
        <v>1102</v>
      </c>
      <c r="J82" s="714" t="s">
        <v>1389</v>
      </c>
      <c r="K82" s="295"/>
      <c r="L82" s="713"/>
      <c r="M82" s="2007">
        <f>J67</f>
        <v>478.7</v>
      </c>
    </row>
    <row r="83" spans="8:19" ht="12.75" customHeight="1">
      <c r="H83" s="703" t="s">
        <v>1104</v>
      </c>
      <c r="I83" s="704" t="s">
        <v>1103</v>
      </c>
      <c r="J83" s="714" t="s">
        <v>1390</v>
      </c>
      <c r="K83" s="356"/>
      <c r="L83" s="715"/>
      <c r="M83" s="2007">
        <f>J68</f>
        <v>510.9</v>
      </c>
    </row>
    <row r="86" spans="8:19" ht="12.75" customHeight="1">
      <c r="H86" s="2744" t="s">
        <v>2987</v>
      </c>
      <c r="I86" s="2745"/>
      <c r="J86" s="2745"/>
      <c r="K86" s="2745"/>
      <c r="L86" s="2745"/>
      <c r="M86" s="2746"/>
      <c r="O86" s="716"/>
      <c r="P86" s="705"/>
      <c r="Q86" s="706" t="s">
        <v>2986</v>
      </c>
      <c r="R86" s="707" t="s">
        <v>1105</v>
      </c>
    </row>
    <row r="87" spans="8:19" ht="12.75" customHeight="1">
      <c r="H87" s="701" t="s">
        <v>1100</v>
      </c>
      <c r="I87" s="702" t="s">
        <v>604</v>
      </c>
      <c r="J87" s="714" t="s">
        <v>1611</v>
      </c>
      <c r="K87" s="708">
        <v>1</v>
      </c>
      <c r="L87" s="713"/>
      <c r="M87" s="2006">
        <f t="shared" ref="M87:M98" si="19">M72*K87</f>
        <v>52.5</v>
      </c>
      <c r="N87" s="709"/>
      <c r="O87" s="717"/>
      <c r="P87" s="713"/>
      <c r="Q87" s="718"/>
      <c r="R87" s="719"/>
    </row>
    <row r="88" spans="8:19" ht="12.75" customHeight="1">
      <c r="H88" s="701" t="s">
        <v>1100</v>
      </c>
      <c r="I88" s="702" t="s">
        <v>605</v>
      </c>
      <c r="J88" s="714" t="s">
        <v>1386</v>
      </c>
      <c r="K88" s="708">
        <v>0.5</v>
      </c>
      <c r="L88" s="713"/>
      <c r="M88" s="2007">
        <f t="shared" si="19"/>
        <v>123</v>
      </c>
      <c r="N88" s="720"/>
      <c r="O88" s="714" t="s">
        <v>1611</v>
      </c>
      <c r="P88" s="710"/>
      <c r="Q88" s="2005">
        <f>SUMIFS($M$87:$M$98,$J$87:$J$98,O88)</f>
        <v>52.5</v>
      </c>
      <c r="R88" s="721">
        <f>Q88-Q87</f>
        <v>52.5</v>
      </c>
    </row>
    <row r="89" spans="8:19" ht="12.75" customHeight="1">
      <c r="H89" s="701" t="s">
        <v>1100</v>
      </c>
      <c r="I89" s="702" t="s">
        <v>606</v>
      </c>
      <c r="J89" s="714" t="s">
        <v>1387</v>
      </c>
      <c r="K89" s="708">
        <v>0</v>
      </c>
      <c r="L89" s="713"/>
      <c r="M89" s="2007">
        <f t="shared" si="19"/>
        <v>0</v>
      </c>
      <c r="N89" s="709"/>
      <c r="O89" s="714" t="s">
        <v>1386</v>
      </c>
      <c r="P89" s="710"/>
      <c r="Q89" s="2005">
        <f>SUMIFS($M$87:$M$98,$J$87:$J$98,O89)</f>
        <v>263.75</v>
      </c>
      <c r="R89" s="721">
        <f>Q89-Q88</f>
        <v>211.25</v>
      </c>
    </row>
    <row r="90" spans="8:19" ht="12.75" customHeight="1">
      <c r="H90" s="701" t="s">
        <v>1100</v>
      </c>
      <c r="I90" s="702" t="s">
        <v>1101</v>
      </c>
      <c r="J90" s="714" t="s">
        <v>1388</v>
      </c>
      <c r="K90" s="708">
        <v>0</v>
      </c>
      <c r="L90" s="713"/>
      <c r="M90" s="2007">
        <f t="shared" si="19"/>
        <v>0</v>
      </c>
      <c r="N90" s="709"/>
      <c r="O90" s="714" t="s">
        <v>1387</v>
      </c>
      <c r="P90" s="710"/>
      <c r="Q90" s="2005">
        <f t="shared" ref="Q90:Q93" si="20">SUMIFS($M$87:$M$98,$J$87:$J$98,O90)</f>
        <v>356.1</v>
      </c>
      <c r="R90" s="721">
        <f t="shared" ref="R90:R93" si="21">Q90-Q89</f>
        <v>92.350000000000023</v>
      </c>
    </row>
    <row r="91" spans="8:19" ht="12.75" customHeight="1">
      <c r="H91" s="701" t="s">
        <v>1100</v>
      </c>
      <c r="I91" s="702" t="s">
        <v>1102</v>
      </c>
      <c r="J91" s="714" t="s">
        <v>1389</v>
      </c>
      <c r="K91" s="708">
        <v>0</v>
      </c>
      <c r="L91" s="713"/>
      <c r="M91" s="2007">
        <f t="shared" si="19"/>
        <v>0</v>
      </c>
      <c r="N91" s="709"/>
      <c r="O91" s="714" t="s">
        <v>1388</v>
      </c>
      <c r="P91" s="710"/>
      <c r="Q91" s="2005">
        <f t="shared" si="20"/>
        <v>437.4</v>
      </c>
      <c r="R91" s="721">
        <f t="shared" si="21"/>
        <v>81.299999999999955</v>
      </c>
    </row>
    <row r="92" spans="8:19" ht="12.75" customHeight="1">
      <c r="H92" s="701" t="s">
        <v>1100</v>
      </c>
      <c r="I92" s="702" t="s">
        <v>1103</v>
      </c>
      <c r="J92" s="714" t="s">
        <v>1390</v>
      </c>
      <c r="K92" s="708">
        <v>0</v>
      </c>
      <c r="L92" s="713"/>
      <c r="M92" s="2007">
        <f t="shared" si="19"/>
        <v>0</v>
      </c>
      <c r="N92" s="709"/>
      <c r="O92" s="714" t="s">
        <v>1389</v>
      </c>
      <c r="P92" s="710"/>
      <c r="Q92" s="2005">
        <f t="shared" si="20"/>
        <v>478.7</v>
      </c>
      <c r="R92" s="721">
        <f t="shared" si="21"/>
        <v>41.300000000000011</v>
      </c>
    </row>
    <row r="93" spans="8:19" ht="12.75" customHeight="1">
      <c r="H93" s="701" t="s">
        <v>1104</v>
      </c>
      <c r="I93" s="702" t="s">
        <v>604</v>
      </c>
      <c r="J93" s="714" t="s">
        <v>1385</v>
      </c>
      <c r="K93" s="722">
        <v>0</v>
      </c>
      <c r="L93" s="713"/>
      <c r="M93" s="2007">
        <f t="shared" si="19"/>
        <v>0</v>
      </c>
      <c r="N93" s="709"/>
      <c r="O93" s="714" t="s">
        <v>1390</v>
      </c>
      <c r="P93" s="710"/>
      <c r="Q93" s="2005">
        <f t="shared" si="20"/>
        <v>510.9</v>
      </c>
      <c r="R93" s="721">
        <f t="shared" si="21"/>
        <v>32.199999999999989</v>
      </c>
    </row>
    <row r="94" spans="8:19" ht="12.75" customHeight="1">
      <c r="H94" s="701" t="s">
        <v>1104</v>
      </c>
      <c r="I94" s="702" t="s">
        <v>605</v>
      </c>
      <c r="J94" s="714" t="s">
        <v>1386</v>
      </c>
      <c r="K94" s="722">
        <v>0.5</v>
      </c>
      <c r="L94" s="713"/>
      <c r="M94" s="2007">
        <f>M79*K94</f>
        <v>140.75</v>
      </c>
      <c r="N94" s="709"/>
      <c r="O94" s="720"/>
      <c r="P94" s="720"/>
      <c r="Q94" s="720"/>
      <c r="R94" s="720"/>
      <c r="S94" s="720"/>
    </row>
    <row r="95" spans="8:19" ht="12.75" customHeight="1">
      <c r="H95" s="701" t="s">
        <v>1104</v>
      </c>
      <c r="I95" s="702" t="s">
        <v>606</v>
      </c>
      <c r="J95" s="714" t="s">
        <v>1387</v>
      </c>
      <c r="K95" s="722">
        <v>1</v>
      </c>
      <c r="L95" s="713"/>
      <c r="M95" s="2007">
        <f t="shared" si="19"/>
        <v>356.1</v>
      </c>
      <c r="N95" s="720"/>
      <c r="O95" s="720"/>
      <c r="P95" s="720"/>
      <c r="Q95" s="720"/>
      <c r="R95" s="720"/>
      <c r="S95" s="720"/>
    </row>
    <row r="96" spans="8:19" ht="12.75" customHeight="1">
      <c r="H96" s="701" t="s">
        <v>1104</v>
      </c>
      <c r="I96" s="702" t="s">
        <v>1101</v>
      </c>
      <c r="J96" s="714" t="s">
        <v>1388</v>
      </c>
      <c r="K96" s="722">
        <v>1</v>
      </c>
      <c r="L96" s="713"/>
      <c r="M96" s="2007">
        <f t="shared" si="19"/>
        <v>437.4</v>
      </c>
      <c r="N96" s="720"/>
      <c r="O96" s="720"/>
      <c r="P96" s="720"/>
      <c r="Q96" s="720"/>
      <c r="R96" s="720"/>
      <c r="S96" s="720"/>
    </row>
    <row r="97" spans="8:19" ht="12.75" customHeight="1">
      <c r="H97" s="701" t="s">
        <v>1104</v>
      </c>
      <c r="I97" s="702" t="s">
        <v>1102</v>
      </c>
      <c r="J97" s="714" t="s">
        <v>1389</v>
      </c>
      <c r="K97" s="722">
        <v>1</v>
      </c>
      <c r="L97" s="713"/>
      <c r="M97" s="2007">
        <f t="shared" si="19"/>
        <v>478.7</v>
      </c>
      <c r="N97" s="720"/>
      <c r="O97" s="720"/>
      <c r="P97" s="720"/>
      <c r="Q97" s="720"/>
      <c r="R97" s="720"/>
      <c r="S97" s="720"/>
    </row>
    <row r="98" spans="8:19" ht="12.75" customHeight="1">
      <c r="H98" s="703" t="s">
        <v>1104</v>
      </c>
      <c r="I98" s="704" t="s">
        <v>1103</v>
      </c>
      <c r="J98" s="714" t="s">
        <v>1390</v>
      </c>
      <c r="K98" s="722">
        <v>1</v>
      </c>
      <c r="L98" s="715"/>
      <c r="M98" s="2008">
        <f t="shared" si="19"/>
        <v>510.9</v>
      </c>
      <c r="N98" s="720"/>
      <c r="O98" s="720"/>
      <c r="P98" s="720"/>
      <c r="Q98" s="720"/>
      <c r="R98" s="720"/>
      <c r="S98" s="720"/>
    </row>
    <row r="99" spans="8:19" ht="12.75" customHeight="1">
      <c r="H99" s="720"/>
      <c r="I99" s="720"/>
      <c r="J99" s="720"/>
      <c r="K99" s="711"/>
      <c r="L99" s="720"/>
      <c r="M99" s="720"/>
      <c r="N99" s="720"/>
      <c r="O99" s="720"/>
      <c r="P99" s="720"/>
      <c r="Q99" s="720"/>
      <c r="R99" s="720"/>
      <c r="S99" s="720"/>
    </row>
  </sheetData>
  <autoFilter ref="A5:Z29" xr:uid="{00000000-0009-0000-0000-000013000000}">
    <filterColumn colId="11">
      <filters>
        <filter val="2022"/>
        <filter val="2023"/>
      </filters>
    </filterColumn>
    <filterColumn colId="18">
      <filters>
        <filter val="0.00"/>
        <filter val="0.02"/>
        <filter val="0.03"/>
      </filters>
    </filterColumn>
  </autoFilter>
  <dataConsolidate/>
  <mergeCells count="17">
    <mergeCell ref="I2:R2"/>
    <mergeCell ref="H32:M32"/>
    <mergeCell ref="A4:G4"/>
    <mergeCell ref="H4:L4"/>
    <mergeCell ref="M4:P4"/>
    <mergeCell ref="Q4:R4"/>
    <mergeCell ref="O6:O29"/>
    <mergeCell ref="S4:U4"/>
    <mergeCell ref="H71:M71"/>
    <mergeCell ref="H86:M86"/>
    <mergeCell ref="H42:P42"/>
    <mergeCell ref="H37:P37"/>
    <mergeCell ref="I39:K39"/>
    <mergeCell ref="J45:L45"/>
    <mergeCell ref="M45:O45"/>
    <mergeCell ref="P45:Q45"/>
    <mergeCell ref="R6:R29"/>
  </mergeCells>
  <hyperlinks>
    <hyperlink ref="H1" location="'Summary ALL'!A1" display="Summary Page" xr:uid="{7AC0F62A-285B-4063-8A31-7884B6B3E6BB}"/>
  </hyperlinks>
  <pageMargins left="0.7" right="0.7" top="0.75" bottom="0.75" header="0.3" footer="0.3"/>
  <pageSetup scale="3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0.57031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c r="W4"/>
      <c r="X4"/>
      <c r="Y4"/>
      <c r="Z4"/>
      <c r="AA4"/>
      <c r="AB4"/>
      <c r="AC4"/>
      <c r="AD4"/>
      <c r="AE4"/>
      <c r="AF4"/>
      <c r="AG4"/>
      <c r="AH4"/>
      <c r="AI4"/>
      <c r="AJ4"/>
      <c r="AK4"/>
      <c r="AL4"/>
      <c r="AM4"/>
      <c r="AN4"/>
      <c r="AO4"/>
      <c r="AP4"/>
      <c r="AQ4"/>
      <c r="AR4"/>
      <c r="AS4"/>
      <c r="AT4"/>
      <c r="AU4"/>
      <c r="AV4"/>
      <c r="AW4"/>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c r="W5"/>
      <c r="X5"/>
      <c r="Y5"/>
      <c r="Z5"/>
      <c r="AA5"/>
      <c r="AB5"/>
      <c r="AC5"/>
      <c r="AD5"/>
      <c r="AE5"/>
      <c r="AF5"/>
      <c r="AG5"/>
      <c r="AH5"/>
      <c r="AI5"/>
      <c r="AJ5"/>
      <c r="AK5"/>
      <c r="AL5"/>
      <c r="AM5"/>
      <c r="AN5"/>
      <c r="AO5"/>
      <c r="AP5"/>
      <c r="AQ5"/>
      <c r="AR5"/>
      <c r="AS5"/>
      <c r="AT5"/>
      <c r="AU5"/>
      <c r="AV5"/>
      <c r="AW5"/>
    </row>
    <row r="6" spans="1:49" ht="12.75" customHeight="1" thickTop="1">
      <c r="A6" s="58" t="s">
        <v>1684</v>
      </c>
      <c r="B6" s="9" t="str">
        <f t="shared" ref="B6:B7" si="0">LEFT(A6,10)</f>
        <v>RES_201403</v>
      </c>
      <c r="C6" s="9">
        <v>0</v>
      </c>
      <c r="D6" s="9">
        <v>0</v>
      </c>
      <c r="E6" s="9">
        <f>COUNTIFS($A:$A,A6,$L:$L,L6)</f>
        <v>1</v>
      </c>
      <c r="F6" s="9">
        <v>1</v>
      </c>
      <c r="G6" s="59" t="b">
        <v>1</v>
      </c>
      <c r="H6" s="313" t="str">
        <f t="shared" ref="H6:H7" si="1">IF(LEFT(A6,3)="Res","Residential",IF(LEFT(A6,3)="Ind","industrial",IF(LEFT(A6,3)="Com","Commercial",IF(LEFT(A6,3)="AGR","Agriculture",""))))</f>
        <v>Residential</v>
      </c>
      <c r="I6" s="314" t="s">
        <v>154</v>
      </c>
      <c r="J6" s="314" t="s">
        <v>512</v>
      </c>
      <c r="K6" s="314" t="s">
        <v>163</v>
      </c>
      <c r="L6" s="24">
        <v>2022</v>
      </c>
      <c r="M6" s="322">
        <f>GETPIVOTDATA("Units",'AMMO Units'!$A$3,"Year",$L6,"Measure Index",$A6,"Savings Category","Regional_Market_2021PP")</f>
        <v>8630.8546559900005</v>
      </c>
      <c r="N6" s="32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58.958138820000002</v>
      </c>
      <c r="R6" s="238" t="s">
        <v>2785</v>
      </c>
      <c r="S6" s="353">
        <f>(M6*P6*Q6/8760000)</f>
        <v>8.124086992894344E-3</v>
      </c>
      <c r="T6" s="319">
        <f>IFERROR((N6)*P6*Q6/8760/1000,0)</f>
        <v>0</v>
      </c>
      <c r="U6" s="357">
        <f t="shared" ref="U6:U7" si="2">S6-T6</f>
        <v>8.124086992894344E-3</v>
      </c>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row>
    <row r="7" spans="1:49" ht="12.75" customHeight="1">
      <c r="A7" s="58" t="s">
        <v>1684</v>
      </c>
      <c r="B7" s="9" t="str">
        <f t="shared" si="0"/>
        <v>RES_201403</v>
      </c>
      <c r="C7" s="9">
        <v>0</v>
      </c>
      <c r="D7" s="9">
        <v>0</v>
      </c>
      <c r="E7" s="9">
        <f>COUNTIFS($A:$A,A7,$L:$L,L7)</f>
        <v>1</v>
      </c>
      <c r="F7" s="9">
        <v>1</v>
      </c>
      <c r="G7" s="59" t="b">
        <v>1</v>
      </c>
      <c r="H7" s="313" t="str">
        <f t="shared" si="1"/>
        <v>Residential</v>
      </c>
      <c r="I7" s="314" t="s">
        <v>154</v>
      </c>
      <c r="J7" s="314" t="s">
        <v>512</v>
      </c>
      <c r="K7" s="314" t="s">
        <v>163</v>
      </c>
      <c r="L7" s="24">
        <v>2023</v>
      </c>
      <c r="M7" s="322">
        <f>GETPIVOTDATA("Units",'AMMO Units'!$A$3,"Year",$L7,"Measure Index",$A7,"Savings Category","Regional_Market_2021PP")</f>
        <v>9592.9581033800005</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58.958138820000002</v>
      </c>
      <c r="R7" s="238" t="s">
        <v>2785</v>
      </c>
      <c r="S7" s="353">
        <f>(M7)*P7*Q7/8760000</f>
        <v>9.0296997524992439E-3</v>
      </c>
      <c r="T7" s="319">
        <f>IFERROR((N7)*P7*Q7/8760/1000,0)</f>
        <v>0</v>
      </c>
      <c r="U7" s="357">
        <f t="shared" si="2"/>
        <v>9.0296997524992439E-3</v>
      </c>
      <c r="V7"/>
      <c r="W7"/>
      <c r="X7"/>
      <c r="Y7"/>
      <c r="Z7"/>
      <c r="AA7"/>
      <c r="AB7"/>
      <c r="AC7"/>
      <c r="AD7"/>
      <c r="AE7"/>
      <c r="AF7"/>
      <c r="AG7"/>
      <c r="AH7"/>
      <c r="AI7"/>
      <c r="AJ7"/>
      <c r="AK7"/>
      <c r="AL7"/>
      <c r="AM7"/>
      <c r="AN7"/>
      <c r="AO7"/>
      <c r="AP7"/>
      <c r="AQ7"/>
      <c r="AR7"/>
      <c r="AS7"/>
      <c r="AT7"/>
      <c r="AU7"/>
      <c r="AV7"/>
      <c r="AW7"/>
    </row>
    <row r="8" spans="1:49" ht="12.75" hidden="1" customHeight="1">
      <c r="A8" s="58" t="s">
        <v>1684</v>
      </c>
      <c r="B8" s="9" t="str">
        <f t="shared" ref="B8" si="3">LEFT(A8,10)</f>
        <v>RES_201403</v>
      </c>
      <c r="C8" s="9">
        <v>0</v>
      </c>
      <c r="D8" s="9">
        <v>0</v>
      </c>
      <c r="E8" s="9">
        <f>COUNTIFS($A:$A,A8,$L:$L,L8)</f>
        <v>1</v>
      </c>
      <c r="F8" s="9">
        <v>1</v>
      </c>
      <c r="G8" s="59" t="b">
        <v>1</v>
      </c>
      <c r="H8" s="313" t="str">
        <f t="shared" ref="H8" si="4">IF(LEFT(A8,3)="Res","Residential",IF(LEFT(A8,3)="Ind","industrial",IF(LEFT(A8,3)="Com","Commercial",IF(LEFT(A8,3)="AGR","Agriculture",""))))</f>
        <v>Residential</v>
      </c>
      <c r="I8" s="314" t="s">
        <v>154</v>
      </c>
      <c r="J8" s="314" t="s">
        <v>512</v>
      </c>
      <c r="K8" s="314" t="s">
        <v>163</v>
      </c>
      <c r="L8" s="24">
        <v>2024</v>
      </c>
      <c r="M8" s="322">
        <f>GETPIVOTDATA("Units",'AMMO Units'!$A$3,"Year",$L8,"Measure Index",$A8,"Savings Category","Regional_Market_2021PP")</f>
        <v>13977.66096872</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58.958138820000002</v>
      </c>
      <c r="R8" s="238" t="s">
        <v>2785</v>
      </c>
      <c r="S8" s="353">
        <f>(M8)*P8*Q8/8760000</f>
        <v>1.3156951216674116E-2</v>
      </c>
      <c r="T8" s="319">
        <f>IFERROR((N8)*P8*Q8/8760/1000,0)</f>
        <v>0</v>
      </c>
      <c r="U8" s="357">
        <f t="shared" ref="U8" si="5">S8-T8</f>
        <v>1.3156951216674116E-2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12.75" hidden="1" customHeight="1">
      <c r="A9" s="58" t="s">
        <v>1684</v>
      </c>
      <c r="B9" s="9" t="str">
        <f t="shared" ref="B9" si="6">LEFT(A9,10)</f>
        <v>RES_201403</v>
      </c>
      <c r="C9" s="9">
        <v>0</v>
      </c>
      <c r="D9" s="9">
        <v>0</v>
      </c>
      <c r="E9" s="9">
        <f>COUNTIFS($A:$A,A9,$L:$L,L9)</f>
        <v>1</v>
      </c>
      <c r="F9" s="9">
        <v>1</v>
      </c>
      <c r="G9" s="59" t="b">
        <v>1</v>
      </c>
      <c r="H9" s="313" t="str">
        <f t="shared" ref="H9" si="7">IF(LEFT(A9,3)="Res","Residential",IF(LEFT(A9,3)="Ind","industrial",IF(LEFT(A9,3)="Com","Commercial",IF(LEFT(A9,3)="AGR","Agriculture",""))))</f>
        <v>Residential</v>
      </c>
      <c r="I9" s="314" t="s">
        <v>154</v>
      </c>
      <c r="J9" s="314" t="s">
        <v>512</v>
      </c>
      <c r="K9" s="314" t="s">
        <v>163</v>
      </c>
      <c r="L9" s="24">
        <v>2025</v>
      </c>
      <c r="M9" s="322">
        <f>GETPIVOTDATA("Units",'AMMO Units'!$A$3,"Year",$L9,"Measure Index",$A9,"Savings Category","Regional_Market_2021PP")</f>
        <v>19676.710492300001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58.958138820000002</v>
      </c>
      <c r="R9" s="238" t="s">
        <v>2785</v>
      </c>
      <c r="S9" s="353">
        <f>(M9)*P9*Q9/8760000</f>
        <v>1.852137640418948E-2</v>
      </c>
      <c r="T9" s="319">
        <f>IFERROR((N9)*P9*Q9/8760/1000,0)</f>
        <v>0</v>
      </c>
      <c r="U9" s="357">
        <f t="shared" ref="U9" si="8">S9-T9</f>
        <v>1.852137640418948E-2</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2.75" customHeight="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84"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274" t="s">
        <v>2786</v>
      </c>
    </row>
    <row r="17" spans="8:8" ht="12.75" customHeight="1">
      <c r="H17" s="168" t="s">
        <v>2953</v>
      </c>
    </row>
  </sheetData>
  <autoFilter ref="A5:AC12" xr:uid="{00000000-0009-0000-0000-000018000000}">
    <filterColumn colId="11">
      <filters blank="1">
        <filter val="2022"/>
        <filter val="2023"/>
      </filters>
    </filterColumn>
  </autoFilter>
  <dataConsolidate/>
  <mergeCells count="7">
    <mergeCell ref="H12:L12"/>
    <mergeCell ref="S4:U4"/>
    <mergeCell ref="I2:L2"/>
    <mergeCell ref="A4:G4"/>
    <mergeCell ref="H4:L4"/>
    <mergeCell ref="M4:P4"/>
    <mergeCell ref="Q4:R4"/>
  </mergeCells>
  <phoneticPr fontId="183" type="noConversion"/>
  <hyperlinks>
    <hyperlink ref="H17" r:id="rId1" xr:uid="{3EBEDE30-8488-4471-BAE8-8C4F641218C9}"/>
    <hyperlink ref="H1" location="'Summary ALL'!A1" display="Summary Page" xr:uid="{A7774427-0BD5-4C51-9126-C52F05401A2F}"/>
  </hyperlinks>
  <pageMargins left="0.7" right="0.7" top="0.75" bottom="0.75" header="0.3" footer="0.3"/>
  <pageSetup scale="2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4.5703125" style="274" customWidth="1"/>
    <col min="10" max="10" width="24.285156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3072</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ht="27" thickTop="1">
      <c r="A6" s="58" t="s">
        <v>86</v>
      </c>
      <c r="B6" s="9" t="str">
        <f t="shared" ref="B6:B9" si="0">LEFT(A6,10)</f>
        <v>RES_201403</v>
      </c>
      <c r="C6" s="9">
        <v>0</v>
      </c>
      <c r="D6" s="9">
        <v>0</v>
      </c>
      <c r="E6" s="9">
        <f>COUNTIFS($A:$A,A6,$L:$L,L6)</f>
        <v>1</v>
      </c>
      <c r="F6" s="9">
        <v>1</v>
      </c>
      <c r="G6" s="59" t="b">
        <v>1</v>
      </c>
      <c r="H6" s="313" t="str">
        <f t="shared" ref="H6:H9" si="1">IF(LEFT(A6,3)="Res","Residential",IF(LEFT(A6,3)="Ind","industrial",IF(LEFT(A6,3)="Com","Commercial",IF(LEFT(A6,3)="AGR","Agriculture",""))))</f>
        <v>Residential</v>
      </c>
      <c r="I6" s="727" t="str">
        <f>INDEX('AMMO Measures'!B:B,MATCH($A6,'AMMO Measures'!$A:$A,0))</f>
        <v>Retail Product Portfolio</v>
      </c>
      <c r="J6" s="727" t="str">
        <f>INDEX('AMMO Measures'!C:C,MATCH($A6,'AMMO Measures'!$A:$A,0))</f>
        <v>UHD Televisions (On Mode Power)</v>
      </c>
      <c r="K6" s="727" t="str">
        <f>INDEX('AMMO Measures'!D:D,MATCH($A6,'AMMO Measures'!$A:$A,0))</f>
        <v>ENERGY STAR v9</v>
      </c>
      <c r="L6" s="24">
        <v>2022</v>
      </c>
      <c r="M6" s="322">
        <f>GETPIVOTDATA("Units",'AMMO Units'!$A$3,"Year",$L6,"Measure Index",$A6,"Savings Category","Regional_Market_2021PP")</f>
        <v>519796.02342956001</v>
      </c>
      <c r="N6" s="323">
        <f>GETPIVOTDATA("Units",'AMMO Units'!$A$3,"Year",$L6,"Measure Index",$A6,"Savings Category","Local_Incentives_2021PP")</f>
        <v>0</v>
      </c>
      <c r="O6" s="216">
        <f>GETPIVOTDATA("Units",'AMMO Units'!$A$3,"Year",$L6,"Measure Index",$A6,"Savings Category","Baseline_2021PP")</f>
        <v>518701.51353768999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58.514212579999999</v>
      </c>
      <c r="R6" s="238" t="s">
        <v>2785</v>
      </c>
      <c r="S6" s="353">
        <f>(M6*P6*Q6/8760000)</f>
        <v>0.48559176670382775</v>
      </c>
      <c r="T6" s="319">
        <f>IFERROR(O6*Q6/8760/1000,0)*P6</f>
        <v>0.4845692790969367</v>
      </c>
      <c r="U6" s="357">
        <f>S6-T6</f>
        <v>1.0224876068910538E-3</v>
      </c>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row>
    <row r="7" spans="1:49" ht="26.25">
      <c r="A7" s="58" t="s">
        <v>86</v>
      </c>
      <c r="B7" s="9" t="str">
        <f t="shared" si="0"/>
        <v>RES_201403</v>
      </c>
      <c r="C7" s="9">
        <v>0</v>
      </c>
      <c r="D7" s="9">
        <v>0</v>
      </c>
      <c r="E7" s="9">
        <f>COUNTIFS($A:$A,A7,$L:$L,L7)</f>
        <v>1</v>
      </c>
      <c r="F7" s="9">
        <v>1</v>
      </c>
      <c r="G7" s="59" t="b">
        <v>1</v>
      </c>
      <c r="H7" s="313" t="str">
        <f t="shared" si="1"/>
        <v>Residential</v>
      </c>
      <c r="I7" s="727" t="str">
        <f>INDEX('AMMO Measures'!B:B,MATCH($A7,'AMMO Measures'!$A:$A,0))</f>
        <v>Retail Product Portfolio</v>
      </c>
      <c r="J7" s="727" t="str">
        <f>INDEX('AMMO Measures'!C:C,MATCH($A7,'AMMO Measures'!$A:$A,0))</f>
        <v>UHD Televisions (On Mode Power)</v>
      </c>
      <c r="K7" s="727" t="str">
        <f>INDEX('AMMO Measures'!D:D,MATCH($A7,'AMMO Measures'!$A:$A,0))</f>
        <v>ENERGY STAR v9</v>
      </c>
      <c r="L7" s="24">
        <v>2023</v>
      </c>
      <c r="M7" s="322">
        <f>GETPIVOTDATA("Units",'AMMO Units'!$A$3,"Year",$L7,"Measure Index",$A7,"Savings Category","Regional_Market_2021PP")*0.9</f>
        <v>588484.19785577408</v>
      </c>
      <c r="N7" s="323">
        <f>GETPIVOTDATA("Units",'AMMO Units'!$A$3,"Year",$L7,"Measure Index",$A7,"Savings Category","Local_Incentives_2021PP")</f>
        <v>0</v>
      </c>
      <c r="O7" s="216">
        <f>GETPIVOTDATA("Units",'AMMO Units'!$A$3,"Year",$L7,"Measure Index",$A7,"Savings Category","Baseline_2021PP")</f>
        <v>490951.73861972999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63.329866010000003</v>
      </c>
      <c r="R7" s="238" t="s">
        <v>2785</v>
      </c>
      <c r="S7" s="353">
        <f>(M7)*P7*Q7/8760000</f>
        <v>0.59500466596252344</v>
      </c>
      <c r="T7" s="319">
        <f t="shared" ref="T7:T9" si="2">IFERROR(O7*Q7/8760/1000,0)*P7</f>
        <v>0.49639153660459895</v>
      </c>
      <c r="U7" s="357">
        <f t="shared" ref="U7:U9" si="3">S7-T7</f>
        <v>9.8613129357924489E-2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26.25" hidden="1">
      <c r="A8" s="58" t="s">
        <v>86</v>
      </c>
      <c r="B8" s="9" t="str">
        <f t="shared" si="0"/>
        <v>RES_201403</v>
      </c>
      <c r="C8" s="9">
        <v>0</v>
      </c>
      <c r="D8" s="9">
        <v>0</v>
      </c>
      <c r="E8" s="9">
        <f>COUNTIFS($A:$A,A8,$L:$L,L8)</f>
        <v>1</v>
      </c>
      <c r="F8" s="9">
        <v>1</v>
      </c>
      <c r="G8" s="59" t="b">
        <v>1</v>
      </c>
      <c r="H8" s="313" t="str">
        <f t="shared" si="1"/>
        <v>Residential</v>
      </c>
      <c r="I8" s="727" t="str">
        <f>INDEX('AMMO Measures'!B:B,MATCH($A8,'AMMO Measures'!$A:$A,0))</f>
        <v>Retail Product Portfolio</v>
      </c>
      <c r="J8" s="727" t="str">
        <f>INDEX('AMMO Measures'!C:C,MATCH($A8,'AMMO Measures'!$A:$A,0))</f>
        <v>UHD Televisions (On Mode Power)</v>
      </c>
      <c r="K8" s="727" t="str">
        <f>INDEX('AMMO Measures'!D:D,MATCH($A8,'AMMO Measures'!$A:$A,0))</f>
        <v>ENERGY STAR v9</v>
      </c>
      <c r="L8" s="24">
        <v>2024</v>
      </c>
      <c r="M8" s="322">
        <f>GETPIVOTDATA("Units",'AMMO Units'!$A$3,"Year",$L8,"Measure Index",$A8,"Savings Category","Regional_Market_2021PP")</f>
        <v>776048.27227203001</v>
      </c>
      <c r="N8" s="323">
        <f>GETPIVOTDATA("Units",'AMMO Units'!$A$3,"Year",$L8,"Measure Index",$A8,"Savings Category","Local_Incentives_2021PP")</f>
        <v>0</v>
      </c>
      <c r="O8" s="216">
        <f>GETPIVOTDATA("Units",'AMMO Units'!$A$3,"Year",$L8,"Measure Index",$A8,"Savings Category","Baseline_2021PP")</f>
        <v>472607.01527471998</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66.850502989999995</v>
      </c>
      <c r="R8" s="238" t="s">
        <v>2785</v>
      </c>
      <c r="S8" s="353">
        <f>(M8)*P8*Q8/8760000</f>
        <v>0.82826710286860561</v>
      </c>
      <c r="T8" s="319">
        <f t="shared" si="2"/>
        <v>0.50440785363897711</v>
      </c>
      <c r="U8" s="357">
        <f t="shared" si="3"/>
        <v>0.3238592492296285</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26.25" hidden="1">
      <c r="A9" s="58" t="s">
        <v>86</v>
      </c>
      <c r="B9" s="9" t="str">
        <f t="shared" si="0"/>
        <v>RES_201403</v>
      </c>
      <c r="C9" s="9">
        <v>0</v>
      </c>
      <c r="D9" s="9">
        <v>0</v>
      </c>
      <c r="E9" s="9">
        <f>COUNTIFS($A:$A,A9,$L:$L,L9)</f>
        <v>1</v>
      </c>
      <c r="F9" s="9">
        <v>1</v>
      </c>
      <c r="G9" s="59" t="b">
        <v>1</v>
      </c>
      <c r="H9" s="313" t="str">
        <f t="shared" si="1"/>
        <v>Residential</v>
      </c>
      <c r="I9" s="727" t="str">
        <f>INDEX('AMMO Measures'!B:B,MATCH($A9,'AMMO Measures'!$A:$A,0))</f>
        <v>Retail Product Portfolio</v>
      </c>
      <c r="J9" s="727" t="str">
        <f>INDEX('AMMO Measures'!C:C,MATCH($A9,'AMMO Measures'!$A:$A,0))</f>
        <v>UHD Televisions (On Mode Power)</v>
      </c>
      <c r="K9" s="727" t="str">
        <f>INDEX('AMMO Measures'!D:D,MATCH($A9,'AMMO Measures'!$A:$A,0))</f>
        <v>ENERGY STAR v9</v>
      </c>
      <c r="L9" s="24">
        <v>2025</v>
      </c>
      <c r="M9" s="322">
        <f>GETPIVOTDATA("Units",'AMMO Units'!$A$3,"Year",$L9,"Measure Index",$A9,"Savings Category","Regional_Market_2021PP")</f>
        <v>788603.49061218998</v>
      </c>
      <c r="N9" s="323">
        <f>GETPIVOTDATA("Units",'AMMO Units'!$A$3,"Year",$L9,"Measure Index",$A9,"Savings Category","Local_Incentives_2021PP")</f>
        <v>0</v>
      </c>
      <c r="O9" s="216">
        <f>GETPIVOTDATA("Units",'AMMO Units'!$A$3,"Year",$L9,"Measure Index",$A9,"Savings Category","Baseline_2021PP")</f>
        <v>471646.70398692001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67.670604659999995</v>
      </c>
      <c r="R9" s="238" t="s">
        <v>2785</v>
      </c>
      <c r="S9" s="353">
        <f>(M9)*P9*Q9/8760000</f>
        <v>0.85199245512935706</v>
      </c>
      <c r="T9" s="319">
        <f t="shared" si="2"/>
        <v>0.50955827366619777</v>
      </c>
      <c r="U9" s="357">
        <f t="shared" si="3"/>
        <v>0.34243418146315929</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5" hidden="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58.5" hidden="1" customHeight="1">
      <c r="F11" s="9"/>
      <c r="H11" s="495" t="s">
        <v>840</v>
      </c>
      <c r="I11" s="496"/>
      <c r="J11" s="496"/>
      <c r="K11" s="496"/>
      <c r="L11" s="76"/>
    </row>
    <row r="12" spans="1:49" ht="84" hidden="1"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503" t="s">
        <v>3278</v>
      </c>
    </row>
    <row r="17" spans="8:8" ht="12.75" customHeight="1">
      <c r="H17" s="168"/>
    </row>
  </sheetData>
  <autoFilter ref="A5:AC12"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hyperlinks>
    <hyperlink ref="H1" location="'Summary ALL'!A1" display="Summary Page" xr:uid="{BF2C5943-B502-4073-9116-790BCF300B20}"/>
  </hyperlinks>
  <pageMargins left="0.7" right="0.7" top="0.75" bottom="0.75" header="0.3" footer="0.3"/>
  <pageSetup scale="2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filterMode="1">
    <tabColor theme="7"/>
    <pageSetUpPr fitToPage="1"/>
  </sheetPr>
  <dimension ref="A1:U71"/>
  <sheetViews>
    <sheetView showGridLines="0" topLeftCell="H1" zoomScale="90" zoomScaleNormal="90" workbookViewId="0">
      <selection activeCell="R6" sqref="R6:R65"/>
    </sheetView>
  </sheetViews>
  <sheetFormatPr defaultColWidth="18.7109375" defaultRowHeight="12.75" customHeight="1" outlineLevelCol="1"/>
  <cols>
    <col min="1" max="1" width="22.42578125" style="8" hidden="1" customWidth="1" outlineLevel="1"/>
    <col min="2" max="2" width="19.28515625" style="8" hidden="1" customWidth="1" outlineLevel="1"/>
    <col min="3" max="3" width="20.7109375" style="10" hidden="1" customWidth="1" outlineLevel="1"/>
    <col min="4" max="4" width="16.42578125" style="10" hidden="1" customWidth="1" outlineLevel="1"/>
    <col min="5" max="5" width="16.5703125" style="10" hidden="1" customWidth="1" outlineLevel="1"/>
    <col min="6" max="6" width="13.28515625" style="10" hidden="1" customWidth="1" outlineLevel="1"/>
    <col min="7" max="7" width="21.28515625" style="8" hidden="1" customWidth="1" outlineLevel="1"/>
    <col min="8" max="8" width="13.7109375" style="274" customWidth="1" collapsed="1"/>
    <col min="9" max="9" width="32.140625" style="274" customWidth="1"/>
    <col min="10" max="10" width="48.28515625" style="274" customWidth="1"/>
    <col min="11" max="11" width="30.7109375" style="274" customWidth="1"/>
    <col min="12" max="12" width="6.28515625" style="274" bestFit="1" customWidth="1"/>
    <col min="13" max="13" width="12.7109375" style="275" customWidth="1"/>
    <col min="14" max="14" width="10.42578125" style="275" customWidth="1"/>
    <col min="15" max="15" width="14.28515625" style="275" customWidth="1"/>
    <col min="16" max="16" width="14.28515625" style="274" customWidth="1"/>
    <col min="17" max="17" width="8" style="274" customWidth="1"/>
    <col min="18" max="18" width="39.7109375" style="274" customWidth="1"/>
    <col min="19" max="20" width="10.28515625" style="634" customWidth="1"/>
    <col min="21" max="21" width="13" style="634" customWidth="1"/>
    <col min="22" max="16384" width="18.7109375" style="294"/>
  </cols>
  <sheetData>
    <row r="1" spans="1:21" ht="12.75" customHeight="1">
      <c r="H1" s="168" t="s">
        <v>674</v>
      </c>
    </row>
    <row r="2" spans="1:21" ht="72" customHeight="1">
      <c r="E2" s="10" t="str">
        <f>"2019RES_201403_P8T1"</f>
        <v>2019RES_201403_P8T1</v>
      </c>
      <c r="G2" s="8" t="s">
        <v>558</v>
      </c>
      <c r="H2" s="630" t="s">
        <v>746</v>
      </c>
      <c r="I2" s="2568" t="str">
        <f>INDEX(Programs!C:C,MATCH(H2,Programs!B:B,0))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568"/>
      <c r="K2" s="2568"/>
      <c r="L2" s="2568"/>
      <c r="P2" s="270"/>
      <c r="Q2" s="270"/>
    </row>
    <row r="3" spans="1:21" ht="16.5" customHeight="1">
      <c r="E3" s="10" t="s">
        <v>471</v>
      </c>
      <c r="F3" s="10" t="b">
        <f>E3=E2</f>
        <v>1</v>
      </c>
      <c r="H3" s="486"/>
      <c r="M3" s="635"/>
    </row>
    <row r="4" spans="1:21" ht="15.75" customHeight="1">
      <c r="A4" s="2569" t="s">
        <v>131</v>
      </c>
      <c r="B4" s="2570"/>
      <c r="C4" s="2570"/>
      <c r="D4" s="2570"/>
      <c r="E4" s="2570"/>
      <c r="F4" s="2570"/>
      <c r="G4" s="2571"/>
      <c r="H4" s="2706" t="s">
        <v>7</v>
      </c>
      <c r="I4" s="2597"/>
      <c r="J4" s="2597"/>
      <c r="K4" s="2597"/>
      <c r="L4" s="2707"/>
      <c r="M4" s="2623" t="s">
        <v>127</v>
      </c>
      <c r="N4" s="2594"/>
      <c r="O4" s="2594"/>
      <c r="P4" s="2624"/>
      <c r="Q4" s="2572" t="s">
        <v>129</v>
      </c>
      <c r="R4" s="2573"/>
      <c r="S4" s="2708" t="s">
        <v>130</v>
      </c>
      <c r="T4" s="2709"/>
      <c r="U4" s="2710"/>
    </row>
    <row r="5" spans="1:21" s="496" customFormat="1" ht="41.45" customHeight="1" thickBot="1">
      <c r="A5" s="487" t="s">
        <v>0</v>
      </c>
      <c r="B5" s="488" t="s">
        <v>11</v>
      </c>
      <c r="C5" s="489" t="s">
        <v>1</v>
      </c>
      <c r="D5" s="489" t="s">
        <v>2</v>
      </c>
      <c r="E5" s="489" t="s">
        <v>211</v>
      </c>
      <c r="F5" s="489" t="s">
        <v>237</v>
      </c>
      <c r="G5" s="490" t="s">
        <v>12</v>
      </c>
      <c r="H5" s="1743" t="s">
        <v>3</v>
      </c>
      <c r="I5" s="1744" t="s">
        <v>4</v>
      </c>
      <c r="J5" s="1744" t="s">
        <v>5</v>
      </c>
      <c r="K5" s="1744" t="s">
        <v>6</v>
      </c>
      <c r="L5" s="1744" t="s">
        <v>8</v>
      </c>
      <c r="M5" s="1743" t="s">
        <v>13</v>
      </c>
      <c r="N5" s="1744" t="s">
        <v>14</v>
      </c>
      <c r="O5" s="1744" t="s">
        <v>124</v>
      </c>
      <c r="P5" s="1745" t="str">
        <f>"Funder Share: "&amp;Selection!A2&amp;" "&amp;Selection!A3</f>
        <v>Funder Share: Puget Sound Energy Washington</v>
      </c>
      <c r="Q5" s="1746" t="s">
        <v>550</v>
      </c>
      <c r="R5" s="1747" t="s">
        <v>125</v>
      </c>
      <c r="S5" s="1748" t="s">
        <v>126</v>
      </c>
      <c r="T5" s="1749" t="s">
        <v>18</v>
      </c>
      <c r="U5" s="1750" t="s">
        <v>17</v>
      </c>
    </row>
    <row r="6" spans="1:21" s="274" customFormat="1" ht="12.75" customHeight="1" thickTop="1">
      <c r="A6" s="272" t="s">
        <v>76</v>
      </c>
      <c r="B6" s="311" t="str">
        <f t="shared" ref="B6:B20" si="0">LEFT(A6,10)</f>
        <v>RES_201301</v>
      </c>
      <c r="C6" s="311">
        <v>0</v>
      </c>
      <c r="D6" s="311">
        <v>0</v>
      </c>
      <c r="E6" s="311">
        <f t="shared" ref="E6:E50" si="1">COUNTIFS($A:$A,A6,$L:$L,L6)</f>
        <v>1</v>
      </c>
      <c r="F6" s="311">
        <v>1</v>
      </c>
      <c r="G6" s="312" t="b">
        <v>1</v>
      </c>
      <c r="H6" s="727" t="str">
        <f t="shared" ref="H6:H20" si="2">IF(LEFT(A6,3)="Res","Residential",IF(LEFT(A6,3)="Ind","industrial",IF(LEFT(A6,3)="Com","Commercial",IF(LEFT(A6,3)="AGR","Agriculture",""))))</f>
        <v>Residential</v>
      </c>
      <c r="I6" s="350" t="s">
        <v>2764</v>
      </c>
      <c r="J6" s="350" t="str">
        <f>INDEX('AMMO Units'!$C:$C,MATCH(Homes_Vol!$A6,'AMMO Units'!$E:$E,0))</f>
        <v>WA BuiltGreen Single-family</v>
      </c>
      <c r="K6" s="350" t="str">
        <f>INDEX('AMMO Units'!$D:$D,MATCH(Homes_Vol!$A6,'AMMO Units'!$E:$E,0))</f>
        <v>Above Code Building</v>
      </c>
      <c r="L6" s="182">
        <v>2022</v>
      </c>
      <c r="M6" s="1738">
        <f>GETPIVOTDATA("Units",'AMMO Units'!$A$3,"Year",$L6,"Measure Index",$A6,"Savings Category","Regional_Market_2021PP")</f>
        <v>584.4</v>
      </c>
      <c r="N6" s="1739">
        <f>GETPIVOTDATA("Units",'AMMO Units'!$A$3,"Year",$L6,"Measure Index",$A6,"Savings Category","Local_Incentives_2021PP")</f>
        <v>0</v>
      </c>
      <c r="O6" s="218" t="s">
        <v>2765</v>
      </c>
      <c r="P6" s="1480" t="e">
        <f>IF(Selection!$A$2="regional",1,IF($M6=0,0,SUMIFS('AMMO Funder Share'!$E:$E,'AMMO Funder Share'!#REF!,Selection!$A$2&amp;" - "&amp;Selection!$A$3,'AMMO Funder Share'!$A:$A,L6)))</f>
        <v>#REF!</v>
      </c>
      <c r="Q6" s="1740">
        <f>GETPIVOTDATA("Savings Rate",'AMMO Savings Rates'!$A$3,"Year",$L6,"Measure Index",$A6,"Savings Rate Type","Savings_Rate_2021PP")</f>
        <v>1046.33714108</v>
      </c>
      <c r="R6" s="2771" t="s">
        <v>2766</v>
      </c>
      <c r="S6" s="1741" t="e">
        <f>(M6)*P6*Q6/8760000</f>
        <v>#REF!</v>
      </c>
      <c r="T6" s="351">
        <f>IFERROR((N6/M6*N6)*P6*Q6/8760/1000,0)</f>
        <v>0</v>
      </c>
      <c r="U6" s="1742" t="e">
        <f t="shared" ref="U6:U20" si="3">S6-T6</f>
        <v>#REF!</v>
      </c>
    </row>
    <row r="7" spans="1:21" s="274" customFormat="1" ht="12.75" customHeight="1">
      <c r="A7" s="272" t="s">
        <v>77</v>
      </c>
      <c r="B7" s="311" t="str">
        <f t="shared" si="0"/>
        <v>RES_201301</v>
      </c>
      <c r="C7" s="311">
        <v>0</v>
      </c>
      <c r="D7" s="311">
        <v>0</v>
      </c>
      <c r="E7" s="311">
        <f t="shared" si="1"/>
        <v>1</v>
      </c>
      <c r="F7" s="311">
        <v>1</v>
      </c>
      <c r="G7" s="312" t="b">
        <v>1</v>
      </c>
      <c r="H7" s="313" t="str">
        <f t="shared" si="2"/>
        <v>Residential</v>
      </c>
      <c r="I7" s="314" t="s">
        <v>2764</v>
      </c>
      <c r="J7" s="314" t="str">
        <f>INDEX('AMMO Units'!$C:$C,MATCH(Homes_Vol!$A7,'AMMO Units'!$E:$E,0))</f>
        <v>ID HERS and National ENERGY STAR Homes</v>
      </c>
      <c r="K7" s="314" t="str">
        <f>INDEX('AMMO Units'!$D:$D,MATCH(Homes_Vol!$A7,'AMMO Units'!$E:$E,0))</f>
        <v>Above Code Building</v>
      </c>
      <c r="L7" s="24">
        <v>2022</v>
      </c>
      <c r="M7" s="322">
        <f>GETPIVOTDATA("Units",'AMMO Units'!$A$3,"Year",$L7,"Measure Index",$A7,"Savings Category","Regional_Market_2021PP")</f>
        <v>3415.5114922299999</v>
      </c>
      <c r="N7" s="323">
        <f>GETPIVOTDATA("Units",'AMMO Units'!$A$3,"Year",$L7,"Measure Index",$A7,"Savings Category","Local_Incentives_2021PP")</f>
        <v>0</v>
      </c>
      <c r="O7" s="216" t="s">
        <v>2765</v>
      </c>
      <c r="P7" s="445" t="e">
        <f>IF(Selection!$A$2="regional",1,IF($M7=0,0,SUMIFS('AMMO Funder Share'!$E:$E,'AMMO Funder Share'!#REF!,Selection!$A$2&amp;" - "&amp;Selection!$A$3,'AMMO Funder Share'!$A:$A,L7)))</f>
        <v>#REF!</v>
      </c>
      <c r="Q7" s="1476">
        <f>GETPIVOTDATA("Savings Rate",'AMMO Savings Rates'!$A$3,"Year",$L7,"Measure Index",$A7,"Savings Rate Type","Savings_Rate_2021PP")</f>
        <v>1087.4826316900001</v>
      </c>
      <c r="R7" s="2772"/>
      <c r="S7" s="353" t="e">
        <f t="shared" ref="S7:S35" si="4">(M7)*P7*Q7/8760000</f>
        <v>#REF!</v>
      </c>
      <c r="T7" s="319">
        <f t="shared" ref="T7:T35" si="5">IFERROR((N7/M7*N7)*P7*Q7/8760/1000,0)</f>
        <v>0</v>
      </c>
      <c r="U7" s="357" t="e">
        <f t="shared" si="3"/>
        <v>#REF!</v>
      </c>
    </row>
    <row r="8" spans="1:21" s="274" customFormat="1" ht="12.75" customHeight="1">
      <c r="A8" s="272" t="s">
        <v>78</v>
      </c>
      <c r="B8" s="311" t="str">
        <f t="shared" si="0"/>
        <v>RES_201301</v>
      </c>
      <c r="C8" s="311">
        <v>0</v>
      </c>
      <c r="D8" s="311">
        <v>0</v>
      </c>
      <c r="E8" s="311">
        <f t="shared" si="1"/>
        <v>1</v>
      </c>
      <c r="F8" s="311">
        <v>1</v>
      </c>
      <c r="G8" s="312" t="b">
        <v>1</v>
      </c>
      <c r="H8" s="313" t="str">
        <f t="shared" si="2"/>
        <v>Residential</v>
      </c>
      <c r="I8" s="314" t="s">
        <v>2764</v>
      </c>
      <c r="J8" s="314" t="str">
        <f>INDEX('AMMO Units'!$C:$C,MATCH(Homes_Vol!$A8,'AMMO Units'!$E:$E,0))</f>
        <v>MT HERS and National ENERGY STAR Homes</v>
      </c>
      <c r="K8" s="314" t="str">
        <f>INDEX('AMMO Units'!$D:$D,MATCH(Homes_Vol!$A8,'AMMO Units'!$E:$E,0))</f>
        <v>Above Code Building</v>
      </c>
      <c r="L8" s="24">
        <v>2022</v>
      </c>
      <c r="M8" s="322">
        <f>GETPIVOTDATA("Units",'AMMO Units'!$A$3,"Year",$L8,"Measure Index",$A8,"Savings Category","Regional_Market_2021PP")</f>
        <v>5</v>
      </c>
      <c r="N8" s="323">
        <f>GETPIVOTDATA("Units",'AMMO Units'!$A$3,"Year",$L8,"Measure Index",$A8,"Savings Category","Local_Incentives_2021PP")</f>
        <v>0</v>
      </c>
      <c r="O8" s="216" t="s">
        <v>2765</v>
      </c>
      <c r="P8" s="445" t="e">
        <f>IF(Selection!$A$2="regional",1,IF($M8=0,0,SUMIFS('AMMO Funder Share'!$E:$E,'AMMO Funder Share'!#REF!,Selection!$A$2&amp;" - "&amp;Selection!$A$3,'AMMO Funder Share'!$A:$A,L8)))</f>
        <v>#REF!</v>
      </c>
      <c r="Q8" s="1476">
        <f>GETPIVOTDATA("Savings Rate",'AMMO Savings Rates'!$A$3,"Year",$L8,"Measure Index",$A8,"Savings Rate Type","Savings_Rate_2021PP")</f>
        <v>846.85874944</v>
      </c>
      <c r="R8" s="2772"/>
      <c r="S8" s="353" t="e">
        <f t="shared" si="4"/>
        <v>#REF!</v>
      </c>
      <c r="T8" s="319">
        <f t="shared" si="5"/>
        <v>0</v>
      </c>
      <c r="U8" s="357" t="e">
        <f t="shared" si="3"/>
        <v>#REF!</v>
      </c>
    </row>
    <row r="9" spans="1:21" s="274" customFormat="1" ht="12.75" customHeight="1">
      <c r="A9" s="272" t="s">
        <v>79</v>
      </c>
      <c r="B9" s="311" t="str">
        <f t="shared" si="0"/>
        <v>RES_201301</v>
      </c>
      <c r="C9" s="311">
        <v>0</v>
      </c>
      <c r="D9" s="311">
        <v>0</v>
      </c>
      <c r="E9" s="311">
        <f t="shared" si="1"/>
        <v>1</v>
      </c>
      <c r="F9" s="311">
        <v>1</v>
      </c>
      <c r="G9" s="312" t="b">
        <v>1</v>
      </c>
      <c r="H9" s="313" t="str">
        <f t="shared" si="2"/>
        <v>Residential</v>
      </c>
      <c r="I9" s="314" t="s">
        <v>2764</v>
      </c>
      <c r="J9" s="314" t="str">
        <f>INDEX('AMMO Units'!$C:$C,MATCH(Homes_Vol!$A9,'AMMO Units'!$E:$E,0))</f>
        <v>OR HERS and National ENERGY STAR Homes</v>
      </c>
      <c r="K9" s="314" t="str">
        <f>INDEX('AMMO Units'!$D:$D,MATCH(Homes_Vol!$A9,'AMMO Units'!$E:$E,0))</f>
        <v>Above Code Building</v>
      </c>
      <c r="L9" s="24">
        <v>2022</v>
      </c>
      <c r="M9" s="322">
        <f>GETPIVOTDATA("Units",'AMMO Units'!$A$3,"Year",$L9,"Measure Index",$A9,"Savings Category","Regional_Market_2021PP")</f>
        <v>38</v>
      </c>
      <c r="N9" s="323">
        <f>GETPIVOTDATA("Units",'AMMO Units'!$A$3,"Year",$L9,"Measure Index",$A9,"Savings Category","Local_Incentives_2021PP")</f>
        <v>0</v>
      </c>
      <c r="O9" s="216" t="s">
        <v>2765</v>
      </c>
      <c r="P9" s="445" t="e">
        <f>IF(Selection!$A$2="regional",1,IF($M9=0,0,SUMIFS('AMMO Funder Share'!$E:$E,'AMMO Funder Share'!#REF!,Selection!$A$2&amp;" - "&amp;Selection!$A$3,'AMMO Funder Share'!$A:$A,L9)))</f>
        <v>#REF!</v>
      </c>
      <c r="Q9" s="1476">
        <f>GETPIVOTDATA("Savings Rate",'AMMO Savings Rates'!$A$3,"Year",$L9,"Measure Index",$A9,"Savings Rate Type","Savings_Rate_2021PP")</f>
        <v>1763.96806713</v>
      </c>
      <c r="R9" s="2772"/>
      <c r="S9" s="353" t="e">
        <f t="shared" si="4"/>
        <v>#REF!</v>
      </c>
      <c r="T9" s="319">
        <f t="shared" si="5"/>
        <v>0</v>
      </c>
      <c r="U9" s="357" t="e">
        <f t="shared" si="3"/>
        <v>#REF!</v>
      </c>
    </row>
    <row r="10" spans="1:21" s="274" customFormat="1" ht="12.75" customHeight="1">
      <c r="A10" s="272" t="s">
        <v>80</v>
      </c>
      <c r="B10" s="311" t="str">
        <f t="shared" si="0"/>
        <v>RES_201301</v>
      </c>
      <c r="C10" s="311">
        <v>0</v>
      </c>
      <c r="D10" s="311">
        <v>0</v>
      </c>
      <c r="E10" s="311">
        <f t="shared" si="1"/>
        <v>1</v>
      </c>
      <c r="F10" s="311">
        <v>1</v>
      </c>
      <c r="G10" s="312" t="b">
        <v>1</v>
      </c>
      <c r="H10" s="313" t="str">
        <f t="shared" si="2"/>
        <v>Residential</v>
      </c>
      <c r="I10" s="314" t="s">
        <v>2764</v>
      </c>
      <c r="J10" s="314" t="str">
        <f>INDEX('AMMO Units'!$C:$C,MATCH(Homes_Vol!$A10,'AMMO Units'!$E:$E,0))</f>
        <v>WA HERS and National ENERGY STAR Homes</v>
      </c>
      <c r="K10" s="314" t="str">
        <f>INDEX('AMMO Units'!$D:$D,MATCH(Homes_Vol!$A10,'AMMO Units'!$E:$E,0))</f>
        <v>Above Code Building</v>
      </c>
      <c r="L10" s="24">
        <v>2022</v>
      </c>
      <c r="M10" s="322">
        <f>GETPIVOTDATA("Units",'AMMO Units'!$A$3,"Year",$L10,"Measure Index",$A10,"Savings Category","Regional_Market_2021PP")</f>
        <v>379.8</v>
      </c>
      <c r="N10" s="323">
        <f>GETPIVOTDATA("Units",'AMMO Units'!$A$3,"Year",$L10,"Measure Index",$A10,"Savings Category","Local_Incentives_2021PP")</f>
        <v>0</v>
      </c>
      <c r="O10" s="216" t="s">
        <v>2765</v>
      </c>
      <c r="P10" s="445" t="e">
        <f>IF(Selection!$A$2="regional",1,IF($M10=0,0,SUMIFS('AMMO Funder Share'!$E:$E,'AMMO Funder Share'!#REF!,Selection!$A$2&amp;" - "&amp;Selection!$A$3,'AMMO Funder Share'!$A:$A,L10)))</f>
        <v>#REF!</v>
      </c>
      <c r="Q10" s="1476">
        <f>GETPIVOTDATA("Savings Rate",'AMMO Savings Rates'!$A$3,"Year",$L10,"Measure Index",$A10,"Savings Rate Type","Savings_Rate_2021PP")</f>
        <v>1046.33714108</v>
      </c>
      <c r="R10" s="2772"/>
      <c r="S10" s="353" t="e">
        <f t="shared" si="4"/>
        <v>#REF!</v>
      </c>
      <c r="T10" s="319">
        <f t="shared" si="5"/>
        <v>0</v>
      </c>
      <c r="U10" s="357" t="e">
        <f t="shared" si="3"/>
        <v>#REF!</v>
      </c>
    </row>
    <row r="11" spans="1:21" s="274" customFormat="1" ht="12.75" customHeight="1">
      <c r="A11" s="272" t="s">
        <v>81</v>
      </c>
      <c r="B11" s="311" t="str">
        <f t="shared" si="0"/>
        <v>RES_201301</v>
      </c>
      <c r="C11" s="311">
        <v>0</v>
      </c>
      <c r="D11" s="311">
        <v>0</v>
      </c>
      <c r="E11" s="311">
        <f t="shared" si="1"/>
        <v>1</v>
      </c>
      <c r="F11" s="311">
        <v>1</v>
      </c>
      <c r="G11" s="312" t="b">
        <v>1</v>
      </c>
      <c r="H11" s="313" t="str">
        <f t="shared" si="2"/>
        <v>Residential</v>
      </c>
      <c r="I11" s="314" t="s">
        <v>2764</v>
      </c>
      <c r="J11" s="314" t="str">
        <f>INDEX('AMMO Units'!$C:$C,MATCH(Homes_Vol!$A11,'AMMO Units'!$E:$E,0))</f>
        <v>ID National Green Building Standard Single-family</v>
      </c>
      <c r="K11" s="314" t="str">
        <f>INDEX('AMMO Units'!$D:$D,MATCH(Homes_Vol!$A11,'AMMO Units'!$E:$E,0))</f>
        <v>Above Code Building</v>
      </c>
      <c r="L11" s="24">
        <v>2022</v>
      </c>
      <c r="M11" s="322">
        <f>GETPIVOTDATA("Units",'AMMO Units'!$A$3,"Year",$L11,"Measure Index",$A11,"Savings Category","Regional_Market_2021PP")</f>
        <v>5</v>
      </c>
      <c r="N11" s="323">
        <f>GETPIVOTDATA("Units",'AMMO Units'!$A$3,"Year",$L11,"Measure Index",$A11,"Savings Category","Local_Incentives_2021PP")</f>
        <v>0</v>
      </c>
      <c r="O11" s="216" t="s">
        <v>2765</v>
      </c>
      <c r="P11" s="445" t="e">
        <f>IF(Selection!$A$2="regional",1,IF($M11=0,0,SUMIFS('AMMO Funder Share'!$E:$E,'AMMO Funder Share'!#REF!,Selection!$A$2&amp;" - "&amp;Selection!$A$3,'AMMO Funder Share'!$A:$A,L11)))</f>
        <v>#REF!</v>
      </c>
      <c r="Q11" s="1476">
        <f>GETPIVOTDATA("Savings Rate",'AMMO Savings Rates'!$A$3,"Year",$L11,"Measure Index",$A11,"Savings Rate Type","Savings_Rate_2021PP")</f>
        <v>1087.4826316900001</v>
      </c>
      <c r="R11" s="2772"/>
      <c r="S11" s="353" t="e">
        <f t="shared" si="4"/>
        <v>#REF!</v>
      </c>
      <c r="T11" s="319">
        <f t="shared" si="5"/>
        <v>0</v>
      </c>
      <c r="U11" s="357" t="e">
        <f t="shared" si="3"/>
        <v>#REF!</v>
      </c>
    </row>
    <row r="12" spans="1:21" s="274" customFormat="1" ht="12.75" customHeight="1">
      <c r="A12" s="272" t="s">
        <v>82</v>
      </c>
      <c r="B12" s="311" t="str">
        <f t="shared" si="0"/>
        <v>RES_201301</v>
      </c>
      <c r="C12" s="311">
        <v>0</v>
      </c>
      <c r="D12" s="311">
        <v>0</v>
      </c>
      <c r="E12" s="311">
        <f t="shared" si="1"/>
        <v>1</v>
      </c>
      <c r="F12" s="311">
        <v>1</v>
      </c>
      <c r="G12" s="312" t="b">
        <v>1</v>
      </c>
      <c r="H12" s="313" t="str">
        <f t="shared" si="2"/>
        <v>Residential</v>
      </c>
      <c r="I12" s="314" t="s">
        <v>2764</v>
      </c>
      <c r="J12" s="314" t="str">
        <f>INDEX('AMMO Units'!$C:$C,MATCH(Homes_Vol!$A12,'AMMO Units'!$E:$E,0))</f>
        <v>MT National Green Building Standard Single-family</v>
      </c>
      <c r="K12" s="314" t="str">
        <f>INDEX('AMMO Units'!$D:$D,MATCH(Homes_Vol!$A12,'AMMO Units'!$E:$E,0))</f>
        <v>Above Code Building</v>
      </c>
      <c r="L12" s="24">
        <v>2022</v>
      </c>
      <c r="M12" s="322">
        <f>GETPIVOTDATA("Units",'AMMO Units'!$A$3,"Year",$L12,"Measure Index",$A12,"Savings Category","Regional_Market_2021PP")</f>
        <v>0</v>
      </c>
      <c r="N12" s="323">
        <f>GETPIVOTDATA("Units",'AMMO Units'!$A$3,"Year",$L12,"Measure Index",$A12,"Savings Category","Local_Incentives_2021PP")</f>
        <v>0</v>
      </c>
      <c r="O12" s="216" t="s">
        <v>2765</v>
      </c>
      <c r="P12" s="445">
        <f>IF(Selection!$A$2="regional",1,IF($M12=0,0,SUMIFS('AMMO Funder Share'!$E:$E,'AMMO Funder Share'!#REF!,Selection!$A$2&amp;" - "&amp;Selection!$A$3,'AMMO Funder Share'!$A:$A,L12)))</f>
        <v>0</v>
      </c>
      <c r="Q12" s="1476">
        <f>GETPIVOTDATA("Savings Rate",'AMMO Savings Rates'!$A$3,"Year",$L12,"Measure Index",$A12,"Savings Rate Type","Savings_Rate_2021PP")</f>
        <v>846.85874944</v>
      </c>
      <c r="R12" s="2772"/>
      <c r="S12" s="353">
        <f t="shared" si="4"/>
        <v>0</v>
      </c>
      <c r="T12" s="319">
        <f t="shared" si="5"/>
        <v>0</v>
      </c>
      <c r="U12" s="357">
        <f t="shared" si="3"/>
        <v>0</v>
      </c>
    </row>
    <row r="13" spans="1:21" s="274" customFormat="1" ht="12.75" customHeight="1">
      <c r="A13" s="272" t="s">
        <v>83</v>
      </c>
      <c r="B13" s="311" t="str">
        <f t="shared" si="0"/>
        <v>RES_201301</v>
      </c>
      <c r="C13" s="311">
        <v>0</v>
      </c>
      <c r="D13" s="311">
        <v>0</v>
      </c>
      <c r="E13" s="311">
        <f t="shared" si="1"/>
        <v>1</v>
      </c>
      <c r="F13" s="311">
        <v>1</v>
      </c>
      <c r="G13" s="312" t="b">
        <v>1</v>
      </c>
      <c r="H13" s="313" t="str">
        <f t="shared" si="2"/>
        <v>Residential</v>
      </c>
      <c r="I13" s="314" t="s">
        <v>2764</v>
      </c>
      <c r="J13" s="314" t="str">
        <f>INDEX('AMMO Units'!$C:$C,MATCH(Homes_Vol!$A13,'AMMO Units'!$E:$E,0))</f>
        <v>OR National Green Building Standard Single-family</v>
      </c>
      <c r="K13" s="314" t="str">
        <f>INDEX('AMMO Units'!$D:$D,MATCH(Homes_Vol!$A13,'AMMO Units'!$E:$E,0))</f>
        <v>Above Code Building</v>
      </c>
      <c r="L13" s="24">
        <v>2022</v>
      </c>
      <c r="M13" s="322">
        <f>GETPIVOTDATA("Units",'AMMO Units'!$A$3,"Year",$L13,"Measure Index",$A13,"Savings Category","Regional_Market_2021PP")</f>
        <v>0</v>
      </c>
      <c r="N13" s="323">
        <f>GETPIVOTDATA("Units",'AMMO Units'!$A$3,"Year",$L13,"Measure Index",$A13,"Savings Category","Local_Incentives_2021PP")</f>
        <v>0</v>
      </c>
      <c r="O13" s="216" t="s">
        <v>2765</v>
      </c>
      <c r="P13" s="445">
        <f>IF(Selection!$A$2="regional",1,IF($M13=0,0,SUMIFS('AMMO Funder Share'!$E:$E,'AMMO Funder Share'!#REF!,Selection!$A$2&amp;" - "&amp;Selection!$A$3,'AMMO Funder Share'!$A:$A,L13)))</f>
        <v>0</v>
      </c>
      <c r="Q13" s="1476">
        <f>GETPIVOTDATA("Savings Rate",'AMMO Savings Rates'!$A$3,"Year",$L13,"Measure Index",$A13,"Savings Rate Type","Savings_Rate_2021PP")</f>
        <v>1763.96806713</v>
      </c>
      <c r="R13" s="2772"/>
      <c r="S13" s="353">
        <f t="shared" si="4"/>
        <v>0</v>
      </c>
      <c r="T13" s="319">
        <f t="shared" si="5"/>
        <v>0</v>
      </c>
      <c r="U13" s="357">
        <f t="shared" si="3"/>
        <v>0</v>
      </c>
    </row>
    <row r="14" spans="1:21" s="274" customFormat="1" ht="12.75" customHeight="1">
      <c r="A14" s="272" t="s">
        <v>84</v>
      </c>
      <c r="B14" s="311" t="str">
        <f t="shared" si="0"/>
        <v>RES_201301</v>
      </c>
      <c r="C14" s="311">
        <v>0</v>
      </c>
      <c r="D14" s="311">
        <v>0</v>
      </c>
      <c r="E14" s="311">
        <f t="shared" si="1"/>
        <v>1</v>
      </c>
      <c r="F14" s="311">
        <v>1</v>
      </c>
      <c r="G14" s="312" t="b">
        <v>1</v>
      </c>
      <c r="H14" s="313" t="str">
        <f t="shared" si="2"/>
        <v>Residential</v>
      </c>
      <c r="I14" s="314" t="s">
        <v>2764</v>
      </c>
      <c r="J14" s="314" t="str">
        <f>INDEX('AMMO Units'!$C:$C,MATCH(Homes_Vol!$A14,'AMMO Units'!$E:$E,0))</f>
        <v>WA National Green Building Standard Single-family</v>
      </c>
      <c r="K14" s="314" t="str">
        <f>INDEX('AMMO Units'!$D:$D,MATCH(Homes_Vol!$A14,'AMMO Units'!$E:$E,0))</f>
        <v>Above Code Building</v>
      </c>
      <c r="L14" s="24">
        <v>2022</v>
      </c>
      <c r="M14" s="322">
        <f>GETPIVOTDATA("Units",'AMMO Units'!$A$3,"Year",$L14,"Measure Index",$A14,"Savings Category","Regional_Market_2021PP")</f>
        <v>9</v>
      </c>
      <c r="N14" s="323">
        <f>GETPIVOTDATA("Units",'AMMO Units'!$A$3,"Year",$L14,"Measure Index",$A14,"Savings Category","Local_Incentives_2021PP")</f>
        <v>0</v>
      </c>
      <c r="O14" s="216" t="s">
        <v>2765</v>
      </c>
      <c r="P14" s="445" t="e">
        <f>IF(Selection!$A$2="regional",1,IF($M14=0,0,SUMIFS('AMMO Funder Share'!$E:$E,'AMMO Funder Share'!#REF!,Selection!$A$2&amp;" - "&amp;Selection!$A$3,'AMMO Funder Share'!$A:$A,L14)))</f>
        <v>#REF!</v>
      </c>
      <c r="Q14" s="1476">
        <f>GETPIVOTDATA("Savings Rate",'AMMO Savings Rates'!$A$3,"Year",$L14,"Measure Index",$A14,"Savings Rate Type","Savings_Rate_2021PP")</f>
        <v>1046.33714108</v>
      </c>
      <c r="R14" s="2772"/>
      <c r="S14" s="353" t="e">
        <f t="shared" si="4"/>
        <v>#REF!</v>
      </c>
      <c r="T14" s="319">
        <f t="shared" si="5"/>
        <v>0</v>
      </c>
      <c r="U14" s="357" t="e">
        <f t="shared" si="3"/>
        <v>#REF!</v>
      </c>
    </row>
    <row r="15" spans="1:21" s="274" customFormat="1" ht="12.75" customHeight="1">
      <c r="A15" s="310" t="s">
        <v>681</v>
      </c>
      <c r="B15" s="311" t="str">
        <f t="shared" si="0"/>
        <v>Res_201301</v>
      </c>
      <c r="C15" s="311">
        <v>0</v>
      </c>
      <c r="D15" s="311">
        <v>0</v>
      </c>
      <c r="E15" s="311">
        <f t="shared" si="1"/>
        <v>1</v>
      </c>
      <c r="F15" s="311">
        <v>1</v>
      </c>
      <c r="G15" s="312" t="b">
        <v>1</v>
      </c>
      <c r="H15" s="313" t="str">
        <f t="shared" si="2"/>
        <v>Residential</v>
      </c>
      <c r="I15" s="314" t="s">
        <v>2764</v>
      </c>
      <c r="J15" s="314" t="str">
        <f>INDEX('AMMO Units'!$C:$C,MATCH(Homes_Vol!$A15,'AMMO Units'!$E:$E,0))</f>
        <v>Energy Performance Score</v>
      </c>
      <c r="K15" s="314" t="str">
        <f>INDEX('AMMO Units'!$D:$D,MATCH(Homes_Vol!$A15,'AMMO Units'!$E:$E,0))</f>
        <v>Above Code Building</v>
      </c>
      <c r="L15" s="24">
        <v>2022</v>
      </c>
      <c r="M15" s="322">
        <f>GETPIVOTDATA("Units",'AMMO Units'!$A$3,"Year",$L15,"Measure Index",$A15,"Savings Category","Regional_Market_2021PP")</f>
        <v>2807.25</v>
      </c>
      <c r="N15" s="323">
        <f>GETPIVOTDATA("Units",'AMMO Units'!$A$3,"Year",$L15,"Measure Index",$A15,"Savings Category","Local_Incentives_2021PP")</f>
        <v>2807.25</v>
      </c>
      <c r="O15" s="216" t="s">
        <v>2765</v>
      </c>
      <c r="P15" s="445" t="e">
        <f>IF(Selection!$A$2="regional",1,IF($M15=0,0,SUMIFS('AMMO Funder Share'!$E:$E,'AMMO Funder Share'!#REF!,Selection!$A$2&amp;" - "&amp;Selection!$A$3,'AMMO Funder Share'!$A:$A,L15)))</f>
        <v>#REF!</v>
      </c>
      <c r="Q15" s="1476">
        <f>GETPIVOTDATA("Savings Rate",'AMMO Savings Rates'!$A$3,"Year",$L15,"Measure Index",$A15,"Savings Rate Type","Savings_Rate_2021PP")</f>
        <v>1720.5918970299999</v>
      </c>
      <c r="R15" s="2772"/>
      <c r="S15" s="353" t="e">
        <f t="shared" si="4"/>
        <v>#REF!</v>
      </c>
      <c r="T15" s="319">
        <f t="shared" si="5"/>
        <v>0</v>
      </c>
      <c r="U15" s="357" t="e">
        <f t="shared" si="3"/>
        <v>#REF!</v>
      </c>
    </row>
    <row r="16" spans="1:21" s="274" customFormat="1" ht="12.75" customHeight="1">
      <c r="A16" s="273" t="s">
        <v>756</v>
      </c>
      <c r="B16" s="311" t="str">
        <f t="shared" si="0"/>
        <v>RES_201301</v>
      </c>
      <c r="C16" s="311">
        <v>0</v>
      </c>
      <c r="D16" s="311">
        <v>0</v>
      </c>
      <c r="E16" s="311">
        <f t="shared" si="1"/>
        <v>1</v>
      </c>
      <c r="F16" s="311">
        <v>1</v>
      </c>
      <c r="G16" s="312" t="b">
        <v>1</v>
      </c>
      <c r="H16" s="313" t="str">
        <f t="shared" si="2"/>
        <v>Residential</v>
      </c>
      <c r="I16" s="314" t="s">
        <v>2764</v>
      </c>
      <c r="J16" s="314" t="str">
        <f>INDEX('AMMO Units'!$C:$C,MATCH(Homes_Vol!$A16,'AMMO Units'!$E:$E,0))</f>
        <v>OR Earth Advantage</v>
      </c>
      <c r="K16" s="314" t="str">
        <f>INDEX('AMMO Units'!$D:$D,MATCH(Homes_Vol!$A16,'AMMO Units'!$E:$E,0))</f>
        <v>Above Code Building</v>
      </c>
      <c r="L16" s="24">
        <v>2022</v>
      </c>
      <c r="M16" s="322">
        <f>GETPIVOTDATA("Units",'AMMO Units'!$A$3,"Year",$L16,"Measure Index",$A16,"Savings Category","Regional_Market_2021PP")</f>
        <v>5</v>
      </c>
      <c r="N16" s="323">
        <f>GETPIVOTDATA("Units",'AMMO Units'!$A$3,"Year",$L16,"Measure Index",$A16,"Savings Category","Local_Incentives_2021PP")</f>
        <v>0</v>
      </c>
      <c r="O16" s="216" t="s">
        <v>2765</v>
      </c>
      <c r="P16" s="445" t="e">
        <f>IF(Selection!$A$2="regional",1,IF($M16=0,0,SUMIFS('AMMO Funder Share'!$E:$E,'AMMO Funder Share'!#REF!,Selection!$A$2&amp;" - "&amp;Selection!$A$3,'AMMO Funder Share'!$A:$A,L16)))</f>
        <v>#REF!</v>
      </c>
      <c r="Q16" s="1476">
        <f>GETPIVOTDATA("Savings Rate",'AMMO Savings Rates'!$A$3,"Year",$L16,"Measure Index",$A16,"Savings Rate Type","Savings_Rate_2021PP")</f>
        <v>1763.96806713</v>
      </c>
      <c r="R16" s="2772"/>
      <c r="S16" s="353" t="e">
        <f t="shared" si="4"/>
        <v>#REF!</v>
      </c>
      <c r="T16" s="319">
        <f t="shared" si="5"/>
        <v>0</v>
      </c>
      <c r="U16" s="357" t="e">
        <f t="shared" si="3"/>
        <v>#REF!</v>
      </c>
    </row>
    <row r="17" spans="1:21" s="274" customFormat="1" ht="12.75" customHeight="1">
      <c r="A17" s="273" t="s">
        <v>757</v>
      </c>
      <c r="B17" s="311" t="str">
        <f t="shared" si="0"/>
        <v>RES_201301</v>
      </c>
      <c r="C17" s="311">
        <v>0</v>
      </c>
      <c r="D17" s="311">
        <v>0</v>
      </c>
      <c r="E17" s="311">
        <f t="shared" si="1"/>
        <v>1</v>
      </c>
      <c r="F17" s="311">
        <v>1</v>
      </c>
      <c r="G17" s="312" t="b">
        <v>1</v>
      </c>
      <c r="H17" s="313" t="str">
        <f t="shared" si="2"/>
        <v>Residential</v>
      </c>
      <c r="I17" s="314" t="s">
        <v>2764</v>
      </c>
      <c r="J17" s="314" t="str">
        <f>INDEX('AMMO Units'!$C:$C,MATCH(Homes_Vol!$A17,'AMMO Units'!$E:$E,0))</f>
        <v>ID Performance Path</v>
      </c>
      <c r="K17" s="314" t="str">
        <f>INDEX('AMMO Units'!$D:$D,MATCH(Homes_Vol!$A17,'AMMO Units'!$E:$E,0))</f>
        <v>Above Code Building</v>
      </c>
      <c r="L17" s="24">
        <v>2022</v>
      </c>
      <c r="M17" s="322">
        <f>GETPIVOTDATA("Units",'AMMO Units'!$A$3,"Year",$L17,"Measure Index",$A17,"Savings Category","Regional_Market_2021PP")</f>
        <v>150</v>
      </c>
      <c r="N17" s="323">
        <f>GETPIVOTDATA("Units",'AMMO Units'!$A$3,"Year",$L17,"Measure Index",$A17,"Savings Category","Local_Incentives_2021PP")</f>
        <v>150</v>
      </c>
      <c r="O17" s="216" t="s">
        <v>2765</v>
      </c>
      <c r="P17" s="445" t="e">
        <f>IF(Selection!$A$2="regional",1,IF($M17=0,0,SUMIFS('AMMO Funder Share'!$E:$E,'AMMO Funder Share'!#REF!,Selection!$A$2&amp;" - "&amp;Selection!$A$3,'AMMO Funder Share'!$A:$A,L17)))</f>
        <v>#REF!</v>
      </c>
      <c r="Q17" s="1476">
        <f>GETPIVOTDATA("Savings Rate",'AMMO Savings Rates'!$A$3,"Year",$L17,"Measure Index",$A17,"Savings Rate Type","Savings_Rate_2021PP")</f>
        <v>1098.98668868</v>
      </c>
      <c r="R17" s="2772"/>
      <c r="S17" s="353" t="e">
        <f t="shared" si="4"/>
        <v>#REF!</v>
      </c>
      <c r="T17" s="319">
        <f t="shared" si="5"/>
        <v>0</v>
      </c>
      <c r="U17" s="357" t="e">
        <f t="shared" si="3"/>
        <v>#REF!</v>
      </c>
    </row>
    <row r="18" spans="1:21" s="274" customFormat="1" ht="12.75" customHeight="1">
      <c r="A18" s="273" t="s">
        <v>758</v>
      </c>
      <c r="B18" s="311" t="str">
        <f t="shared" si="0"/>
        <v>RES_201301</v>
      </c>
      <c r="C18" s="311">
        <v>0</v>
      </c>
      <c r="D18" s="311">
        <v>0</v>
      </c>
      <c r="E18" s="311">
        <f t="shared" si="1"/>
        <v>1</v>
      </c>
      <c r="F18" s="311">
        <v>1</v>
      </c>
      <c r="G18" s="312" t="b">
        <v>1</v>
      </c>
      <c r="H18" s="313" t="str">
        <f t="shared" si="2"/>
        <v>Residential</v>
      </c>
      <c r="I18" s="314" t="s">
        <v>2764</v>
      </c>
      <c r="J18" s="314" t="str">
        <f>INDEX('AMMO Units'!$C:$C,MATCH(Homes_Vol!$A18,'AMMO Units'!$E:$E,0))</f>
        <v>MT Performance Path</v>
      </c>
      <c r="K18" s="314" t="str">
        <f>INDEX('AMMO Units'!$D:$D,MATCH(Homes_Vol!$A18,'AMMO Units'!$E:$E,0))</f>
        <v>Above Code Building</v>
      </c>
      <c r="L18" s="24">
        <v>2022</v>
      </c>
      <c r="M18" s="322">
        <f>GETPIVOTDATA("Units",'AMMO Units'!$A$3,"Year",$L18,"Measure Index",$A18,"Savings Category","Regional_Market_2021PP")</f>
        <v>0</v>
      </c>
      <c r="N18" s="323">
        <f>GETPIVOTDATA("Units",'AMMO Units'!$A$3,"Year",$L18,"Measure Index",$A18,"Savings Category","Local_Incentives_2021PP")</f>
        <v>0</v>
      </c>
      <c r="O18" s="216" t="s">
        <v>2765</v>
      </c>
      <c r="P18" s="445">
        <f>IF(Selection!$A$2="regional",1,IF($M18=0,0,SUMIFS('AMMO Funder Share'!$E:$E,'AMMO Funder Share'!#REF!,Selection!$A$2&amp;" - "&amp;Selection!$A$3,'AMMO Funder Share'!$A:$A,L18)))</f>
        <v>0</v>
      </c>
      <c r="Q18" s="1476">
        <f>GETPIVOTDATA("Savings Rate",'AMMO Savings Rates'!$A$3,"Year",$L18,"Measure Index",$A18,"Savings Rate Type","Savings_Rate_2021PP")</f>
        <v>846.85874944</v>
      </c>
      <c r="R18" s="2772"/>
      <c r="S18" s="353">
        <f t="shared" si="4"/>
        <v>0</v>
      </c>
      <c r="T18" s="319">
        <f t="shared" si="5"/>
        <v>0</v>
      </c>
      <c r="U18" s="357">
        <f t="shared" si="3"/>
        <v>0</v>
      </c>
    </row>
    <row r="19" spans="1:21" s="274" customFormat="1" ht="12.75" customHeight="1">
      <c r="A19" s="273" t="s">
        <v>759</v>
      </c>
      <c r="B19" s="311" t="str">
        <f t="shared" si="0"/>
        <v>RES_201301</v>
      </c>
      <c r="C19" s="311">
        <v>0</v>
      </c>
      <c r="D19" s="311">
        <v>0</v>
      </c>
      <c r="E19" s="311">
        <f t="shared" si="1"/>
        <v>1</v>
      </c>
      <c r="F19" s="311">
        <v>1</v>
      </c>
      <c r="G19" s="312" t="b">
        <v>1</v>
      </c>
      <c r="H19" s="313" t="str">
        <f t="shared" si="2"/>
        <v>Residential</v>
      </c>
      <c r="I19" s="314" t="s">
        <v>2764</v>
      </c>
      <c r="J19" s="314" t="str">
        <f>INDEX('AMMO Units'!$C:$C,MATCH(Homes_Vol!$A19,'AMMO Units'!$E:$E,0))</f>
        <v>OR Performance Path</v>
      </c>
      <c r="K19" s="314" t="str">
        <f>INDEX('AMMO Units'!$D:$D,MATCH(Homes_Vol!$A19,'AMMO Units'!$E:$E,0))</f>
        <v>Above Code Building</v>
      </c>
      <c r="L19" s="24">
        <v>2022</v>
      </c>
      <c r="M19" s="322">
        <f>GETPIVOTDATA("Units",'AMMO Units'!$A$3,"Year",$L19,"Measure Index",$A19,"Savings Category","Regional_Market_2021PP")</f>
        <v>10</v>
      </c>
      <c r="N19" s="323">
        <f>GETPIVOTDATA("Units",'AMMO Units'!$A$3,"Year",$L19,"Measure Index",$A19,"Savings Category","Local_Incentives_2021PP")</f>
        <v>10</v>
      </c>
      <c r="O19" s="216" t="s">
        <v>2765</v>
      </c>
      <c r="P19" s="445" t="e">
        <f>IF(Selection!$A$2="regional",1,IF($M19=0,0,SUMIFS('AMMO Funder Share'!$E:$E,'AMMO Funder Share'!#REF!,Selection!$A$2&amp;" - "&amp;Selection!$A$3,'AMMO Funder Share'!$A:$A,L19)))</f>
        <v>#REF!</v>
      </c>
      <c r="Q19" s="1476">
        <f>GETPIVOTDATA("Savings Rate",'AMMO Savings Rates'!$A$3,"Year",$L19,"Measure Index",$A19,"Savings Rate Type","Savings_Rate_2021PP")</f>
        <v>1720.5918970299999</v>
      </c>
      <c r="R19" s="2772"/>
      <c r="S19" s="353" t="e">
        <f t="shared" si="4"/>
        <v>#REF!</v>
      </c>
      <c r="T19" s="319">
        <f t="shared" si="5"/>
        <v>0</v>
      </c>
      <c r="U19" s="357" t="e">
        <f t="shared" si="3"/>
        <v>#REF!</v>
      </c>
    </row>
    <row r="20" spans="1:21" s="274" customFormat="1" ht="12.75" customHeight="1">
      <c r="A20" s="273" t="s">
        <v>760</v>
      </c>
      <c r="B20" s="311" t="str">
        <f t="shared" si="0"/>
        <v>RES_201301</v>
      </c>
      <c r="C20" s="311">
        <v>0</v>
      </c>
      <c r="D20" s="311">
        <v>0</v>
      </c>
      <c r="E20" s="311">
        <f t="shared" si="1"/>
        <v>1</v>
      </c>
      <c r="F20" s="311">
        <v>1</v>
      </c>
      <c r="G20" s="312" t="b">
        <v>1</v>
      </c>
      <c r="H20" s="313" t="str">
        <f t="shared" si="2"/>
        <v>Residential</v>
      </c>
      <c r="I20" s="314" t="s">
        <v>2764</v>
      </c>
      <c r="J20" s="314" t="str">
        <f>INDEX('AMMO Units'!$C:$C,MATCH(Homes_Vol!$A20,'AMMO Units'!$E:$E,0))</f>
        <v>WA Performance Path</v>
      </c>
      <c r="K20" s="314" t="str">
        <f>INDEX('AMMO Units'!$D:$D,MATCH(Homes_Vol!$A20,'AMMO Units'!$E:$E,0))</f>
        <v>Above Code Building</v>
      </c>
      <c r="L20" s="24">
        <v>2022</v>
      </c>
      <c r="M20" s="322">
        <f>GETPIVOTDATA("Units",'AMMO Units'!$A$3,"Year",$L20,"Measure Index",$A20,"Savings Category","Regional_Market_2021PP")</f>
        <v>100</v>
      </c>
      <c r="N20" s="323">
        <f>GETPIVOTDATA("Units",'AMMO Units'!$A$3,"Year",$L20,"Measure Index",$A20,"Savings Category","Local_Incentives_2021PP")</f>
        <v>100</v>
      </c>
      <c r="O20" s="216" t="s">
        <v>2765</v>
      </c>
      <c r="P20" s="445" t="e">
        <f>IF(Selection!$A$2="regional",1,IF($M20=0,0,SUMIFS('AMMO Funder Share'!$E:$E,'AMMO Funder Share'!#REF!,Selection!$A$2&amp;" - "&amp;Selection!$A$3,'AMMO Funder Share'!$A:$A,L20)))</f>
        <v>#REF!</v>
      </c>
      <c r="Q20" s="1476">
        <f>GETPIVOTDATA("Savings Rate",'AMMO Savings Rates'!$A$3,"Year",$L20,"Measure Index",$A20,"Savings Rate Type","Savings_Rate_2021PP")</f>
        <v>2172.5869015200001</v>
      </c>
      <c r="R20" s="2772"/>
      <c r="S20" s="353" t="e">
        <f t="shared" si="4"/>
        <v>#REF!</v>
      </c>
      <c r="T20" s="319">
        <f t="shared" si="5"/>
        <v>0</v>
      </c>
      <c r="U20" s="357" t="e">
        <f t="shared" si="3"/>
        <v>#REF!</v>
      </c>
    </row>
    <row r="21" spans="1:21" ht="12.75" customHeight="1">
      <c r="A21" s="417" t="s">
        <v>76</v>
      </c>
      <c r="B21" s="311" t="str">
        <f t="shared" ref="B21:B35" si="6">LEFT(A21,10)</f>
        <v>RES_201301</v>
      </c>
      <c r="C21" s="311">
        <v>0</v>
      </c>
      <c r="D21" s="311">
        <v>0</v>
      </c>
      <c r="E21" s="311">
        <f t="shared" si="1"/>
        <v>1</v>
      </c>
      <c r="F21" s="311">
        <v>1</v>
      </c>
      <c r="G21" s="312" t="b">
        <v>1</v>
      </c>
      <c r="H21" s="313" t="str">
        <f t="shared" ref="H21:H29" si="7">IF(LEFT(A21,3)="Res","Residential",IF(LEFT(A21,3)="Ind","industrial",IF(LEFT(A21,3)="Com","Commercial",IF(LEFT(A21,3)="AGR","Agriculture",""))))</f>
        <v>Residential</v>
      </c>
      <c r="I21" s="314" t="s">
        <v>2764</v>
      </c>
      <c r="J21" s="441" t="str">
        <f>INDEX('AMMO Units'!$C:$C,MATCH(Homes_Vol!$A21,'AMMO Units'!$E:$E,0))</f>
        <v>WA BuiltGreen Single-family</v>
      </c>
      <c r="K21" s="314" t="str">
        <f>INDEX('AMMO Units'!$D:$D,MATCH(Homes_Vol!$A21,'AMMO Units'!$E:$E,0))</f>
        <v>Above Code Building</v>
      </c>
      <c r="L21" s="24">
        <v>2023</v>
      </c>
      <c r="M21" s="322">
        <f>GETPIVOTDATA("Units",'AMMO Units'!$A$3,"Year",$L21,"Measure Index",$A21,"Savings Category","Regional_Market_2021PP")</f>
        <v>584.4</v>
      </c>
      <c r="N21" s="323">
        <f>GETPIVOTDATA("Units",'AMMO Units'!$A$3,"Year",$L21,"Measure Index",$A21,"Savings Category","Local_Incentives_2021PP")</f>
        <v>0</v>
      </c>
      <c r="O21" s="216" t="s">
        <v>2765</v>
      </c>
      <c r="P21" s="445" t="e">
        <f>IF(Selection!$A$2="regional",1,IF($M21=0,0,SUMIFS('AMMO Funder Share'!$E:$E,'AMMO Funder Share'!#REF!,Selection!$A$2&amp;" - "&amp;Selection!$A$3,'AMMO Funder Share'!$A:$A,L21)))</f>
        <v>#REF!</v>
      </c>
      <c r="Q21" s="1476">
        <f>GETPIVOTDATA("Savings Rate",'AMMO Savings Rates'!$A$3,"Year",$L21,"Measure Index",$A21,"Savings Rate Type","Savings_Rate_2021PP")</f>
        <v>1046.33714108</v>
      </c>
      <c r="R21" s="2772"/>
      <c r="S21" s="353" t="e">
        <f t="shared" si="4"/>
        <v>#REF!</v>
      </c>
      <c r="T21" s="319">
        <f t="shared" si="5"/>
        <v>0</v>
      </c>
      <c r="U21" s="357" t="e">
        <f t="shared" ref="U21:U34" si="8">S21-T21</f>
        <v>#REF!</v>
      </c>
    </row>
    <row r="22" spans="1:21" ht="12.75" customHeight="1">
      <c r="A22" s="417" t="s">
        <v>77</v>
      </c>
      <c r="B22" s="311" t="str">
        <f t="shared" si="6"/>
        <v>RES_201301</v>
      </c>
      <c r="C22" s="311">
        <v>0</v>
      </c>
      <c r="D22" s="311">
        <v>0</v>
      </c>
      <c r="E22" s="311">
        <f t="shared" si="1"/>
        <v>1</v>
      </c>
      <c r="F22" s="311">
        <v>1</v>
      </c>
      <c r="G22" s="312" t="b">
        <v>1</v>
      </c>
      <c r="H22" s="313" t="str">
        <f t="shared" si="7"/>
        <v>Residential</v>
      </c>
      <c r="I22" s="314" t="s">
        <v>2764</v>
      </c>
      <c r="J22" s="441" t="str">
        <f>INDEX('AMMO Units'!$C:$C,MATCH(Homes_Vol!$A22,'AMMO Units'!$E:$E,0))</f>
        <v>ID HERS and National ENERGY STAR Homes</v>
      </c>
      <c r="K22" s="314" t="str">
        <f>INDEX('AMMO Units'!$D:$D,MATCH(Homes_Vol!$A22,'AMMO Units'!$E:$E,0))</f>
        <v>Above Code Building</v>
      </c>
      <c r="L22" s="24">
        <v>2023</v>
      </c>
      <c r="M22" s="322">
        <f>GETPIVOTDATA("Units",'AMMO Units'!$A$3,"Year",$L22,"Measure Index",$A22,"Savings Category","Regional_Market_2021PP")</f>
        <v>3614.6544240600001</v>
      </c>
      <c r="N22" s="323">
        <f>GETPIVOTDATA("Units",'AMMO Units'!$A$3,"Year",$L22,"Measure Index",$A22,"Savings Category","Local_Incentives_2021PP")</f>
        <v>0</v>
      </c>
      <c r="O22" s="216" t="s">
        <v>2765</v>
      </c>
      <c r="P22" s="445" t="e">
        <f>IF(Selection!$A$2="regional",1,IF($M22=0,0,SUMIFS('AMMO Funder Share'!$E:$E,'AMMO Funder Share'!#REF!,Selection!$A$2&amp;" - "&amp;Selection!$A$3,'AMMO Funder Share'!$A:$A,L22)))</f>
        <v>#REF!</v>
      </c>
      <c r="Q22" s="1476">
        <f>GETPIVOTDATA("Savings Rate",'AMMO Savings Rates'!$A$3,"Year",$L22,"Measure Index",$A22,"Savings Rate Type","Savings_Rate_2021PP")</f>
        <v>1087.4826316900001</v>
      </c>
      <c r="R22" s="2772"/>
      <c r="S22" s="353" t="e">
        <f t="shared" si="4"/>
        <v>#REF!</v>
      </c>
      <c r="T22" s="319">
        <f t="shared" si="5"/>
        <v>0</v>
      </c>
      <c r="U22" s="357" t="e">
        <f t="shared" si="8"/>
        <v>#REF!</v>
      </c>
    </row>
    <row r="23" spans="1:21" ht="12.75" customHeight="1">
      <c r="A23" s="417" t="s">
        <v>78</v>
      </c>
      <c r="B23" s="311" t="str">
        <f t="shared" si="6"/>
        <v>RES_201301</v>
      </c>
      <c r="C23" s="311">
        <v>0</v>
      </c>
      <c r="D23" s="311">
        <v>0</v>
      </c>
      <c r="E23" s="311">
        <f t="shared" si="1"/>
        <v>1</v>
      </c>
      <c r="F23" s="311">
        <v>1</v>
      </c>
      <c r="G23" s="312" t="b">
        <v>1</v>
      </c>
      <c r="H23" s="313" t="str">
        <f t="shared" si="7"/>
        <v>Residential</v>
      </c>
      <c r="I23" s="314" t="s">
        <v>2764</v>
      </c>
      <c r="J23" s="441" t="str">
        <f>INDEX('AMMO Units'!$C:$C,MATCH(Homes_Vol!$A23,'AMMO Units'!$E:$E,0))</f>
        <v>MT HERS and National ENERGY STAR Homes</v>
      </c>
      <c r="K23" s="314" t="str">
        <f>INDEX('AMMO Units'!$D:$D,MATCH(Homes_Vol!$A23,'AMMO Units'!$E:$E,0))</f>
        <v>Above Code Building</v>
      </c>
      <c r="L23" s="24">
        <v>2023</v>
      </c>
      <c r="M23" s="322">
        <f>GETPIVOTDATA("Units",'AMMO Units'!$A$3,"Year",$L23,"Measure Index",$A23,"Savings Category","Regional_Market_2021PP")</f>
        <v>50</v>
      </c>
      <c r="N23" s="323">
        <f>GETPIVOTDATA("Units",'AMMO Units'!$A$3,"Year",$L23,"Measure Index",$A23,"Savings Category","Local_Incentives_2021PP")</f>
        <v>0</v>
      </c>
      <c r="O23" s="216" t="s">
        <v>2765</v>
      </c>
      <c r="P23" s="445" t="e">
        <f>IF(Selection!$A$2="regional",1,IF($M23=0,0,SUMIFS('AMMO Funder Share'!$E:$E,'AMMO Funder Share'!#REF!,Selection!$A$2&amp;" - "&amp;Selection!$A$3,'AMMO Funder Share'!$A:$A,L23)))</f>
        <v>#REF!</v>
      </c>
      <c r="Q23" s="1476">
        <f>GETPIVOTDATA("Savings Rate",'AMMO Savings Rates'!$A$3,"Year",$L23,"Measure Index",$A23,"Savings Rate Type","Savings_Rate_2021PP")</f>
        <v>846.85874944</v>
      </c>
      <c r="R23" s="2772"/>
      <c r="S23" s="353" t="e">
        <f t="shared" si="4"/>
        <v>#REF!</v>
      </c>
      <c r="T23" s="319">
        <f t="shared" si="5"/>
        <v>0</v>
      </c>
      <c r="U23" s="357" t="e">
        <f t="shared" si="8"/>
        <v>#REF!</v>
      </c>
    </row>
    <row r="24" spans="1:21" ht="12.75" customHeight="1">
      <c r="A24" s="417" t="s">
        <v>79</v>
      </c>
      <c r="B24" s="311" t="str">
        <f t="shared" si="6"/>
        <v>RES_201301</v>
      </c>
      <c r="C24" s="311">
        <v>0</v>
      </c>
      <c r="D24" s="311">
        <v>0</v>
      </c>
      <c r="E24" s="311">
        <f t="shared" si="1"/>
        <v>1</v>
      </c>
      <c r="F24" s="311">
        <v>1</v>
      </c>
      <c r="G24" s="312" t="b">
        <v>1</v>
      </c>
      <c r="H24" s="313" t="str">
        <f t="shared" si="7"/>
        <v>Residential</v>
      </c>
      <c r="I24" s="314" t="s">
        <v>2764</v>
      </c>
      <c r="J24" s="441" t="str">
        <f>INDEX('AMMO Units'!$C:$C,MATCH(Homes_Vol!$A24,'AMMO Units'!$E:$E,0))</f>
        <v>OR HERS and National ENERGY STAR Homes</v>
      </c>
      <c r="K24" s="314" t="str">
        <f>INDEX('AMMO Units'!$D:$D,MATCH(Homes_Vol!$A24,'AMMO Units'!$E:$E,0))</f>
        <v>Above Code Building</v>
      </c>
      <c r="L24" s="24">
        <v>2023</v>
      </c>
      <c r="M24" s="322">
        <f>GETPIVOTDATA("Units",'AMMO Units'!$A$3,"Year",$L24,"Measure Index",$A24,"Savings Category","Regional_Market_2021PP")</f>
        <v>40</v>
      </c>
      <c r="N24" s="323">
        <f>GETPIVOTDATA("Units",'AMMO Units'!$A$3,"Year",$L24,"Measure Index",$A24,"Savings Category","Local_Incentives_2021PP")</f>
        <v>0</v>
      </c>
      <c r="O24" s="216" t="s">
        <v>2765</v>
      </c>
      <c r="P24" s="445" t="e">
        <f>IF(Selection!$A$2="regional",1,IF($M24=0,0,SUMIFS('AMMO Funder Share'!$E:$E,'AMMO Funder Share'!#REF!,Selection!$A$2&amp;" - "&amp;Selection!$A$3,'AMMO Funder Share'!$A:$A,L24)))</f>
        <v>#REF!</v>
      </c>
      <c r="Q24" s="1476">
        <f>GETPIVOTDATA("Savings Rate",'AMMO Savings Rates'!$A$3,"Year",$L24,"Measure Index",$A24,"Savings Rate Type","Savings_Rate_2021PP")</f>
        <v>1742.23141743</v>
      </c>
      <c r="R24" s="2772"/>
      <c r="S24" s="353" t="e">
        <f t="shared" si="4"/>
        <v>#REF!</v>
      </c>
      <c r="T24" s="319">
        <f t="shared" si="5"/>
        <v>0</v>
      </c>
      <c r="U24" s="357" t="e">
        <f t="shared" si="8"/>
        <v>#REF!</v>
      </c>
    </row>
    <row r="25" spans="1:21" ht="12.75" customHeight="1">
      <c r="A25" s="417" t="s">
        <v>80</v>
      </c>
      <c r="B25" s="311" t="str">
        <f t="shared" si="6"/>
        <v>RES_201301</v>
      </c>
      <c r="C25" s="311">
        <v>0</v>
      </c>
      <c r="D25" s="311">
        <v>0</v>
      </c>
      <c r="E25" s="311">
        <f t="shared" si="1"/>
        <v>1</v>
      </c>
      <c r="F25" s="311">
        <v>1</v>
      </c>
      <c r="G25" s="312" t="b">
        <v>1</v>
      </c>
      <c r="H25" s="313" t="str">
        <f t="shared" si="7"/>
        <v>Residential</v>
      </c>
      <c r="I25" s="314" t="s">
        <v>2764</v>
      </c>
      <c r="J25" s="441" t="str">
        <f>INDEX('AMMO Units'!$C:$C,MATCH(Homes_Vol!$A25,'AMMO Units'!$E:$E,0))</f>
        <v>WA HERS and National ENERGY STAR Homes</v>
      </c>
      <c r="K25" s="314" t="str">
        <f>INDEX('AMMO Units'!$D:$D,MATCH(Homes_Vol!$A25,'AMMO Units'!$E:$E,0))</f>
        <v>Above Code Building</v>
      </c>
      <c r="L25" s="24">
        <v>2023</v>
      </c>
      <c r="M25" s="322">
        <f>GETPIVOTDATA("Units",'AMMO Units'!$A$3,"Year",$L25,"Measure Index",$A25,"Savings Category","Regional_Market_2021PP")</f>
        <v>379.8</v>
      </c>
      <c r="N25" s="323">
        <f>GETPIVOTDATA("Units",'AMMO Units'!$A$3,"Year",$L25,"Measure Index",$A25,"Savings Category","Local_Incentives_2021PP")</f>
        <v>0</v>
      </c>
      <c r="O25" s="216" t="s">
        <v>2765</v>
      </c>
      <c r="P25" s="445" t="e">
        <f>IF(Selection!$A$2="regional",1,IF($M25=0,0,SUMIFS('AMMO Funder Share'!$E:$E,'AMMO Funder Share'!#REF!,Selection!$A$2&amp;" - "&amp;Selection!$A$3,'AMMO Funder Share'!$A:$A,L25)))</f>
        <v>#REF!</v>
      </c>
      <c r="Q25" s="1476">
        <f>GETPIVOTDATA("Savings Rate",'AMMO Savings Rates'!$A$3,"Year",$L25,"Measure Index",$A25,"Savings Rate Type","Savings_Rate_2021PP")</f>
        <v>1046.33714108</v>
      </c>
      <c r="R25" s="2772"/>
      <c r="S25" s="353" t="e">
        <f t="shared" si="4"/>
        <v>#REF!</v>
      </c>
      <c r="T25" s="319">
        <f t="shared" si="5"/>
        <v>0</v>
      </c>
      <c r="U25" s="357" t="e">
        <f t="shared" si="8"/>
        <v>#REF!</v>
      </c>
    </row>
    <row r="26" spans="1:21" ht="12.75" customHeight="1">
      <c r="A26" s="417" t="s">
        <v>81</v>
      </c>
      <c r="B26" s="311" t="str">
        <f t="shared" si="6"/>
        <v>RES_201301</v>
      </c>
      <c r="C26" s="311">
        <v>0</v>
      </c>
      <c r="D26" s="311">
        <v>0</v>
      </c>
      <c r="E26" s="311">
        <f t="shared" si="1"/>
        <v>1</v>
      </c>
      <c r="F26" s="311">
        <v>1</v>
      </c>
      <c r="G26" s="312" t="b">
        <v>1</v>
      </c>
      <c r="H26" s="313" t="str">
        <f t="shared" si="7"/>
        <v>Residential</v>
      </c>
      <c r="I26" s="314" t="s">
        <v>2764</v>
      </c>
      <c r="J26" s="441" t="str">
        <f>INDEX('AMMO Units'!$C:$C,MATCH(Homes_Vol!$A26,'AMMO Units'!$E:$E,0))</f>
        <v>ID National Green Building Standard Single-family</v>
      </c>
      <c r="K26" s="314" t="str">
        <f>INDEX('AMMO Units'!$D:$D,MATCH(Homes_Vol!$A26,'AMMO Units'!$E:$E,0))</f>
        <v>Above Code Building</v>
      </c>
      <c r="L26" s="24">
        <v>2023</v>
      </c>
      <c r="M26" s="322">
        <f>GETPIVOTDATA("Units",'AMMO Units'!$A$3,"Year",$L26,"Measure Index",$A26,"Savings Category","Regional_Market_2021PP")</f>
        <v>5</v>
      </c>
      <c r="N26" s="323">
        <f>GETPIVOTDATA("Units",'AMMO Units'!$A$3,"Year",$L26,"Measure Index",$A26,"Savings Category","Local_Incentives_2021PP")</f>
        <v>0</v>
      </c>
      <c r="O26" s="216" t="s">
        <v>2765</v>
      </c>
      <c r="P26" s="445" t="e">
        <f>IF(Selection!$A$2="regional",1,IF($M26=0,0,SUMIFS('AMMO Funder Share'!$E:$E,'AMMO Funder Share'!#REF!,Selection!$A$2&amp;" - "&amp;Selection!$A$3,'AMMO Funder Share'!$A:$A,L26)))</f>
        <v>#REF!</v>
      </c>
      <c r="Q26" s="1476">
        <f>GETPIVOTDATA("Savings Rate",'AMMO Savings Rates'!$A$3,"Year",$L26,"Measure Index",$A26,"Savings Rate Type","Savings_Rate_2021PP")</f>
        <v>1087.4826316900001</v>
      </c>
      <c r="R26" s="2772"/>
      <c r="S26" s="353" t="e">
        <f t="shared" si="4"/>
        <v>#REF!</v>
      </c>
      <c r="T26" s="319">
        <f t="shared" si="5"/>
        <v>0</v>
      </c>
      <c r="U26" s="357" t="e">
        <f t="shared" si="8"/>
        <v>#REF!</v>
      </c>
    </row>
    <row r="27" spans="1:21" ht="12.75" customHeight="1">
      <c r="A27" s="417" t="s">
        <v>82</v>
      </c>
      <c r="B27" s="311" t="str">
        <f t="shared" si="6"/>
        <v>RES_201301</v>
      </c>
      <c r="C27" s="311">
        <v>0</v>
      </c>
      <c r="D27" s="311">
        <v>0</v>
      </c>
      <c r="E27" s="311">
        <f t="shared" si="1"/>
        <v>1</v>
      </c>
      <c r="F27" s="311">
        <v>1</v>
      </c>
      <c r="G27" s="312" t="b">
        <v>1</v>
      </c>
      <c r="H27" s="313" t="str">
        <f t="shared" si="7"/>
        <v>Residential</v>
      </c>
      <c r="I27" s="314" t="s">
        <v>2764</v>
      </c>
      <c r="J27" s="441" t="str">
        <f>INDEX('AMMO Units'!$C:$C,MATCH(Homes_Vol!$A27,'AMMO Units'!$E:$E,0))</f>
        <v>MT National Green Building Standard Single-family</v>
      </c>
      <c r="K27" s="314" t="str">
        <f>INDEX('AMMO Units'!$D:$D,MATCH(Homes_Vol!$A27,'AMMO Units'!$E:$E,0))</f>
        <v>Above Code Building</v>
      </c>
      <c r="L27" s="24">
        <v>2023</v>
      </c>
      <c r="M27" s="322">
        <f>GETPIVOTDATA("Units",'AMMO Units'!$A$3,"Year",$L27,"Measure Index",$A27,"Savings Category","Regional_Market_2021PP")</f>
        <v>0</v>
      </c>
      <c r="N27" s="323">
        <f>GETPIVOTDATA("Units",'AMMO Units'!$A$3,"Year",$L27,"Measure Index",$A27,"Savings Category","Local_Incentives_2021PP")</f>
        <v>0</v>
      </c>
      <c r="O27" s="216" t="s">
        <v>2765</v>
      </c>
      <c r="P27" s="445">
        <f>IF(Selection!$A$2="regional",1,IF($M27=0,0,SUMIFS('AMMO Funder Share'!$E:$E,'AMMO Funder Share'!#REF!,Selection!$A$2&amp;" - "&amp;Selection!$A$3,'AMMO Funder Share'!$A:$A,L27)))</f>
        <v>0</v>
      </c>
      <c r="Q27" s="1476">
        <f>GETPIVOTDATA("Savings Rate",'AMMO Savings Rates'!$A$3,"Year",$L27,"Measure Index",$A27,"Savings Rate Type","Savings_Rate_2021PP")</f>
        <v>846.85874944</v>
      </c>
      <c r="R27" s="2772"/>
      <c r="S27" s="353">
        <f t="shared" si="4"/>
        <v>0</v>
      </c>
      <c r="T27" s="319">
        <f t="shared" si="5"/>
        <v>0</v>
      </c>
      <c r="U27" s="357">
        <f t="shared" si="8"/>
        <v>0</v>
      </c>
    </row>
    <row r="28" spans="1:21" ht="12.75" customHeight="1">
      <c r="A28" s="417" t="s">
        <v>83</v>
      </c>
      <c r="B28" s="311" t="str">
        <f t="shared" si="6"/>
        <v>RES_201301</v>
      </c>
      <c r="C28" s="311">
        <v>0</v>
      </c>
      <c r="D28" s="311">
        <v>0</v>
      </c>
      <c r="E28" s="311">
        <f t="shared" si="1"/>
        <v>1</v>
      </c>
      <c r="F28" s="311">
        <v>1</v>
      </c>
      <c r="G28" s="312" t="b">
        <v>1</v>
      </c>
      <c r="H28" s="313" t="str">
        <f t="shared" si="7"/>
        <v>Residential</v>
      </c>
      <c r="I28" s="314" t="s">
        <v>2764</v>
      </c>
      <c r="J28" s="441" t="str">
        <f>INDEX('AMMO Units'!$C:$C,MATCH(Homes_Vol!$A28,'AMMO Units'!$E:$E,0))</f>
        <v>OR National Green Building Standard Single-family</v>
      </c>
      <c r="K28" s="314" t="str">
        <f>INDEX('AMMO Units'!$D:$D,MATCH(Homes_Vol!$A28,'AMMO Units'!$E:$E,0))</f>
        <v>Above Code Building</v>
      </c>
      <c r="L28" s="24">
        <v>2023</v>
      </c>
      <c r="M28" s="322">
        <f>GETPIVOTDATA("Units",'AMMO Units'!$A$3,"Year",$L28,"Measure Index",$A28,"Savings Category","Regional_Market_2021PP")</f>
        <v>0</v>
      </c>
      <c r="N28" s="323">
        <f>GETPIVOTDATA("Units",'AMMO Units'!$A$3,"Year",$L28,"Measure Index",$A28,"Savings Category","Local_Incentives_2021PP")</f>
        <v>0</v>
      </c>
      <c r="O28" s="216" t="s">
        <v>2765</v>
      </c>
      <c r="P28" s="445">
        <f>IF(Selection!$A$2="regional",1,IF($M28=0,0,SUMIFS('AMMO Funder Share'!$E:$E,'AMMO Funder Share'!#REF!,Selection!$A$2&amp;" - "&amp;Selection!$A$3,'AMMO Funder Share'!$A:$A,L28)))</f>
        <v>0</v>
      </c>
      <c r="Q28" s="1476">
        <f>GETPIVOTDATA("Savings Rate",'AMMO Savings Rates'!$A$3,"Year",$L28,"Measure Index",$A28,"Savings Rate Type","Savings_Rate_2021PP")</f>
        <v>1742.23141743</v>
      </c>
      <c r="R28" s="2772"/>
      <c r="S28" s="353">
        <f t="shared" si="4"/>
        <v>0</v>
      </c>
      <c r="T28" s="319">
        <f t="shared" si="5"/>
        <v>0</v>
      </c>
      <c r="U28" s="357">
        <f t="shared" si="8"/>
        <v>0</v>
      </c>
    </row>
    <row r="29" spans="1:21" ht="12.75" customHeight="1">
      <c r="A29" s="417" t="s">
        <v>84</v>
      </c>
      <c r="B29" s="311" t="str">
        <f t="shared" si="6"/>
        <v>RES_201301</v>
      </c>
      <c r="C29" s="311">
        <v>0</v>
      </c>
      <c r="D29" s="311">
        <v>0</v>
      </c>
      <c r="E29" s="311">
        <f t="shared" si="1"/>
        <v>1</v>
      </c>
      <c r="F29" s="311">
        <v>1</v>
      </c>
      <c r="G29" s="312" t="b">
        <v>1</v>
      </c>
      <c r="H29" s="313" t="str">
        <f t="shared" si="7"/>
        <v>Residential</v>
      </c>
      <c r="I29" s="314" t="s">
        <v>2764</v>
      </c>
      <c r="J29" s="441" t="str">
        <f>INDEX('AMMO Units'!$C:$C,MATCH(Homes_Vol!$A29,'AMMO Units'!$E:$E,0))</f>
        <v>WA National Green Building Standard Single-family</v>
      </c>
      <c r="K29" s="314" t="str">
        <f>INDEX('AMMO Units'!$D:$D,MATCH(Homes_Vol!$A29,'AMMO Units'!$E:$E,0))</f>
        <v>Above Code Building</v>
      </c>
      <c r="L29" s="24">
        <v>2023</v>
      </c>
      <c r="M29" s="322">
        <f>GETPIVOTDATA("Units",'AMMO Units'!$A$3,"Year",$L29,"Measure Index",$A29,"Savings Category","Regional_Market_2021PP")</f>
        <v>9</v>
      </c>
      <c r="N29" s="323">
        <f>GETPIVOTDATA("Units",'AMMO Units'!$A$3,"Year",$L29,"Measure Index",$A29,"Savings Category","Local_Incentives_2021PP")</f>
        <v>0</v>
      </c>
      <c r="O29" s="216" t="s">
        <v>2765</v>
      </c>
      <c r="P29" s="445" t="e">
        <f>IF(Selection!$A$2="regional",1,IF($M29=0,0,SUMIFS('AMMO Funder Share'!$E:$E,'AMMO Funder Share'!#REF!,Selection!$A$2&amp;" - "&amp;Selection!$A$3,'AMMO Funder Share'!$A:$A,L29)))</f>
        <v>#REF!</v>
      </c>
      <c r="Q29" s="1476">
        <f>GETPIVOTDATA("Savings Rate",'AMMO Savings Rates'!$A$3,"Year",$L29,"Measure Index",$A29,"Savings Rate Type","Savings_Rate_2021PP")</f>
        <v>1046.33714108</v>
      </c>
      <c r="R29" s="2772"/>
      <c r="S29" s="353" t="e">
        <f t="shared" si="4"/>
        <v>#REF!</v>
      </c>
      <c r="T29" s="319">
        <f t="shared" si="5"/>
        <v>0</v>
      </c>
      <c r="U29" s="357" t="e">
        <f t="shared" si="8"/>
        <v>#REF!</v>
      </c>
    </row>
    <row r="30" spans="1:21" ht="12.75" customHeight="1">
      <c r="A30" s="417" t="s">
        <v>681</v>
      </c>
      <c r="B30" s="311" t="str">
        <f t="shared" si="6"/>
        <v>Res_201301</v>
      </c>
      <c r="C30" s="311">
        <v>0</v>
      </c>
      <c r="D30" s="311">
        <v>0</v>
      </c>
      <c r="E30" s="311">
        <f t="shared" si="1"/>
        <v>1</v>
      </c>
      <c r="F30" s="311">
        <v>1</v>
      </c>
      <c r="G30" s="312" t="b">
        <v>1</v>
      </c>
      <c r="H30" s="313" t="str">
        <f t="shared" ref="H30:H35" si="9">IF(LEFT(A30,3)="Res","Residential",IF(LEFT(A30,3)="Ind","industrial",IF(LEFT(A30,3)="Com","Commercial",IF(LEFT(A30,3)="AGR","Agriculture",""))))</f>
        <v>Residential</v>
      </c>
      <c r="I30" s="314" t="s">
        <v>2764</v>
      </c>
      <c r="J30" s="441" t="str">
        <f>INDEX('AMMO Units'!$C:$C,MATCH(Homes_Vol!$A30,'AMMO Units'!$E:$E,0))</f>
        <v>Energy Performance Score</v>
      </c>
      <c r="K30" s="314" t="str">
        <f>INDEX('AMMO Units'!$D:$D,MATCH(Homes_Vol!$A30,'AMMO Units'!$E:$E,0))</f>
        <v>Above Code Building</v>
      </c>
      <c r="L30" s="24">
        <v>2023</v>
      </c>
      <c r="M30" s="322">
        <f>GETPIVOTDATA("Units",'AMMO Units'!$A$3,"Year",$L30,"Measure Index",$A30,"Savings Category","Regional_Market_2021PP")</f>
        <v>2807.25</v>
      </c>
      <c r="N30" s="323">
        <f>GETPIVOTDATA("Units",'AMMO Units'!$A$3,"Year",$L30,"Measure Index",$A30,"Savings Category","Local_Incentives_2021PP")</f>
        <v>2807.25</v>
      </c>
      <c r="O30" s="216" t="s">
        <v>2765</v>
      </c>
      <c r="P30" s="445" t="e">
        <f>IF(Selection!$A$2="regional",1,IF($M30=0,0,SUMIFS('AMMO Funder Share'!$E:$E,'AMMO Funder Share'!#REF!,Selection!$A$2&amp;" - "&amp;Selection!$A$3,'AMMO Funder Share'!$A:$A,L30)))</f>
        <v>#REF!</v>
      </c>
      <c r="Q30" s="1476">
        <f>GETPIVOTDATA("Savings Rate",'AMMO Savings Rates'!$A$3,"Year",$L30,"Measure Index",$A30,"Savings Rate Type","Savings_Rate_2021PP")</f>
        <v>1720.5918970299999</v>
      </c>
      <c r="R30" s="2772"/>
      <c r="S30" s="353" t="e">
        <f t="shared" si="4"/>
        <v>#REF!</v>
      </c>
      <c r="T30" s="319">
        <f t="shared" si="5"/>
        <v>0</v>
      </c>
      <c r="U30" s="357" t="e">
        <f t="shared" si="8"/>
        <v>#REF!</v>
      </c>
    </row>
    <row r="31" spans="1:21" ht="12.75" customHeight="1">
      <c r="A31" s="1737" t="s">
        <v>756</v>
      </c>
      <c r="B31" s="311" t="str">
        <f t="shared" si="6"/>
        <v>RES_201301</v>
      </c>
      <c r="C31" s="311">
        <v>0</v>
      </c>
      <c r="D31" s="311">
        <v>0</v>
      </c>
      <c r="E31" s="311">
        <f t="shared" si="1"/>
        <v>1</v>
      </c>
      <c r="F31" s="311">
        <v>1</v>
      </c>
      <c r="G31" s="312" t="b">
        <v>1</v>
      </c>
      <c r="H31" s="313" t="str">
        <f t="shared" si="9"/>
        <v>Residential</v>
      </c>
      <c r="I31" s="314" t="s">
        <v>2764</v>
      </c>
      <c r="J31" s="441" t="str">
        <f>INDEX('AMMO Units'!$C:$C,MATCH(Homes_Vol!$A31,'AMMO Units'!$E:$E,0))</f>
        <v>OR Earth Advantage</v>
      </c>
      <c r="K31" s="314" t="str">
        <f>INDEX('AMMO Units'!$D:$D,MATCH(Homes_Vol!$A31,'AMMO Units'!$E:$E,0))</f>
        <v>Above Code Building</v>
      </c>
      <c r="L31" s="24">
        <v>2023</v>
      </c>
      <c r="M31" s="322">
        <f>GETPIVOTDATA("Units",'AMMO Units'!$A$3,"Year",$L31,"Measure Index",$A31,"Savings Category","Regional_Market_2021PP")</f>
        <v>15</v>
      </c>
      <c r="N31" s="323">
        <f>GETPIVOTDATA("Units",'AMMO Units'!$A$3,"Year",$L31,"Measure Index",$A31,"Savings Category","Local_Incentives_2021PP")</f>
        <v>0</v>
      </c>
      <c r="O31" s="216" t="s">
        <v>2765</v>
      </c>
      <c r="P31" s="445" t="e">
        <f>IF(Selection!$A$2="regional",1,IF($M31=0,0,SUMIFS('AMMO Funder Share'!$E:$E,'AMMO Funder Share'!#REF!,Selection!$A$2&amp;" - "&amp;Selection!$A$3,'AMMO Funder Share'!$A:$A,L31)))</f>
        <v>#REF!</v>
      </c>
      <c r="Q31" s="1476">
        <f>GETPIVOTDATA("Savings Rate",'AMMO Savings Rates'!$A$3,"Year",$L31,"Measure Index",$A31,"Savings Rate Type","Savings_Rate_2021PP")</f>
        <v>1742.23141743</v>
      </c>
      <c r="R31" s="2772"/>
      <c r="S31" s="353" t="e">
        <f t="shared" si="4"/>
        <v>#REF!</v>
      </c>
      <c r="T31" s="319">
        <f t="shared" si="5"/>
        <v>0</v>
      </c>
      <c r="U31" s="357" t="e">
        <f t="shared" si="8"/>
        <v>#REF!</v>
      </c>
    </row>
    <row r="32" spans="1:21" ht="12.75" customHeight="1">
      <c r="A32" s="1737" t="s">
        <v>757</v>
      </c>
      <c r="B32" s="311" t="str">
        <f t="shared" si="6"/>
        <v>RES_201301</v>
      </c>
      <c r="C32" s="311">
        <v>0</v>
      </c>
      <c r="D32" s="311">
        <v>0</v>
      </c>
      <c r="E32" s="311">
        <f t="shared" si="1"/>
        <v>1</v>
      </c>
      <c r="F32" s="311">
        <v>1</v>
      </c>
      <c r="G32" s="312" t="b">
        <v>1</v>
      </c>
      <c r="H32" s="313" t="str">
        <f t="shared" si="9"/>
        <v>Residential</v>
      </c>
      <c r="I32" s="314" t="s">
        <v>2764</v>
      </c>
      <c r="J32" s="441" t="str">
        <f>INDEX('AMMO Units'!$C:$C,MATCH(Homes_Vol!$A32,'AMMO Units'!$E:$E,0))</f>
        <v>ID Performance Path</v>
      </c>
      <c r="K32" s="314" t="str">
        <f>INDEX('AMMO Units'!$D:$D,MATCH(Homes_Vol!$A32,'AMMO Units'!$E:$E,0))</f>
        <v>Above Code Building</v>
      </c>
      <c r="L32" s="24">
        <v>2023</v>
      </c>
      <c r="M32" s="322">
        <f>GETPIVOTDATA("Units",'AMMO Units'!$A$3,"Year",$L32,"Measure Index",$A32,"Savings Category","Regional_Market_2021PP")</f>
        <v>400</v>
      </c>
      <c r="N32" s="323">
        <f>GETPIVOTDATA("Units",'AMMO Units'!$A$3,"Year",$L32,"Measure Index",$A32,"Savings Category","Local_Incentives_2021PP")</f>
        <v>400</v>
      </c>
      <c r="O32" s="216" t="s">
        <v>2765</v>
      </c>
      <c r="P32" s="445" t="e">
        <f>IF(Selection!$A$2="regional",1,IF($M32=0,0,SUMIFS('AMMO Funder Share'!$E:$E,'AMMO Funder Share'!#REF!,Selection!$A$2&amp;" - "&amp;Selection!$A$3,'AMMO Funder Share'!$A:$A,L32)))</f>
        <v>#REF!</v>
      </c>
      <c r="Q32" s="1476">
        <f>GETPIVOTDATA("Savings Rate",'AMMO Savings Rates'!$A$3,"Year",$L32,"Measure Index",$A32,"Savings Rate Type","Savings_Rate_2021PP")</f>
        <v>1098.98668868</v>
      </c>
      <c r="R32" s="2772"/>
      <c r="S32" s="353" t="e">
        <f t="shared" si="4"/>
        <v>#REF!</v>
      </c>
      <c r="T32" s="319">
        <f t="shared" si="5"/>
        <v>0</v>
      </c>
      <c r="U32" s="357" t="e">
        <f>S32-T32</f>
        <v>#REF!</v>
      </c>
    </row>
    <row r="33" spans="1:21" ht="12.75" customHeight="1">
      <c r="A33" s="1737" t="s">
        <v>758</v>
      </c>
      <c r="B33" s="311" t="str">
        <f t="shared" si="6"/>
        <v>RES_201301</v>
      </c>
      <c r="C33" s="311">
        <v>0</v>
      </c>
      <c r="D33" s="311">
        <v>0</v>
      </c>
      <c r="E33" s="311">
        <f t="shared" si="1"/>
        <v>1</v>
      </c>
      <c r="F33" s="311">
        <v>1</v>
      </c>
      <c r="G33" s="312" t="b">
        <v>1</v>
      </c>
      <c r="H33" s="313" t="str">
        <f t="shared" si="9"/>
        <v>Residential</v>
      </c>
      <c r="I33" s="314" t="s">
        <v>2764</v>
      </c>
      <c r="J33" s="441" t="str">
        <f>INDEX('AMMO Units'!$C:$C,MATCH(Homes_Vol!$A33,'AMMO Units'!$E:$E,0))</f>
        <v>MT Performance Path</v>
      </c>
      <c r="K33" s="314" t="str">
        <f>INDEX('AMMO Units'!$D:$D,MATCH(Homes_Vol!$A33,'AMMO Units'!$E:$E,0))</f>
        <v>Above Code Building</v>
      </c>
      <c r="L33" s="24">
        <v>2023</v>
      </c>
      <c r="M33" s="322">
        <f>GETPIVOTDATA("Units",'AMMO Units'!$A$3,"Year",$L33,"Measure Index",$A33,"Savings Category","Regional_Market_2021PP")</f>
        <v>5</v>
      </c>
      <c r="N33" s="323">
        <f>GETPIVOTDATA("Units",'AMMO Units'!$A$3,"Year",$L33,"Measure Index",$A33,"Savings Category","Local_Incentives_2021PP")</f>
        <v>5</v>
      </c>
      <c r="O33" s="216" t="s">
        <v>2765</v>
      </c>
      <c r="P33" s="445" t="e">
        <f>IF(Selection!$A$2="regional",1,IF($M33=0,0,SUMIFS('AMMO Funder Share'!$E:$E,'AMMO Funder Share'!#REF!,Selection!$A$2&amp;" - "&amp;Selection!$A$3,'AMMO Funder Share'!$A:$A,L33)))</f>
        <v>#REF!</v>
      </c>
      <c r="Q33" s="1476">
        <f>GETPIVOTDATA("Savings Rate",'AMMO Savings Rates'!$A$3,"Year",$L33,"Measure Index",$A33,"Savings Rate Type","Savings_Rate_2021PP")</f>
        <v>846.85874944</v>
      </c>
      <c r="R33" s="2772"/>
      <c r="S33" s="353" t="e">
        <f t="shared" si="4"/>
        <v>#REF!</v>
      </c>
      <c r="T33" s="319">
        <f t="shared" si="5"/>
        <v>0</v>
      </c>
      <c r="U33" s="357" t="e">
        <f t="shared" si="8"/>
        <v>#REF!</v>
      </c>
    </row>
    <row r="34" spans="1:21" ht="12.75" customHeight="1">
      <c r="A34" s="1737" t="s">
        <v>759</v>
      </c>
      <c r="B34" s="311" t="str">
        <f t="shared" si="6"/>
        <v>RES_201301</v>
      </c>
      <c r="C34" s="311">
        <v>0</v>
      </c>
      <c r="D34" s="311">
        <v>0</v>
      </c>
      <c r="E34" s="311">
        <f t="shared" si="1"/>
        <v>1</v>
      </c>
      <c r="F34" s="311">
        <v>1</v>
      </c>
      <c r="G34" s="312" t="b">
        <v>1</v>
      </c>
      <c r="H34" s="313" t="str">
        <f t="shared" si="9"/>
        <v>Residential</v>
      </c>
      <c r="I34" s="314" t="s">
        <v>2764</v>
      </c>
      <c r="J34" s="441" t="str">
        <f>INDEX('AMMO Units'!$C:$C,MATCH(Homes_Vol!$A34,'AMMO Units'!$E:$E,0))</f>
        <v>OR Performance Path</v>
      </c>
      <c r="K34" s="314" t="str">
        <f>INDEX('AMMO Units'!$D:$D,MATCH(Homes_Vol!$A34,'AMMO Units'!$E:$E,0))</f>
        <v>Above Code Building</v>
      </c>
      <c r="L34" s="24">
        <v>2023</v>
      </c>
      <c r="M34" s="322">
        <f>GETPIVOTDATA("Units",'AMMO Units'!$A$3,"Year",$L34,"Measure Index",$A34,"Savings Category","Regional_Market_2021PP")</f>
        <v>10</v>
      </c>
      <c r="N34" s="323">
        <f>GETPIVOTDATA("Units",'AMMO Units'!$A$3,"Year",$L34,"Measure Index",$A34,"Savings Category","Local_Incentives_2021PP")</f>
        <v>10</v>
      </c>
      <c r="O34" s="216" t="s">
        <v>2765</v>
      </c>
      <c r="P34" s="445" t="e">
        <f>IF(Selection!$A$2="regional",1,IF($M34=0,0,SUMIFS('AMMO Funder Share'!$E:$E,'AMMO Funder Share'!#REF!,Selection!$A$2&amp;" - "&amp;Selection!$A$3,'AMMO Funder Share'!$A:$A,L34)))</f>
        <v>#REF!</v>
      </c>
      <c r="Q34" s="1476">
        <f>GETPIVOTDATA("Savings Rate",'AMMO Savings Rates'!$A$3,"Year",$L34,"Measure Index",$A34,"Savings Rate Type","Savings_Rate_2021PP")</f>
        <v>1720.5918970299999</v>
      </c>
      <c r="R34" s="2772"/>
      <c r="S34" s="353" t="e">
        <f t="shared" si="4"/>
        <v>#REF!</v>
      </c>
      <c r="T34" s="319">
        <f t="shared" si="5"/>
        <v>0</v>
      </c>
      <c r="U34" s="357" t="e">
        <f t="shared" si="8"/>
        <v>#REF!</v>
      </c>
    </row>
    <row r="35" spans="1:21" ht="12.75" customHeight="1">
      <c r="A35" s="1737" t="s">
        <v>760</v>
      </c>
      <c r="B35" s="311" t="str">
        <f t="shared" si="6"/>
        <v>RES_201301</v>
      </c>
      <c r="C35" s="311">
        <v>0</v>
      </c>
      <c r="D35" s="311">
        <v>0</v>
      </c>
      <c r="E35" s="311">
        <f t="shared" si="1"/>
        <v>1</v>
      </c>
      <c r="F35" s="311">
        <v>1</v>
      </c>
      <c r="G35" s="312" t="b">
        <v>1</v>
      </c>
      <c r="H35" s="313" t="str">
        <f t="shared" si="9"/>
        <v>Residential</v>
      </c>
      <c r="I35" s="314" t="s">
        <v>2764</v>
      </c>
      <c r="J35" s="441" t="str">
        <f>INDEX('AMMO Units'!$C:$C,MATCH(Homes_Vol!$A35,'AMMO Units'!$E:$E,0))</f>
        <v>WA Performance Path</v>
      </c>
      <c r="K35" s="314" t="str">
        <f>INDEX('AMMO Units'!$D:$D,MATCH(Homes_Vol!$A35,'AMMO Units'!$E:$E,0))</f>
        <v>Above Code Building</v>
      </c>
      <c r="L35" s="24">
        <v>2023</v>
      </c>
      <c r="M35" s="322">
        <f>GETPIVOTDATA("Units",'AMMO Units'!$A$3,"Year",$L35,"Measure Index",$A35,"Savings Category","Regional_Market_2021PP")</f>
        <v>100</v>
      </c>
      <c r="N35" s="323">
        <f>GETPIVOTDATA("Units",'AMMO Units'!$A$3,"Year",$L35,"Measure Index",$A35,"Savings Category","Local_Incentives_2021PP")</f>
        <v>100</v>
      </c>
      <c r="O35" s="216" t="s">
        <v>2765</v>
      </c>
      <c r="P35" s="445" t="e">
        <f>IF(Selection!$A$2="regional",1,IF($M35=0,0,SUMIFS('AMMO Funder Share'!$E:$E,'AMMO Funder Share'!#REF!,Selection!$A$2&amp;" - "&amp;Selection!$A$3,'AMMO Funder Share'!$A:$A,L35)))</f>
        <v>#REF!</v>
      </c>
      <c r="Q35" s="1476">
        <f>GETPIVOTDATA("Savings Rate",'AMMO Savings Rates'!$A$3,"Year",$L35,"Measure Index",$A35,"Savings Rate Type","Savings_Rate_2021PP")</f>
        <v>2172.5869015200001</v>
      </c>
      <c r="R35" s="2772"/>
      <c r="S35" s="353" t="e">
        <f t="shared" si="4"/>
        <v>#REF!</v>
      </c>
      <c r="T35" s="319">
        <f t="shared" si="5"/>
        <v>0</v>
      </c>
      <c r="U35" s="357" t="e">
        <f>S35-T35</f>
        <v>#REF!</v>
      </c>
    </row>
    <row r="36" spans="1:21" ht="12.75" hidden="1" customHeight="1">
      <c r="A36" s="273" t="s">
        <v>76</v>
      </c>
      <c r="B36" s="311" t="str">
        <f t="shared" ref="B36:B50" si="10">LEFT(A36,10)</f>
        <v>RES_201301</v>
      </c>
      <c r="C36" s="311">
        <v>0</v>
      </c>
      <c r="D36" s="311">
        <v>0</v>
      </c>
      <c r="E36" s="311">
        <f t="shared" si="1"/>
        <v>1</v>
      </c>
      <c r="F36" s="311">
        <v>1</v>
      </c>
      <c r="G36" s="312" t="b">
        <v>1</v>
      </c>
      <c r="H36" s="313" t="str">
        <f t="shared" ref="H36:H50" si="11">IF(LEFT(A36,3)="Res","Residential",IF(LEFT(A36,3)="Ind","industrial",IF(LEFT(A36,3)="Com","Commercial",IF(LEFT(A36,3)="AGR","Agriculture",""))))</f>
        <v>Residential</v>
      </c>
      <c r="I36" s="314" t="s">
        <v>2764</v>
      </c>
      <c r="J36" s="441" t="str">
        <f>INDEX('AMMO Units'!$C:$C,MATCH(Homes_Vol!$A36,'AMMO Units'!$E:$E,0))</f>
        <v>WA BuiltGreen Single-family</v>
      </c>
      <c r="K36" s="314" t="str">
        <f>INDEX('AMMO Units'!$D:$D,MATCH(Homes_Vol!$A36,'AMMO Units'!$E:$E,0))</f>
        <v>Above Code Building</v>
      </c>
      <c r="L36" s="1893">
        <v>2024</v>
      </c>
      <c r="M36" s="322">
        <f>GETPIVOTDATA("Units",'AMMO Units'!$A$3,"Year",$L36,"Measure Index",$A36,"Savings Category","Regional_Market_2021PP")</f>
        <v>292.2</v>
      </c>
      <c r="N36" s="323">
        <f>GETPIVOTDATA("Units",'AMMO Units'!$A$3,"Year",$L36,"Measure Index",$A36,"Savings Category","Local_Incentives_2021PP")</f>
        <v>0</v>
      </c>
      <c r="O36" s="216" t="s">
        <v>2765</v>
      </c>
      <c r="P36" s="445" t="e">
        <f>IF(Selection!$A$2="regional",1,IF($M36=0,0,SUMIFS('AMMO Funder Share'!$E:$E,'AMMO Funder Share'!#REF!,Selection!$A$2&amp;" - "&amp;Selection!$A$3,'AMMO Funder Share'!$A:$A,L36)))</f>
        <v>#REF!</v>
      </c>
      <c r="Q36" s="1476">
        <f>GETPIVOTDATA("Savings Rate",'AMMO Savings Rates'!$A$3,"Year",$L36,"Measure Index",$A36,"Savings Rate Type","Savings_Rate_2021PP")</f>
        <v>1329.89976553</v>
      </c>
      <c r="R36" s="2772"/>
      <c r="S36" s="353" t="e">
        <f t="shared" ref="S36:S50" si="12">(M36)*P36*Q36/8760000</f>
        <v>#REF!</v>
      </c>
      <c r="T36" s="319">
        <f t="shared" ref="T36:T50" si="13">IFERROR((N36/M36*N36)*P36*Q36/8760/1000,0)</f>
        <v>0</v>
      </c>
      <c r="U36" s="357" t="e">
        <f t="shared" ref="U36:U50" si="14">S36-T36</f>
        <v>#REF!</v>
      </c>
    </row>
    <row r="37" spans="1:21" ht="12.75" hidden="1" customHeight="1">
      <c r="A37" s="273" t="s">
        <v>77</v>
      </c>
      <c r="B37" s="311" t="str">
        <f t="shared" si="10"/>
        <v>RES_201301</v>
      </c>
      <c r="C37" s="311">
        <v>0</v>
      </c>
      <c r="D37" s="311">
        <v>0</v>
      </c>
      <c r="E37" s="311">
        <f t="shared" si="1"/>
        <v>1</v>
      </c>
      <c r="F37" s="311">
        <v>1</v>
      </c>
      <c r="G37" s="312" t="b">
        <v>1</v>
      </c>
      <c r="H37" s="313" t="str">
        <f t="shared" si="11"/>
        <v>Residential</v>
      </c>
      <c r="I37" s="314" t="s">
        <v>2764</v>
      </c>
      <c r="J37" s="441" t="str">
        <f>INDEX('AMMO Units'!$C:$C,MATCH(Homes_Vol!$A37,'AMMO Units'!$E:$E,0))</f>
        <v>ID HERS and National ENERGY STAR Homes</v>
      </c>
      <c r="K37" s="314" t="str">
        <f>INDEX('AMMO Units'!$D:$D,MATCH(Homes_Vol!$A37,'AMMO Units'!$E:$E,0))</f>
        <v>Above Code Building</v>
      </c>
      <c r="L37" s="1893">
        <v>2024</v>
      </c>
      <c r="M37" s="322">
        <f>GETPIVOTDATA("Units",'AMMO Units'!$A$3,"Year",$L37,"Measure Index",$A37,"Savings Category","Regional_Market_2021PP")</f>
        <v>3694.6709187900001</v>
      </c>
      <c r="N37" s="323">
        <f>GETPIVOTDATA("Units",'AMMO Units'!$A$3,"Year",$L37,"Measure Index",$A37,"Savings Category","Local_Incentives_2021PP")</f>
        <v>0</v>
      </c>
      <c r="O37" s="216" t="s">
        <v>2765</v>
      </c>
      <c r="P37" s="445" t="e">
        <f>IF(Selection!$A$2="regional",1,IF($M37=0,0,SUMIFS('AMMO Funder Share'!$E:$E,'AMMO Funder Share'!#REF!,Selection!$A$2&amp;" - "&amp;Selection!$A$3,'AMMO Funder Share'!$A:$A,L37)))</f>
        <v>#REF!</v>
      </c>
      <c r="Q37" s="1476">
        <f>GETPIVOTDATA("Savings Rate",'AMMO Savings Rates'!$A$3,"Year",$L37,"Measure Index",$A37,"Savings Rate Type","Savings_Rate_2021PP")</f>
        <v>1058.5783644600001</v>
      </c>
      <c r="R37" s="2772"/>
      <c r="S37" s="353" t="e">
        <f t="shared" si="12"/>
        <v>#REF!</v>
      </c>
      <c r="T37" s="319">
        <f t="shared" si="13"/>
        <v>0</v>
      </c>
      <c r="U37" s="357" t="e">
        <f t="shared" si="14"/>
        <v>#REF!</v>
      </c>
    </row>
    <row r="38" spans="1:21" ht="12.75" hidden="1" customHeight="1">
      <c r="A38" s="273" t="s">
        <v>78</v>
      </c>
      <c r="B38" s="311" t="str">
        <f t="shared" si="10"/>
        <v>RES_201301</v>
      </c>
      <c r="C38" s="311">
        <v>0</v>
      </c>
      <c r="D38" s="311">
        <v>0</v>
      </c>
      <c r="E38" s="311">
        <f t="shared" si="1"/>
        <v>1</v>
      </c>
      <c r="F38" s="311">
        <v>1</v>
      </c>
      <c r="G38" s="312" t="b">
        <v>1</v>
      </c>
      <c r="H38" s="313" t="str">
        <f t="shared" si="11"/>
        <v>Residential</v>
      </c>
      <c r="I38" s="314" t="s">
        <v>2764</v>
      </c>
      <c r="J38" s="441" t="str">
        <f>INDEX('AMMO Units'!$C:$C,MATCH(Homes_Vol!$A38,'AMMO Units'!$E:$E,0))</f>
        <v>MT HERS and National ENERGY STAR Homes</v>
      </c>
      <c r="K38" s="314" t="str">
        <f>INDEX('AMMO Units'!$D:$D,MATCH(Homes_Vol!$A38,'AMMO Units'!$E:$E,0))</f>
        <v>Above Code Building</v>
      </c>
      <c r="L38" s="1893">
        <v>2024</v>
      </c>
      <c r="M38" s="322">
        <f>GETPIVOTDATA("Units",'AMMO Units'!$A$3,"Year",$L38,"Measure Index",$A38,"Savings Category","Regional_Market_2021PP")</f>
        <v>50</v>
      </c>
      <c r="N38" s="323">
        <f>GETPIVOTDATA("Units",'AMMO Units'!$A$3,"Year",$L38,"Measure Index",$A38,"Savings Category","Local_Incentives_2021PP")</f>
        <v>0</v>
      </c>
      <c r="O38" s="216" t="s">
        <v>2765</v>
      </c>
      <c r="P38" s="445" t="e">
        <f>IF(Selection!$A$2="regional",1,IF($M38=0,0,SUMIFS('AMMO Funder Share'!$E:$E,'AMMO Funder Share'!#REF!,Selection!$A$2&amp;" - "&amp;Selection!$A$3,'AMMO Funder Share'!$A:$A,L38)))</f>
        <v>#REF!</v>
      </c>
      <c r="Q38" s="1476">
        <f>GETPIVOTDATA("Savings Rate",'AMMO Savings Rates'!$A$3,"Year",$L38,"Measure Index",$A38,"Savings Rate Type","Savings_Rate_2021PP")</f>
        <v>848.91482299999996</v>
      </c>
      <c r="R38" s="2772"/>
      <c r="S38" s="353" t="e">
        <f t="shared" si="12"/>
        <v>#REF!</v>
      </c>
      <c r="T38" s="319">
        <f t="shared" si="13"/>
        <v>0</v>
      </c>
      <c r="U38" s="357" t="e">
        <f t="shared" si="14"/>
        <v>#REF!</v>
      </c>
    </row>
    <row r="39" spans="1:21" ht="12.75" hidden="1" customHeight="1">
      <c r="A39" s="273" t="s">
        <v>79</v>
      </c>
      <c r="B39" s="311" t="str">
        <f t="shared" si="10"/>
        <v>RES_201301</v>
      </c>
      <c r="C39" s="311">
        <v>0</v>
      </c>
      <c r="D39" s="311">
        <v>0</v>
      </c>
      <c r="E39" s="311">
        <f t="shared" si="1"/>
        <v>1</v>
      </c>
      <c r="F39" s="311">
        <v>1</v>
      </c>
      <c r="G39" s="312" t="b">
        <v>1</v>
      </c>
      <c r="H39" s="313" t="str">
        <f t="shared" si="11"/>
        <v>Residential</v>
      </c>
      <c r="I39" s="314" t="s">
        <v>2764</v>
      </c>
      <c r="J39" s="441" t="str">
        <f>INDEX('AMMO Units'!$C:$C,MATCH(Homes_Vol!$A39,'AMMO Units'!$E:$E,0))</f>
        <v>OR HERS and National ENERGY STAR Homes</v>
      </c>
      <c r="K39" s="314" t="str">
        <f>INDEX('AMMO Units'!$D:$D,MATCH(Homes_Vol!$A39,'AMMO Units'!$E:$E,0))</f>
        <v>Above Code Building</v>
      </c>
      <c r="L39" s="1893">
        <v>2024</v>
      </c>
      <c r="M39" s="322">
        <f>GETPIVOTDATA("Units",'AMMO Units'!$A$3,"Year",$L39,"Measure Index",$A39,"Savings Category","Regional_Market_2021PP")</f>
        <v>40</v>
      </c>
      <c r="N39" s="323">
        <f>GETPIVOTDATA("Units",'AMMO Units'!$A$3,"Year",$L39,"Measure Index",$A39,"Savings Category","Local_Incentives_2021PP")</f>
        <v>0</v>
      </c>
      <c r="O39" s="216" t="s">
        <v>2765</v>
      </c>
      <c r="P39" s="445" t="e">
        <f>IF(Selection!$A$2="regional",1,IF($M39=0,0,SUMIFS('AMMO Funder Share'!$E:$E,'AMMO Funder Share'!#REF!,Selection!$A$2&amp;" - "&amp;Selection!$A$3,'AMMO Funder Share'!$A:$A,L39)))</f>
        <v>#REF!</v>
      </c>
      <c r="Q39" s="1476">
        <f>GETPIVOTDATA("Savings Rate",'AMMO Savings Rates'!$A$3,"Year",$L39,"Measure Index",$A39,"Savings Rate Type","Savings_Rate_2021PP")</f>
        <v>1711.9891222000001</v>
      </c>
      <c r="R39" s="2772"/>
      <c r="S39" s="353" t="e">
        <f t="shared" si="12"/>
        <v>#REF!</v>
      </c>
      <c r="T39" s="319">
        <f t="shared" si="13"/>
        <v>0</v>
      </c>
      <c r="U39" s="357" t="e">
        <f t="shared" si="14"/>
        <v>#REF!</v>
      </c>
    </row>
    <row r="40" spans="1:21" ht="12.75" hidden="1" customHeight="1">
      <c r="A40" s="273" t="s">
        <v>80</v>
      </c>
      <c r="B40" s="311" t="str">
        <f t="shared" si="10"/>
        <v>RES_201301</v>
      </c>
      <c r="C40" s="311">
        <v>0</v>
      </c>
      <c r="D40" s="311">
        <v>0</v>
      </c>
      <c r="E40" s="311">
        <f t="shared" si="1"/>
        <v>1</v>
      </c>
      <c r="F40" s="311">
        <v>1</v>
      </c>
      <c r="G40" s="312" t="b">
        <v>1</v>
      </c>
      <c r="H40" s="313" t="str">
        <f t="shared" si="11"/>
        <v>Residential</v>
      </c>
      <c r="I40" s="314" t="s">
        <v>2764</v>
      </c>
      <c r="J40" s="441" t="str">
        <f>INDEX('AMMO Units'!$C:$C,MATCH(Homes_Vol!$A40,'AMMO Units'!$E:$E,0))</f>
        <v>WA HERS and National ENERGY STAR Homes</v>
      </c>
      <c r="K40" s="314" t="str">
        <f>INDEX('AMMO Units'!$D:$D,MATCH(Homes_Vol!$A40,'AMMO Units'!$E:$E,0))</f>
        <v>Above Code Building</v>
      </c>
      <c r="L40" s="1893">
        <v>2024</v>
      </c>
      <c r="M40" s="322">
        <f>GETPIVOTDATA("Units",'AMMO Units'!$A$3,"Year",$L40,"Measure Index",$A40,"Savings Category","Regional_Market_2021PP")</f>
        <v>265.86</v>
      </c>
      <c r="N40" s="323">
        <f>GETPIVOTDATA("Units",'AMMO Units'!$A$3,"Year",$L40,"Measure Index",$A40,"Savings Category","Local_Incentives_2021PP")</f>
        <v>0</v>
      </c>
      <c r="O40" s="216" t="s">
        <v>2765</v>
      </c>
      <c r="P40" s="445" t="e">
        <f>IF(Selection!$A$2="regional",1,IF($M40=0,0,SUMIFS('AMMO Funder Share'!$E:$E,'AMMO Funder Share'!#REF!,Selection!$A$2&amp;" - "&amp;Selection!$A$3,'AMMO Funder Share'!$A:$A,L40)))</f>
        <v>#REF!</v>
      </c>
      <c r="Q40" s="1476">
        <f>GETPIVOTDATA("Savings Rate",'AMMO Savings Rates'!$A$3,"Year",$L40,"Measure Index",$A40,"Savings Rate Type","Savings_Rate_2021PP")</f>
        <v>1329.89976553</v>
      </c>
      <c r="R40" s="2772"/>
      <c r="S40" s="353" t="e">
        <f t="shared" si="12"/>
        <v>#REF!</v>
      </c>
      <c r="T40" s="319">
        <f t="shared" si="13"/>
        <v>0</v>
      </c>
      <c r="U40" s="357" t="e">
        <f t="shared" si="14"/>
        <v>#REF!</v>
      </c>
    </row>
    <row r="41" spans="1:21" ht="12.75" hidden="1" customHeight="1">
      <c r="A41" s="273" t="s">
        <v>81</v>
      </c>
      <c r="B41" s="311" t="str">
        <f t="shared" si="10"/>
        <v>RES_201301</v>
      </c>
      <c r="C41" s="311">
        <v>0</v>
      </c>
      <c r="D41" s="311">
        <v>0</v>
      </c>
      <c r="E41" s="311">
        <f t="shared" si="1"/>
        <v>1</v>
      </c>
      <c r="F41" s="311">
        <v>1</v>
      </c>
      <c r="G41" s="312" t="b">
        <v>1</v>
      </c>
      <c r="H41" s="313" t="str">
        <f t="shared" si="11"/>
        <v>Residential</v>
      </c>
      <c r="I41" s="314" t="s">
        <v>2764</v>
      </c>
      <c r="J41" s="441" t="str">
        <f>INDEX('AMMO Units'!$C:$C,MATCH(Homes_Vol!$A41,'AMMO Units'!$E:$E,0))</f>
        <v>ID National Green Building Standard Single-family</v>
      </c>
      <c r="K41" s="314" t="str">
        <f>INDEX('AMMO Units'!$D:$D,MATCH(Homes_Vol!$A41,'AMMO Units'!$E:$E,0))</f>
        <v>Above Code Building</v>
      </c>
      <c r="L41" s="1893">
        <v>2024</v>
      </c>
      <c r="M41" s="322">
        <f>GETPIVOTDATA("Units",'AMMO Units'!$A$3,"Year",$L41,"Measure Index",$A41,"Savings Category","Regional_Market_2021PP")</f>
        <v>0</v>
      </c>
      <c r="N41" s="323">
        <f>GETPIVOTDATA("Units",'AMMO Units'!$A$3,"Year",$L41,"Measure Index",$A41,"Savings Category","Local_Incentives_2021PP")</f>
        <v>0</v>
      </c>
      <c r="O41" s="216" t="s">
        <v>2765</v>
      </c>
      <c r="P41" s="445">
        <f>IF(Selection!$A$2="regional",1,IF($M41=0,0,SUMIFS('AMMO Funder Share'!$E:$E,'AMMO Funder Share'!#REF!,Selection!$A$2&amp;" - "&amp;Selection!$A$3,'AMMO Funder Share'!$A:$A,L41)))</f>
        <v>0</v>
      </c>
      <c r="Q41" s="1476">
        <f>GETPIVOTDATA("Savings Rate",'AMMO Savings Rates'!$A$3,"Year",$L41,"Measure Index",$A41,"Savings Rate Type","Savings_Rate_2021PP")</f>
        <v>1058.5783644600001</v>
      </c>
      <c r="R41" s="2772"/>
      <c r="S41" s="353">
        <f t="shared" si="12"/>
        <v>0</v>
      </c>
      <c r="T41" s="319">
        <f t="shared" si="13"/>
        <v>0</v>
      </c>
      <c r="U41" s="357">
        <f t="shared" si="14"/>
        <v>0</v>
      </c>
    </row>
    <row r="42" spans="1:21" ht="12.75" hidden="1" customHeight="1">
      <c r="A42" s="273" t="s">
        <v>82</v>
      </c>
      <c r="B42" s="311" t="str">
        <f t="shared" si="10"/>
        <v>RES_201301</v>
      </c>
      <c r="C42" s="311">
        <v>0</v>
      </c>
      <c r="D42" s="311">
        <v>0</v>
      </c>
      <c r="E42" s="311">
        <f t="shared" si="1"/>
        <v>1</v>
      </c>
      <c r="F42" s="311">
        <v>1</v>
      </c>
      <c r="G42" s="312" t="b">
        <v>1</v>
      </c>
      <c r="H42" s="313" t="str">
        <f t="shared" si="11"/>
        <v>Residential</v>
      </c>
      <c r="I42" s="314" t="s">
        <v>2764</v>
      </c>
      <c r="J42" s="441" t="str">
        <f>INDEX('AMMO Units'!$C:$C,MATCH(Homes_Vol!$A42,'AMMO Units'!$E:$E,0))</f>
        <v>MT National Green Building Standard Single-family</v>
      </c>
      <c r="K42" s="314" t="str">
        <f>INDEX('AMMO Units'!$D:$D,MATCH(Homes_Vol!$A42,'AMMO Units'!$E:$E,0))</f>
        <v>Above Code Building</v>
      </c>
      <c r="L42" s="1893">
        <v>2024</v>
      </c>
      <c r="M42" s="322">
        <f>GETPIVOTDATA("Units",'AMMO Units'!$A$3,"Year",$L42,"Measure Index",$A42,"Savings Category","Regional_Market_2021PP")</f>
        <v>0</v>
      </c>
      <c r="N42" s="323">
        <f>GETPIVOTDATA("Units",'AMMO Units'!$A$3,"Year",$L42,"Measure Index",$A42,"Savings Category","Local_Incentives_2021PP")</f>
        <v>0</v>
      </c>
      <c r="O42" s="216" t="s">
        <v>2765</v>
      </c>
      <c r="P42" s="445">
        <f>IF(Selection!$A$2="regional",1,IF($M42=0,0,SUMIFS('AMMO Funder Share'!$E:$E,'AMMO Funder Share'!#REF!,Selection!$A$2&amp;" - "&amp;Selection!$A$3,'AMMO Funder Share'!$A:$A,L42)))</f>
        <v>0</v>
      </c>
      <c r="Q42" s="1476">
        <f>GETPIVOTDATA("Savings Rate",'AMMO Savings Rates'!$A$3,"Year",$L42,"Measure Index",$A42,"Savings Rate Type","Savings_Rate_2021PP")</f>
        <v>848.91482299999996</v>
      </c>
      <c r="R42" s="2772"/>
      <c r="S42" s="353">
        <f t="shared" si="12"/>
        <v>0</v>
      </c>
      <c r="T42" s="319">
        <f t="shared" si="13"/>
        <v>0</v>
      </c>
      <c r="U42" s="357">
        <f t="shared" si="14"/>
        <v>0</v>
      </c>
    </row>
    <row r="43" spans="1:21" ht="12.75" hidden="1" customHeight="1">
      <c r="A43" s="273" t="s">
        <v>83</v>
      </c>
      <c r="B43" s="311" t="str">
        <f t="shared" si="10"/>
        <v>RES_201301</v>
      </c>
      <c r="C43" s="311">
        <v>0</v>
      </c>
      <c r="D43" s="311">
        <v>0</v>
      </c>
      <c r="E43" s="311">
        <f t="shared" si="1"/>
        <v>1</v>
      </c>
      <c r="F43" s="311">
        <v>1</v>
      </c>
      <c r="G43" s="312" t="b">
        <v>1</v>
      </c>
      <c r="H43" s="313" t="str">
        <f t="shared" si="11"/>
        <v>Residential</v>
      </c>
      <c r="I43" s="314" t="s">
        <v>2764</v>
      </c>
      <c r="J43" s="441" t="str">
        <f>INDEX('AMMO Units'!$C:$C,MATCH(Homes_Vol!$A43,'AMMO Units'!$E:$E,0))</f>
        <v>OR National Green Building Standard Single-family</v>
      </c>
      <c r="K43" s="314" t="str">
        <f>INDEX('AMMO Units'!$D:$D,MATCH(Homes_Vol!$A43,'AMMO Units'!$E:$E,0))</f>
        <v>Above Code Building</v>
      </c>
      <c r="L43" s="1893">
        <v>2024</v>
      </c>
      <c r="M43" s="322">
        <f>GETPIVOTDATA("Units",'AMMO Units'!$A$3,"Year",$L43,"Measure Index",$A43,"Savings Category","Regional_Market_2021PP")</f>
        <v>0</v>
      </c>
      <c r="N43" s="323">
        <f>GETPIVOTDATA("Units",'AMMO Units'!$A$3,"Year",$L43,"Measure Index",$A43,"Savings Category","Local_Incentives_2021PP")</f>
        <v>0</v>
      </c>
      <c r="O43" s="216" t="s">
        <v>2765</v>
      </c>
      <c r="P43" s="445">
        <f>IF(Selection!$A$2="regional",1,IF($M43=0,0,SUMIFS('AMMO Funder Share'!$E:$E,'AMMO Funder Share'!#REF!,Selection!$A$2&amp;" - "&amp;Selection!$A$3,'AMMO Funder Share'!$A:$A,L43)))</f>
        <v>0</v>
      </c>
      <c r="Q43" s="1476">
        <f>GETPIVOTDATA("Savings Rate",'AMMO Savings Rates'!$A$3,"Year",$L43,"Measure Index",$A43,"Savings Rate Type","Savings_Rate_2021PP")</f>
        <v>1711.9891222000001</v>
      </c>
      <c r="R43" s="2772"/>
      <c r="S43" s="353">
        <f t="shared" si="12"/>
        <v>0</v>
      </c>
      <c r="T43" s="319">
        <f t="shared" si="13"/>
        <v>0</v>
      </c>
      <c r="U43" s="357">
        <f t="shared" si="14"/>
        <v>0</v>
      </c>
    </row>
    <row r="44" spans="1:21" ht="12.75" hidden="1" customHeight="1">
      <c r="A44" s="273" t="s">
        <v>84</v>
      </c>
      <c r="B44" s="311" t="str">
        <f t="shared" si="10"/>
        <v>RES_201301</v>
      </c>
      <c r="C44" s="311">
        <v>0</v>
      </c>
      <c r="D44" s="311">
        <v>0</v>
      </c>
      <c r="E44" s="311">
        <f t="shared" si="1"/>
        <v>1</v>
      </c>
      <c r="F44" s="311">
        <v>1</v>
      </c>
      <c r="G44" s="312" t="b">
        <v>1</v>
      </c>
      <c r="H44" s="313" t="str">
        <f t="shared" si="11"/>
        <v>Residential</v>
      </c>
      <c r="I44" s="314" t="s">
        <v>2764</v>
      </c>
      <c r="J44" s="441" t="str">
        <f>INDEX('AMMO Units'!$C:$C,MATCH(Homes_Vol!$A44,'AMMO Units'!$E:$E,0))</f>
        <v>WA National Green Building Standard Single-family</v>
      </c>
      <c r="K44" s="314" t="str">
        <f>INDEX('AMMO Units'!$D:$D,MATCH(Homes_Vol!$A44,'AMMO Units'!$E:$E,0))</f>
        <v>Above Code Building</v>
      </c>
      <c r="L44" s="1893">
        <v>2024</v>
      </c>
      <c r="M44" s="322">
        <f>GETPIVOTDATA("Units",'AMMO Units'!$A$3,"Year",$L44,"Measure Index",$A44,"Savings Category","Regional_Market_2021PP")</f>
        <v>4.5</v>
      </c>
      <c r="N44" s="323">
        <f>GETPIVOTDATA("Units",'AMMO Units'!$A$3,"Year",$L44,"Measure Index",$A44,"Savings Category","Local_Incentives_2021PP")</f>
        <v>0</v>
      </c>
      <c r="O44" s="216" t="s">
        <v>2765</v>
      </c>
      <c r="P44" s="445" t="e">
        <f>IF(Selection!$A$2="regional",1,IF($M44=0,0,SUMIFS('AMMO Funder Share'!$E:$E,'AMMO Funder Share'!#REF!,Selection!$A$2&amp;" - "&amp;Selection!$A$3,'AMMO Funder Share'!$A:$A,L44)))</f>
        <v>#REF!</v>
      </c>
      <c r="Q44" s="1476">
        <f>GETPIVOTDATA("Savings Rate",'AMMO Savings Rates'!$A$3,"Year",$L44,"Measure Index",$A44,"Savings Rate Type","Savings_Rate_2021PP")</f>
        <v>1329.89976553</v>
      </c>
      <c r="R44" s="2772"/>
      <c r="S44" s="353" t="e">
        <f t="shared" si="12"/>
        <v>#REF!</v>
      </c>
      <c r="T44" s="319">
        <f t="shared" si="13"/>
        <v>0</v>
      </c>
      <c r="U44" s="357" t="e">
        <f t="shared" si="14"/>
        <v>#REF!</v>
      </c>
    </row>
    <row r="45" spans="1:21" ht="12.75" hidden="1" customHeight="1">
      <c r="A45" s="273" t="s">
        <v>681</v>
      </c>
      <c r="B45" s="311" t="str">
        <f t="shared" si="10"/>
        <v>Res_201301</v>
      </c>
      <c r="C45" s="311">
        <v>0</v>
      </c>
      <c r="D45" s="311">
        <v>0</v>
      </c>
      <c r="E45" s="311">
        <f t="shared" si="1"/>
        <v>1</v>
      </c>
      <c r="F45" s="311">
        <v>1</v>
      </c>
      <c r="G45" s="312" t="b">
        <v>1</v>
      </c>
      <c r="H45" s="313" t="str">
        <f t="shared" si="11"/>
        <v>Residential</v>
      </c>
      <c r="I45" s="314" t="s">
        <v>2764</v>
      </c>
      <c r="J45" s="441" t="str">
        <f>INDEX('AMMO Units'!$C:$C,MATCH(Homes_Vol!$A45,'AMMO Units'!$E:$E,0))</f>
        <v>Energy Performance Score</v>
      </c>
      <c r="K45" s="314" t="str">
        <f>INDEX('AMMO Units'!$D:$D,MATCH(Homes_Vol!$A45,'AMMO Units'!$E:$E,0))</f>
        <v>Above Code Building</v>
      </c>
      <c r="L45" s="1893">
        <v>2024</v>
      </c>
      <c r="M45" s="322">
        <f>GETPIVOTDATA("Units",'AMMO Units'!$A$3,"Year",$L45,"Measure Index",$A45,"Savings Category","Regional_Market_2021PP")</f>
        <v>1684.35</v>
      </c>
      <c r="N45" s="323">
        <f>GETPIVOTDATA("Units",'AMMO Units'!$A$3,"Year",$L45,"Measure Index",$A45,"Savings Category","Local_Incentives_2021PP")</f>
        <v>1684.35</v>
      </c>
      <c r="O45" s="216" t="s">
        <v>2765</v>
      </c>
      <c r="P45" s="445" t="e">
        <f>IF(Selection!$A$2="regional",1,IF($M45=0,0,SUMIFS('AMMO Funder Share'!$E:$E,'AMMO Funder Share'!#REF!,Selection!$A$2&amp;" - "&amp;Selection!$A$3,'AMMO Funder Share'!$A:$A,L45)))</f>
        <v>#REF!</v>
      </c>
      <c r="Q45" s="1476">
        <f>GETPIVOTDATA("Savings Rate",'AMMO Savings Rates'!$A$3,"Year",$L45,"Measure Index",$A45,"Savings Rate Type","Savings_Rate_2021PP")</f>
        <v>1594.5823335499999</v>
      </c>
      <c r="R45" s="2772"/>
      <c r="S45" s="353" t="e">
        <f t="shared" si="12"/>
        <v>#REF!</v>
      </c>
      <c r="T45" s="319">
        <f t="shared" si="13"/>
        <v>0</v>
      </c>
      <c r="U45" s="357" t="e">
        <f t="shared" si="14"/>
        <v>#REF!</v>
      </c>
    </row>
    <row r="46" spans="1:21" ht="12.75" hidden="1" customHeight="1">
      <c r="A46" s="273" t="s">
        <v>756</v>
      </c>
      <c r="B46" s="311" t="str">
        <f t="shared" si="10"/>
        <v>RES_201301</v>
      </c>
      <c r="C46" s="311">
        <v>0</v>
      </c>
      <c r="D46" s="311">
        <v>0</v>
      </c>
      <c r="E46" s="311">
        <f t="shared" si="1"/>
        <v>1</v>
      </c>
      <c r="F46" s="311">
        <v>1</v>
      </c>
      <c r="G46" s="312" t="b">
        <v>1</v>
      </c>
      <c r="H46" s="313" t="str">
        <f t="shared" si="11"/>
        <v>Residential</v>
      </c>
      <c r="I46" s="314" t="s">
        <v>2764</v>
      </c>
      <c r="J46" s="441" t="str">
        <f>INDEX('AMMO Units'!$C:$C,MATCH(Homes_Vol!$A46,'AMMO Units'!$E:$E,0))</f>
        <v>OR Earth Advantage</v>
      </c>
      <c r="K46" s="314" t="str">
        <f>INDEX('AMMO Units'!$D:$D,MATCH(Homes_Vol!$A46,'AMMO Units'!$E:$E,0))</f>
        <v>Above Code Building</v>
      </c>
      <c r="L46" s="1893">
        <v>2024</v>
      </c>
      <c r="M46" s="322">
        <f>GETPIVOTDATA("Units",'AMMO Units'!$A$3,"Year",$L46,"Measure Index",$A46,"Savings Category","Regional_Market_2021PP")</f>
        <v>8</v>
      </c>
      <c r="N46" s="323">
        <f>GETPIVOTDATA("Units",'AMMO Units'!$A$3,"Year",$L46,"Measure Index",$A46,"Savings Category","Local_Incentives_2021PP")</f>
        <v>0</v>
      </c>
      <c r="O46" s="216" t="s">
        <v>2765</v>
      </c>
      <c r="P46" s="445" t="e">
        <f>IF(Selection!$A$2="regional",1,IF($M46=0,0,SUMIFS('AMMO Funder Share'!$E:$E,'AMMO Funder Share'!#REF!,Selection!$A$2&amp;" - "&amp;Selection!$A$3,'AMMO Funder Share'!$A:$A,L46)))</f>
        <v>#REF!</v>
      </c>
      <c r="Q46" s="1476">
        <f>GETPIVOTDATA("Savings Rate",'AMMO Savings Rates'!$A$3,"Year",$L46,"Measure Index",$A46,"Savings Rate Type","Savings_Rate_2021PP")</f>
        <v>1711.9891222000001</v>
      </c>
      <c r="R46" s="2772"/>
      <c r="S46" s="353" t="e">
        <f t="shared" si="12"/>
        <v>#REF!</v>
      </c>
      <c r="T46" s="319">
        <f t="shared" si="13"/>
        <v>0</v>
      </c>
      <c r="U46" s="357" t="e">
        <f t="shared" si="14"/>
        <v>#REF!</v>
      </c>
    </row>
    <row r="47" spans="1:21" ht="12.75" hidden="1" customHeight="1">
      <c r="A47" s="273" t="s">
        <v>757</v>
      </c>
      <c r="B47" s="311" t="str">
        <f t="shared" si="10"/>
        <v>RES_201301</v>
      </c>
      <c r="C47" s="311">
        <v>0</v>
      </c>
      <c r="D47" s="311">
        <v>0</v>
      </c>
      <c r="E47" s="311">
        <f t="shared" si="1"/>
        <v>1</v>
      </c>
      <c r="F47" s="311">
        <v>1</v>
      </c>
      <c r="G47" s="312" t="b">
        <v>1</v>
      </c>
      <c r="H47" s="313" t="str">
        <f t="shared" si="11"/>
        <v>Residential</v>
      </c>
      <c r="I47" s="314" t="s">
        <v>2764</v>
      </c>
      <c r="J47" s="441" t="str">
        <f>INDEX('AMMO Units'!$C:$C,MATCH(Homes_Vol!$A47,'AMMO Units'!$E:$E,0))</f>
        <v>ID Performance Path</v>
      </c>
      <c r="K47" s="314" t="str">
        <f>INDEX('AMMO Units'!$D:$D,MATCH(Homes_Vol!$A47,'AMMO Units'!$E:$E,0))</f>
        <v>Above Code Building</v>
      </c>
      <c r="L47" s="1893">
        <v>2024</v>
      </c>
      <c r="M47" s="322">
        <f>GETPIVOTDATA("Units",'AMMO Units'!$A$3,"Year",$L47,"Measure Index",$A47,"Savings Category","Regional_Market_2021PP")</f>
        <v>400</v>
      </c>
      <c r="N47" s="323">
        <f>GETPIVOTDATA("Units",'AMMO Units'!$A$3,"Year",$L47,"Measure Index",$A47,"Savings Category","Local_Incentives_2021PP")</f>
        <v>400</v>
      </c>
      <c r="O47" s="216" t="s">
        <v>2765</v>
      </c>
      <c r="P47" s="445" t="e">
        <f>IF(Selection!$A$2="regional",1,IF($M47=0,0,SUMIFS('AMMO Funder Share'!$E:$E,'AMMO Funder Share'!#REF!,Selection!$A$2&amp;" - "&amp;Selection!$A$3,'AMMO Funder Share'!$A:$A,L47)))</f>
        <v>#REF!</v>
      </c>
      <c r="Q47" s="1476">
        <f>GETPIVOTDATA("Savings Rate",'AMMO Savings Rates'!$A$3,"Year",$L47,"Measure Index",$A47,"Savings Rate Type","Savings_Rate_2021PP")</f>
        <v>1070.0808553899999</v>
      </c>
      <c r="R47" s="2772"/>
      <c r="S47" s="353" t="e">
        <f t="shared" si="12"/>
        <v>#REF!</v>
      </c>
      <c r="T47" s="319">
        <f t="shared" si="13"/>
        <v>0</v>
      </c>
      <c r="U47" s="357" t="e">
        <f t="shared" si="14"/>
        <v>#REF!</v>
      </c>
    </row>
    <row r="48" spans="1:21" ht="12.75" hidden="1" customHeight="1">
      <c r="A48" s="273" t="s">
        <v>758</v>
      </c>
      <c r="B48" s="311" t="str">
        <f t="shared" si="10"/>
        <v>RES_201301</v>
      </c>
      <c r="C48" s="311">
        <v>0</v>
      </c>
      <c r="D48" s="311">
        <v>0</v>
      </c>
      <c r="E48" s="311">
        <f t="shared" si="1"/>
        <v>1</v>
      </c>
      <c r="F48" s="311">
        <v>1</v>
      </c>
      <c r="G48" s="312" t="b">
        <v>1</v>
      </c>
      <c r="H48" s="313" t="str">
        <f t="shared" si="11"/>
        <v>Residential</v>
      </c>
      <c r="I48" s="314" t="s">
        <v>2764</v>
      </c>
      <c r="J48" s="441" t="str">
        <f>INDEX('AMMO Units'!$C:$C,MATCH(Homes_Vol!$A48,'AMMO Units'!$E:$E,0))</f>
        <v>MT Performance Path</v>
      </c>
      <c r="K48" s="314" t="str">
        <f>INDEX('AMMO Units'!$D:$D,MATCH(Homes_Vol!$A48,'AMMO Units'!$E:$E,0))</f>
        <v>Above Code Building</v>
      </c>
      <c r="L48" s="1893">
        <v>2024</v>
      </c>
      <c r="M48" s="322">
        <f>GETPIVOTDATA("Units",'AMMO Units'!$A$3,"Year",$L48,"Measure Index",$A48,"Savings Category","Regional_Market_2021PP")</f>
        <v>10</v>
      </c>
      <c r="N48" s="323">
        <f>GETPIVOTDATA("Units",'AMMO Units'!$A$3,"Year",$L48,"Measure Index",$A48,"Savings Category","Local_Incentives_2021PP")</f>
        <v>10</v>
      </c>
      <c r="O48" s="216" t="s">
        <v>2765</v>
      </c>
      <c r="P48" s="445" t="e">
        <f>IF(Selection!$A$2="regional",1,IF($M48=0,0,SUMIFS('AMMO Funder Share'!$E:$E,'AMMO Funder Share'!#REF!,Selection!$A$2&amp;" - "&amp;Selection!$A$3,'AMMO Funder Share'!$A:$A,L48)))</f>
        <v>#REF!</v>
      </c>
      <c r="Q48" s="1476">
        <f>GETPIVOTDATA("Savings Rate",'AMMO Savings Rates'!$A$3,"Year",$L48,"Measure Index",$A48,"Savings Rate Type","Savings_Rate_2021PP")</f>
        <v>848.91482299999996</v>
      </c>
      <c r="R48" s="2772"/>
      <c r="S48" s="353" t="e">
        <f t="shared" si="12"/>
        <v>#REF!</v>
      </c>
      <c r="T48" s="319">
        <f t="shared" si="13"/>
        <v>0</v>
      </c>
      <c r="U48" s="357" t="e">
        <f t="shared" si="14"/>
        <v>#REF!</v>
      </c>
    </row>
    <row r="49" spans="1:21" ht="12.75" hidden="1" customHeight="1">
      <c r="A49" s="273" t="s">
        <v>759</v>
      </c>
      <c r="B49" s="311" t="str">
        <f t="shared" si="10"/>
        <v>RES_201301</v>
      </c>
      <c r="C49" s="311">
        <v>0</v>
      </c>
      <c r="D49" s="311">
        <v>0</v>
      </c>
      <c r="E49" s="311">
        <f t="shared" si="1"/>
        <v>1</v>
      </c>
      <c r="F49" s="311">
        <v>1</v>
      </c>
      <c r="G49" s="312" t="b">
        <v>1</v>
      </c>
      <c r="H49" s="313" t="str">
        <f t="shared" si="11"/>
        <v>Residential</v>
      </c>
      <c r="I49" s="314" t="s">
        <v>2764</v>
      </c>
      <c r="J49" s="441" t="str">
        <f>INDEX('AMMO Units'!$C:$C,MATCH(Homes_Vol!$A49,'AMMO Units'!$E:$E,0))</f>
        <v>OR Performance Path</v>
      </c>
      <c r="K49" s="314" t="str">
        <f>INDEX('AMMO Units'!$D:$D,MATCH(Homes_Vol!$A49,'AMMO Units'!$E:$E,0))</f>
        <v>Above Code Building</v>
      </c>
      <c r="L49" s="1893">
        <v>2024</v>
      </c>
      <c r="M49" s="322">
        <f>GETPIVOTDATA("Units",'AMMO Units'!$A$3,"Year",$L49,"Measure Index",$A49,"Savings Category","Regional_Market_2021PP")</f>
        <v>10</v>
      </c>
      <c r="N49" s="323">
        <f>GETPIVOTDATA("Units",'AMMO Units'!$A$3,"Year",$L49,"Measure Index",$A49,"Savings Category","Local_Incentives_2021PP")</f>
        <v>10</v>
      </c>
      <c r="O49" s="216" t="s">
        <v>2765</v>
      </c>
      <c r="P49" s="445" t="e">
        <f>IF(Selection!$A$2="regional",1,IF($M49=0,0,SUMIFS('AMMO Funder Share'!$E:$E,'AMMO Funder Share'!#REF!,Selection!$A$2&amp;" - "&amp;Selection!$A$3,'AMMO Funder Share'!$A:$A,L49)))</f>
        <v>#REF!</v>
      </c>
      <c r="Q49" s="1476">
        <f>GETPIVOTDATA("Savings Rate",'AMMO Savings Rates'!$A$3,"Year",$L49,"Measure Index",$A49,"Savings Rate Type","Savings_Rate_2021PP")</f>
        <v>1594.5823335499999</v>
      </c>
      <c r="R49" s="2772"/>
      <c r="S49" s="353" t="e">
        <f t="shared" si="12"/>
        <v>#REF!</v>
      </c>
      <c r="T49" s="319">
        <f t="shared" si="13"/>
        <v>0</v>
      </c>
      <c r="U49" s="357" t="e">
        <f t="shared" si="14"/>
        <v>#REF!</v>
      </c>
    </row>
    <row r="50" spans="1:21" ht="12.75" hidden="1" customHeight="1">
      <c r="A50" s="273" t="s">
        <v>760</v>
      </c>
      <c r="B50" s="311" t="str">
        <f t="shared" si="10"/>
        <v>RES_201301</v>
      </c>
      <c r="C50" s="311">
        <v>0</v>
      </c>
      <c r="D50" s="311">
        <v>0</v>
      </c>
      <c r="E50" s="311">
        <f t="shared" si="1"/>
        <v>1</v>
      </c>
      <c r="F50" s="311">
        <v>1</v>
      </c>
      <c r="G50" s="312" t="b">
        <v>1</v>
      </c>
      <c r="H50" s="313" t="str">
        <f t="shared" si="11"/>
        <v>Residential</v>
      </c>
      <c r="I50" s="314" t="s">
        <v>2764</v>
      </c>
      <c r="J50" s="441" t="str">
        <f>INDEX('AMMO Units'!$C:$C,MATCH(Homes_Vol!$A50,'AMMO Units'!$E:$E,0))</f>
        <v>WA Performance Path</v>
      </c>
      <c r="K50" s="314" t="str">
        <f>INDEX('AMMO Units'!$D:$D,MATCH(Homes_Vol!$A50,'AMMO Units'!$E:$E,0))</f>
        <v>Above Code Building</v>
      </c>
      <c r="L50" s="1893">
        <v>2024</v>
      </c>
      <c r="M50" s="322">
        <f>GETPIVOTDATA("Units",'AMMO Units'!$A$3,"Year",$L50,"Measure Index",$A50,"Savings Category","Regional_Market_2021PP")</f>
        <v>70</v>
      </c>
      <c r="N50" s="323">
        <f>GETPIVOTDATA("Units",'AMMO Units'!$A$3,"Year",$L50,"Measure Index",$A50,"Savings Category","Local_Incentives_2021PP")</f>
        <v>70</v>
      </c>
      <c r="O50" s="216" t="s">
        <v>2765</v>
      </c>
      <c r="P50" s="445" t="e">
        <f>IF(Selection!$A$2="regional",1,IF($M50=0,0,SUMIFS('AMMO Funder Share'!$E:$E,'AMMO Funder Share'!#REF!,Selection!$A$2&amp;" - "&amp;Selection!$A$3,'AMMO Funder Share'!$A:$A,L50)))</f>
        <v>#REF!</v>
      </c>
      <c r="Q50" s="1476">
        <f>GETPIVOTDATA("Savings Rate",'AMMO Savings Rates'!$A$3,"Year",$L50,"Measure Index",$A50,"Savings Rate Type","Savings_Rate_2021PP")</f>
        <v>2736.7661195800001</v>
      </c>
      <c r="R50" s="2772"/>
      <c r="S50" s="353" t="e">
        <f t="shared" si="12"/>
        <v>#REF!</v>
      </c>
      <c r="T50" s="319">
        <f t="shared" si="13"/>
        <v>0</v>
      </c>
      <c r="U50" s="357" t="e">
        <f t="shared" si="14"/>
        <v>#REF!</v>
      </c>
    </row>
    <row r="51" spans="1:21" ht="12.75" hidden="1" customHeight="1">
      <c r="A51" s="273" t="s">
        <v>76</v>
      </c>
      <c r="B51" s="311" t="s">
        <v>252</v>
      </c>
      <c r="C51" s="311">
        <v>0</v>
      </c>
      <c r="D51" s="311">
        <v>0</v>
      </c>
      <c r="E51" s="311">
        <v>1</v>
      </c>
      <c r="F51" s="311">
        <v>1</v>
      </c>
      <c r="G51" s="311" t="b">
        <v>1</v>
      </c>
      <c r="H51" s="313" t="s">
        <v>236</v>
      </c>
      <c r="I51" s="314" t="s">
        <v>2764</v>
      </c>
      <c r="J51" s="441" t="s">
        <v>931</v>
      </c>
      <c r="K51" s="314" t="s">
        <v>927</v>
      </c>
      <c r="L51" s="1893">
        <v>2025</v>
      </c>
      <c r="M51" s="322">
        <f>GETPIVOTDATA("Units",'AMMO Units'!$A$3,"Year",$L51,"Measure Index",$A51,"Savings Category","Regional_Market_2021PP")</f>
        <v>292.2</v>
      </c>
      <c r="N51" s="323">
        <f>GETPIVOTDATA("Units",'AMMO Units'!$A$3,"Year",$L51,"Measure Index",$A51,"Savings Category","Local_Incentives_2021PP")</f>
        <v>0</v>
      </c>
      <c r="O51" s="216" t="s">
        <v>2765</v>
      </c>
      <c r="P51" s="445" t="e">
        <f>IF(Selection!$A$2="regional",1,IF($M51=0,0,SUMIFS('AMMO Funder Share'!$E:$E,'AMMO Funder Share'!#REF!,Selection!$A$2&amp;" - "&amp;Selection!$A$3,'AMMO Funder Share'!$A:$A,L51)))</f>
        <v>#REF!</v>
      </c>
      <c r="Q51" s="1476">
        <f>GETPIVOTDATA("Savings Rate",'AMMO Savings Rates'!$A$3,"Year",$L51,"Measure Index",$A51,"Savings Rate Type","Savings_Rate_2021PP")</f>
        <v>1329.89976553</v>
      </c>
      <c r="R51" s="2772"/>
      <c r="S51" s="353" t="e">
        <f t="shared" ref="S51:S65" si="15">(M51)*P51*Q51/8760000</f>
        <v>#REF!</v>
      </c>
      <c r="T51" s="319">
        <f t="shared" ref="T51:T65" si="16">IFERROR((N51/M51*N51)*P51*Q51/8760/1000,0)</f>
        <v>0</v>
      </c>
      <c r="U51" s="357" t="e">
        <f t="shared" ref="U51:U65" si="17">S51-T51</f>
        <v>#REF!</v>
      </c>
    </row>
    <row r="52" spans="1:21" ht="12.75" hidden="1" customHeight="1">
      <c r="A52" s="273" t="s">
        <v>77</v>
      </c>
      <c r="B52" s="311" t="s">
        <v>252</v>
      </c>
      <c r="C52" s="311">
        <v>0</v>
      </c>
      <c r="D52" s="311">
        <v>0</v>
      </c>
      <c r="E52" s="311">
        <v>1</v>
      </c>
      <c r="F52" s="311">
        <v>1</v>
      </c>
      <c r="G52" s="311" t="b">
        <v>1</v>
      </c>
      <c r="H52" s="313" t="s">
        <v>236</v>
      </c>
      <c r="I52" s="314" t="s">
        <v>2764</v>
      </c>
      <c r="J52" s="441" t="s">
        <v>932</v>
      </c>
      <c r="K52" s="314" t="s">
        <v>927</v>
      </c>
      <c r="L52" s="1893">
        <v>2025</v>
      </c>
      <c r="M52" s="322">
        <f>GETPIVOTDATA("Units",'AMMO Units'!$A$3,"Year",$L52,"Measure Index",$A52,"Savings Category","Regional_Market_2021PP")</f>
        <v>3727.9677712600001</v>
      </c>
      <c r="N52" s="323">
        <f>GETPIVOTDATA("Units",'AMMO Units'!$A$3,"Year",$L52,"Measure Index",$A52,"Savings Category","Local_Incentives_2021PP")</f>
        <v>0</v>
      </c>
      <c r="O52" s="216" t="s">
        <v>2765</v>
      </c>
      <c r="P52" s="445" t="e">
        <f>IF(Selection!$A$2="regional",1,IF($M52=0,0,SUMIFS('AMMO Funder Share'!$E:$E,'AMMO Funder Share'!#REF!,Selection!$A$2&amp;" - "&amp;Selection!$A$3,'AMMO Funder Share'!$A:$A,L52)))</f>
        <v>#REF!</v>
      </c>
      <c r="Q52" s="1476">
        <f>GETPIVOTDATA("Savings Rate",'AMMO Savings Rates'!$A$3,"Year",$L52,"Measure Index",$A52,"Savings Rate Type","Savings_Rate_2021PP")</f>
        <v>807.60851158000003</v>
      </c>
      <c r="R52" s="2772"/>
      <c r="S52" s="353" t="e">
        <f t="shared" si="15"/>
        <v>#REF!</v>
      </c>
      <c r="T52" s="319">
        <f t="shared" si="16"/>
        <v>0</v>
      </c>
      <c r="U52" s="357" t="e">
        <f t="shared" si="17"/>
        <v>#REF!</v>
      </c>
    </row>
    <row r="53" spans="1:21" ht="12.75" hidden="1" customHeight="1">
      <c r="A53" s="273" t="s">
        <v>78</v>
      </c>
      <c r="B53" s="311" t="s">
        <v>252</v>
      </c>
      <c r="C53" s="311">
        <v>0</v>
      </c>
      <c r="D53" s="311">
        <v>0</v>
      </c>
      <c r="E53" s="311">
        <v>1</v>
      </c>
      <c r="F53" s="311">
        <v>1</v>
      </c>
      <c r="G53" s="311" t="b">
        <v>1</v>
      </c>
      <c r="H53" s="313" t="s">
        <v>236</v>
      </c>
      <c r="I53" s="314" t="s">
        <v>2764</v>
      </c>
      <c r="J53" s="441" t="s">
        <v>933</v>
      </c>
      <c r="K53" s="314" t="s">
        <v>927</v>
      </c>
      <c r="L53" s="1893">
        <v>2025</v>
      </c>
      <c r="M53" s="322">
        <f>GETPIVOTDATA("Units",'AMMO Units'!$A$3,"Year",$L53,"Measure Index",$A53,"Savings Category","Regional_Market_2021PP")</f>
        <v>25</v>
      </c>
      <c r="N53" s="323">
        <f>GETPIVOTDATA("Units",'AMMO Units'!$A$3,"Year",$L53,"Measure Index",$A53,"Savings Category","Local_Incentives_2021PP")</f>
        <v>0</v>
      </c>
      <c r="O53" s="216" t="s">
        <v>2765</v>
      </c>
      <c r="P53" s="445" t="e">
        <f>IF(Selection!$A$2="regional",1,IF($M53=0,0,SUMIFS('AMMO Funder Share'!$E:$E,'AMMO Funder Share'!#REF!,Selection!$A$2&amp;" - "&amp;Selection!$A$3,'AMMO Funder Share'!$A:$A,L53)))</f>
        <v>#REF!</v>
      </c>
      <c r="Q53" s="1476">
        <f>GETPIVOTDATA("Savings Rate",'AMMO Savings Rates'!$A$3,"Year",$L53,"Measure Index",$A53,"Savings Rate Type","Savings_Rate_2021PP")</f>
        <v>834.34440517999997</v>
      </c>
      <c r="R53" s="2772"/>
      <c r="S53" s="353" t="e">
        <f t="shared" si="15"/>
        <v>#REF!</v>
      </c>
      <c r="T53" s="319">
        <f t="shared" si="16"/>
        <v>0</v>
      </c>
      <c r="U53" s="357" t="e">
        <f t="shared" si="17"/>
        <v>#REF!</v>
      </c>
    </row>
    <row r="54" spans="1:21" ht="12.75" hidden="1" customHeight="1">
      <c r="A54" s="273" t="s">
        <v>79</v>
      </c>
      <c r="B54" s="311" t="s">
        <v>252</v>
      </c>
      <c r="C54" s="311">
        <v>0</v>
      </c>
      <c r="D54" s="311">
        <v>0</v>
      </c>
      <c r="E54" s="311">
        <v>1</v>
      </c>
      <c r="F54" s="311">
        <v>1</v>
      </c>
      <c r="G54" s="311" t="b">
        <v>1</v>
      </c>
      <c r="H54" s="313" t="s">
        <v>236</v>
      </c>
      <c r="I54" s="314" t="s">
        <v>2764</v>
      </c>
      <c r="J54" s="441" t="s">
        <v>934</v>
      </c>
      <c r="K54" s="314" t="s">
        <v>927</v>
      </c>
      <c r="L54" s="1893">
        <v>2025</v>
      </c>
      <c r="M54" s="322">
        <f>GETPIVOTDATA("Units",'AMMO Units'!$A$3,"Year",$L54,"Measure Index",$A54,"Savings Category","Regional_Market_2021PP")</f>
        <v>0</v>
      </c>
      <c r="N54" s="323">
        <f>GETPIVOTDATA("Units",'AMMO Units'!$A$3,"Year",$L54,"Measure Index",$A54,"Savings Category","Local_Incentives_2021PP")</f>
        <v>0</v>
      </c>
      <c r="O54" s="216" t="s">
        <v>2765</v>
      </c>
      <c r="P54" s="445">
        <f>IF(Selection!$A$2="regional",1,IF($M54=0,0,SUMIFS('AMMO Funder Share'!$E:$E,'AMMO Funder Share'!#REF!,Selection!$A$2&amp;" - "&amp;Selection!$A$3,'AMMO Funder Share'!$A:$A,L54)))</f>
        <v>0</v>
      </c>
      <c r="Q54" s="1476">
        <f>GETPIVOTDATA("Savings Rate",'AMMO Savings Rates'!$A$3,"Year",$L54,"Measure Index",$A54,"Savings Rate Type","Savings_Rate_2021PP")</f>
        <v>1240.5800106500001</v>
      </c>
      <c r="R54" s="2772"/>
      <c r="S54" s="353">
        <f t="shared" si="15"/>
        <v>0</v>
      </c>
      <c r="T54" s="319">
        <f t="shared" si="16"/>
        <v>0</v>
      </c>
      <c r="U54" s="357">
        <f t="shared" si="17"/>
        <v>0</v>
      </c>
    </row>
    <row r="55" spans="1:21" ht="12.75" hidden="1" customHeight="1">
      <c r="A55" s="273" t="s">
        <v>80</v>
      </c>
      <c r="B55" s="311" t="s">
        <v>252</v>
      </c>
      <c r="C55" s="311">
        <v>0</v>
      </c>
      <c r="D55" s="311">
        <v>0</v>
      </c>
      <c r="E55" s="311">
        <v>1</v>
      </c>
      <c r="F55" s="311">
        <v>1</v>
      </c>
      <c r="G55" s="311" t="b">
        <v>1</v>
      </c>
      <c r="H55" s="313" t="s">
        <v>236</v>
      </c>
      <c r="I55" s="314" t="s">
        <v>2764</v>
      </c>
      <c r="J55" s="441" t="s">
        <v>935</v>
      </c>
      <c r="K55" s="314" t="s">
        <v>927</v>
      </c>
      <c r="L55" s="1893">
        <v>2025</v>
      </c>
      <c r="M55" s="322">
        <f>GETPIVOTDATA("Units",'AMMO Units'!$A$3,"Year",$L55,"Measure Index",$A55,"Savings Category","Regional_Market_2021PP")</f>
        <v>265.86</v>
      </c>
      <c r="N55" s="323">
        <f>GETPIVOTDATA("Units",'AMMO Units'!$A$3,"Year",$L55,"Measure Index",$A55,"Savings Category","Local_Incentives_2021PP")</f>
        <v>0</v>
      </c>
      <c r="O55" s="216" t="s">
        <v>2765</v>
      </c>
      <c r="P55" s="445" t="e">
        <f>IF(Selection!$A$2="regional",1,IF($M55=0,0,SUMIFS('AMMO Funder Share'!$E:$E,'AMMO Funder Share'!#REF!,Selection!$A$2&amp;" - "&amp;Selection!$A$3,'AMMO Funder Share'!$A:$A,L55)))</f>
        <v>#REF!</v>
      </c>
      <c r="Q55" s="1476">
        <f>GETPIVOTDATA("Savings Rate",'AMMO Savings Rates'!$A$3,"Year",$L55,"Measure Index",$A55,"Savings Rate Type","Savings_Rate_2021PP")</f>
        <v>1329.89976553</v>
      </c>
      <c r="R55" s="2772"/>
      <c r="S55" s="353" t="e">
        <f t="shared" si="15"/>
        <v>#REF!</v>
      </c>
      <c r="T55" s="319">
        <f t="shared" si="16"/>
        <v>0</v>
      </c>
      <c r="U55" s="357" t="e">
        <f t="shared" si="17"/>
        <v>#REF!</v>
      </c>
    </row>
    <row r="56" spans="1:21" ht="12.75" hidden="1" customHeight="1">
      <c r="A56" s="273" t="s">
        <v>81</v>
      </c>
      <c r="B56" s="311" t="s">
        <v>252</v>
      </c>
      <c r="C56" s="311">
        <v>0</v>
      </c>
      <c r="D56" s="311">
        <v>0</v>
      </c>
      <c r="E56" s="311">
        <v>1</v>
      </c>
      <c r="F56" s="311">
        <v>1</v>
      </c>
      <c r="G56" s="311" t="b">
        <v>1</v>
      </c>
      <c r="H56" s="313" t="s">
        <v>236</v>
      </c>
      <c r="I56" s="314" t="s">
        <v>2764</v>
      </c>
      <c r="J56" s="441" t="s">
        <v>1529</v>
      </c>
      <c r="K56" s="314" t="s">
        <v>927</v>
      </c>
      <c r="L56" s="1893">
        <v>2025</v>
      </c>
      <c r="M56" s="322">
        <f>GETPIVOTDATA("Units",'AMMO Units'!$A$3,"Year",$L56,"Measure Index",$A56,"Savings Category","Regional_Market_2021PP")</f>
        <v>0</v>
      </c>
      <c r="N56" s="323">
        <f>GETPIVOTDATA("Units",'AMMO Units'!$A$3,"Year",$L56,"Measure Index",$A56,"Savings Category","Local_Incentives_2021PP")</f>
        <v>0</v>
      </c>
      <c r="O56" s="216" t="s">
        <v>2765</v>
      </c>
      <c r="P56" s="445">
        <f>IF(Selection!$A$2="regional",1,IF($M56=0,0,SUMIFS('AMMO Funder Share'!$E:$E,'AMMO Funder Share'!#REF!,Selection!$A$2&amp;" - "&amp;Selection!$A$3,'AMMO Funder Share'!$A:$A,L56)))</f>
        <v>0</v>
      </c>
      <c r="Q56" s="1476">
        <f>GETPIVOTDATA("Savings Rate",'AMMO Savings Rates'!$A$3,"Year",$L56,"Measure Index",$A56,"Savings Rate Type","Savings_Rate_2021PP")</f>
        <v>807.60851158000003</v>
      </c>
      <c r="R56" s="2772"/>
      <c r="S56" s="353">
        <f t="shared" si="15"/>
        <v>0</v>
      </c>
      <c r="T56" s="319">
        <f t="shared" si="16"/>
        <v>0</v>
      </c>
      <c r="U56" s="357">
        <f t="shared" si="17"/>
        <v>0</v>
      </c>
    </row>
    <row r="57" spans="1:21" ht="12.75" hidden="1" customHeight="1">
      <c r="A57" s="273" t="s">
        <v>82</v>
      </c>
      <c r="B57" s="311" t="s">
        <v>252</v>
      </c>
      <c r="C57" s="311">
        <v>0</v>
      </c>
      <c r="D57" s="311">
        <v>0</v>
      </c>
      <c r="E57" s="311">
        <v>1</v>
      </c>
      <c r="F57" s="311">
        <v>1</v>
      </c>
      <c r="G57" s="311" t="b">
        <v>1</v>
      </c>
      <c r="H57" s="313" t="s">
        <v>236</v>
      </c>
      <c r="I57" s="314" t="s">
        <v>2764</v>
      </c>
      <c r="J57" s="441" t="s">
        <v>1530</v>
      </c>
      <c r="K57" s="314" t="s">
        <v>927</v>
      </c>
      <c r="L57" s="1893">
        <v>2025</v>
      </c>
      <c r="M57" s="322">
        <f>GETPIVOTDATA("Units",'AMMO Units'!$A$3,"Year",$L57,"Measure Index",$A57,"Savings Category","Regional_Market_2021PP")</f>
        <v>0</v>
      </c>
      <c r="N57" s="323">
        <f>GETPIVOTDATA("Units",'AMMO Units'!$A$3,"Year",$L57,"Measure Index",$A57,"Savings Category","Local_Incentives_2021PP")</f>
        <v>0</v>
      </c>
      <c r="O57" s="216" t="s">
        <v>2765</v>
      </c>
      <c r="P57" s="445">
        <f>IF(Selection!$A$2="regional",1,IF($M57=0,0,SUMIFS('AMMO Funder Share'!$E:$E,'AMMO Funder Share'!#REF!,Selection!$A$2&amp;" - "&amp;Selection!$A$3,'AMMO Funder Share'!$A:$A,L57)))</f>
        <v>0</v>
      </c>
      <c r="Q57" s="1476">
        <f>GETPIVOTDATA("Savings Rate",'AMMO Savings Rates'!$A$3,"Year",$L57,"Measure Index",$A57,"Savings Rate Type","Savings_Rate_2021PP")</f>
        <v>834.34440517999997</v>
      </c>
      <c r="R57" s="2772"/>
      <c r="S57" s="353">
        <f t="shared" si="15"/>
        <v>0</v>
      </c>
      <c r="T57" s="319">
        <f t="shared" si="16"/>
        <v>0</v>
      </c>
      <c r="U57" s="357">
        <f t="shared" si="17"/>
        <v>0</v>
      </c>
    </row>
    <row r="58" spans="1:21" ht="12.75" hidden="1" customHeight="1">
      <c r="A58" s="273" t="s">
        <v>83</v>
      </c>
      <c r="B58" s="311" t="s">
        <v>252</v>
      </c>
      <c r="C58" s="311">
        <v>0</v>
      </c>
      <c r="D58" s="311">
        <v>0</v>
      </c>
      <c r="E58" s="311">
        <v>1</v>
      </c>
      <c r="F58" s="311">
        <v>1</v>
      </c>
      <c r="G58" s="311" t="b">
        <v>1</v>
      </c>
      <c r="H58" s="313" t="s">
        <v>236</v>
      </c>
      <c r="I58" s="314" t="s">
        <v>2764</v>
      </c>
      <c r="J58" s="441" t="s">
        <v>1531</v>
      </c>
      <c r="K58" s="314" t="s">
        <v>927</v>
      </c>
      <c r="L58" s="1893">
        <v>2025</v>
      </c>
      <c r="M58" s="322">
        <f>GETPIVOTDATA("Units",'AMMO Units'!$A$3,"Year",$L58,"Measure Index",$A58,"Savings Category","Regional_Market_2021PP")</f>
        <v>0</v>
      </c>
      <c r="N58" s="323">
        <f>GETPIVOTDATA("Units",'AMMO Units'!$A$3,"Year",$L58,"Measure Index",$A58,"Savings Category","Local_Incentives_2021PP")</f>
        <v>0</v>
      </c>
      <c r="O58" s="216" t="s">
        <v>2765</v>
      </c>
      <c r="P58" s="445">
        <f>IF(Selection!$A$2="regional",1,IF($M58=0,0,SUMIFS('AMMO Funder Share'!$E:$E,'AMMO Funder Share'!#REF!,Selection!$A$2&amp;" - "&amp;Selection!$A$3,'AMMO Funder Share'!$A:$A,L58)))</f>
        <v>0</v>
      </c>
      <c r="Q58" s="1476">
        <f>GETPIVOTDATA("Savings Rate",'AMMO Savings Rates'!$A$3,"Year",$L58,"Measure Index",$A58,"Savings Rate Type","Savings_Rate_2021PP")</f>
        <v>1240.5800106500001</v>
      </c>
      <c r="R58" s="2772"/>
      <c r="S58" s="353">
        <f t="shared" si="15"/>
        <v>0</v>
      </c>
      <c r="T58" s="319">
        <f t="shared" si="16"/>
        <v>0</v>
      </c>
      <c r="U58" s="357">
        <f t="shared" si="17"/>
        <v>0</v>
      </c>
    </row>
    <row r="59" spans="1:21" ht="12.75" hidden="1" customHeight="1">
      <c r="A59" s="273" t="s">
        <v>84</v>
      </c>
      <c r="B59" s="311" t="s">
        <v>252</v>
      </c>
      <c r="C59" s="311">
        <v>0</v>
      </c>
      <c r="D59" s="311">
        <v>0</v>
      </c>
      <c r="E59" s="311">
        <v>1</v>
      </c>
      <c r="F59" s="311">
        <v>1</v>
      </c>
      <c r="G59" s="311" t="b">
        <v>1</v>
      </c>
      <c r="H59" s="313" t="s">
        <v>236</v>
      </c>
      <c r="I59" s="314" t="s">
        <v>2764</v>
      </c>
      <c r="J59" s="441" t="s">
        <v>930</v>
      </c>
      <c r="K59" s="314" t="s">
        <v>927</v>
      </c>
      <c r="L59" s="1893">
        <v>2025</v>
      </c>
      <c r="M59" s="322">
        <f>GETPIVOTDATA("Units",'AMMO Units'!$A$3,"Year",$L59,"Measure Index",$A59,"Savings Category","Regional_Market_2021PP")</f>
        <v>4.5</v>
      </c>
      <c r="N59" s="323">
        <f>GETPIVOTDATA("Units",'AMMO Units'!$A$3,"Year",$L59,"Measure Index",$A59,"Savings Category","Local_Incentives_2021PP")</f>
        <v>0</v>
      </c>
      <c r="O59" s="216" t="s">
        <v>2765</v>
      </c>
      <c r="P59" s="445" t="e">
        <f>IF(Selection!$A$2="regional",1,IF($M59=0,0,SUMIFS('AMMO Funder Share'!$E:$E,'AMMO Funder Share'!#REF!,Selection!$A$2&amp;" - "&amp;Selection!$A$3,'AMMO Funder Share'!$A:$A,L59)))</f>
        <v>#REF!</v>
      </c>
      <c r="Q59" s="1476">
        <f>GETPIVOTDATA("Savings Rate",'AMMO Savings Rates'!$A$3,"Year",$L59,"Measure Index",$A59,"Savings Rate Type","Savings_Rate_2021PP")</f>
        <v>1329.89976553</v>
      </c>
      <c r="R59" s="2772"/>
      <c r="S59" s="353" t="e">
        <f t="shared" si="15"/>
        <v>#REF!</v>
      </c>
      <c r="T59" s="319">
        <f t="shared" si="16"/>
        <v>0</v>
      </c>
      <c r="U59" s="357" t="e">
        <f t="shared" si="17"/>
        <v>#REF!</v>
      </c>
    </row>
    <row r="60" spans="1:21" ht="12.75" hidden="1" customHeight="1">
      <c r="A60" s="273" t="s">
        <v>681</v>
      </c>
      <c r="B60" s="311" t="s">
        <v>2942</v>
      </c>
      <c r="C60" s="311">
        <v>0</v>
      </c>
      <c r="D60" s="311">
        <v>0</v>
      </c>
      <c r="E60" s="311">
        <v>1</v>
      </c>
      <c r="F60" s="311">
        <v>1</v>
      </c>
      <c r="G60" s="311" t="b">
        <v>1</v>
      </c>
      <c r="H60" s="313" t="s">
        <v>236</v>
      </c>
      <c r="I60" s="314" t="s">
        <v>2764</v>
      </c>
      <c r="J60" s="441" t="s">
        <v>682</v>
      </c>
      <c r="K60" s="314" t="s">
        <v>927</v>
      </c>
      <c r="L60" s="1893">
        <v>2025</v>
      </c>
      <c r="M60" s="322">
        <f>GETPIVOTDATA("Units",'AMMO Units'!$A$3,"Year",$L60,"Measure Index",$A60,"Savings Category","Regional_Market_2021PP")</f>
        <v>1684.35</v>
      </c>
      <c r="N60" s="323">
        <f>GETPIVOTDATA("Units",'AMMO Units'!$A$3,"Year",$L60,"Measure Index",$A60,"Savings Category","Local_Incentives_2021PP")</f>
        <v>1684.35</v>
      </c>
      <c r="O60" s="216" t="s">
        <v>2765</v>
      </c>
      <c r="P60" s="445" t="e">
        <f>IF(Selection!$A$2="regional",1,IF($M60=0,0,SUMIFS('AMMO Funder Share'!$E:$E,'AMMO Funder Share'!#REF!,Selection!$A$2&amp;" - "&amp;Selection!$A$3,'AMMO Funder Share'!$A:$A,L60)))</f>
        <v>#REF!</v>
      </c>
      <c r="Q60" s="1476">
        <f>GETPIVOTDATA("Savings Rate",'AMMO Savings Rates'!$A$3,"Year",$L60,"Measure Index",$A60,"Savings Rate Type","Savings_Rate_2021PP")</f>
        <v>1123.17322201</v>
      </c>
      <c r="R60" s="2772"/>
      <c r="S60" s="353" t="e">
        <f t="shared" si="15"/>
        <v>#REF!</v>
      </c>
      <c r="T60" s="319">
        <f t="shared" si="16"/>
        <v>0</v>
      </c>
      <c r="U60" s="357" t="e">
        <f t="shared" si="17"/>
        <v>#REF!</v>
      </c>
    </row>
    <row r="61" spans="1:21" ht="12.75" hidden="1" customHeight="1">
      <c r="A61" s="273" t="s">
        <v>756</v>
      </c>
      <c r="B61" s="311" t="s">
        <v>252</v>
      </c>
      <c r="C61" s="311">
        <v>0</v>
      </c>
      <c r="D61" s="311">
        <v>0</v>
      </c>
      <c r="E61" s="311">
        <v>1</v>
      </c>
      <c r="F61" s="311">
        <v>1</v>
      </c>
      <c r="G61" s="311" t="b">
        <v>1</v>
      </c>
      <c r="H61" s="313" t="s">
        <v>236</v>
      </c>
      <c r="I61" s="314" t="s">
        <v>2764</v>
      </c>
      <c r="J61" s="441" t="s">
        <v>942</v>
      </c>
      <c r="K61" s="314" t="s">
        <v>927</v>
      </c>
      <c r="L61" s="1893">
        <v>2025</v>
      </c>
      <c r="M61" s="322">
        <f>GETPIVOTDATA("Units",'AMMO Units'!$A$3,"Year",$L61,"Measure Index",$A61,"Savings Category","Regional_Market_2021PP")</f>
        <v>8</v>
      </c>
      <c r="N61" s="323">
        <f>GETPIVOTDATA("Units",'AMMO Units'!$A$3,"Year",$L61,"Measure Index",$A61,"Savings Category","Local_Incentives_2021PP")</f>
        <v>2</v>
      </c>
      <c r="O61" s="216" t="s">
        <v>2765</v>
      </c>
      <c r="P61" s="445" t="e">
        <f>IF(Selection!$A$2="regional",1,IF($M61=0,0,SUMIFS('AMMO Funder Share'!$E:$E,'AMMO Funder Share'!#REF!,Selection!$A$2&amp;" - "&amp;Selection!$A$3,'AMMO Funder Share'!$A:$A,L61)))</f>
        <v>#REF!</v>
      </c>
      <c r="Q61" s="1476">
        <f>GETPIVOTDATA("Savings Rate",'AMMO Savings Rates'!$A$3,"Year",$L61,"Measure Index",$A61,"Savings Rate Type","Savings_Rate_2021PP")</f>
        <v>1240.5800106500001</v>
      </c>
      <c r="R61" s="2772"/>
      <c r="S61" s="353" t="e">
        <f t="shared" si="15"/>
        <v>#REF!</v>
      </c>
      <c r="T61" s="319">
        <f t="shared" si="16"/>
        <v>0</v>
      </c>
      <c r="U61" s="357" t="e">
        <f t="shared" si="17"/>
        <v>#REF!</v>
      </c>
    </row>
    <row r="62" spans="1:21" ht="12.75" hidden="1" customHeight="1">
      <c r="A62" s="273" t="s">
        <v>757</v>
      </c>
      <c r="B62" s="311" t="s">
        <v>252</v>
      </c>
      <c r="C62" s="311">
        <v>0</v>
      </c>
      <c r="D62" s="311">
        <v>0</v>
      </c>
      <c r="E62" s="311">
        <v>1</v>
      </c>
      <c r="F62" s="311">
        <v>1</v>
      </c>
      <c r="G62" s="311" t="b">
        <v>1</v>
      </c>
      <c r="H62" s="313" t="s">
        <v>236</v>
      </c>
      <c r="I62" s="314" t="s">
        <v>2764</v>
      </c>
      <c r="J62" s="441" t="s">
        <v>937</v>
      </c>
      <c r="K62" s="314" t="s">
        <v>927</v>
      </c>
      <c r="L62" s="1893">
        <v>2025</v>
      </c>
      <c r="M62" s="322">
        <f>GETPIVOTDATA("Units",'AMMO Units'!$A$3,"Year",$L62,"Measure Index",$A62,"Savings Category","Regional_Market_2021PP")</f>
        <v>300</v>
      </c>
      <c r="N62" s="323">
        <f>GETPIVOTDATA("Units",'AMMO Units'!$A$3,"Year",$L62,"Measure Index",$A62,"Savings Category","Local_Incentives_2021PP")</f>
        <v>300</v>
      </c>
      <c r="O62" s="216" t="s">
        <v>2765</v>
      </c>
      <c r="P62" s="445" t="e">
        <f>IF(Selection!$A$2="regional",1,IF($M62=0,0,SUMIFS('AMMO Funder Share'!$E:$E,'AMMO Funder Share'!#REF!,Selection!$A$2&amp;" - "&amp;Selection!$A$3,'AMMO Funder Share'!$A:$A,L62)))</f>
        <v>#REF!</v>
      </c>
      <c r="Q62" s="1476">
        <f>GETPIVOTDATA("Savings Rate",'AMMO Savings Rates'!$A$3,"Year",$L62,"Measure Index",$A62,"Savings Rate Type","Savings_Rate_2021PP")</f>
        <v>819.10931174999996</v>
      </c>
      <c r="R62" s="2772"/>
      <c r="S62" s="353" t="e">
        <f t="shared" si="15"/>
        <v>#REF!</v>
      </c>
      <c r="T62" s="319">
        <f t="shared" si="16"/>
        <v>0</v>
      </c>
      <c r="U62" s="357" t="e">
        <f t="shared" si="17"/>
        <v>#REF!</v>
      </c>
    </row>
    <row r="63" spans="1:21" ht="12.75" hidden="1" customHeight="1">
      <c r="A63" s="273" t="s">
        <v>758</v>
      </c>
      <c r="B63" s="311" t="s">
        <v>252</v>
      </c>
      <c r="C63" s="311">
        <v>0</v>
      </c>
      <c r="D63" s="311">
        <v>0</v>
      </c>
      <c r="E63" s="311">
        <v>1</v>
      </c>
      <c r="F63" s="311">
        <v>1</v>
      </c>
      <c r="G63" s="311" t="b">
        <v>1</v>
      </c>
      <c r="H63" s="313" t="s">
        <v>236</v>
      </c>
      <c r="I63" s="314" t="s">
        <v>2764</v>
      </c>
      <c r="J63" s="441" t="s">
        <v>938</v>
      </c>
      <c r="K63" s="314" t="s">
        <v>927</v>
      </c>
      <c r="L63" s="1893">
        <v>2025</v>
      </c>
      <c r="M63" s="322">
        <f>GETPIVOTDATA("Units",'AMMO Units'!$A$3,"Year",$L63,"Measure Index",$A63,"Savings Category","Regional_Market_2021PP")</f>
        <v>10</v>
      </c>
      <c r="N63" s="323">
        <f>GETPIVOTDATA("Units",'AMMO Units'!$A$3,"Year",$L63,"Measure Index",$A63,"Savings Category","Local_Incentives_2021PP")</f>
        <v>10</v>
      </c>
      <c r="O63" s="216" t="s">
        <v>2765</v>
      </c>
      <c r="P63" s="445" t="e">
        <f>IF(Selection!$A$2="regional",1,IF($M63=0,0,SUMIFS('AMMO Funder Share'!$E:$E,'AMMO Funder Share'!#REF!,Selection!$A$2&amp;" - "&amp;Selection!$A$3,'AMMO Funder Share'!$A:$A,L63)))</f>
        <v>#REF!</v>
      </c>
      <c r="Q63" s="1476">
        <f>GETPIVOTDATA("Savings Rate",'AMMO Savings Rates'!$A$3,"Year",$L63,"Measure Index",$A63,"Savings Rate Type","Savings_Rate_2021PP")</f>
        <v>834.34440517999997</v>
      </c>
      <c r="R63" s="2772"/>
      <c r="S63" s="353" t="e">
        <f t="shared" si="15"/>
        <v>#REF!</v>
      </c>
      <c r="T63" s="319">
        <f t="shared" si="16"/>
        <v>0</v>
      </c>
      <c r="U63" s="357" t="e">
        <f t="shared" si="17"/>
        <v>#REF!</v>
      </c>
    </row>
    <row r="64" spans="1:21" ht="12.75" hidden="1" customHeight="1">
      <c r="A64" s="273" t="s">
        <v>759</v>
      </c>
      <c r="B64" s="311" t="s">
        <v>252</v>
      </c>
      <c r="C64" s="311">
        <v>0</v>
      </c>
      <c r="D64" s="311">
        <v>0</v>
      </c>
      <c r="E64" s="311">
        <v>1</v>
      </c>
      <c r="F64" s="311">
        <v>1</v>
      </c>
      <c r="G64" s="311" t="b">
        <v>1</v>
      </c>
      <c r="H64" s="313" t="s">
        <v>236</v>
      </c>
      <c r="I64" s="314" t="s">
        <v>2764</v>
      </c>
      <c r="J64" s="441" t="s">
        <v>939</v>
      </c>
      <c r="K64" s="314" t="s">
        <v>927</v>
      </c>
      <c r="L64" s="1893">
        <v>2025</v>
      </c>
      <c r="M64" s="322">
        <f>GETPIVOTDATA("Units",'AMMO Units'!$A$3,"Year",$L64,"Measure Index",$A64,"Savings Category","Regional_Market_2021PP")</f>
        <v>10</v>
      </c>
      <c r="N64" s="323">
        <f>GETPIVOTDATA("Units",'AMMO Units'!$A$3,"Year",$L64,"Measure Index",$A64,"Savings Category","Local_Incentives_2021PP")</f>
        <v>0</v>
      </c>
      <c r="O64" s="216" t="s">
        <v>2765</v>
      </c>
      <c r="P64" s="445" t="e">
        <f>IF(Selection!$A$2="regional",1,IF($M64=0,0,SUMIFS('AMMO Funder Share'!$E:$E,'AMMO Funder Share'!#REF!,Selection!$A$2&amp;" - "&amp;Selection!$A$3,'AMMO Funder Share'!$A:$A,L64)))</f>
        <v>#REF!</v>
      </c>
      <c r="Q64" s="1476">
        <f>GETPIVOTDATA("Savings Rate",'AMMO Savings Rates'!$A$3,"Year",$L64,"Measure Index",$A64,"Savings Rate Type","Savings_Rate_2021PP")</f>
        <v>1123.17322201</v>
      </c>
      <c r="R64" s="2772"/>
      <c r="S64" s="353" t="e">
        <f t="shared" si="15"/>
        <v>#REF!</v>
      </c>
      <c r="T64" s="319">
        <f t="shared" si="16"/>
        <v>0</v>
      </c>
      <c r="U64" s="357" t="e">
        <f t="shared" si="17"/>
        <v>#REF!</v>
      </c>
    </row>
    <row r="65" spans="1:21" s="736" customFormat="1" ht="12.75" hidden="1" customHeight="1">
      <c r="A65" s="1888" t="s">
        <v>760</v>
      </c>
      <c r="B65" s="1888" t="s">
        <v>252</v>
      </c>
      <c r="C65" s="1888">
        <v>0</v>
      </c>
      <c r="D65" s="1888">
        <v>0</v>
      </c>
      <c r="E65" s="1888">
        <v>1</v>
      </c>
      <c r="F65" s="1888">
        <v>1</v>
      </c>
      <c r="G65" s="1888" t="b">
        <v>1</v>
      </c>
      <c r="H65" s="313" t="s">
        <v>236</v>
      </c>
      <c r="I65" s="314" t="s">
        <v>2764</v>
      </c>
      <c r="J65" s="441" t="s">
        <v>940</v>
      </c>
      <c r="K65" s="314" t="s">
        <v>927</v>
      </c>
      <c r="L65" s="1893">
        <v>2025</v>
      </c>
      <c r="M65" s="322">
        <f>GETPIVOTDATA("Units",'AMMO Units'!$A$3,"Year",$L65,"Measure Index",$A65,"Savings Category","Regional_Market_2021PP")</f>
        <v>70</v>
      </c>
      <c r="N65" s="323">
        <f>GETPIVOTDATA("Units",'AMMO Units'!$A$3,"Year",$L65,"Measure Index",$A65,"Savings Category","Local_Incentives_2021PP")</f>
        <v>63</v>
      </c>
      <c r="O65" s="216" t="s">
        <v>2765</v>
      </c>
      <c r="P65" s="445" t="e">
        <f>IF(Selection!$A$2="regional",1,IF($M65=0,0,SUMIFS('AMMO Funder Share'!$E:$E,'AMMO Funder Share'!#REF!,Selection!$A$2&amp;" - "&amp;Selection!$A$3,'AMMO Funder Share'!$A:$A,L65)))</f>
        <v>#REF!</v>
      </c>
      <c r="Q65" s="1476">
        <f>GETPIVOTDATA("Savings Rate",'AMMO Savings Rates'!$A$3,"Year",$L65,"Measure Index",$A65,"Savings Rate Type","Savings_Rate_2021PP")</f>
        <v>2736.7661195800001</v>
      </c>
      <c r="R65" s="2772"/>
      <c r="S65" s="353" t="e">
        <f t="shared" si="15"/>
        <v>#REF!</v>
      </c>
      <c r="T65" s="319">
        <f t="shared" si="16"/>
        <v>0</v>
      </c>
      <c r="U65" s="357" t="e">
        <f t="shared" si="17"/>
        <v>#REF!</v>
      </c>
    </row>
    <row r="66" spans="1:21" s="736" customFormat="1" ht="12.75" hidden="1" customHeight="1">
      <c r="A66" s="1888"/>
      <c r="B66" s="1888"/>
      <c r="C66" s="1888"/>
      <c r="D66" s="1888"/>
      <c r="E66" s="1888"/>
      <c r="F66" s="1888"/>
      <c r="G66" s="1888"/>
      <c r="H66" s="735"/>
      <c r="I66" s="735"/>
      <c r="J66" s="1387"/>
      <c r="K66" s="735"/>
      <c r="L66" s="1388"/>
      <c r="M66" s="1389"/>
      <c r="N66" s="1389"/>
      <c r="O66" s="1390"/>
      <c r="P66" s="1894"/>
      <c r="Q66" s="1895"/>
      <c r="R66" s="1896"/>
      <c r="S66" s="1392"/>
      <c r="T66" s="1392"/>
      <c r="U66" s="1393"/>
    </row>
    <row r="67" spans="1:21" ht="12.75" hidden="1" customHeight="1">
      <c r="H67" s="622" t="s">
        <v>663</v>
      </c>
    </row>
    <row r="68" spans="1:21" ht="27.75" hidden="1" customHeight="1">
      <c r="H68" s="2762" t="s">
        <v>2767</v>
      </c>
      <c r="I68" s="2763"/>
      <c r="J68" s="2763"/>
      <c r="K68" s="2763"/>
      <c r="L68" s="2763"/>
      <c r="M68" s="2763"/>
      <c r="N68" s="2764"/>
    </row>
    <row r="69" spans="1:21" ht="27.75" hidden="1" customHeight="1">
      <c r="H69" s="2765"/>
      <c r="I69" s="2766"/>
      <c r="J69" s="2766"/>
      <c r="K69" s="2766"/>
      <c r="L69" s="2766"/>
      <c r="M69" s="2766"/>
      <c r="N69" s="2767"/>
    </row>
    <row r="70" spans="1:21" ht="27.75" hidden="1" customHeight="1">
      <c r="H70" s="2765"/>
      <c r="I70" s="2766"/>
      <c r="J70" s="2766"/>
      <c r="K70" s="2766"/>
      <c r="L70" s="2766"/>
      <c r="M70" s="2766"/>
      <c r="N70" s="2767"/>
    </row>
    <row r="71" spans="1:21" ht="27.75" hidden="1" customHeight="1">
      <c r="H71" s="2768"/>
      <c r="I71" s="2769"/>
      <c r="J71" s="2769"/>
      <c r="K71" s="2769"/>
      <c r="L71" s="2769"/>
      <c r="M71" s="2769"/>
      <c r="N71" s="2770"/>
    </row>
  </sheetData>
  <autoFilter ref="A5:U71" xr:uid="{84509B80-FEC4-4412-9F87-626196FB7D95}">
    <filterColumn colId="11">
      <filters>
        <filter val="2022"/>
        <filter val="2023"/>
      </filters>
    </filterColumn>
  </autoFilter>
  <dataConsolidate/>
  <mergeCells count="8">
    <mergeCell ref="H68:N71"/>
    <mergeCell ref="S4:U4"/>
    <mergeCell ref="I2:L2"/>
    <mergeCell ref="A4:G4"/>
    <mergeCell ref="H4:L4"/>
    <mergeCell ref="M4:P4"/>
    <mergeCell ref="Q4:R4"/>
    <mergeCell ref="R6:R65"/>
  </mergeCells>
  <hyperlinks>
    <hyperlink ref="H1" location="' Summary by Program 2020-21'!H1" display="Summary Page" xr:uid="{00000000-0004-0000-1700-000000000000}"/>
  </hyperlinks>
  <pageMargins left="0.7" right="0.7" top="0.75" bottom="0.75" header="0.3" footer="0.3"/>
  <pageSetup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filterMode="1">
    <tabColor rgb="FF0083CA"/>
    <pageSetUpPr fitToPage="1"/>
  </sheetPr>
  <dimension ref="A1:AW12"/>
  <sheetViews>
    <sheetView showGridLines="0" topLeftCell="H1" zoomScale="90" zoomScaleNormal="90" workbookViewId="0">
      <selection activeCell="U6" sqref="U6:U7"/>
    </sheetView>
  </sheetViews>
  <sheetFormatPr defaultColWidth="18.7109375" defaultRowHeight="12.75" customHeight="1" outlineLevelCol="1"/>
  <cols>
    <col min="1" max="1" width="18" style="8" hidden="1" customWidth="1" outlineLevel="1"/>
    <col min="2" max="2" width="12" style="8" hidden="1" customWidth="1" outlineLevel="1"/>
    <col min="3" max="3" width="5.28515625" style="10" hidden="1" customWidth="1" outlineLevel="1"/>
    <col min="4" max="4" width="20.42578125" style="10" hidden="1" customWidth="1" outlineLevel="1"/>
    <col min="5" max="5" width="18.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7.42578125" style="274" customWidth="1"/>
    <col min="11" max="11" width="18.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s="1376" customFormat="1" ht="12.75" customHeight="1" thickTop="1">
      <c r="A6" s="58" t="s">
        <v>392</v>
      </c>
      <c r="B6" s="9" t="str">
        <f t="shared" ref="B6:B7" si="0">LEFT(A6,10)</f>
        <v>RES_201403</v>
      </c>
      <c r="C6" s="9">
        <v>0</v>
      </c>
      <c r="D6" s="9">
        <v>0</v>
      </c>
      <c r="E6" s="9">
        <f>COUNTIFS($A:$A,A6,$L:$L,L6)</f>
        <v>1</v>
      </c>
      <c r="F6" s="9">
        <v>1</v>
      </c>
      <c r="G6" s="59" t="b">
        <v>1</v>
      </c>
      <c r="H6" s="313" t="str">
        <f>IF(LEFT(A6,3)="Res","Residential",IF(LEFT(A6,3)="Ind","industrial",IF(LEFT(A6,3)="Com","Commercial",IF(LEFT(A6,3)="AGR","Agriculture",""))))</f>
        <v>Residential</v>
      </c>
      <c r="I6" s="727" t="str">
        <f>INDEX('AMMO Measures'!B:B,MATCH($A6,'AMMO Measures'!$A:$A,0))</f>
        <v>Retail Product Portfolio</v>
      </c>
      <c r="J6" s="727" t="str">
        <f>INDEX('AMMO Measures'!C:C,MATCH($A6,'AMMO Measures'!$A:$A,0))</f>
        <v>Air Cleaner</v>
      </c>
      <c r="K6" s="727" t="str">
        <f>INDEX('AMMO Measures'!D:D,MATCH($A6,'AMMO Measures'!$A:$A,0))</f>
        <v>ENERGY STAR v2</v>
      </c>
      <c r="L6" s="24">
        <v>2022</v>
      </c>
      <c r="M6" s="744">
        <f>GETPIVOTDATA("Units",'AMMO Units'!$A$3,"Year",$L6,"Measure Index",$A6,"Savings Category","Regional_Market_2021PP")</f>
        <v>33692.596311070003</v>
      </c>
      <c r="N6" s="44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5">
        <f>GETPIVOTDATA("Savings Rate",'AMMO Savings Rates'!$A$3,"Year",$L6,"Measure Index",$A6,"Savings Rate Type","Savings_Rate_2021PP")</f>
        <v>41.802586349999999</v>
      </c>
      <c r="R6" s="181" t="s">
        <v>780</v>
      </c>
      <c r="S6" s="359">
        <f>(M6)*P6*Q6/8760000</f>
        <v>2.2486125377498844E-2</v>
      </c>
      <c r="T6" s="636">
        <f>IFERROR((N6-#REF!/M6*N6)*P6*Q6/8760/1000,0)</f>
        <v>0</v>
      </c>
      <c r="U6" s="320">
        <f>S6-T6</f>
        <v>2.2486125377498844E-2</v>
      </c>
    </row>
    <row r="7" spans="1:49" ht="12.75" customHeight="1">
      <c r="A7" s="58" t="s">
        <v>392</v>
      </c>
      <c r="B7" s="9" t="str">
        <f t="shared" si="0"/>
        <v>RES_201403</v>
      </c>
      <c r="C7" s="9">
        <v>0</v>
      </c>
      <c r="D7" s="9">
        <v>0</v>
      </c>
      <c r="E7" s="9">
        <f>COUNTIFS($A:$A,A7,$L:$L,L7)</f>
        <v>1</v>
      </c>
      <c r="F7" s="9">
        <v>1</v>
      </c>
      <c r="G7" s="59" t="b">
        <v>1</v>
      </c>
      <c r="H7" s="313" t="str">
        <f t="shared" ref="H7" si="1">IF(LEFT(A7,3)="Res","Residential",IF(LEFT(A7,3)="Ind","industrial",IF(LEFT(A7,3)="Com","Commercial",IF(LEFT(A7,3)="AGR","Agriculture",""))))</f>
        <v>Residential</v>
      </c>
      <c r="I7" s="727" t="str">
        <f>INDEX('AMMO Measures'!B:B,MATCH($A7,'AMMO Measures'!$A:$A,0))</f>
        <v>Retail Product Portfolio</v>
      </c>
      <c r="J7" s="727" t="str">
        <f>INDEX('AMMO Measures'!C:C,MATCH($A7,'AMMO Measures'!$A:$A,0))</f>
        <v>Air Cleaner</v>
      </c>
      <c r="K7" s="727" t="str">
        <f>INDEX('AMMO Measures'!D:D,MATCH($A7,'AMMO Measures'!$A:$A,0))</f>
        <v>ENERGY STAR v2</v>
      </c>
      <c r="L7" s="24">
        <v>2023</v>
      </c>
      <c r="M7" s="322">
        <f>GETPIVOTDATA("Units",'AMMO Units'!$A$3,"Year",$L7,"Measure Index",$A7,"Savings Category","Regional_Market_2021PP")</f>
        <v>46076.169627399999</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41.802586349999999</v>
      </c>
      <c r="R7" s="238" t="s">
        <v>1698</v>
      </c>
      <c r="S7" s="359">
        <f>(M7)*P7*Q7/8760000</f>
        <v>3.0750807019766804E-2</v>
      </c>
      <c r="T7" s="636">
        <f>IFERROR((N7-#REF!/M7*N7)*P7*Q7/8760/1000,0)</f>
        <v>0</v>
      </c>
      <c r="U7" s="320">
        <f t="shared" ref="U7" si="2">S7-T7</f>
        <v>3.0750807019766804E-2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12.75" hidden="1" customHeight="1">
      <c r="A8" s="58" t="s">
        <v>392</v>
      </c>
      <c r="B8" s="9" t="str">
        <f t="shared" ref="B8" si="3">LEFT(A8,10)</f>
        <v>RES_201403</v>
      </c>
      <c r="C8" s="9">
        <v>0</v>
      </c>
      <c r="D8" s="9">
        <v>0</v>
      </c>
      <c r="E8" s="9">
        <v>1</v>
      </c>
      <c r="F8" s="9">
        <v>1</v>
      </c>
      <c r="G8" s="59" t="b">
        <v>1</v>
      </c>
      <c r="H8" s="313" t="str">
        <f t="shared" ref="H8" si="4">IF(LEFT(A8,3)="Res","Residential",IF(LEFT(A8,3)="Ind","industrial",IF(LEFT(A8,3)="Com","Commercial",IF(LEFT(A8,3)="AGR","Agriculture",""))))</f>
        <v>Residential</v>
      </c>
      <c r="I8" s="727" t="str">
        <f>INDEX('AMMO Measures'!B:B,MATCH($A8,'AMMO Measures'!$A:$A,0))</f>
        <v>Retail Product Portfolio</v>
      </c>
      <c r="J8" s="727" t="str">
        <f>INDEX('AMMO Measures'!C:C,MATCH($A8,'AMMO Measures'!$A:$A,0))</f>
        <v>Air Cleaner</v>
      </c>
      <c r="K8" s="727" t="str">
        <f>INDEX('AMMO Measures'!D:D,MATCH($A8,'AMMO Measures'!$A:$A,0))</f>
        <v>ENERGY STAR v2</v>
      </c>
      <c r="L8" s="24">
        <v>2024</v>
      </c>
      <c r="M8" s="322">
        <f>GETPIVOTDATA("Units",'AMMO Units'!$A$3,"Year",$L8,"Measure Index",$A8,"Savings Category","Regional_Market_2021PP")</f>
        <v>83190.177926980003</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41.802586349999999</v>
      </c>
      <c r="R8" s="238" t="s">
        <v>1698</v>
      </c>
      <c r="S8" s="359">
        <f>(M8)*P8*Q8/8760000</f>
        <v>5.5520350933237483E-2</v>
      </c>
      <c r="T8" s="636">
        <f>IFERROR((N8-#REF!/M8*N8)*P8*Q8/8760/1000,0)</f>
        <v>0</v>
      </c>
      <c r="U8" s="320">
        <f t="shared" ref="U8" si="5">S8-T8</f>
        <v>5.5520350933237483E-2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s="590" customFormat="1" ht="15" hidden="1">
      <c r="A9" s="58" t="s">
        <v>392</v>
      </c>
      <c r="B9" s="9" t="str">
        <f t="shared" ref="B9" si="6">LEFT(A9,10)</f>
        <v>RES_201403</v>
      </c>
      <c r="C9" s="9">
        <v>0</v>
      </c>
      <c r="D9" s="9">
        <v>0</v>
      </c>
      <c r="E9" s="9">
        <v>1</v>
      </c>
      <c r="F9" s="9">
        <v>1</v>
      </c>
      <c r="G9" s="59" t="b">
        <v>1</v>
      </c>
      <c r="H9" s="313" t="str">
        <f t="shared" ref="H9" si="7">IF(LEFT(A9,3)="Res","Residential",IF(LEFT(A9,3)="Ind","industrial",IF(LEFT(A9,3)="Com","Commercial",IF(LEFT(A9,3)="AGR","Agriculture",""))))</f>
        <v>Residential</v>
      </c>
      <c r="I9" s="727" t="str">
        <f>INDEX('AMMO Measures'!B:B,MATCH($A9,'AMMO Measures'!$A:$A,0))</f>
        <v>Retail Product Portfolio</v>
      </c>
      <c r="J9" s="727" t="str">
        <f>INDEX('AMMO Measures'!C:C,MATCH($A9,'AMMO Measures'!$A:$A,0))</f>
        <v>Air Cleaner</v>
      </c>
      <c r="K9" s="727" t="str">
        <f>INDEX('AMMO Measures'!D:D,MATCH($A9,'AMMO Measures'!$A:$A,0))</f>
        <v>ENERGY STAR v2</v>
      </c>
      <c r="L9" s="24">
        <v>2025</v>
      </c>
      <c r="M9" s="322">
        <f>GETPIVOTDATA("Units",'AMMO Units'!$A$3,"Year",$L9,"Measure Index",$A9,"Savings Category","Regional_Market_2021PP")</f>
        <v>141118.97207412001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41.802586349999999</v>
      </c>
      <c r="R9" s="238" t="s">
        <v>1698</v>
      </c>
      <c r="S9" s="359">
        <f>(M9)*P9*Q9/8760000</f>
        <v>9.418148930718738E-2</v>
      </c>
      <c r="T9" s="636">
        <f>IFERROR((N9-#REF!/M9*N9)*P9*Q9/8760/1000,0)</f>
        <v>0</v>
      </c>
      <c r="U9" s="320">
        <f t="shared" ref="U9" si="8">S9-T9</f>
        <v>9.418148930718738E-2</v>
      </c>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row>
    <row r="10" spans="1:49" s="590" customFormat="1" ht="15" customHeight="1">
      <c r="A10" s="8"/>
      <c r="B10" s="9"/>
      <c r="C10" s="9"/>
      <c r="D10" s="9"/>
      <c r="E10" s="9"/>
      <c r="F10" s="9"/>
      <c r="G10" s="9"/>
      <c r="H10" s="735"/>
      <c r="I10" s="735"/>
      <c r="J10" s="735"/>
      <c r="K10" s="735"/>
      <c r="L10" s="1388"/>
      <c r="M10" s="1389"/>
      <c r="N10" s="1389"/>
      <c r="O10" s="1390"/>
      <c r="P10" s="1391"/>
      <c r="Q10" s="1433"/>
      <c r="R10" s="1434"/>
      <c r="S10" s="1435"/>
      <c r="T10" s="1392"/>
      <c r="U10" s="1436"/>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138.75" customHeight="1">
      <c r="F12" s="9"/>
      <c r="H12" s="2727" t="s">
        <v>1699</v>
      </c>
      <c r="I12" s="2728"/>
      <c r="J12" s="2728"/>
      <c r="K12" s="2728"/>
      <c r="L12" s="2730"/>
    </row>
  </sheetData>
  <autoFilter ref="A5:AC9"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phoneticPr fontId="183" type="noConversion"/>
  <hyperlinks>
    <hyperlink ref="H1" location="'Program Measures Summary'!H1" display="Summary Page" xr:uid="{466EFD74-792F-4E79-B003-AB2EB4FBDBFF}"/>
  </hyperlinks>
  <pageMargins left="0.7" right="0.7" top="0.75" bottom="0.75" header="0.3" footer="0.3"/>
  <pageSetup scale="1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4"/>
    <pageSetUpPr fitToPage="1"/>
  </sheetPr>
  <dimension ref="A1:AC11"/>
  <sheetViews>
    <sheetView showGridLines="0" topLeftCell="H1" zoomScale="90" zoomScaleNormal="90" workbookViewId="0">
      <selection activeCell="P6" sqref="P6"/>
    </sheetView>
  </sheetViews>
  <sheetFormatPr defaultColWidth="18.7109375" defaultRowHeight="20.100000000000001" customHeight="1" outlineLevelCol="1"/>
  <cols>
    <col min="1" max="1" width="26.7109375" style="8" hidden="1" customWidth="1" outlineLevel="1"/>
    <col min="2" max="2" width="15" style="8" hidden="1" customWidth="1" outlineLevel="1"/>
    <col min="3" max="3" width="8.7109375" style="10" hidden="1" customWidth="1" outlineLevel="1"/>
    <col min="4" max="4" width="7.28515625" style="10" hidden="1" customWidth="1" outlineLevel="1"/>
    <col min="5" max="5" width="9.42578125" style="10" hidden="1" customWidth="1" outlineLevel="1"/>
    <col min="6" max="6" width="11.7109375" style="10" hidden="1" customWidth="1" outlineLevel="1"/>
    <col min="7" max="7" width="9.7109375" style="8" hidden="1" customWidth="1" outlineLevel="1"/>
    <col min="8" max="8" width="18.140625" style="274" customWidth="1" collapsed="1"/>
    <col min="9" max="9" width="24.28515625" style="274" customWidth="1"/>
    <col min="10" max="10" width="14.5703125" style="274" customWidth="1"/>
    <col min="11" max="11" width="29" style="274" customWidth="1"/>
    <col min="12" max="12" width="15.7109375" style="274" customWidth="1"/>
    <col min="13" max="13" width="14.7109375" style="275" customWidth="1"/>
    <col min="14" max="14" width="11.28515625" style="275" customWidth="1"/>
    <col min="15" max="15" width="22" style="275" customWidth="1"/>
    <col min="16" max="16" width="14.28515625" style="274" customWidth="1"/>
    <col min="17" max="17" width="10" style="274" customWidth="1"/>
    <col min="18" max="18" width="14.7109375" style="274" customWidth="1"/>
    <col min="19" max="20" width="12.28515625" style="274" customWidth="1"/>
    <col min="21" max="21" width="12.7109375" style="276" customWidth="1"/>
    <col min="22" max="16384" width="18.7109375" style="274"/>
  </cols>
  <sheetData>
    <row r="1" spans="1:29" ht="20.100000000000001" customHeight="1">
      <c r="H1" s="168" t="s">
        <v>674</v>
      </c>
    </row>
    <row r="2" spans="1:29" ht="43.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O2" s="270"/>
      <c r="P2" s="270"/>
      <c r="Q2" s="270"/>
      <c r="AC2" s="274" t="s">
        <v>272</v>
      </c>
    </row>
    <row r="3" spans="1:29" ht="20.100000000000001" customHeight="1">
      <c r="E3" s="10" t="s">
        <v>471</v>
      </c>
      <c r="F3" s="10" t="b">
        <f>E3=E2</f>
        <v>1</v>
      </c>
      <c r="H3" s="486"/>
      <c r="M3" s="635"/>
      <c r="AC3" s="274" t="s">
        <v>273</v>
      </c>
    </row>
    <row r="4" spans="1:29" s="270" customFormat="1" ht="20.100000000000001" customHeight="1">
      <c r="A4" s="2600" t="s">
        <v>131</v>
      </c>
      <c r="B4" s="2601"/>
      <c r="C4" s="2601"/>
      <c r="D4" s="2601"/>
      <c r="E4" s="2601"/>
      <c r="F4" s="2601"/>
      <c r="G4" s="2602"/>
      <c r="H4" s="2706" t="s">
        <v>7</v>
      </c>
      <c r="I4" s="2597"/>
      <c r="J4" s="2597"/>
      <c r="K4" s="2597"/>
      <c r="L4" s="2707"/>
      <c r="M4" s="2623" t="s">
        <v>127</v>
      </c>
      <c r="N4" s="2594"/>
      <c r="O4" s="2594"/>
      <c r="P4" s="2624"/>
      <c r="Q4" s="2572" t="s">
        <v>129</v>
      </c>
      <c r="R4" s="2573"/>
      <c r="S4" s="2587" t="s">
        <v>130</v>
      </c>
      <c r="T4" s="2588"/>
      <c r="U4" s="2589"/>
    </row>
    <row r="5" spans="1:29" s="491" customFormat="1" ht="60.6"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row>
    <row r="6" spans="1:29" s="1" customFormat="1" ht="50.25" customHeight="1" thickTop="1">
      <c r="A6" s="58" t="s">
        <v>513</v>
      </c>
      <c r="B6" s="9" t="str">
        <f t="shared" ref="B6" si="0">LEFT(A6,10)</f>
        <v>RES_201403</v>
      </c>
      <c r="C6" s="9">
        <v>0</v>
      </c>
      <c r="D6" s="9">
        <v>0</v>
      </c>
      <c r="E6" s="9">
        <f>COUNTIFS($A:$A,A6,$L:$L,L6)</f>
        <v>1</v>
      </c>
      <c r="F6" s="9">
        <v>1</v>
      </c>
      <c r="G6" s="59" t="b">
        <v>1</v>
      </c>
      <c r="H6" s="1754" t="str">
        <f>IF(LEFT(A6,3)="Res","Residential",IF(LEFT(A6,3)="Ind","industrial",IF(LEFT(A6,3)="Com","Commercial",IF(LEFT(A6,3)="AGR","Agriculture",""))))</f>
        <v>Residential</v>
      </c>
      <c r="I6" s="1755" t="s">
        <v>154</v>
      </c>
      <c r="J6" s="1755" t="s">
        <v>294</v>
      </c>
      <c r="K6" s="1755" t="s">
        <v>917</v>
      </c>
      <c r="L6" s="1756">
        <v>2023</v>
      </c>
      <c r="M6" s="1757" t="s">
        <v>332</v>
      </c>
      <c r="N6" s="1758" t="s">
        <v>332</v>
      </c>
      <c r="O6" s="1759" t="s">
        <v>2772</v>
      </c>
      <c r="P6" s="1760" t="e">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#N/A</v>
      </c>
      <c r="Q6" s="1762" t="s">
        <v>332</v>
      </c>
      <c r="R6" s="1761" t="s">
        <v>2770</v>
      </c>
      <c r="S6" s="1762" t="s">
        <v>332</v>
      </c>
      <c r="T6" s="1763">
        <f>IFERROR((N6-#REF!/M6*N6)*P6*Q6/8760/1000,0)</f>
        <v>0</v>
      </c>
      <c r="U6" s="1764" t="s">
        <v>332</v>
      </c>
    </row>
    <row r="7" spans="1:29" s="1376" customFormat="1" ht="50.25" customHeight="1">
      <c r="A7" s="8" t="s">
        <v>513</v>
      </c>
      <c r="B7" s="9" t="s">
        <v>254</v>
      </c>
      <c r="C7" s="9">
        <v>0</v>
      </c>
      <c r="D7" s="9">
        <v>0</v>
      </c>
      <c r="E7" s="9">
        <v>1</v>
      </c>
      <c r="F7" s="9">
        <v>1</v>
      </c>
      <c r="G7" s="9" t="b">
        <v>1</v>
      </c>
      <c r="H7" s="1754" t="str">
        <f>IF(LEFT(A7,3)="Res","Residential",IF(LEFT(A7,3)="Ind","industrial",IF(LEFT(A7,3)="Com","Commercial",IF(LEFT(A7,3)="AGR","Agriculture",""))))</f>
        <v>Residential</v>
      </c>
      <c r="I7" s="1755" t="s">
        <v>154</v>
      </c>
      <c r="J7" s="1755" t="s">
        <v>294</v>
      </c>
      <c r="K7" s="1755" t="s">
        <v>917</v>
      </c>
      <c r="L7" s="1756">
        <v>2024</v>
      </c>
      <c r="M7" s="1757" t="s">
        <v>332</v>
      </c>
      <c r="N7" s="1758" t="s">
        <v>332</v>
      </c>
      <c r="O7" s="1759" t="s">
        <v>2772</v>
      </c>
      <c r="P7" s="1760" t="e">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#N/A</v>
      </c>
      <c r="Q7" s="1762" t="s">
        <v>332</v>
      </c>
      <c r="R7" s="1761" t="s">
        <v>2770</v>
      </c>
      <c r="S7" s="1762" t="s">
        <v>332</v>
      </c>
      <c r="T7" s="1763">
        <f>IFERROR((N7-#REF!/M7*N7)*P7*Q7/8760/1000,0)</f>
        <v>0</v>
      </c>
      <c r="U7" s="1764" t="s">
        <v>332</v>
      </c>
    </row>
    <row r="8" spans="1:29" s="1376" customFormat="1" ht="50.25" customHeight="1">
      <c r="A8" s="8" t="s">
        <v>513</v>
      </c>
      <c r="B8" s="9" t="s">
        <v>254</v>
      </c>
      <c r="C8" s="9">
        <v>0</v>
      </c>
      <c r="D8" s="9">
        <v>0</v>
      </c>
      <c r="E8" s="9">
        <v>1</v>
      </c>
      <c r="F8" s="9">
        <v>1</v>
      </c>
      <c r="G8" s="9" t="b">
        <v>1</v>
      </c>
      <c r="H8" s="1754" t="str">
        <f>IF(LEFT(A8,3)="Res","Residential",IF(LEFT(A8,3)="Ind","industrial",IF(LEFT(A8,3)="Com","Commercial",IF(LEFT(A8,3)="AGR","Agriculture",""))))</f>
        <v>Residential</v>
      </c>
      <c r="I8" s="1755" t="s">
        <v>154</v>
      </c>
      <c r="J8" s="1755" t="s">
        <v>294</v>
      </c>
      <c r="K8" s="1755" t="s">
        <v>917</v>
      </c>
      <c r="L8" s="1756">
        <v>2025</v>
      </c>
      <c r="M8" s="1757" t="s">
        <v>332</v>
      </c>
      <c r="N8" s="1758" t="s">
        <v>332</v>
      </c>
      <c r="O8" s="1759" t="s">
        <v>2772</v>
      </c>
      <c r="P8" s="1760" t="e">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#N/A</v>
      </c>
      <c r="Q8" s="1762" t="s">
        <v>332</v>
      </c>
      <c r="R8" s="1761" t="s">
        <v>2770</v>
      </c>
      <c r="S8" s="1762" t="s">
        <v>332</v>
      </c>
      <c r="T8" s="1763">
        <f>IFERROR((N8-#REF!/M8*N8)*P8*Q8/8760/1000,0)</f>
        <v>0</v>
      </c>
      <c r="U8" s="1764" t="s">
        <v>332</v>
      </c>
    </row>
    <row r="9" spans="1:29" s="469" customFormat="1" ht="20.100000000000001" customHeight="1">
      <c r="A9"/>
      <c r="B9"/>
      <c r="C9"/>
      <c r="D9"/>
      <c r="E9"/>
      <c r="F9"/>
      <c r="G9"/>
      <c r="H9" s="495" t="s">
        <v>840</v>
      </c>
    </row>
    <row r="10" spans="1:29" s="270" customFormat="1" ht="73.5" customHeight="1">
      <c r="A10"/>
      <c r="B10"/>
      <c r="C10"/>
      <c r="D10"/>
      <c r="E10"/>
      <c r="F10"/>
      <c r="G10"/>
      <c r="H10" s="2727" t="s">
        <v>2771</v>
      </c>
      <c r="I10" s="2728"/>
      <c r="J10" s="2728"/>
      <c r="K10" s="2728"/>
      <c r="L10" s="2730"/>
    </row>
    <row r="11" spans="1:29" s="469" customFormat="1" ht="21" customHeight="1">
      <c r="A11" s="8"/>
      <c r="B11" s="8"/>
      <c r="C11" s="10"/>
      <c r="D11" s="10"/>
      <c r="E11" s="10"/>
      <c r="F11" s="9"/>
      <c r="G11" s="8"/>
    </row>
  </sheetData>
  <autoFilter ref="A5:AC11" xr:uid="{00000000-0009-0000-0000-000019000000}"/>
  <dataConsolidate/>
  <mergeCells count="7">
    <mergeCell ref="H10:L10"/>
    <mergeCell ref="Q4:R4"/>
    <mergeCell ref="S4:U4"/>
    <mergeCell ref="I2:L2"/>
    <mergeCell ref="A4:G4"/>
    <mergeCell ref="H4:L4"/>
    <mergeCell ref="M4:P4"/>
  </mergeCells>
  <hyperlinks>
    <hyperlink ref="H1" location="'Program Measures Summary'!H1" display="Summary Page" xr:uid="{35314A06-963F-447E-9462-D2CB7256ABDE}"/>
  </hyperlinks>
  <pageMargins left="0.7" right="0.7" top="0.75" bottom="0.75" header="0.3" footer="0.3"/>
  <pageSetup scale="2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theme="4"/>
    <pageSetUpPr fitToPage="1"/>
  </sheetPr>
  <dimension ref="A1:XFD70"/>
  <sheetViews>
    <sheetView showGridLines="0" topLeftCell="H1" zoomScale="90" zoomScaleNormal="90" workbookViewId="0">
      <selection activeCell="X12" sqref="X12"/>
    </sheetView>
  </sheetViews>
  <sheetFormatPr defaultColWidth="18.7109375" defaultRowHeight="12.75" customHeight="1" outlineLevelCol="1"/>
  <cols>
    <col min="1" max="1" width="21.28515625" style="272" hidden="1" customWidth="1" outlineLevel="1"/>
    <col min="2" max="2" width="12.28515625" style="272" hidden="1" customWidth="1" outlineLevel="1"/>
    <col min="3" max="4" width="9.7109375" style="273" hidden="1" customWidth="1" outlineLevel="1"/>
    <col min="5" max="5" width="10.5703125" style="273" hidden="1" customWidth="1" outlineLevel="1"/>
    <col min="6" max="6" width="12.7109375" style="273" hidden="1" customWidth="1" outlineLevel="1"/>
    <col min="7" max="7" width="11" style="272" hidden="1" customWidth="1" outlineLevel="1"/>
    <col min="8" max="8" width="14.28515625" style="274" customWidth="1" collapsed="1"/>
    <col min="9" max="9" width="29.28515625" style="274" customWidth="1"/>
    <col min="10" max="10" width="27.42578125" style="274" customWidth="1"/>
    <col min="11" max="11" width="18" style="274" customWidth="1"/>
    <col min="12" max="12" width="14.28515625" style="274" customWidth="1"/>
    <col min="13" max="16" width="12.28515625" style="275" customWidth="1"/>
    <col min="17" max="17" width="12.28515625" style="274" customWidth="1"/>
    <col min="18" max="18" width="11.7109375" style="274" customWidth="1"/>
    <col min="19" max="19" width="13.7109375" style="274" customWidth="1"/>
    <col min="20" max="21" width="12.28515625" style="274" customWidth="1"/>
    <col min="22" max="22" width="12.28515625" style="276" customWidth="1"/>
    <col min="23" max="16384" width="18.7109375" style="274"/>
  </cols>
  <sheetData>
    <row r="1" spans="1:16384" ht="12.75" customHeight="1">
      <c r="H1" s="168" t="s">
        <v>674</v>
      </c>
    </row>
    <row r="2" spans="1:16384" ht="52.9" customHeight="1">
      <c r="H2" s="691" t="str">
        <f>I6&amp;":"</f>
        <v>Desktop Power Supplies:</v>
      </c>
      <c r="I2" s="2568"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568"/>
      <c r="K2" s="2568"/>
      <c r="L2" s="2568"/>
    </row>
    <row r="3" spans="1:16384" ht="11.65" customHeight="1">
      <c r="H3" s="486"/>
    </row>
    <row r="4" spans="1:16384" s="270" customFormat="1" ht="15.75" customHeight="1">
      <c r="A4" s="2569" t="s">
        <v>131</v>
      </c>
      <c r="B4" s="2570"/>
      <c r="C4" s="2570"/>
      <c r="D4" s="2570"/>
      <c r="E4" s="2570"/>
      <c r="F4" s="2570"/>
      <c r="G4" s="2571"/>
      <c r="H4" s="2773" t="s">
        <v>7</v>
      </c>
      <c r="I4" s="2774"/>
      <c r="J4" s="2774"/>
      <c r="K4" s="2774"/>
      <c r="L4" s="2774"/>
      <c r="M4" s="2623" t="s">
        <v>127</v>
      </c>
      <c r="N4" s="2594"/>
      <c r="O4" s="2594"/>
      <c r="P4" s="2594"/>
      <c r="Q4" s="2594"/>
      <c r="R4" s="2624"/>
      <c r="S4" s="865" t="s">
        <v>129</v>
      </c>
      <c r="T4" s="866"/>
      <c r="U4" s="2781" t="s">
        <v>130</v>
      </c>
      <c r="V4" s="2782"/>
      <c r="W4" s="2783"/>
    </row>
    <row r="5" spans="1:16384" s="491" customFormat="1" ht="60"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586" t="s">
        <v>599</v>
      </c>
      <c r="P5" s="696" t="s">
        <v>123</v>
      </c>
      <c r="Q5" s="696" t="s">
        <v>124</v>
      </c>
      <c r="R5" s="1477" t="str">
        <f>"Funder Share: "&amp;Selection!B2&amp;" "&amp;Selection!B3</f>
        <v xml:space="preserve">Funder Share:  </v>
      </c>
      <c r="S5" s="1478" t="s">
        <v>550</v>
      </c>
      <c r="T5" s="698" t="s">
        <v>125</v>
      </c>
      <c r="U5" s="697" t="s">
        <v>126</v>
      </c>
      <c r="V5" s="696" t="s">
        <v>18</v>
      </c>
      <c r="W5" s="724" t="s">
        <v>17</v>
      </c>
      <c r="X5" s="747" t="s">
        <v>1116</v>
      </c>
    </row>
    <row r="6" spans="1:16384" ht="12.75" customHeight="1" thickTop="1">
      <c r="A6" s="310" t="s">
        <v>1516</v>
      </c>
      <c r="B6" s="311" t="str">
        <f t="shared" ref="B6:B7" si="0">LEFT(A6,10)</f>
        <v>COM_200701</v>
      </c>
      <c r="C6" s="311">
        <v>0</v>
      </c>
      <c r="D6" s="311">
        <v>0</v>
      </c>
      <c r="E6" s="311">
        <f>COUNTIFS($A:$A,A6,$L:$L,L6)</f>
        <v>1</v>
      </c>
      <c r="F6" s="311">
        <v>2</v>
      </c>
      <c r="G6" s="312" t="b">
        <v>1</v>
      </c>
      <c r="H6" s="313" t="str">
        <f t="shared" ref="H6:H7" si="1">IF(LEFT(A6,3)="Res","Residential",IF(LEFT(A6,3)="Ind","industrial",IF(LEFT(A6,3)="Com","Commercial",IF(LEFT(A6,3)="AGR","Agriculture",""))))</f>
        <v>Commercial</v>
      </c>
      <c r="I6" s="314" t="s">
        <v>138</v>
      </c>
      <c r="J6" s="314" t="s">
        <v>476</v>
      </c>
      <c r="K6" s="314" t="s">
        <v>1517</v>
      </c>
      <c r="L6" s="24">
        <v>2022</v>
      </c>
      <c r="M6" s="322">
        <f>GETPIVOTDATA("Units",'AMMO Units'!$A$3,"Year",$L6,"Measure Index",$A6,"Savings Category","Regional_Market_2021PP")</f>
        <v>330471.39008693001</v>
      </c>
      <c r="N6" s="323">
        <f>GETPIVOTDATA("Units",'AMMO Units'!$A$3,"Year",$L6,"Measure Index",$A6,"Savings Category","Local_Incentives_2021PP")</f>
        <v>0</v>
      </c>
      <c r="O6" s="323"/>
      <c r="P6" s="323">
        <f>GETPIVOTDATA("Units",'AMMO Units'!$A$3,"Year",$L6,"Measure Index",$A6,"Savings Category","Baseline_2021PP")</f>
        <v>262877.07708563999</v>
      </c>
      <c r="Q6" s="216" t="s">
        <v>2711</v>
      </c>
      <c r="R6" s="445" t="e">
        <f>IF(Selection!$A$2="regional",1,IF($M6=0,0,SUMIFS('AMMO Funder Share'!$E:$E,'AMMO Funder Share'!#REF!,Selection!$A$2&amp;" - "&amp;Selection!$A$3,'AMMO Funder Share'!$A:$A,M6)))</f>
        <v>#REF!</v>
      </c>
      <c r="S6" s="1475">
        <f>GETPIVOTDATA("Savings Rate",'AMMO Savings Rates'!$A$3,"Year",$L6,"Measure Index",$A6,"Savings Rate Type","Savings_Rate_2021PP")</f>
        <v>43.851798770000002</v>
      </c>
      <c r="T6" s="86" t="s">
        <v>975</v>
      </c>
      <c r="U6" s="353" t="e">
        <f>(M6-O6-P6)*R6*S6/8760000</f>
        <v>#REF!</v>
      </c>
      <c r="V6" s="319">
        <f t="shared" ref="V6:V7" si="2">IFERROR((N6-P6/M6*N6)*R6*S6/8760/1000,0)</f>
        <v>0</v>
      </c>
      <c r="W6" s="320" t="e">
        <f t="shared" ref="W6:W7" si="3">U6-V6</f>
        <v>#REF!</v>
      </c>
      <c r="X6" s="446">
        <f>GETPIVOTDATA("Units",'AMMO Units'!$A$3,"Year",$L6,"Measure Index",$A6,"Savings Category","Regional_Market_2021PP")</f>
        <v>330471.39008693001</v>
      </c>
    </row>
    <row r="7" spans="1:16384" ht="12.75" customHeight="1">
      <c r="A7" s="310" t="s">
        <v>1516</v>
      </c>
      <c r="B7" s="311" t="str">
        <f t="shared" si="0"/>
        <v>COM_200701</v>
      </c>
      <c r="C7" s="311">
        <v>0</v>
      </c>
      <c r="D7" s="311">
        <v>0</v>
      </c>
      <c r="E7" s="311">
        <f>COUNTIFS($A:$A,A7,$L:$L,L7)</f>
        <v>1</v>
      </c>
      <c r="F7" s="311">
        <v>2</v>
      </c>
      <c r="G7" s="312" t="b">
        <v>1</v>
      </c>
      <c r="H7" s="313" t="str">
        <f t="shared" si="1"/>
        <v>Commercial</v>
      </c>
      <c r="I7" s="314" t="s">
        <v>138</v>
      </c>
      <c r="J7" s="314" t="s">
        <v>476</v>
      </c>
      <c r="K7" s="314" t="s">
        <v>1517</v>
      </c>
      <c r="L7" s="24">
        <v>2023</v>
      </c>
      <c r="M7" s="322">
        <f>GETPIVOTDATA("Units",'AMMO Units'!$A$3,"Year",$L7,"Measure Index",$A7,"Savings Category","Regional_Market_2021PP")</f>
        <v>329767.38827284001</v>
      </c>
      <c r="N7" s="323">
        <f>GETPIVOTDATA("Units",'AMMO Units'!$A$3,"Year",$L7,"Measure Index",$A7,"Savings Category","Local_Incentives_2021PP")</f>
        <v>0</v>
      </c>
      <c r="O7" s="323"/>
      <c r="P7" s="323">
        <f>GETPIVOTDATA("Units",'AMMO Units'!$A$3,"Year",$L7,"Measure Index",$A7,"Savings Category","Baseline_2021PP")</f>
        <v>256775.4759127</v>
      </c>
      <c r="Q7" s="216" t="s">
        <v>2711</v>
      </c>
      <c r="R7" s="445" t="e">
        <f>IF(Selection!$A$2="regional",1,IF($M7=0,0,SUMIFS('AMMO Funder Share'!$E:$E,'AMMO Funder Share'!#REF!,Selection!$A$2&amp;" - "&amp;Selection!$A$3,'AMMO Funder Share'!$A:$A,M7)))</f>
        <v>#REF!</v>
      </c>
      <c r="S7" s="1476">
        <f>GETPIVOTDATA("Savings Rate",'AMMO Savings Rates'!$A$3,"Year",$L7,"Measure Index",$A7,"Savings Rate Type","Savings_Rate_2021PP")</f>
        <v>43.85302961</v>
      </c>
      <c r="T7" s="86" t="s">
        <v>975</v>
      </c>
      <c r="U7" s="353" t="e">
        <f>(M7-O7-P7)*R7*S7/8760000</f>
        <v>#REF!</v>
      </c>
      <c r="V7" s="319">
        <f t="shared" si="2"/>
        <v>0</v>
      </c>
      <c r="W7" s="320" t="e">
        <f t="shared" si="3"/>
        <v>#REF!</v>
      </c>
      <c r="X7" s="446">
        <f>GETPIVOTDATA("Units",'AMMO Units'!$A$3,"Year",$L7,"Measure Index",$A7,"Savings Category","Regional_Market_2021PP")</f>
        <v>329767.38827284001</v>
      </c>
    </row>
    <row r="8" spans="1:16384" ht="12.75" customHeight="1">
      <c r="A8" s="310" t="s">
        <v>1516</v>
      </c>
      <c r="B8" s="311" t="str">
        <f t="shared" ref="B8" si="4">LEFT(A8,10)</f>
        <v>COM_200701</v>
      </c>
      <c r="C8" s="311">
        <v>0</v>
      </c>
      <c r="D8" s="311">
        <v>0</v>
      </c>
      <c r="E8" s="311">
        <f>COUNTIFS($A:$A,A8,$L:$L,L8)</f>
        <v>1</v>
      </c>
      <c r="F8" s="311">
        <v>2</v>
      </c>
      <c r="G8" s="312" t="b">
        <v>1</v>
      </c>
      <c r="H8" s="313" t="str">
        <f t="shared" ref="H8" si="5">IF(LEFT(A8,3)="Res","Residential",IF(LEFT(A8,3)="Ind","industrial",IF(LEFT(A8,3)="Com","Commercial",IF(LEFT(A8,3)="AGR","Agriculture",""))))</f>
        <v>Commercial</v>
      </c>
      <c r="I8" s="314" t="s">
        <v>138</v>
      </c>
      <c r="J8" s="314" t="s">
        <v>476</v>
      </c>
      <c r="K8" s="314" t="s">
        <v>1517</v>
      </c>
      <c r="L8" s="24">
        <v>2024</v>
      </c>
      <c r="M8" s="322">
        <f>GETPIVOTDATA("Units",'AMMO Units'!$A$3,"Year",$L8,"Measure Index",$A8,"Savings Category","Regional_Market_2021PP")</f>
        <v>318557.69422663999</v>
      </c>
      <c r="N8" s="323">
        <f>GETPIVOTDATA("Units",'AMMO Units'!$A$3,"Year",$L8,"Measure Index",$A8,"Savings Category","Local_Incentives_2021PP")</f>
        <v>0</v>
      </c>
      <c r="O8" s="323"/>
      <c r="P8" s="323">
        <f>GETPIVOTDATA("Units",'AMMO Units'!$A$3,"Year",$L8,"Measure Index",$A8,"Savings Category","Baseline_2021PP")</f>
        <v>242877.38327645999</v>
      </c>
      <c r="Q8" s="216" t="s">
        <v>2711</v>
      </c>
      <c r="R8" s="445" t="e">
        <f>IF(Selection!$A$2="regional",1,IF($M8=0,0,SUMIFS('AMMO Funder Share'!$E:$E,'AMMO Funder Share'!#REF!,Selection!$A$2&amp;" - "&amp;Selection!$A$3,'AMMO Funder Share'!$A:$A,M8)))</f>
        <v>#REF!</v>
      </c>
      <c r="S8" s="1476">
        <f>GETPIVOTDATA("Savings Rate",'AMMO Savings Rates'!$A$3,"Year",$L8,"Measure Index",$A8,"Savings Rate Type","Savings_Rate_2021PP")</f>
        <v>43.850650590000001</v>
      </c>
      <c r="T8" s="86" t="s">
        <v>975</v>
      </c>
      <c r="U8" s="353" t="e">
        <f>(M8-O8-P8)*R8*S8/8760000</f>
        <v>#REF!</v>
      </c>
      <c r="V8" s="319">
        <f t="shared" ref="V8" si="6">IFERROR((N8-P8/M8*N8)*R8*S8/8760/1000,0)</f>
        <v>0</v>
      </c>
      <c r="W8" s="320" t="e">
        <f t="shared" ref="W8" si="7">U8-V8</f>
        <v>#REF!</v>
      </c>
      <c r="X8" s="446">
        <f>GETPIVOTDATA("Units",'AMMO Units'!$A$3,"Year",$L8,"Measure Index",$A8,"Savings Category","Regional_Market_2021PP")</f>
        <v>318557.69422663999</v>
      </c>
    </row>
    <row r="9" spans="1:16384" ht="14.65" customHeight="1">
      <c r="A9" s="310" t="s">
        <v>1516</v>
      </c>
      <c r="B9" s="311" t="str">
        <f t="shared" ref="B9" si="8">LEFT(A9,10)</f>
        <v>COM_200701</v>
      </c>
      <c r="C9" s="311">
        <v>0</v>
      </c>
      <c r="D9" s="311">
        <v>0</v>
      </c>
      <c r="E9" s="311">
        <f>COUNTIFS($A:$A,A9,$L:$L,L9)</f>
        <v>1</v>
      </c>
      <c r="F9" s="311">
        <v>2</v>
      </c>
      <c r="G9" s="312" t="b">
        <v>1</v>
      </c>
      <c r="H9" s="313" t="str">
        <f t="shared" ref="H9" si="9">IF(LEFT(A9,3)="Res","Residential",IF(LEFT(A9,3)="Ind","industrial",IF(LEFT(A9,3)="Com","Commercial",IF(LEFT(A9,3)="AGR","Agriculture",""))))</f>
        <v>Commercial</v>
      </c>
      <c r="I9" s="314" t="s">
        <v>138</v>
      </c>
      <c r="J9" s="314" t="s">
        <v>476</v>
      </c>
      <c r="K9" s="314" t="s">
        <v>1517</v>
      </c>
      <c r="L9" s="24">
        <v>2025</v>
      </c>
      <c r="M9" s="322">
        <f>GETPIVOTDATA("Units",'AMMO Units'!$A$3,"Year",$L9,"Measure Index",$A9,"Savings Category","Regional_Market_2021PP")</f>
        <v>312598.2623997</v>
      </c>
      <c r="N9" s="323">
        <f>GETPIVOTDATA("Units",'AMMO Units'!$A$3,"Year",$L9,"Measure Index",$A9,"Savings Category","Local_Incentives_2021PP")</f>
        <v>0</v>
      </c>
      <c r="O9" s="323"/>
      <c r="P9" s="323">
        <f>GETPIVOTDATA("Units",'AMMO Units'!$A$3,"Year",$L9,"Measure Index",$A9,"Savings Category","Baseline_2021PP")</f>
        <v>233472.01285460999</v>
      </c>
      <c r="Q9" s="216" t="s">
        <v>2711</v>
      </c>
      <c r="R9" s="445" t="e">
        <f>IF(Selection!$A$2="regional",1,IF($M9=0,0,SUMIFS('AMMO Funder Share'!$E:$E,'AMMO Funder Share'!#REF!,Selection!$A$2&amp;" - "&amp;Selection!$A$3,'AMMO Funder Share'!$A:$A,M9)))</f>
        <v>#REF!</v>
      </c>
      <c r="S9" s="1476">
        <f>GETPIVOTDATA("Savings Rate",'AMMO Savings Rates'!$A$3,"Year",$L9,"Measure Index",$A9,"Savings Rate Type","Savings_Rate_2021PP")</f>
        <v>43.848761519999996</v>
      </c>
      <c r="T9" s="86" t="s">
        <v>975</v>
      </c>
      <c r="U9" s="353" t="e">
        <f>(M9-O9-P9)*R9*S9/8760000</f>
        <v>#REF!</v>
      </c>
      <c r="V9" s="319">
        <f t="shared" ref="V9" si="10">IFERROR((N9-P9/M9*N9)*R9*S9/8760/1000,0)</f>
        <v>0</v>
      </c>
      <c r="W9" s="320" t="e">
        <f t="shared" ref="W9" si="11">U9-V9</f>
        <v>#REF!</v>
      </c>
      <c r="X9" s="446">
        <f>GETPIVOTDATA("Units",'AMMO Units'!$A$3,"Year",$L9,"Measure Index",$A9,"Savings Category","Regional_Market_2021PP")</f>
        <v>312598.2623997</v>
      </c>
    </row>
    <row r="10" spans="1:16384" ht="14.65" customHeight="1">
      <c r="H10" s="1377"/>
      <c r="I10" s="1377"/>
      <c r="J10" s="1377"/>
      <c r="K10" s="1377"/>
      <c r="L10" s="1377"/>
    </row>
    <row r="11" spans="1:16384" ht="14.65" customHeight="1">
      <c r="H11" s="495" t="s">
        <v>840</v>
      </c>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495"/>
      <c r="BO11" s="495"/>
      <c r="BP11" s="495"/>
      <c r="BQ11" s="495"/>
      <c r="BR11" s="495"/>
      <c r="BS11" s="495"/>
      <c r="BT11" s="495"/>
      <c r="BU11" s="495"/>
      <c r="BV11" s="495"/>
      <c r="BW11" s="495"/>
      <c r="BX11" s="495"/>
      <c r="BY11" s="495"/>
      <c r="BZ11" s="495"/>
      <c r="CA11" s="495"/>
      <c r="CB11" s="495"/>
      <c r="CC11" s="495"/>
      <c r="CD11" s="495"/>
      <c r="CE11" s="495"/>
      <c r="CF11" s="495"/>
      <c r="CG11" s="495"/>
      <c r="CH11" s="495"/>
      <c r="CI11" s="495"/>
      <c r="CJ11" s="495"/>
      <c r="CK11" s="495"/>
      <c r="CL11" s="495"/>
      <c r="CM11" s="495"/>
      <c r="CN11" s="495"/>
      <c r="CO11" s="495"/>
      <c r="CP11" s="495"/>
      <c r="CQ11" s="495"/>
      <c r="CR11" s="495"/>
      <c r="CS11" s="495"/>
      <c r="CT11" s="495"/>
      <c r="CU11" s="495"/>
      <c r="CV11" s="495"/>
      <c r="CW11" s="495"/>
      <c r="CX11" s="495"/>
      <c r="CY11" s="495"/>
      <c r="CZ11" s="495"/>
      <c r="DA11" s="495"/>
      <c r="DB11" s="495"/>
      <c r="DC11" s="495"/>
      <c r="DD11" s="495"/>
      <c r="DE11" s="495"/>
      <c r="DF11" s="495"/>
      <c r="DG11" s="495"/>
      <c r="DH11" s="495"/>
      <c r="DI11" s="495"/>
      <c r="DJ11" s="495"/>
      <c r="DK11" s="495"/>
      <c r="DL11" s="495"/>
      <c r="DM11" s="495"/>
      <c r="DN11" s="495"/>
      <c r="DO11" s="495"/>
      <c r="DP11" s="495"/>
      <c r="DQ11" s="495"/>
      <c r="DR11" s="495"/>
      <c r="DS11" s="495"/>
      <c r="DT11" s="495"/>
      <c r="DU11" s="495"/>
      <c r="DV11" s="495"/>
      <c r="DW11" s="495"/>
      <c r="DX11" s="495"/>
      <c r="DY11" s="495"/>
      <c r="DZ11" s="495"/>
      <c r="EA11" s="495"/>
      <c r="EB11" s="495"/>
      <c r="EC11" s="495"/>
      <c r="ED11" s="495"/>
      <c r="EE11" s="495"/>
      <c r="EF11" s="495"/>
      <c r="EG11" s="495"/>
      <c r="EH11" s="495"/>
      <c r="EI11" s="495"/>
      <c r="EJ11" s="495"/>
      <c r="EK11" s="495"/>
      <c r="EL11" s="495"/>
      <c r="EM11" s="495"/>
      <c r="EN11" s="495"/>
      <c r="EO11" s="495"/>
      <c r="EP11" s="495"/>
      <c r="EQ11" s="495"/>
      <c r="ER11" s="495"/>
      <c r="ES11" s="495"/>
      <c r="ET11" s="495"/>
      <c r="EU11" s="495"/>
      <c r="EV11" s="495"/>
      <c r="EW11" s="495"/>
      <c r="EX11" s="495"/>
      <c r="EY11" s="495"/>
      <c r="EZ11" s="495"/>
      <c r="FA11" s="495"/>
      <c r="FB11" s="495"/>
      <c r="FC11" s="495"/>
      <c r="FD11" s="495"/>
      <c r="FE11" s="495"/>
      <c r="FF11" s="495"/>
      <c r="FG11" s="495"/>
      <c r="FH11" s="495"/>
      <c r="FI11" s="495"/>
      <c r="FJ11" s="495"/>
      <c r="FK11" s="495"/>
      <c r="FL11" s="495"/>
      <c r="FM11" s="495"/>
      <c r="FN11" s="495"/>
      <c r="FO11" s="495"/>
      <c r="FP11" s="495"/>
      <c r="FQ11" s="495"/>
      <c r="FR11" s="495"/>
      <c r="FS11" s="495"/>
      <c r="FT11" s="495"/>
      <c r="FU11" s="495"/>
      <c r="FV11" s="495"/>
      <c r="FW11" s="495"/>
      <c r="FX11" s="495"/>
      <c r="FY11" s="495"/>
      <c r="FZ11" s="495"/>
      <c r="GA11" s="495"/>
      <c r="GB11" s="495"/>
      <c r="GC11" s="495"/>
      <c r="GD11" s="495"/>
      <c r="GE11" s="495"/>
      <c r="GF11" s="495"/>
      <c r="GG11" s="495"/>
      <c r="GH11" s="495"/>
      <c r="GI11" s="495"/>
      <c r="GJ11" s="495"/>
      <c r="GK11" s="495"/>
      <c r="GL11" s="495"/>
      <c r="GM11" s="495"/>
      <c r="GN11" s="495"/>
      <c r="GO11" s="495"/>
      <c r="GP11" s="495"/>
      <c r="GQ11" s="495"/>
      <c r="GR11" s="495"/>
      <c r="GS11" s="495"/>
      <c r="GT11" s="495"/>
      <c r="GU11" s="495"/>
      <c r="GV11" s="495"/>
      <c r="GW11" s="495"/>
      <c r="GX11" s="495"/>
      <c r="GY11" s="495"/>
      <c r="GZ11" s="495"/>
      <c r="HA11" s="495"/>
      <c r="HB11" s="495"/>
      <c r="HC11" s="495"/>
      <c r="HD11" s="495"/>
      <c r="HE11" s="495"/>
      <c r="HF11" s="495"/>
      <c r="HG11" s="495"/>
      <c r="HH11" s="495"/>
      <c r="HI11" s="495"/>
      <c r="HJ11" s="495"/>
      <c r="HK11" s="495"/>
      <c r="HL11" s="495"/>
      <c r="HM11" s="495"/>
      <c r="HN11" s="495"/>
      <c r="HO11" s="495"/>
      <c r="HP11" s="495"/>
      <c r="HQ11" s="495"/>
      <c r="HR11" s="495"/>
      <c r="HS11" s="495"/>
      <c r="HT11" s="495"/>
      <c r="HU11" s="495"/>
      <c r="HV11" s="495"/>
      <c r="HW11" s="495"/>
      <c r="HX11" s="495"/>
      <c r="HY11" s="495"/>
      <c r="HZ11" s="495"/>
      <c r="IA11" s="495"/>
      <c r="IB11" s="495"/>
      <c r="IC11" s="495"/>
      <c r="ID11" s="495"/>
      <c r="IE11" s="495"/>
      <c r="IF11" s="495"/>
      <c r="IG11" s="495"/>
      <c r="IH11" s="495"/>
      <c r="II11" s="495"/>
      <c r="IJ11" s="495"/>
      <c r="IK11" s="495"/>
      <c r="IL11" s="495"/>
      <c r="IM11" s="495"/>
      <c r="IN11" s="495"/>
      <c r="IO11" s="495"/>
      <c r="IP11" s="495"/>
      <c r="IQ11" s="495"/>
      <c r="IR11" s="495"/>
      <c r="IS11" s="495"/>
      <c r="IT11" s="495"/>
      <c r="IU11" s="495"/>
      <c r="IV11" s="495"/>
      <c r="IW11" s="495"/>
      <c r="IX11" s="495"/>
      <c r="IY11" s="495"/>
      <c r="IZ11" s="495"/>
      <c r="JA11" s="495"/>
      <c r="JB11" s="495"/>
      <c r="JC11" s="495"/>
      <c r="JD11" s="495"/>
      <c r="JE11" s="495"/>
      <c r="JF11" s="495"/>
      <c r="JG11" s="495"/>
      <c r="JH11" s="495"/>
      <c r="JI11" s="495"/>
      <c r="JJ11" s="495"/>
      <c r="JK11" s="495"/>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H11" s="495"/>
      <c r="KI11" s="495"/>
      <c r="KJ11" s="495"/>
      <c r="KK11" s="495"/>
      <c r="KL11" s="495"/>
      <c r="KM11" s="495"/>
      <c r="KN11" s="495"/>
      <c r="KO11" s="495"/>
      <c r="KP11" s="495"/>
      <c r="KQ11" s="495"/>
      <c r="KR11" s="495"/>
      <c r="KS11" s="495"/>
      <c r="KT11" s="495"/>
      <c r="KU11" s="495"/>
      <c r="KV11" s="495"/>
      <c r="KW11" s="495"/>
      <c r="KX11" s="495"/>
      <c r="KY11" s="495"/>
      <c r="KZ11" s="495"/>
      <c r="LA11" s="495"/>
      <c r="LB11" s="495"/>
      <c r="LC11" s="495"/>
      <c r="LD11" s="495"/>
      <c r="LE11" s="495"/>
      <c r="LF11" s="495"/>
      <c r="LG11" s="495"/>
      <c r="LH11" s="495"/>
      <c r="LI11" s="495"/>
      <c r="LJ11" s="495"/>
      <c r="LK11" s="495"/>
      <c r="LL11" s="495"/>
      <c r="LM11" s="495"/>
      <c r="LN11" s="495"/>
      <c r="LO11" s="495"/>
      <c r="LP11" s="495"/>
      <c r="LQ11" s="495"/>
      <c r="LR11" s="495"/>
      <c r="LS11" s="495"/>
      <c r="LT11" s="495"/>
      <c r="LU11" s="495"/>
      <c r="LV11" s="495"/>
      <c r="LW11" s="495"/>
      <c r="LX11" s="495"/>
      <c r="LY11" s="495"/>
      <c r="LZ11" s="495"/>
      <c r="MA11" s="495"/>
      <c r="MB11" s="495"/>
      <c r="MC11" s="495"/>
      <c r="MD11" s="495"/>
      <c r="ME11" s="495"/>
      <c r="MF11" s="495"/>
      <c r="MG11" s="495"/>
      <c r="MH11" s="495"/>
      <c r="MI11" s="495"/>
      <c r="MJ11" s="495"/>
      <c r="MK11" s="495"/>
      <c r="ML11" s="495"/>
      <c r="MM11" s="495"/>
      <c r="MN11" s="495"/>
      <c r="MO11" s="495"/>
      <c r="MP11" s="495"/>
      <c r="MQ11" s="495"/>
      <c r="MR11" s="495"/>
      <c r="MS11" s="495"/>
      <c r="MT11" s="495"/>
      <c r="MU11" s="495"/>
      <c r="MV11" s="495"/>
      <c r="MW11" s="495"/>
      <c r="MX11" s="495"/>
      <c r="MY11" s="495"/>
      <c r="MZ11" s="495"/>
      <c r="NA11" s="495"/>
      <c r="NB11" s="495"/>
      <c r="NC11" s="495"/>
      <c r="ND11" s="495"/>
      <c r="NE11" s="495"/>
      <c r="NF11" s="495"/>
      <c r="NG11" s="495"/>
      <c r="NH11" s="495"/>
      <c r="NI11" s="495"/>
      <c r="NJ11" s="495"/>
      <c r="NK11" s="495"/>
      <c r="NL11" s="495"/>
      <c r="NM11" s="495"/>
      <c r="NN11" s="495"/>
      <c r="NO11" s="495"/>
      <c r="NP11" s="495"/>
      <c r="NQ11" s="495"/>
      <c r="NR11" s="495"/>
      <c r="NS11" s="495"/>
      <c r="NT11" s="495"/>
      <c r="NU11" s="495"/>
      <c r="NV11" s="495"/>
      <c r="NW11" s="495"/>
      <c r="NX11" s="495"/>
      <c r="NY11" s="495"/>
      <c r="NZ11" s="495"/>
      <c r="OA11" s="495"/>
      <c r="OB11" s="495"/>
      <c r="OC11" s="495"/>
      <c r="OD11" s="495"/>
      <c r="OE11" s="495"/>
      <c r="OF11" s="495"/>
      <c r="OG11" s="495"/>
      <c r="OH11" s="495"/>
      <c r="OI11" s="495"/>
      <c r="OJ11" s="495"/>
      <c r="OK11" s="495"/>
      <c r="OL11" s="495"/>
      <c r="OM11" s="495"/>
      <c r="ON11" s="495"/>
      <c r="OO11" s="495"/>
      <c r="OP11" s="495"/>
      <c r="OQ11" s="495"/>
      <c r="OR11" s="495"/>
      <c r="OS11" s="495"/>
      <c r="OT11" s="495"/>
      <c r="OU11" s="495"/>
      <c r="OV11" s="495"/>
      <c r="OW11" s="495"/>
      <c r="OX11" s="495"/>
      <c r="OY11" s="495"/>
      <c r="OZ11" s="495"/>
      <c r="PA11" s="495"/>
      <c r="PB11" s="495"/>
      <c r="PC11" s="495"/>
      <c r="PD11" s="495"/>
      <c r="PE11" s="495"/>
      <c r="PF11" s="495"/>
      <c r="PG11" s="495"/>
      <c r="PH11" s="495"/>
      <c r="PI11" s="495"/>
      <c r="PJ11" s="495"/>
      <c r="PK11" s="495"/>
      <c r="PL11" s="495"/>
      <c r="PM11" s="495"/>
      <c r="PN11" s="495"/>
      <c r="PO11" s="495"/>
      <c r="PP11" s="495"/>
      <c r="PQ11" s="495"/>
      <c r="PR11" s="495"/>
      <c r="PS11" s="495"/>
      <c r="PT11" s="495"/>
      <c r="PU11" s="495"/>
      <c r="PV11" s="495"/>
      <c r="PW11" s="495"/>
      <c r="PX11" s="495"/>
      <c r="PY11" s="495"/>
      <c r="PZ11" s="495"/>
      <c r="QA11" s="495"/>
      <c r="QB11" s="495"/>
      <c r="QC11" s="495"/>
      <c r="QD11" s="495"/>
      <c r="QE11" s="495"/>
      <c r="QF11" s="495"/>
      <c r="QG11" s="495"/>
      <c r="QH11" s="495"/>
      <c r="QI11" s="495"/>
      <c r="QJ11" s="495"/>
      <c r="QK11" s="495"/>
      <c r="QL11" s="495"/>
      <c r="QM11" s="495"/>
      <c r="QN11" s="495"/>
      <c r="QO11" s="495"/>
      <c r="QP11" s="495"/>
      <c r="QQ11" s="495"/>
      <c r="QR11" s="495"/>
      <c r="QS11" s="495"/>
      <c r="QT11" s="495"/>
      <c r="QU11" s="495"/>
      <c r="QV11" s="495"/>
      <c r="QW11" s="495"/>
      <c r="QX11" s="495"/>
      <c r="QY11" s="495"/>
      <c r="QZ11" s="495"/>
      <c r="RA11" s="495"/>
      <c r="RB11" s="495"/>
      <c r="RC11" s="495"/>
      <c r="RD11" s="495"/>
      <c r="RE11" s="495"/>
      <c r="RF11" s="495"/>
      <c r="RG11" s="495"/>
      <c r="RH11" s="495"/>
      <c r="RI11" s="495"/>
      <c r="RJ11" s="495"/>
      <c r="RK11" s="495"/>
      <c r="RL11" s="495"/>
      <c r="RM11" s="495"/>
      <c r="RN11" s="495"/>
      <c r="RO11" s="495"/>
      <c r="RP11" s="495"/>
      <c r="RQ11" s="495"/>
      <c r="RR11" s="495"/>
      <c r="RS11" s="495"/>
      <c r="RT11" s="495"/>
      <c r="RU11" s="495"/>
      <c r="RV11" s="495"/>
      <c r="RW11" s="495"/>
      <c r="RX11" s="495"/>
      <c r="RY11" s="495"/>
      <c r="RZ11" s="495"/>
      <c r="SA11" s="495"/>
      <c r="SB11" s="495"/>
      <c r="SC11" s="495"/>
      <c r="SD11" s="495"/>
      <c r="SE11" s="495"/>
      <c r="SF11" s="495"/>
      <c r="SG11" s="495"/>
      <c r="SH11" s="495"/>
      <c r="SI11" s="495"/>
      <c r="SJ11" s="495"/>
      <c r="SK11" s="495"/>
      <c r="SL11" s="495"/>
      <c r="SM11" s="495"/>
      <c r="SN11" s="495"/>
      <c r="SO11" s="495"/>
      <c r="SP11" s="495"/>
      <c r="SQ11" s="495"/>
      <c r="SR11" s="495"/>
      <c r="SS11" s="495"/>
      <c r="ST11" s="495"/>
      <c r="SU11" s="495"/>
      <c r="SV11" s="495"/>
      <c r="SW11" s="495"/>
      <c r="SX11" s="495"/>
      <c r="SY11" s="495"/>
      <c r="SZ11" s="495"/>
      <c r="TA11" s="495"/>
      <c r="TB11" s="495"/>
      <c r="TC11" s="495"/>
      <c r="TD11" s="495"/>
      <c r="TE11" s="495"/>
      <c r="TF11" s="495"/>
      <c r="TG11" s="495"/>
      <c r="TH11" s="495"/>
      <c r="TI11" s="495"/>
      <c r="TJ11" s="495"/>
      <c r="TK11" s="495"/>
      <c r="TL11" s="495"/>
      <c r="TM11" s="495"/>
      <c r="TN11" s="495"/>
      <c r="TO11" s="495"/>
      <c r="TP11" s="495"/>
      <c r="TQ11" s="495"/>
      <c r="TR11" s="495"/>
      <c r="TS11" s="495"/>
      <c r="TT11" s="495"/>
      <c r="TU11" s="495"/>
      <c r="TV11" s="495"/>
      <c r="TW11" s="495"/>
      <c r="TX11" s="495"/>
      <c r="TY11" s="495"/>
      <c r="TZ11" s="495"/>
      <c r="UA11" s="495"/>
      <c r="UB11" s="495"/>
      <c r="UC11" s="495"/>
      <c r="UD11" s="495"/>
      <c r="UE11" s="495"/>
      <c r="UF11" s="495"/>
      <c r="UG11" s="495"/>
      <c r="UH11" s="495"/>
      <c r="UI11" s="495"/>
      <c r="UJ11" s="495"/>
      <c r="UK11" s="495"/>
      <c r="UL11" s="495"/>
      <c r="UM11" s="495"/>
      <c r="UN11" s="495"/>
      <c r="UO11" s="495"/>
      <c r="UP11" s="495"/>
      <c r="UQ11" s="495"/>
      <c r="UR11" s="495"/>
      <c r="US11" s="495"/>
      <c r="UT11" s="495"/>
      <c r="UU11" s="495"/>
      <c r="UV11" s="495"/>
      <c r="UW11" s="495"/>
      <c r="UX11" s="495"/>
      <c r="UY11" s="495"/>
      <c r="UZ11" s="495"/>
      <c r="VA11" s="495"/>
      <c r="VB11" s="495"/>
      <c r="VC11" s="495"/>
      <c r="VD11" s="495"/>
      <c r="VE11" s="495"/>
      <c r="VF11" s="495"/>
      <c r="VG11" s="495"/>
      <c r="VH11" s="495"/>
      <c r="VI11" s="495"/>
      <c r="VJ11" s="495"/>
      <c r="VK11" s="495"/>
      <c r="VL11" s="495"/>
      <c r="VM11" s="495"/>
      <c r="VN11" s="495"/>
      <c r="VO11" s="495"/>
      <c r="VP11" s="495"/>
      <c r="VQ11" s="495"/>
      <c r="VR11" s="495"/>
      <c r="VS11" s="495"/>
      <c r="VT11" s="495"/>
      <c r="VU11" s="495"/>
      <c r="VV11" s="495"/>
      <c r="VW11" s="495"/>
      <c r="VX11" s="495"/>
      <c r="VY11" s="495"/>
      <c r="VZ11" s="495"/>
      <c r="WA11" s="495"/>
      <c r="WB11" s="495"/>
      <c r="WC11" s="495"/>
      <c r="WD11" s="495"/>
      <c r="WE11" s="495"/>
      <c r="WF11" s="495"/>
      <c r="WG11" s="495"/>
      <c r="WH11" s="495"/>
      <c r="WI11" s="495"/>
      <c r="WJ11" s="495"/>
      <c r="WK11" s="495"/>
      <c r="WL11" s="495"/>
      <c r="WM11" s="495"/>
      <c r="WN11" s="495"/>
      <c r="WO11" s="495"/>
      <c r="WP11" s="495"/>
      <c r="WQ11" s="495"/>
      <c r="WR11" s="495"/>
      <c r="WS11" s="495"/>
      <c r="WT11" s="495"/>
      <c r="WU11" s="495"/>
      <c r="WV11" s="495"/>
      <c r="WW11" s="495"/>
      <c r="WX11" s="495"/>
      <c r="WY11" s="495"/>
      <c r="WZ11" s="495"/>
      <c r="XA11" s="495"/>
      <c r="XB11" s="495"/>
      <c r="XC11" s="495"/>
      <c r="XD11" s="495"/>
      <c r="XE11" s="495"/>
      <c r="XF11" s="495"/>
      <c r="XG11" s="495"/>
      <c r="XH11" s="495"/>
      <c r="XI11" s="495"/>
      <c r="XJ11" s="495"/>
      <c r="XK11" s="495"/>
      <c r="XL11" s="495"/>
      <c r="XM11" s="495"/>
      <c r="XN11" s="495"/>
      <c r="XO11" s="495"/>
      <c r="XP11" s="495"/>
      <c r="XQ11" s="495"/>
      <c r="XR11" s="495"/>
      <c r="XS11" s="495"/>
      <c r="XT11" s="495"/>
      <c r="XU11" s="495"/>
      <c r="XV11" s="495"/>
      <c r="XW11" s="495"/>
      <c r="XX11" s="495"/>
      <c r="XY11" s="495"/>
      <c r="XZ11" s="495"/>
      <c r="YA11" s="495"/>
      <c r="YB11" s="495"/>
      <c r="YC11" s="495"/>
      <c r="YD11" s="495"/>
      <c r="YE11" s="495"/>
      <c r="YF11" s="495"/>
      <c r="YG11" s="495"/>
      <c r="YH11" s="495"/>
      <c r="YI11" s="495"/>
      <c r="YJ11" s="495"/>
      <c r="YK11" s="495"/>
      <c r="YL11" s="495"/>
      <c r="YM11" s="495"/>
      <c r="YN11" s="495"/>
      <c r="YO11" s="495"/>
      <c r="YP11" s="495"/>
      <c r="YQ11" s="495"/>
      <c r="YR11" s="495"/>
      <c r="YS11" s="495"/>
      <c r="YT11" s="495"/>
      <c r="YU11" s="495"/>
      <c r="YV11" s="495"/>
      <c r="YW11" s="495"/>
      <c r="YX11" s="495"/>
      <c r="YY11" s="495"/>
      <c r="YZ11" s="495"/>
      <c r="ZA11" s="495"/>
      <c r="ZB11" s="495"/>
      <c r="ZC11" s="495"/>
      <c r="ZD11" s="495"/>
      <c r="ZE11" s="495"/>
      <c r="ZF11" s="495"/>
      <c r="ZG11" s="495"/>
      <c r="ZH11" s="495"/>
      <c r="ZI11" s="495"/>
      <c r="ZJ11" s="495"/>
      <c r="ZK11" s="495"/>
      <c r="ZL11" s="495"/>
      <c r="ZM11" s="495"/>
      <c r="ZN11" s="495"/>
      <c r="ZO11" s="495"/>
      <c r="ZP11" s="495"/>
      <c r="ZQ11" s="495"/>
      <c r="ZR11" s="495"/>
      <c r="ZS11" s="495"/>
      <c r="ZT11" s="495"/>
      <c r="ZU11" s="495"/>
      <c r="ZV11" s="495"/>
      <c r="ZW11" s="495"/>
      <c r="ZX11" s="495"/>
      <c r="ZY11" s="495"/>
      <c r="ZZ11" s="495"/>
      <c r="AAA11" s="495"/>
      <c r="AAB11" s="495"/>
      <c r="AAC11" s="495"/>
      <c r="AAD11" s="495"/>
      <c r="AAE11" s="495"/>
      <c r="AAF11" s="495"/>
      <c r="AAG11" s="495"/>
      <c r="AAH11" s="495"/>
      <c r="AAI11" s="495"/>
      <c r="AAJ11" s="495"/>
      <c r="AAK11" s="495"/>
      <c r="AAL11" s="495"/>
      <c r="AAM11" s="495"/>
      <c r="AAN11" s="495"/>
      <c r="AAO11" s="495"/>
      <c r="AAP11" s="495"/>
      <c r="AAQ11" s="495"/>
      <c r="AAR11" s="495"/>
      <c r="AAS11" s="495"/>
      <c r="AAT11" s="495"/>
      <c r="AAU11" s="495"/>
      <c r="AAV11" s="495"/>
      <c r="AAW11" s="495"/>
      <c r="AAX11" s="495"/>
      <c r="AAY11" s="495"/>
      <c r="AAZ11" s="495"/>
      <c r="ABA11" s="495"/>
      <c r="ABB11" s="495"/>
      <c r="ABC11" s="495"/>
      <c r="ABD11" s="495"/>
      <c r="ABE11" s="495"/>
      <c r="ABF11" s="495"/>
      <c r="ABG11" s="495"/>
      <c r="ABH11" s="495"/>
      <c r="ABI11" s="495"/>
      <c r="ABJ11" s="495"/>
      <c r="ABK11" s="495"/>
      <c r="ABL11" s="495"/>
      <c r="ABM11" s="495"/>
      <c r="ABN11" s="495"/>
      <c r="ABO11" s="495"/>
      <c r="ABP11" s="495"/>
      <c r="ABQ11" s="495"/>
      <c r="ABR11" s="495"/>
      <c r="ABS11" s="495"/>
      <c r="ABT11" s="495"/>
      <c r="ABU11" s="495"/>
      <c r="ABV11" s="495"/>
      <c r="ABW11" s="495"/>
      <c r="ABX11" s="495"/>
      <c r="ABY11" s="495"/>
      <c r="ABZ11" s="495"/>
      <c r="ACA11" s="495"/>
      <c r="ACB11" s="495"/>
      <c r="ACC11" s="495"/>
      <c r="ACD11" s="495"/>
      <c r="ACE11" s="495"/>
      <c r="ACF11" s="495"/>
      <c r="ACG11" s="495"/>
      <c r="ACH11" s="495"/>
      <c r="ACI11" s="495"/>
      <c r="ACJ11" s="495"/>
      <c r="ACK11" s="495"/>
      <c r="ACL11" s="495"/>
      <c r="ACM11" s="495"/>
      <c r="ACN11" s="495"/>
      <c r="ACO11" s="495"/>
      <c r="ACP11" s="495"/>
      <c r="ACQ11" s="495"/>
      <c r="ACR11" s="495"/>
      <c r="ACS11" s="495"/>
      <c r="ACT11" s="495"/>
      <c r="ACU11" s="495"/>
      <c r="ACV11" s="495"/>
      <c r="ACW11" s="495"/>
      <c r="ACX11" s="495"/>
      <c r="ACY11" s="495"/>
      <c r="ACZ11" s="495"/>
      <c r="ADA11" s="495"/>
      <c r="ADB11" s="495"/>
      <c r="ADC11" s="495"/>
      <c r="ADD11" s="495"/>
      <c r="ADE11" s="495"/>
      <c r="ADF11" s="495"/>
      <c r="ADG11" s="495"/>
      <c r="ADH11" s="495"/>
      <c r="ADI11" s="495"/>
      <c r="ADJ11" s="495"/>
      <c r="ADK11" s="495"/>
      <c r="ADL11" s="495"/>
      <c r="ADM11" s="495"/>
      <c r="ADN11" s="495"/>
      <c r="ADO11" s="495"/>
      <c r="ADP11" s="495"/>
      <c r="ADQ11" s="495"/>
      <c r="ADR11" s="495"/>
      <c r="ADS11" s="495"/>
      <c r="ADT11" s="495"/>
      <c r="ADU11" s="495"/>
      <c r="ADV11" s="495"/>
      <c r="ADW11" s="495"/>
      <c r="ADX11" s="495"/>
      <c r="ADY11" s="495"/>
      <c r="ADZ11" s="495"/>
      <c r="AEA11" s="495"/>
      <c r="AEB11" s="495"/>
      <c r="AEC11" s="495"/>
      <c r="AED11" s="495"/>
      <c r="AEE11" s="495"/>
      <c r="AEF11" s="495"/>
      <c r="AEG11" s="495"/>
      <c r="AEH11" s="495"/>
      <c r="AEI11" s="495"/>
      <c r="AEJ11" s="495"/>
      <c r="AEK11" s="495"/>
      <c r="AEL11" s="495"/>
      <c r="AEM11" s="495"/>
      <c r="AEN11" s="495"/>
      <c r="AEO11" s="495"/>
      <c r="AEP11" s="495"/>
      <c r="AEQ11" s="495"/>
      <c r="AER11" s="495"/>
      <c r="AES11" s="495"/>
      <c r="AET11" s="495"/>
      <c r="AEU11" s="495"/>
      <c r="AEV11" s="495"/>
      <c r="AEW11" s="495"/>
      <c r="AEX11" s="495"/>
      <c r="AEY11" s="495"/>
      <c r="AEZ11" s="495"/>
      <c r="AFA11" s="495"/>
      <c r="AFB11" s="495"/>
      <c r="AFC11" s="495"/>
      <c r="AFD11" s="495"/>
      <c r="AFE11" s="495"/>
      <c r="AFF11" s="495"/>
      <c r="AFG11" s="495"/>
      <c r="AFH11" s="495"/>
      <c r="AFI11" s="495"/>
      <c r="AFJ11" s="495"/>
      <c r="AFK11" s="495"/>
      <c r="AFL11" s="495"/>
      <c r="AFM11" s="495"/>
      <c r="AFN11" s="495"/>
      <c r="AFO11" s="495"/>
      <c r="AFP11" s="495"/>
      <c r="AFQ11" s="495"/>
      <c r="AFR11" s="495"/>
      <c r="AFS11" s="495"/>
      <c r="AFT11" s="495"/>
      <c r="AFU11" s="495"/>
      <c r="AFV11" s="495"/>
      <c r="AFW11" s="495"/>
      <c r="AFX11" s="495"/>
      <c r="AFY11" s="495"/>
      <c r="AFZ11" s="495"/>
      <c r="AGA11" s="495"/>
      <c r="AGB11" s="495"/>
      <c r="AGC11" s="495"/>
      <c r="AGD11" s="495"/>
      <c r="AGE11" s="495"/>
      <c r="AGF11" s="495"/>
      <c r="AGG11" s="495"/>
      <c r="AGH11" s="495"/>
      <c r="AGI11" s="495"/>
      <c r="AGJ11" s="495"/>
      <c r="AGK11" s="495"/>
      <c r="AGL11" s="495"/>
      <c r="AGM11" s="495"/>
      <c r="AGN11" s="495"/>
      <c r="AGO11" s="495"/>
      <c r="AGP11" s="495"/>
      <c r="AGQ11" s="495"/>
      <c r="AGR11" s="495"/>
      <c r="AGS11" s="495"/>
      <c r="AGT11" s="495"/>
      <c r="AGU11" s="495"/>
      <c r="AGV11" s="495"/>
      <c r="AGW11" s="495"/>
      <c r="AGX11" s="495"/>
      <c r="AGY11" s="495"/>
      <c r="AGZ11" s="495"/>
      <c r="AHA11" s="495"/>
      <c r="AHB11" s="495"/>
      <c r="AHC11" s="495"/>
      <c r="AHD11" s="495"/>
      <c r="AHE11" s="495"/>
      <c r="AHF11" s="495"/>
      <c r="AHG11" s="495"/>
      <c r="AHH11" s="495"/>
      <c r="AHI11" s="495"/>
      <c r="AHJ11" s="495"/>
      <c r="AHK11" s="495"/>
      <c r="AHL11" s="495"/>
      <c r="AHM11" s="495"/>
      <c r="AHN11" s="495"/>
      <c r="AHO11" s="495"/>
      <c r="AHP11" s="495"/>
      <c r="AHQ11" s="495"/>
      <c r="AHR11" s="495"/>
      <c r="AHS11" s="495"/>
      <c r="AHT11" s="495"/>
      <c r="AHU11" s="495"/>
      <c r="AHV11" s="495"/>
      <c r="AHW11" s="495"/>
      <c r="AHX11" s="495"/>
      <c r="AHY11" s="495"/>
      <c r="AHZ11" s="495"/>
      <c r="AIA11" s="495"/>
      <c r="AIB11" s="495"/>
      <c r="AIC11" s="495"/>
      <c r="AID11" s="495"/>
      <c r="AIE11" s="495"/>
      <c r="AIF11" s="495"/>
      <c r="AIG11" s="495"/>
      <c r="AIH11" s="495"/>
      <c r="AII11" s="495"/>
      <c r="AIJ11" s="495"/>
      <c r="AIK11" s="495"/>
      <c r="AIL11" s="495"/>
      <c r="AIM11" s="495"/>
      <c r="AIN11" s="495"/>
      <c r="AIO11" s="495"/>
      <c r="AIP11" s="495"/>
      <c r="AIQ11" s="495"/>
      <c r="AIR11" s="495"/>
      <c r="AIS11" s="495"/>
      <c r="AIT11" s="495"/>
      <c r="AIU11" s="495"/>
      <c r="AIV11" s="495"/>
      <c r="AIW11" s="495"/>
      <c r="AIX11" s="495"/>
      <c r="AIY11" s="495"/>
      <c r="AIZ11" s="495"/>
      <c r="AJA11" s="495"/>
      <c r="AJB11" s="495"/>
      <c r="AJC11" s="495"/>
      <c r="AJD11" s="495"/>
      <c r="AJE11" s="495"/>
      <c r="AJF11" s="495"/>
      <c r="AJG11" s="495"/>
      <c r="AJH11" s="495"/>
      <c r="AJI11" s="495"/>
      <c r="AJJ11" s="495"/>
      <c r="AJK11" s="495"/>
      <c r="AJL11" s="495"/>
      <c r="AJM11" s="495"/>
      <c r="AJN11" s="495"/>
      <c r="AJO11" s="495"/>
      <c r="AJP11" s="495"/>
      <c r="AJQ11" s="495"/>
      <c r="AJR11" s="495"/>
      <c r="AJS11" s="495"/>
      <c r="AJT11" s="495"/>
      <c r="AJU11" s="495"/>
      <c r="AJV11" s="495"/>
      <c r="AJW11" s="495"/>
      <c r="AJX11" s="495"/>
      <c r="AJY11" s="495"/>
      <c r="AJZ11" s="495"/>
      <c r="AKA11" s="495"/>
      <c r="AKB11" s="495"/>
      <c r="AKC11" s="495"/>
      <c r="AKD11" s="495"/>
      <c r="AKE11" s="495"/>
      <c r="AKF11" s="495"/>
      <c r="AKG11" s="495"/>
      <c r="AKH11" s="495"/>
      <c r="AKI11" s="495"/>
      <c r="AKJ11" s="495"/>
      <c r="AKK11" s="495"/>
      <c r="AKL11" s="495"/>
      <c r="AKM11" s="495"/>
      <c r="AKN11" s="495"/>
      <c r="AKO11" s="495"/>
      <c r="AKP11" s="495"/>
      <c r="AKQ11" s="495"/>
      <c r="AKR11" s="495"/>
      <c r="AKS11" s="495"/>
      <c r="AKT11" s="495"/>
      <c r="AKU11" s="495"/>
      <c r="AKV11" s="495"/>
      <c r="AKW11" s="495"/>
      <c r="AKX11" s="495"/>
      <c r="AKY11" s="495"/>
      <c r="AKZ11" s="495"/>
      <c r="ALA11" s="495"/>
      <c r="ALB11" s="495"/>
      <c r="ALC11" s="495"/>
      <c r="ALD11" s="495"/>
      <c r="ALE11" s="495"/>
      <c r="ALF11" s="495"/>
      <c r="ALG11" s="495"/>
      <c r="ALH11" s="495"/>
      <c r="ALI11" s="495"/>
      <c r="ALJ11" s="495"/>
      <c r="ALK11" s="495"/>
      <c r="ALL11" s="495"/>
      <c r="ALM11" s="495"/>
      <c r="ALN11" s="495"/>
      <c r="ALO11" s="495"/>
      <c r="ALP11" s="495"/>
      <c r="ALQ11" s="495"/>
      <c r="ALR11" s="495"/>
      <c r="ALS11" s="495"/>
      <c r="ALT11" s="495"/>
      <c r="ALU11" s="495"/>
      <c r="ALV11" s="495"/>
      <c r="ALW11" s="495"/>
      <c r="ALX11" s="495"/>
      <c r="ALY11" s="495"/>
      <c r="ALZ11" s="495"/>
      <c r="AMA11" s="495"/>
      <c r="AMB11" s="495"/>
      <c r="AMC11" s="495"/>
      <c r="AMD11" s="495"/>
      <c r="AME11" s="495"/>
      <c r="AMF11" s="495"/>
      <c r="AMG11" s="495"/>
      <c r="AMH11" s="495"/>
      <c r="AMI11" s="495"/>
      <c r="AMJ11" s="495"/>
      <c r="AMK11" s="495"/>
      <c r="AML11" s="495"/>
      <c r="AMM11" s="495"/>
      <c r="AMN11" s="495"/>
      <c r="AMO11" s="495"/>
      <c r="AMP11" s="495"/>
      <c r="AMQ11" s="495"/>
      <c r="AMR11" s="495"/>
      <c r="AMS11" s="495"/>
      <c r="AMT11" s="495"/>
      <c r="AMU11" s="495"/>
      <c r="AMV11" s="495"/>
      <c r="AMW11" s="495"/>
      <c r="AMX11" s="495"/>
      <c r="AMY11" s="495"/>
      <c r="AMZ11" s="495"/>
      <c r="ANA11" s="495"/>
      <c r="ANB11" s="495"/>
      <c r="ANC11" s="495"/>
      <c r="AND11" s="495"/>
      <c r="ANE11" s="495"/>
      <c r="ANF11" s="495"/>
      <c r="ANG11" s="495"/>
      <c r="ANH11" s="495"/>
      <c r="ANI11" s="495"/>
      <c r="ANJ11" s="495"/>
      <c r="ANK11" s="495"/>
      <c r="ANL11" s="495"/>
      <c r="ANM11" s="495"/>
      <c r="ANN11" s="495"/>
      <c r="ANO11" s="495"/>
      <c r="ANP11" s="495"/>
      <c r="ANQ11" s="495"/>
      <c r="ANR11" s="495"/>
      <c r="ANS11" s="495"/>
      <c r="ANT11" s="495"/>
      <c r="ANU11" s="495"/>
      <c r="ANV11" s="495"/>
      <c r="ANW11" s="495"/>
      <c r="ANX11" s="495"/>
      <c r="ANY11" s="495"/>
      <c r="ANZ11" s="495"/>
      <c r="AOA11" s="495"/>
      <c r="AOB11" s="495"/>
      <c r="AOC11" s="495"/>
      <c r="AOD11" s="495"/>
      <c r="AOE11" s="495"/>
      <c r="AOF11" s="495"/>
      <c r="AOG11" s="495"/>
      <c r="AOH11" s="495"/>
      <c r="AOI11" s="495"/>
      <c r="AOJ11" s="495"/>
      <c r="AOK11" s="495"/>
      <c r="AOL11" s="495"/>
      <c r="AOM11" s="495"/>
      <c r="AON11" s="495"/>
      <c r="AOO11" s="495"/>
      <c r="AOP11" s="495"/>
      <c r="AOQ11" s="495"/>
      <c r="AOR11" s="495"/>
      <c r="AOS11" s="495"/>
      <c r="AOT11" s="495"/>
      <c r="AOU11" s="495"/>
      <c r="AOV11" s="495"/>
      <c r="AOW11" s="495"/>
      <c r="AOX11" s="495"/>
      <c r="AOY11" s="495"/>
      <c r="AOZ11" s="495"/>
      <c r="APA11" s="495"/>
      <c r="APB11" s="495"/>
      <c r="APC11" s="495"/>
      <c r="APD11" s="495"/>
      <c r="APE11" s="495"/>
      <c r="APF11" s="495"/>
      <c r="APG11" s="495"/>
      <c r="APH11" s="495"/>
      <c r="API11" s="495"/>
      <c r="APJ11" s="495"/>
      <c r="APK11" s="495"/>
      <c r="APL11" s="495"/>
      <c r="APM11" s="495"/>
      <c r="APN11" s="495"/>
      <c r="APO11" s="495"/>
      <c r="APP11" s="495"/>
      <c r="APQ11" s="495"/>
      <c r="APR11" s="495"/>
      <c r="APS11" s="495"/>
      <c r="APT11" s="495"/>
      <c r="APU11" s="495"/>
      <c r="APV11" s="495"/>
      <c r="APW11" s="495"/>
      <c r="APX11" s="495"/>
      <c r="APY11" s="495"/>
      <c r="APZ11" s="495"/>
      <c r="AQA11" s="495"/>
      <c r="AQB11" s="495"/>
      <c r="AQC11" s="495"/>
      <c r="AQD11" s="495"/>
      <c r="AQE11" s="495"/>
      <c r="AQF11" s="495"/>
      <c r="AQG11" s="495"/>
      <c r="AQH11" s="495"/>
      <c r="AQI11" s="495"/>
      <c r="AQJ11" s="495"/>
      <c r="AQK11" s="495"/>
      <c r="AQL11" s="495"/>
      <c r="AQM11" s="495"/>
      <c r="AQN11" s="495"/>
      <c r="AQO11" s="495"/>
      <c r="AQP11" s="495"/>
      <c r="AQQ11" s="495"/>
      <c r="AQR11" s="495"/>
      <c r="AQS11" s="495"/>
      <c r="AQT11" s="495"/>
      <c r="AQU11" s="495"/>
      <c r="AQV11" s="495"/>
      <c r="AQW11" s="495"/>
      <c r="AQX11" s="495"/>
      <c r="AQY11" s="495"/>
      <c r="AQZ11" s="495"/>
      <c r="ARA11" s="495"/>
      <c r="ARB11" s="495"/>
      <c r="ARC11" s="495"/>
      <c r="ARD11" s="495"/>
      <c r="ARE11" s="495"/>
      <c r="ARF11" s="495"/>
      <c r="ARG11" s="495"/>
      <c r="ARH11" s="495"/>
      <c r="ARI11" s="495"/>
      <c r="ARJ11" s="495"/>
      <c r="ARK11" s="495"/>
      <c r="ARL11" s="495"/>
      <c r="ARM11" s="495"/>
      <c r="ARN11" s="495"/>
      <c r="ARO11" s="495"/>
      <c r="ARP11" s="495"/>
      <c r="ARQ11" s="495"/>
      <c r="ARR11" s="495"/>
      <c r="ARS11" s="495"/>
      <c r="ART11" s="495"/>
      <c r="ARU11" s="495"/>
      <c r="ARV11" s="495"/>
      <c r="ARW11" s="495"/>
      <c r="ARX11" s="495"/>
      <c r="ARY11" s="495"/>
      <c r="ARZ11" s="495"/>
      <c r="ASA11" s="495"/>
      <c r="ASB11" s="495"/>
      <c r="ASC11" s="495"/>
      <c r="ASD11" s="495"/>
      <c r="ASE11" s="495"/>
      <c r="ASF11" s="495"/>
      <c r="ASG11" s="495"/>
      <c r="ASH11" s="495"/>
      <c r="ASI11" s="495"/>
      <c r="ASJ11" s="495"/>
      <c r="ASK11" s="495"/>
      <c r="ASL11" s="495"/>
      <c r="ASM11" s="495"/>
      <c r="ASN11" s="495"/>
      <c r="ASO11" s="495"/>
      <c r="ASP11" s="495"/>
      <c r="ASQ11" s="495"/>
      <c r="ASR11" s="495"/>
      <c r="ASS11" s="495"/>
      <c r="AST11" s="495"/>
      <c r="ASU11" s="495"/>
      <c r="ASV11" s="495"/>
      <c r="ASW11" s="495"/>
      <c r="ASX11" s="495"/>
      <c r="ASY11" s="495"/>
      <c r="ASZ11" s="495"/>
      <c r="ATA11" s="495"/>
      <c r="ATB11" s="495"/>
      <c r="ATC11" s="495"/>
      <c r="ATD11" s="495"/>
      <c r="ATE11" s="495"/>
      <c r="ATF11" s="495"/>
      <c r="ATG11" s="495"/>
      <c r="ATH11" s="495"/>
      <c r="ATI11" s="495"/>
      <c r="ATJ11" s="495"/>
      <c r="ATK11" s="495"/>
      <c r="ATL11" s="495"/>
      <c r="ATM11" s="495"/>
      <c r="ATN11" s="495"/>
      <c r="ATO11" s="495"/>
      <c r="ATP11" s="495"/>
      <c r="ATQ11" s="495"/>
      <c r="ATR11" s="495"/>
      <c r="ATS11" s="495"/>
      <c r="ATT11" s="495"/>
      <c r="ATU11" s="495"/>
      <c r="ATV11" s="495"/>
      <c r="ATW11" s="495"/>
      <c r="ATX11" s="495"/>
      <c r="ATY11" s="495"/>
      <c r="ATZ11" s="495"/>
      <c r="AUA11" s="495"/>
      <c r="AUB11" s="495"/>
      <c r="AUC11" s="495"/>
      <c r="AUD11" s="495"/>
      <c r="AUE11" s="495"/>
      <c r="AUF11" s="495"/>
      <c r="AUG11" s="495"/>
      <c r="AUH11" s="495"/>
      <c r="AUI11" s="495"/>
      <c r="AUJ11" s="495"/>
      <c r="AUK11" s="495"/>
      <c r="AUL11" s="495"/>
      <c r="AUM11" s="495"/>
      <c r="AUN11" s="495"/>
      <c r="AUO11" s="495"/>
      <c r="AUP11" s="495"/>
      <c r="AUQ11" s="495"/>
      <c r="AUR11" s="495"/>
      <c r="AUS11" s="495"/>
      <c r="AUT11" s="495"/>
      <c r="AUU11" s="495"/>
      <c r="AUV11" s="495"/>
      <c r="AUW11" s="495"/>
      <c r="AUX11" s="495"/>
      <c r="AUY11" s="495"/>
      <c r="AUZ11" s="495"/>
      <c r="AVA11" s="495"/>
      <c r="AVB11" s="495"/>
      <c r="AVC11" s="495"/>
      <c r="AVD11" s="495"/>
      <c r="AVE11" s="495"/>
      <c r="AVF11" s="495"/>
      <c r="AVG11" s="495"/>
      <c r="AVH11" s="495"/>
      <c r="AVI11" s="495"/>
      <c r="AVJ11" s="495"/>
      <c r="AVK11" s="495"/>
      <c r="AVL11" s="495"/>
      <c r="AVM11" s="495"/>
      <c r="AVN11" s="495"/>
      <c r="AVO11" s="495"/>
      <c r="AVP11" s="495"/>
      <c r="AVQ11" s="495"/>
      <c r="AVR11" s="495"/>
      <c r="AVS11" s="495"/>
      <c r="AVT11" s="495"/>
      <c r="AVU11" s="495"/>
      <c r="AVV11" s="495"/>
      <c r="AVW11" s="495"/>
      <c r="AVX11" s="495"/>
      <c r="AVY11" s="495"/>
      <c r="AVZ11" s="495"/>
      <c r="AWA11" s="495"/>
      <c r="AWB11" s="495"/>
      <c r="AWC11" s="495"/>
      <c r="AWD11" s="495"/>
      <c r="AWE11" s="495"/>
      <c r="AWF11" s="495"/>
      <c r="AWG11" s="495"/>
      <c r="AWH11" s="495"/>
      <c r="AWI11" s="495"/>
      <c r="AWJ11" s="495"/>
      <c r="AWK11" s="495"/>
      <c r="AWL11" s="495"/>
      <c r="AWM11" s="495"/>
      <c r="AWN11" s="495"/>
      <c r="AWO11" s="495"/>
      <c r="AWP11" s="495"/>
      <c r="AWQ11" s="495"/>
      <c r="AWR11" s="495"/>
      <c r="AWS11" s="495"/>
      <c r="AWT11" s="495"/>
      <c r="AWU11" s="495"/>
      <c r="AWV11" s="495"/>
      <c r="AWW11" s="495"/>
      <c r="AWX11" s="495"/>
      <c r="AWY11" s="495"/>
      <c r="AWZ11" s="495"/>
      <c r="AXA11" s="495"/>
      <c r="AXB11" s="495"/>
      <c r="AXC11" s="495"/>
      <c r="AXD11" s="495"/>
      <c r="AXE11" s="495"/>
      <c r="AXF11" s="495"/>
      <c r="AXG11" s="495"/>
      <c r="AXH11" s="495"/>
      <c r="AXI11" s="495"/>
      <c r="AXJ11" s="495"/>
      <c r="AXK11" s="495"/>
      <c r="AXL11" s="495"/>
      <c r="AXM11" s="495"/>
      <c r="AXN11" s="495"/>
      <c r="AXO11" s="495"/>
      <c r="AXP11" s="495"/>
      <c r="AXQ11" s="495"/>
      <c r="AXR11" s="495"/>
      <c r="AXS11" s="495"/>
      <c r="AXT11" s="495"/>
      <c r="AXU11" s="495"/>
      <c r="AXV11" s="495"/>
      <c r="AXW11" s="495"/>
      <c r="AXX11" s="495"/>
      <c r="AXY11" s="495"/>
      <c r="AXZ11" s="495"/>
      <c r="AYA11" s="495"/>
      <c r="AYB11" s="495"/>
      <c r="AYC11" s="495"/>
      <c r="AYD11" s="495"/>
      <c r="AYE11" s="495"/>
      <c r="AYF11" s="495"/>
      <c r="AYG11" s="495"/>
      <c r="AYH11" s="495"/>
      <c r="AYI11" s="495"/>
      <c r="AYJ11" s="495"/>
      <c r="AYK11" s="495"/>
      <c r="AYL11" s="495"/>
      <c r="AYM11" s="495"/>
      <c r="AYN11" s="495"/>
      <c r="AYO11" s="495"/>
      <c r="AYP11" s="495"/>
      <c r="AYQ11" s="495"/>
      <c r="AYR11" s="495"/>
      <c r="AYS11" s="495"/>
      <c r="AYT11" s="495"/>
      <c r="AYU11" s="495"/>
      <c r="AYV11" s="495"/>
      <c r="AYW11" s="495"/>
      <c r="AYX11" s="495"/>
      <c r="AYY11" s="495"/>
      <c r="AYZ11" s="495"/>
      <c r="AZA11" s="495"/>
      <c r="AZB11" s="495"/>
      <c r="AZC11" s="495"/>
      <c r="AZD11" s="495"/>
      <c r="AZE11" s="495"/>
      <c r="AZF11" s="495"/>
      <c r="AZG11" s="495"/>
      <c r="AZH11" s="495"/>
      <c r="AZI11" s="495"/>
      <c r="AZJ11" s="495"/>
      <c r="AZK11" s="495"/>
      <c r="AZL11" s="495"/>
      <c r="AZM11" s="495"/>
      <c r="AZN11" s="495"/>
      <c r="AZO11" s="495"/>
      <c r="AZP11" s="495"/>
      <c r="AZQ11" s="495"/>
      <c r="AZR11" s="495"/>
      <c r="AZS11" s="495"/>
      <c r="AZT11" s="495"/>
      <c r="AZU11" s="495"/>
      <c r="AZV11" s="495"/>
      <c r="AZW11" s="495"/>
      <c r="AZX11" s="495"/>
      <c r="AZY11" s="495"/>
      <c r="AZZ11" s="495"/>
      <c r="BAA11" s="495"/>
      <c r="BAB11" s="495"/>
      <c r="BAC11" s="495"/>
      <c r="BAD11" s="495"/>
      <c r="BAE11" s="495"/>
      <c r="BAF11" s="495"/>
      <c r="BAG11" s="495"/>
      <c r="BAH11" s="495"/>
      <c r="BAI11" s="495"/>
      <c r="BAJ11" s="495"/>
      <c r="BAK11" s="495"/>
      <c r="BAL11" s="495"/>
      <c r="BAM11" s="495"/>
      <c r="BAN11" s="495"/>
      <c r="BAO11" s="495"/>
      <c r="BAP11" s="495"/>
      <c r="BAQ11" s="495"/>
      <c r="BAR11" s="495"/>
      <c r="BAS11" s="495"/>
      <c r="BAT11" s="495"/>
      <c r="BAU11" s="495"/>
      <c r="BAV11" s="495"/>
      <c r="BAW11" s="495"/>
      <c r="BAX11" s="495"/>
      <c r="BAY11" s="495"/>
      <c r="BAZ11" s="495"/>
      <c r="BBA11" s="495"/>
      <c r="BBB11" s="495"/>
      <c r="BBC11" s="495"/>
      <c r="BBD11" s="495"/>
      <c r="BBE11" s="495"/>
      <c r="BBF11" s="495"/>
      <c r="BBG11" s="495"/>
      <c r="BBH11" s="495"/>
      <c r="BBI11" s="495"/>
      <c r="BBJ11" s="495"/>
      <c r="BBK11" s="495"/>
      <c r="BBL11" s="495"/>
      <c r="BBM11" s="495"/>
      <c r="BBN11" s="495"/>
      <c r="BBO11" s="495"/>
      <c r="BBP11" s="495"/>
      <c r="BBQ11" s="495"/>
      <c r="BBR11" s="495"/>
      <c r="BBS11" s="495"/>
      <c r="BBT11" s="495"/>
      <c r="BBU11" s="495"/>
      <c r="BBV11" s="495"/>
      <c r="BBW11" s="495"/>
      <c r="BBX11" s="495"/>
      <c r="BBY11" s="495"/>
      <c r="BBZ11" s="495"/>
      <c r="BCA11" s="495"/>
      <c r="BCB11" s="495"/>
      <c r="BCC11" s="495"/>
      <c r="BCD11" s="495"/>
      <c r="BCE11" s="495"/>
      <c r="BCF11" s="495"/>
      <c r="BCG11" s="495"/>
      <c r="BCH11" s="495"/>
      <c r="BCI11" s="495"/>
      <c r="BCJ11" s="495"/>
      <c r="BCK11" s="495"/>
      <c r="BCL11" s="495"/>
      <c r="BCM11" s="495"/>
      <c r="BCN11" s="495"/>
      <c r="BCO11" s="495"/>
      <c r="BCP11" s="495"/>
      <c r="BCQ11" s="495"/>
      <c r="BCR11" s="495"/>
      <c r="BCS11" s="495"/>
      <c r="BCT11" s="495"/>
      <c r="BCU11" s="495"/>
      <c r="BCV11" s="495"/>
      <c r="BCW11" s="495"/>
      <c r="BCX11" s="495"/>
      <c r="BCY11" s="495"/>
      <c r="BCZ11" s="495"/>
      <c r="BDA11" s="495"/>
      <c r="BDB11" s="495"/>
      <c r="BDC11" s="495"/>
      <c r="BDD11" s="495"/>
      <c r="BDE11" s="495"/>
      <c r="BDF11" s="495"/>
      <c r="BDG11" s="495"/>
      <c r="BDH11" s="495"/>
      <c r="BDI11" s="495"/>
      <c r="BDJ11" s="495"/>
      <c r="BDK11" s="495"/>
      <c r="BDL11" s="495"/>
      <c r="BDM11" s="495"/>
      <c r="BDN11" s="495"/>
      <c r="BDO11" s="495"/>
      <c r="BDP11" s="495"/>
      <c r="BDQ11" s="495"/>
      <c r="BDR11" s="495"/>
      <c r="BDS11" s="495"/>
      <c r="BDT11" s="495"/>
      <c r="BDU11" s="495"/>
      <c r="BDV11" s="495"/>
      <c r="BDW11" s="495"/>
      <c r="BDX11" s="495"/>
      <c r="BDY11" s="495"/>
      <c r="BDZ11" s="495"/>
      <c r="BEA11" s="495"/>
      <c r="BEB11" s="495"/>
      <c r="BEC11" s="495"/>
      <c r="BED11" s="495"/>
      <c r="BEE11" s="495"/>
      <c r="BEF11" s="495"/>
      <c r="BEG11" s="495"/>
      <c r="BEH11" s="495"/>
      <c r="BEI11" s="495"/>
      <c r="BEJ11" s="495"/>
      <c r="BEK11" s="495"/>
      <c r="BEL11" s="495"/>
      <c r="BEM11" s="495"/>
      <c r="BEN11" s="495"/>
      <c r="BEO11" s="495"/>
      <c r="BEP11" s="495"/>
      <c r="BEQ11" s="495"/>
      <c r="BER11" s="495"/>
      <c r="BES11" s="495"/>
      <c r="BET11" s="495"/>
      <c r="BEU11" s="495"/>
      <c r="BEV11" s="495"/>
      <c r="BEW11" s="495"/>
      <c r="BEX11" s="495"/>
      <c r="BEY11" s="495"/>
      <c r="BEZ11" s="495"/>
      <c r="BFA11" s="495"/>
      <c r="BFB11" s="495"/>
      <c r="BFC11" s="495"/>
      <c r="BFD11" s="495"/>
      <c r="BFE11" s="495"/>
      <c r="BFF11" s="495"/>
      <c r="BFG11" s="495"/>
      <c r="BFH11" s="495"/>
      <c r="BFI11" s="495"/>
      <c r="BFJ11" s="495"/>
      <c r="BFK11" s="495"/>
      <c r="BFL11" s="495"/>
      <c r="BFM11" s="495"/>
      <c r="BFN11" s="495"/>
      <c r="BFO11" s="495"/>
      <c r="BFP11" s="495"/>
      <c r="BFQ11" s="495"/>
      <c r="BFR11" s="495"/>
      <c r="BFS11" s="495"/>
      <c r="BFT11" s="495"/>
      <c r="BFU11" s="495"/>
      <c r="BFV11" s="495"/>
      <c r="BFW11" s="495"/>
      <c r="BFX11" s="495"/>
      <c r="BFY11" s="495"/>
      <c r="BFZ11" s="495"/>
      <c r="BGA11" s="495"/>
      <c r="BGB11" s="495"/>
      <c r="BGC11" s="495"/>
      <c r="BGD11" s="495"/>
      <c r="BGE11" s="495"/>
      <c r="BGF11" s="495"/>
      <c r="BGG11" s="495"/>
      <c r="BGH11" s="495"/>
      <c r="BGI11" s="495"/>
      <c r="BGJ11" s="495"/>
      <c r="BGK11" s="495"/>
      <c r="BGL11" s="495"/>
      <c r="BGM11" s="495"/>
      <c r="BGN11" s="495"/>
      <c r="BGO11" s="495"/>
      <c r="BGP11" s="495"/>
      <c r="BGQ11" s="495"/>
      <c r="BGR11" s="495"/>
      <c r="BGS11" s="495"/>
      <c r="BGT11" s="495"/>
      <c r="BGU11" s="495"/>
      <c r="BGV11" s="495"/>
      <c r="BGW11" s="495"/>
      <c r="BGX11" s="495"/>
      <c r="BGY11" s="495"/>
      <c r="BGZ11" s="495"/>
      <c r="BHA11" s="495"/>
      <c r="BHB11" s="495"/>
      <c r="BHC11" s="495"/>
      <c r="BHD11" s="495"/>
      <c r="BHE11" s="495"/>
      <c r="BHF11" s="495"/>
      <c r="BHG11" s="495"/>
      <c r="BHH11" s="495"/>
      <c r="BHI11" s="495"/>
      <c r="BHJ11" s="495"/>
      <c r="BHK11" s="495"/>
      <c r="BHL11" s="495"/>
      <c r="BHM11" s="495"/>
      <c r="BHN11" s="495"/>
      <c r="BHO11" s="495"/>
      <c r="BHP11" s="495"/>
      <c r="BHQ11" s="495"/>
      <c r="BHR11" s="495"/>
      <c r="BHS11" s="495"/>
      <c r="BHT11" s="495"/>
      <c r="BHU11" s="495"/>
      <c r="BHV11" s="495"/>
      <c r="BHW11" s="495"/>
      <c r="BHX11" s="495"/>
      <c r="BHY11" s="495"/>
      <c r="BHZ11" s="495"/>
      <c r="BIA11" s="495"/>
      <c r="BIB11" s="495"/>
      <c r="BIC11" s="495"/>
      <c r="BID11" s="495"/>
      <c r="BIE11" s="495"/>
      <c r="BIF11" s="495"/>
      <c r="BIG11" s="495"/>
      <c r="BIH11" s="495"/>
      <c r="BII11" s="495"/>
      <c r="BIJ11" s="495"/>
      <c r="BIK11" s="495"/>
      <c r="BIL11" s="495"/>
      <c r="BIM11" s="495"/>
      <c r="BIN11" s="495"/>
      <c r="BIO11" s="495"/>
      <c r="BIP11" s="495"/>
      <c r="BIQ11" s="495"/>
      <c r="BIR11" s="495"/>
      <c r="BIS11" s="495"/>
      <c r="BIT11" s="495"/>
      <c r="BIU11" s="495"/>
      <c r="BIV11" s="495"/>
      <c r="BIW11" s="495"/>
      <c r="BIX11" s="495"/>
      <c r="BIY11" s="495"/>
      <c r="BIZ11" s="495"/>
      <c r="BJA11" s="495"/>
      <c r="BJB11" s="495"/>
      <c r="BJC11" s="495"/>
      <c r="BJD11" s="495"/>
      <c r="BJE11" s="495"/>
      <c r="BJF11" s="495"/>
      <c r="BJG11" s="495"/>
      <c r="BJH11" s="495"/>
      <c r="BJI11" s="495"/>
      <c r="BJJ11" s="495"/>
      <c r="BJK11" s="495"/>
      <c r="BJL11" s="495"/>
      <c r="BJM11" s="495"/>
      <c r="BJN11" s="495"/>
      <c r="BJO11" s="495"/>
      <c r="BJP11" s="495"/>
      <c r="BJQ11" s="495"/>
      <c r="BJR11" s="495"/>
      <c r="BJS11" s="495"/>
      <c r="BJT11" s="495"/>
      <c r="BJU11" s="495"/>
      <c r="BJV11" s="495"/>
      <c r="BJW11" s="495"/>
      <c r="BJX11" s="495"/>
      <c r="BJY11" s="495"/>
      <c r="BJZ11" s="495"/>
      <c r="BKA11" s="495"/>
      <c r="BKB11" s="495"/>
      <c r="BKC11" s="495"/>
      <c r="BKD11" s="495"/>
      <c r="BKE11" s="495"/>
      <c r="BKF11" s="495"/>
      <c r="BKG11" s="495"/>
      <c r="BKH11" s="495"/>
      <c r="BKI11" s="495"/>
      <c r="BKJ11" s="495"/>
      <c r="BKK11" s="495"/>
      <c r="BKL11" s="495"/>
      <c r="BKM11" s="495"/>
      <c r="BKN11" s="495"/>
      <c r="BKO11" s="495"/>
      <c r="BKP11" s="495"/>
      <c r="BKQ11" s="495"/>
      <c r="BKR11" s="495"/>
      <c r="BKS11" s="495"/>
      <c r="BKT11" s="495"/>
      <c r="BKU11" s="495"/>
      <c r="BKV11" s="495"/>
      <c r="BKW11" s="495"/>
      <c r="BKX11" s="495"/>
      <c r="BKY11" s="495"/>
      <c r="BKZ11" s="495"/>
      <c r="BLA11" s="495"/>
      <c r="BLB11" s="495"/>
      <c r="BLC11" s="495"/>
      <c r="BLD11" s="495"/>
      <c r="BLE11" s="495"/>
      <c r="BLF11" s="495"/>
      <c r="BLG11" s="495"/>
      <c r="BLH11" s="495"/>
      <c r="BLI11" s="495"/>
      <c r="BLJ11" s="495"/>
      <c r="BLK11" s="495"/>
      <c r="BLL11" s="495"/>
      <c r="BLM11" s="495"/>
      <c r="BLN11" s="495"/>
      <c r="BLO11" s="495"/>
      <c r="BLP11" s="495"/>
      <c r="BLQ11" s="495"/>
      <c r="BLR11" s="495"/>
      <c r="BLS11" s="495"/>
      <c r="BLT11" s="495"/>
      <c r="BLU11" s="495"/>
      <c r="BLV11" s="495"/>
      <c r="BLW11" s="495"/>
      <c r="BLX11" s="495"/>
      <c r="BLY11" s="495"/>
      <c r="BLZ11" s="495"/>
      <c r="BMA11" s="495"/>
      <c r="BMB11" s="495"/>
      <c r="BMC11" s="495"/>
      <c r="BMD11" s="495"/>
      <c r="BME11" s="495"/>
      <c r="BMF11" s="495"/>
      <c r="BMG11" s="495"/>
      <c r="BMH11" s="495"/>
      <c r="BMI11" s="495"/>
      <c r="BMJ11" s="495"/>
      <c r="BMK11" s="495"/>
      <c r="BML11" s="495"/>
      <c r="BMM11" s="495"/>
      <c r="BMN11" s="495"/>
      <c r="BMO11" s="495"/>
      <c r="BMP11" s="495"/>
      <c r="BMQ11" s="495"/>
      <c r="BMR11" s="495"/>
      <c r="BMS11" s="495"/>
      <c r="BMT11" s="495"/>
      <c r="BMU11" s="495"/>
      <c r="BMV11" s="495"/>
      <c r="BMW11" s="495"/>
      <c r="BMX11" s="495"/>
      <c r="BMY11" s="495"/>
      <c r="BMZ11" s="495"/>
      <c r="BNA11" s="495"/>
      <c r="BNB11" s="495"/>
      <c r="BNC11" s="495"/>
      <c r="BND11" s="495"/>
      <c r="BNE11" s="495"/>
      <c r="BNF11" s="495"/>
      <c r="BNG11" s="495"/>
      <c r="BNH11" s="495"/>
      <c r="BNI11" s="495"/>
      <c r="BNJ11" s="495"/>
      <c r="BNK11" s="495"/>
      <c r="BNL11" s="495"/>
      <c r="BNM11" s="495"/>
      <c r="BNN11" s="495"/>
      <c r="BNO11" s="495"/>
      <c r="BNP11" s="495"/>
      <c r="BNQ11" s="495"/>
      <c r="BNR11" s="495"/>
      <c r="BNS11" s="495"/>
      <c r="BNT11" s="495"/>
      <c r="BNU11" s="495"/>
      <c r="BNV11" s="495"/>
      <c r="BNW11" s="495"/>
      <c r="BNX11" s="495"/>
      <c r="BNY11" s="495"/>
      <c r="BNZ11" s="495"/>
      <c r="BOA11" s="495"/>
      <c r="BOB11" s="495"/>
      <c r="BOC11" s="495"/>
      <c r="BOD11" s="495"/>
      <c r="BOE11" s="495"/>
      <c r="BOF11" s="495"/>
      <c r="BOG11" s="495"/>
      <c r="BOH11" s="495"/>
      <c r="BOI11" s="495"/>
      <c r="BOJ11" s="495"/>
      <c r="BOK11" s="495"/>
      <c r="BOL11" s="495"/>
      <c r="BOM11" s="495"/>
      <c r="BON11" s="495"/>
      <c r="BOO11" s="495"/>
      <c r="BOP11" s="495"/>
      <c r="BOQ11" s="495"/>
      <c r="BOR11" s="495"/>
      <c r="BOS11" s="495"/>
      <c r="BOT11" s="495"/>
      <c r="BOU11" s="495"/>
      <c r="BOV11" s="495"/>
      <c r="BOW11" s="495"/>
      <c r="BOX11" s="495"/>
      <c r="BOY11" s="495"/>
      <c r="BOZ11" s="495"/>
      <c r="BPA11" s="495"/>
      <c r="BPB11" s="495"/>
      <c r="BPC11" s="495"/>
      <c r="BPD11" s="495"/>
      <c r="BPE11" s="495"/>
      <c r="BPF11" s="495"/>
      <c r="BPG11" s="495"/>
      <c r="BPH11" s="495"/>
      <c r="BPI11" s="495"/>
      <c r="BPJ11" s="495"/>
      <c r="BPK11" s="495"/>
      <c r="BPL11" s="495"/>
      <c r="BPM11" s="495"/>
      <c r="BPN11" s="495"/>
      <c r="BPO11" s="495"/>
      <c r="BPP11" s="495"/>
      <c r="BPQ11" s="495"/>
      <c r="BPR11" s="495"/>
      <c r="BPS11" s="495"/>
      <c r="BPT11" s="495"/>
      <c r="BPU11" s="495"/>
      <c r="BPV11" s="495"/>
      <c r="BPW11" s="495"/>
      <c r="BPX11" s="495"/>
      <c r="BPY11" s="495"/>
      <c r="BPZ11" s="495"/>
      <c r="BQA11" s="495"/>
      <c r="BQB11" s="495"/>
      <c r="BQC11" s="495"/>
      <c r="BQD11" s="495"/>
      <c r="BQE11" s="495"/>
      <c r="BQF11" s="495"/>
      <c r="BQG11" s="495"/>
      <c r="BQH11" s="495"/>
      <c r="BQI11" s="495"/>
      <c r="BQJ11" s="495"/>
      <c r="BQK11" s="495"/>
      <c r="BQL11" s="495"/>
      <c r="BQM11" s="495"/>
      <c r="BQN11" s="495"/>
      <c r="BQO11" s="495"/>
      <c r="BQP11" s="495"/>
      <c r="BQQ11" s="495"/>
      <c r="BQR11" s="495"/>
      <c r="BQS11" s="495"/>
      <c r="BQT11" s="495"/>
      <c r="BQU11" s="495"/>
      <c r="BQV11" s="495"/>
      <c r="BQW11" s="495"/>
      <c r="BQX11" s="495"/>
      <c r="BQY11" s="495"/>
      <c r="BQZ11" s="495"/>
      <c r="BRA11" s="495"/>
      <c r="BRB11" s="495"/>
      <c r="BRC11" s="495"/>
      <c r="BRD11" s="495"/>
      <c r="BRE11" s="495"/>
      <c r="BRF11" s="495"/>
      <c r="BRG11" s="495"/>
      <c r="BRH11" s="495"/>
      <c r="BRI11" s="495"/>
      <c r="BRJ11" s="495"/>
      <c r="BRK11" s="495"/>
      <c r="BRL11" s="495"/>
      <c r="BRM11" s="495"/>
      <c r="BRN11" s="495"/>
      <c r="BRO11" s="495"/>
      <c r="BRP11" s="495"/>
      <c r="BRQ11" s="495"/>
      <c r="BRR11" s="495"/>
      <c r="BRS11" s="495"/>
      <c r="BRT11" s="495"/>
      <c r="BRU11" s="495"/>
      <c r="BRV11" s="495"/>
      <c r="BRW11" s="495"/>
      <c r="BRX11" s="495"/>
      <c r="BRY11" s="495"/>
      <c r="BRZ11" s="495"/>
      <c r="BSA11" s="495"/>
      <c r="BSB11" s="495"/>
      <c r="BSC11" s="495"/>
      <c r="BSD11" s="495"/>
      <c r="BSE11" s="495"/>
      <c r="BSF11" s="495"/>
      <c r="BSG11" s="495"/>
      <c r="BSH11" s="495"/>
      <c r="BSI11" s="495"/>
      <c r="BSJ11" s="495"/>
      <c r="BSK11" s="495"/>
      <c r="BSL11" s="495"/>
      <c r="BSM11" s="495"/>
      <c r="BSN11" s="495"/>
      <c r="BSO11" s="495"/>
      <c r="BSP11" s="495"/>
      <c r="BSQ11" s="495"/>
      <c r="BSR11" s="495"/>
      <c r="BSS11" s="495"/>
      <c r="BST11" s="495"/>
      <c r="BSU11" s="495"/>
      <c r="BSV11" s="495"/>
      <c r="BSW11" s="495"/>
      <c r="BSX11" s="495"/>
      <c r="BSY11" s="495"/>
      <c r="BSZ11" s="495"/>
      <c r="BTA11" s="495"/>
      <c r="BTB11" s="495"/>
      <c r="BTC11" s="495"/>
      <c r="BTD11" s="495"/>
      <c r="BTE11" s="495"/>
      <c r="BTF11" s="495"/>
      <c r="BTG11" s="495"/>
      <c r="BTH11" s="495"/>
      <c r="BTI11" s="495"/>
      <c r="BTJ11" s="495"/>
      <c r="BTK11" s="495"/>
      <c r="BTL11" s="495"/>
      <c r="BTM11" s="495"/>
      <c r="BTN11" s="495"/>
      <c r="BTO11" s="495"/>
      <c r="BTP11" s="495"/>
      <c r="BTQ11" s="495"/>
      <c r="BTR11" s="495"/>
      <c r="BTS11" s="495"/>
      <c r="BTT11" s="495"/>
      <c r="BTU11" s="495"/>
      <c r="BTV11" s="495"/>
      <c r="BTW11" s="495"/>
      <c r="BTX11" s="495"/>
      <c r="BTY11" s="495"/>
      <c r="BTZ11" s="495"/>
      <c r="BUA11" s="495"/>
      <c r="BUB11" s="495"/>
      <c r="BUC11" s="495"/>
      <c r="BUD11" s="495"/>
      <c r="BUE11" s="495"/>
      <c r="BUF11" s="495"/>
      <c r="BUG11" s="495"/>
      <c r="BUH11" s="495"/>
      <c r="BUI11" s="495"/>
      <c r="BUJ11" s="495"/>
      <c r="BUK11" s="495"/>
      <c r="BUL11" s="495"/>
      <c r="BUM11" s="495"/>
      <c r="BUN11" s="495"/>
      <c r="BUO11" s="495"/>
      <c r="BUP11" s="495"/>
      <c r="BUQ11" s="495"/>
      <c r="BUR11" s="495"/>
      <c r="BUS11" s="495"/>
      <c r="BUT11" s="495"/>
      <c r="BUU11" s="495"/>
      <c r="BUV11" s="495"/>
      <c r="BUW11" s="495"/>
      <c r="BUX11" s="495"/>
      <c r="BUY11" s="495"/>
      <c r="BUZ11" s="495"/>
      <c r="BVA11" s="495"/>
      <c r="BVB11" s="495"/>
      <c r="BVC11" s="495"/>
      <c r="BVD11" s="495"/>
      <c r="BVE11" s="495"/>
      <c r="BVF11" s="495"/>
      <c r="BVG11" s="495"/>
      <c r="BVH11" s="495"/>
      <c r="BVI11" s="495"/>
      <c r="BVJ11" s="495"/>
      <c r="BVK11" s="495"/>
      <c r="BVL11" s="495"/>
      <c r="BVM11" s="495"/>
      <c r="BVN11" s="495"/>
      <c r="BVO11" s="495"/>
      <c r="BVP11" s="495"/>
      <c r="BVQ11" s="495"/>
      <c r="BVR11" s="495"/>
      <c r="BVS11" s="495"/>
      <c r="BVT11" s="495"/>
      <c r="BVU11" s="495"/>
      <c r="BVV11" s="495"/>
      <c r="BVW11" s="495"/>
      <c r="BVX11" s="495"/>
      <c r="BVY11" s="495"/>
      <c r="BVZ11" s="495"/>
      <c r="BWA11" s="495"/>
      <c r="BWB11" s="495"/>
      <c r="BWC11" s="495"/>
      <c r="BWD11" s="495"/>
      <c r="BWE11" s="495"/>
      <c r="BWF11" s="495"/>
      <c r="BWG11" s="495"/>
      <c r="BWH11" s="495"/>
      <c r="BWI11" s="495"/>
      <c r="BWJ11" s="495"/>
      <c r="BWK11" s="495"/>
      <c r="BWL11" s="495"/>
      <c r="BWM11" s="495"/>
      <c r="BWN11" s="495"/>
      <c r="BWO11" s="495"/>
      <c r="BWP11" s="495"/>
      <c r="BWQ11" s="495"/>
      <c r="BWR11" s="495"/>
      <c r="BWS11" s="495"/>
      <c r="BWT11" s="495"/>
      <c r="BWU11" s="495"/>
      <c r="BWV11" s="495"/>
      <c r="BWW11" s="495"/>
      <c r="BWX11" s="495"/>
      <c r="BWY11" s="495"/>
      <c r="BWZ11" s="495"/>
      <c r="BXA11" s="495"/>
      <c r="BXB11" s="495"/>
      <c r="BXC11" s="495"/>
      <c r="BXD11" s="495"/>
      <c r="BXE11" s="495"/>
      <c r="BXF11" s="495"/>
      <c r="BXG11" s="495"/>
      <c r="BXH11" s="495"/>
      <c r="BXI11" s="495"/>
      <c r="BXJ11" s="495"/>
      <c r="BXK11" s="495"/>
      <c r="BXL11" s="495"/>
      <c r="BXM11" s="495"/>
      <c r="BXN11" s="495"/>
      <c r="BXO11" s="495"/>
      <c r="BXP11" s="495"/>
      <c r="BXQ11" s="495"/>
      <c r="BXR11" s="495"/>
      <c r="BXS11" s="495"/>
      <c r="BXT11" s="495"/>
      <c r="BXU11" s="495"/>
      <c r="BXV11" s="495"/>
      <c r="BXW11" s="495"/>
      <c r="BXX11" s="495"/>
      <c r="BXY11" s="495"/>
      <c r="BXZ11" s="495"/>
      <c r="BYA11" s="495"/>
      <c r="BYB11" s="495"/>
      <c r="BYC11" s="495"/>
      <c r="BYD11" s="495"/>
      <c r="BYE11" s="495"/>
      <c r="BYF11" s="495"/>
      <c r="BYG11" s="495"/>
      <c r="BYH11" s="495"/>
      <c r="BYI11" s="495"/>
      <c r="BYJ11" s="495"/>
      <c r="BYK11" s="495"/>
      <c r="BYL11" s="495"/>
      <c r="BYM11" s="495"/>
      <c r="BYN11" s="495"/>
      <c r="BYO11" s="495"/>
      <c r="BYP11" s="495"/>
      <c r="BYQ11" s="495"/>
      <c r="BYR11" s="495"/>
      <c r="BYS11" s="495"/>
      <c r="BYT11" s="495"/>
      <c r="BYU11" s="495"/>
      <c r="BYV11" s="495"/>
      <c r="BYW11" s="495"/>
      <c r="BYX11" s="495"/>
      <c r="BYY11" s="495"/>
      <c r="BYZ11" s="495"/>
      <c r="BZA11" s="495"/>
      <c r="BZB11" s="495"/>
      <c r="BZC11" s="495"/>
      <c r="BZD11" s="495"/>
      <c r="BZE11" s="495"/>
      <c r="BZF11" s="495"/>
      <c r="BZG11" s="495"/>
      <c r="BZH11" s="495"/>
      <c r="BZI11" s="495"/>
      <c r="BZJ11" s="495"/>
      <c r="BZK11" s="495"/>
      <c r="BZL11" s="495"/>
      <c r="BZM11" s="495"/>
      <c r="BZN11" s="495"/>
      <c r="BZO11" s="495"/>
      <c r="BZP11" s="495"/>
      <c r="BZQ11" s="495"/>
      <c r="BZR11" s="495"/>
      <c r="BZS11" s="495"/>
      <c r="BZT11" s="495"/>
      <c r="BZU11" s="495"/>
      <c r="BZV11" s="495"/>
      <c r="BZW11" s="495"/>
      <c r="BZX11" s="495"/>
      <c r="BZY11" s="495"/>
      <c r="BZZ11" s="495"/>
      <c r="CAA11" s="495"/>
      <c r="CAB11" s="495"/>
      <c r="CAC11" s="495"/>
      <c r="CAD11" s="495"/>
      <c r="CAE11" s="495"/>
      <c r="CAF11" s="495"/>
      <c r="CAG11" s="495"/>
      <c r="CAH11" s="495"/>
      <c r="CAI11" s="495"/>
      <c r="CAJ11" s="495"/>
      <c r="CAK11" s="495"/>
      <c r="CAL11" s="495"/>
      <c r="CAM11" s="495"/>
      <c r="CAN11" s="495"/>
      <c r="CAO11" s="495"/>
      <c r="CAP11" s="495"/>
      <c r="CAQ11" s="495"/>
      <c r="CAR11" s="495"/>
      <c r="CAS11" s="495"/>
      <c r="CAT11" s="495"/>
      <c r="CAU11" s="495"/>
      <c r="CAV11" s="495"/>
      <c r="CAW11" s="495"/>
      <c r="CAX11" s="495"/>
      <c r="CAY11" s="495"/>
      <c r="CAZ11" s="495"/>
      <c r="CBA11" s="495"/>
      <c r="CBB11" s="495"/>
      <c r="CBC11" s="495"/>
      <c r="CBD11" s="495"/>
      <c r="CBE11" s="495"/>
      <c r="CBF11" s="495"/>
      <c r="CBG11" s="495"/>
      <c r="CBH11" s="495"/>
      <c r="CBI11" s="495"/>
      <c r="CBJ11" s="495"/>
      <c r="CBK11" s="495"/>
      <c r="CBL11" s="495"/>
      <c r="CBM11" s="495"/>
      <c r="CBN11" s="495"/>
      <c r="CBO11" s="495"/>
      <c r="CBP11" s="495"/>
      <c r="CBQ11" s="495"/>
      <c r="CBR11" s="495"/>
      <c r="CBS11" s="495"/>
      <c r="CBT11" s="495"/>
      <c r="CBU11" s="495"/>
      <c r="CBV11" s="495"/>
      <c r="CBW11" s="495"/>
      <c r="CBX11" s="495"/>
      <c r="CBY11" s="495"/>
      <c r="CBZ11" s="495"/>
      <c r="CCA11" s="495"/>
      <c r="CCB11" s="495"/>
      <c r="CCC11" s="495"/>
      <c r="CCD11" s="495"/>
      <c r="CCE11" s="495"/>
      <c r="CCF11" s="495"/>
      <c r="CCG11" s="495"/>
      <c r="CCH11" s="495"/>
      <c r="CCI11" s="495"/>
      <c r="CCJ11" s="495"/>
      <c r="CCK11" s="495"/>
      <c r="CCL11" s="495"/>
      <c r="CCM11" s="495"/>
      <c r="CCN11" s="495"/>
      <c r="CCO11" s="495"/>
      <c r="CCP11" s="495"/>
      <c r="CCQ11" s="495"/>
      <c r="CCR11" s="495"/>
      <c r="CCS11" s="495"/>
      <c r="CCT11" s="495"/>
      <c r="CCU11" s="495"/>
      <c r="CCV11" s="495"/>
      <c r="CCW11" s="495"/>
      <c r="CCX11" s="495"/>
      <c r="CCY11" s="495"/>
      <c r="CCZ11" s="495"/>
      <c r="CDA11" s="495"/>
      <c r="CDB11" s="495"/>
      <c r="CDC11" s="495"/>
      <c r="CDD11" s="495"/>
      <c r="CDE11" s="495"/>
      <c r="CDF11" s="495"/>
      <c r="CDG11" s="495"/>
      <c r="CDH11" s="495"/>
      <c r="CDI11" s="495"/>
      <c r="CDJ11" s="495"/>
      <c r="CDK11" s="495"/>
      <c r="CDL11" s="495"/>
      <c r="CDM11" s="495"/>
      <c r="CDN11" s="495"/>
      <c r="CDO11" s="495"/>
      <c r="CDP11" s="495"/>
      <c r="CDQ11" s="495"/>
      <c r="CDR11" s="495"/>
      <c r="CDS11" s="495"/>
      <c r="CDT11" s="495"/>
      <c r="CDU11" s="495"/>
      <c r="CDV11" s="495"/>
      <c r="CDW11" s="495"/>
      <c r="CDX11" s="495"/>
      <c r="CDY11" s="495"/>
      <c r="CDZ11" s="495"/>
      <c r="CEA11" s="495"/>
      <c r="CEB11" s="495"/>
      <c r="CEC11" s="495"/>
      <c r="CED11" s="495"/>
      <c r="CEE11" s="495"/>
      <c r="CEF11" s="495"/>
      <c r="CEG11" s="495"/>
      <c r="CEH11" s="495"/>
      <c r="CEI11" s="495"/>
      <c r="CEJ11" s="495"/>
      <c r="CEK11" s="495"/>
      <c r="CEL11" s="495"/>
      <c r="CEM11" s="495"/>
      <c r="CEN11" s="495"/>
      <c r="CEO11" s="495"/>
      <c r="CEP11" s="495"/>
      <c r="CEQ11" s="495"/>
      <c r="CER11" s="495"/>
      <c r="CES11" s="495"/>
      <c r="CET11" s="495"/>
      <c r="CEU11" s="495"/>
      <c r="CEV11" s="495"/>
      <c r="CEW11" s="495"/>
      <c r="CEX11" s="495"/>
      <c r="CEY11" s="495"/>
      <c r="CEZ11" s="495"/>
      <c r="CFA11" s="495"/>
      <c r="CFB11" s="495"/>
      <c r="CFC11" s="495"/>
      <c r="CFD11" s="495"/>
      <c r="CFE11" s="495"/>
      <c r="CFF11" s="495"/>
      <c r="CFG11" s="495"/>
      <c r="CFH11" s="495"/>
      <c r="CFI11" s="495"/>
      <c r="CFJ11" s="495"/>
      <c r="CFK11" s="495"/>
      <c r="CFL11" s="495"/>
      <c r="CFM11" s="495"/>
      <c r="CFN11" s="495"/>
      <c r="CFO11" s="495"/>
      <c r="CFP11" s="495"/>
      <c r="CFQ11" s="495"/>
      <c r="CFR11" s="495"/>
      <c r="CFS11" s="495"/>
      <c r="CFT11" s="495"/>
      <c r="CFU11" s="495"/>
      <c r="CFV11" s="495"/>
      <c r="CFW11" s="495"/>
      <c r="CFX11" s="495"/>
      <c r="CFY11" s="495"/>
      <c r="CFZ11" s="495"/>
      <c r="CGA11" s="495"/>
      <c r="CGB11" s="495"/>
      <c r="CGC11" s="495"/>
      <c r="CGD11" s="495"/>
      <c r="CGE11" s="495"/>
      <c r="CGF11" s="495"/>
      <c r="CGG11" s="495"/>
      <c r="CGH11" s="495"/>
      <c r="CGI11" s="495"/>
      <c r="CGJ11" s="495"/>
      <c r="CGK11" s="495"/>
      <c r="CGL11" s="495"/>
      <c r="CGM11" s="495"/>
      <c r="CGN11" s="495"/>
      <c r="CGO11" s="495"/>
      <c r="CGP11" s="495"/>
      <c r="CGQ11" s="495"/>
      <c r="CGR11" s="495"/>
      <c r="CGS11" s="495"/>
      <c r="CGT11" s="495"/>
      <c r="CGU11" s="495"/>
      <c r="CGV11" s="495"/>
      <c r="CGW11" s="495"/>
      <c r="CGX11" s="495"/>
      <c r="CGY11" s="495"/>
      <c r="CGZ11" s="495"/>
      <c r="CHA11" s="495"/>
      <c r="CHB11" s="495"/>
      <c r="CHC11" s="495"/>
      <c r="CHD11" s="495"/>
      <c r="CHE11" s="495"/>
      <c r="CHF11" s="495"/>
      <c r="CHG11" s="495"/>
      <c r="CHH11" s="495"/>
      <c r="CHI11" s="495"/>
      <c r="CHJ11" s="495"/>
      <c r="CHK11" s="495"/>
      <c r="CHL11" s="495"/>
      <c r="CHM11" s="495"/>
      <c r="CHN11" s="495"/>
      <c r="CHO11" s="495"/>
      <c r="CHP11" s="495"/>
      <c r="CHQ11" s="495"/>
      <c r="CHR11" s="495"/>
      <c r="CHS11" s="495"/>
      <c r="CHT11" s="495"/>
      <c r="CHU11" s="495"/>
      <c r="CHV11" s="495"/>
      <c r="CHW11" s="495"/>
      <c r="CHX11" s="495"/>
      <c r="CHY11" s="495"/>
      <c r="CHZ11" s="495"/>
      <c r="CIA11" s="495"/>
      <c r="CIB11" s="495"/>
      <c r="CIC11" s="495"/>
      <c r="CID11" s="495"/>
      <c r="CIE11" s="495"/>
      <c r="CIF11" s="495"/>
      <c r="CIG11" s="495"/>
      <c r="CIH11" s="495"/>
      <c r="CII11" s="495"/>
      <c r="CIJ11" s="495"/>
      <c r="CIK11" s="495"/>
      <c r="CIL11" s="495"/>
      <c r="CIM11" s="495"/>
      <c r="CIN11" s="495"/>
      <c r="CIO11" s="495"/>
      <c r="CIP11" s="495"/>
      <c r="CIQ11" s="495"/>
      <c r="CIR11" s="495"/>
      <c r="CIS11" s="495"/>
      <c r="CIT11" s="495"/>
      <c r="CIU11" s="495"/>
      <c r="CIV11" s="495"/>
      <c r="CIW11" s="495"/>
      <c r="CIX11" s="495"/>
      <c r="CIY11" s="495"/>
      <c r="CIZ11" s="495"/>
      <c r="CJA11" s="495"/>
      <c r="CJB11" s="495"/>
      <c r="CJC11" s="495"/>
      <c r="CJD11" s="495"/>
      <c r="CJE11" s="495"/>
      <c r="CJF11" s="495"/>
      <c r="CJG11" s="495"/>
      <c r="CJH11" s="495"/>
      <c r="CJI11" s="495"/>
      <c r="CJJ11" s="495"/>
      <c r="CJK11" s="495"/>
      <c r="CJL11" s="495"/>
      <c r="CJM11" s="495"/>
      <c r="CJN11" s="495"/>
      <c r="CJO11" s="495"/>
      <c r="CJP11" s="495"/>
      <c r="CJQ11" s="495"/>
      <c r="CJR11" s="495"/>
      <c r="CJS11" s="495"/>
      <c r="CJT11" s="495"/>
      <c r="CJU11" s="495"/>
      <c r="CJV11" s="495"/>
      <c r="CJW11" s="495"/>
      <c r="CJX11" s="495"/>
      <c r="CJY11" s="495"/>
      <c r="CJZ11" s="495"/>
      <c r="CKA11" s="495"/>
      <c r="CKB11" s="495"/>
      <c r="CKC11" s="495"/>
      <c r="CKD11" s="495"/>
      <c r="CKE11" s="495"/>
      <c r="CKF11" s="495"/>
      <c r="CKG11" s="495"/>
      <c r="CKH11" s="495"/>
      <c r="CKI11" s="495"/>
      <c r="CKJ11" s="495"/>
      <c r="CKK11" s="495"/>
      <c r="CKL11" s="495"/>
      <c r="CKM11" s="495"/>
      <c r="CKN11" s="495"/>
      <c r="CKO11" s="495"/>
      <c r="CKP11" s="495"/>
      <c r="CKQ11" s="495"/>
      <c r="CKR11" s="495"/>
      <c r="CKS11" s="495"/>
      <c r="CKT11" s="495"/>
      <c r="CKU11" s="495"/>
      <c r="CKV11" s="495"/>
      <c r="CKW11" s="495"/>
      <c r="CKX11" s="495"/>
      <c r="CKY11" s="495"/>
      <c r="CKZ11" s="495"/>
      <c r="CLA11" s="495"/>
      <c r="CLB11" s="495"/>
      <c r="CLC11" s="495"/>
      <c r="CLD11" s="495"/>
      <c r="CLE11" s="495"/>
      <c r="CLF11" s="495"/>
      <c r="CLG11" s="495"/>
      <c r="CLH11" s="495"/>
      <c r="CLI11" s="495"/>
      <c r="CLJ11" s="495"/>
      <c r="CLK11" s="495"/>
      <c r="CLL11" s="495"/>
      <c r="CLM11" s="495"/>
      <c r="CLN11" s="495"/>
      <c r="CLO11" s="495"/>
      <c r="CLP11" s="495"/>
      <c r="CLQ11" s="495"/>
      <c r="CLR11" s="495"/>
      <c r="CLS11" s="495"/>
      <c r="CLT11" s="495"/>
      <c r="CLU11" s="495"/>
      <c r="CLV11" s="495"/>
      <c r="CLW11" s="495"/>
      <c r="CLX11" s="495"/>
      <c r="CLY11" s="495"/>
      <c r="CLZ11" s="495"/>
      <c r="CMA11" s="495"/>
      <c r="CMB11" s="495"/>
      <c r="CMC11" s="495"/>
      <c r="CMD11" s="495"/>
      <c r="CME11" s="495"/>
      <c r="CMF11" s="495"/>
      <c r="CMG11" s="495"/>
      <c r="CMH11" s="495"/>
      <c r="CMI11" s="495"/>
      <c r="CMJ11" s="495"/>
      <c r="CMK11" s="495"/>
      <c r="CML11" s="495"/>
      <c r="CMM11" s="495"/>
      <c r="CMN11" s="495"/>
      <c r="CMO11" s="495"/>
      <c r="CMP11" s="495"/>
      <c r="CMQ11" s="495"/>
      <c r="CMR11" s="495"/>
      <c r="CMS11" s="495"/>
      <c r="CMT11" s="495"/>
      <c r="CMU11" s="495"/>
      <c r="CMV11" s="495"/>
      <c r="CMW11" s="495"/>
      <c r="CMX11" s="495"/>
      <c r="CMY11" s="495"/>
      <c r="CMZ11" s="495"/>
      <c r="CNA11" s="495"/>
      <c r="CNB11" s="495"/>
      <c r="CNC11" s="495"/>
      <c r="CND11" s="495"/>
      <c r="CNE11" s="495"/>
      <c r="CNF11" s="495"/>
      <c r="CNG11" s="495"/>
      <c r="CNH11" s="495"/>
      <c r="CNI11" s="495"/>
      <c r="CNJ11" s="495"/>
      <c r="CNK11" s="495"/>
      <c r="CNL11" s="495"/>
      <c r="CNM11" s="495"/>
      <c r="CNN11" s="495"/>
      <c r="CNO11" s="495"/>
      <c r="CNP11" s="495"/>
      <c r="CNQ11" s="495"/>
      <c r="CNR11" s="495"/>
      <c r="CNS11" s="495"/>
      <c r="CNT11" s="495"/>
      <c r="CNU11" s="495"/>
      <c r="CNV11" s="495"/>
      <c r="CNW11" s="495"/>
      <c r="CNX11" s="495"/>
      <c r="CNY11" s="495"/>
      <c r="CNZ11" s="495"/>
      <c r="COA11" s="495"/>
      <c r="COB11" s="495"/>
      <c r="COC11" s="495"/>
      <c r="COD11" s="495"/>
      <c r="COE11" s="495"/>
      <c r="COF11" s="495"/>
      <c r="COG11" s="495"/>
      <c r="COH11" s="495"/>
      <c r="COI11" s="495"/>
      <c r="COJ11" s="495"/>
      <c r="COK11" s="495"/>
      <c r="COL11" s="495"/>
      <c r="COM11" s="495"/>
      <c r="CON11" s="495"/>
      <c r="COO11" s="495"/>
      <c r="COP11" s="495"/>
      <c r="COQ11" s="495"/>
      <c r="COR11" s="495"/>
      <c r="COS11" s="495"/>
      <c r="COT11" s="495"/>
      <c r="COU11" s="495"/>
      <c r="COV11" s="495"/>
      <c r="COW11" s="495"/>
      <c r="COX11" s="495"/>
      <c r="COY11" s="495"/>
      <c r="COZ11" s="495"/>
      <c r="CPA11" s="495"/>
      <c r="CPB11" s="495"/>
      <c r="CPC11" s="495"/>
      <c r="CPD11" s="495"/>
      <c r="CPE11" s="495"/>
      <c r="CPF11" s="495"/>
      <c r="CPG11" s="495"/>
      <c r="CPH11" s="495"/>
      <c r="CPI11" s="495"/>
      <c r="CPJ11" s="495"/>
      <c r="CPK11" s="495"/>
      <c r="CPL11" s="495"/>
      <c r="CPM11" s="495"/>
      <c r="CPN11" s="495"/>
      <c r="CPO11" s="495"/>
      <c r="CPP11" s="495"/>
      <c r="CPQ11" s="495"/>
      <c r="CPR11" s="495"/>
      <c r="CPS11" s="495"/>
      <c r="CPT11" s="495"/>
      <c r="CPU11" s="495"/>
      <c r="CPV11" s="495"/>
      <c r="CPW11" s="495"/>
      <c r="CPX11" s="495"/>
      <c r="CPY11" s="495"/>
      <c r="CPZ11" s="495"/>
      <c r="CQA11" s="495"/>
      <c r="CQB11" s="495"/>
      <c r="CQC11" s="495"/>
      <c r="CQD11" s="495"/>
      <c r="CQE11" s="495"/>
      <c r="CQF11" s="495"/>
      <c r="CQG11" s="495"/>
      <c r="CQH11" s="495"/>
      <c r="CQI11" s="495"/>
      <c r="CQJ11" s="495"/>
      <c r="CQK11" s="495"/>
      <c r="CQL11" s="495"/>
      <c r="CQM11" s="495"/>
      <c r="CQN11" s="495"/>
      <c r="CQO11" s="495"/>
      <c r="CQP11" s="495"/>
      <c r="CQQ11" s="495"/>
      <c r="CQR11" s="495"/>
      <c r="CQS11" s="495"/>
      <c r="CQT11" s="495"/>
      <c r="CQU11" s="495"/>
      <c r="CQV11" s="495"/>
      <c r="CQW11" s="495"/>
      <c r="CQX11" s="495"/>
      <c r="CQY11" s="495"/>
      <c r="CQZ11" s="495"/>
      <c r="CRA11" s="495"/>
      <c r="CRB11" s="495"/>
      <c r="CRC11" s="495"/>
      <c r="CRD11" s="495"/>
      <c r="CRE11" s="495"/>
      <c r="CRF11" s="495"/>
      <c r="CRG11" s="495"/>
      <c r="CRH11" s="495"/>
      <c r="CRI11" s="495"/>
      <c r="CRJ11" s="495"/>
      <c r="CRK11" s="495"/>
      <c r="CRL11" s="495"/>
      <c r="CRM11" s="495"/>
      <c r="CRN11" s="495"/>
      <c r="CRO11" s="495"/>
      <c r="CRP11" s="495"/>
      <c r="CRQ11" s="495"/>
      <c r="CRR11" s="495"/>
      <c r="CRS11" s="495"/>
      <c r="CRT11" s="495"/>
      <c r="CRU11" s="495"/>
      <c r="CRV11" s="495"/>
      <c r="CRW11" s="495"/>
      <c r="CRX11" s="495"/>
      <c r="CRY11" s="495"/>
      <c r="CRZ11" s="495"/>
      <c r="CSA11" s="495"/>
      <c r="CSB11" s="495"/>
      <c r="CSC11" s="495"/>
      <c r="CSD11" s="495"/>
      <c r="CSE11" s="495"/>
      <c r="CSF11" s="495"/>
      <c r="CSG11" s="495"/>
      <c r="CSH11" s="495"/>
      <c r="CSI11" s="495"/>
      <c r="CSJ11" s="495"/>
      <c r="CSK11" s="495"/>
      <c r="CSL11" s="495"/>
      <c r="CSM11" s="495"/>
      <c r="CSN11" s="495"/>
      <c r="CSO11" s="495"/>
      <c r="CSP11" s="495"/>
      <c r="CSQ11" s="495"/>
      <c r="CSR11" s="495"/>
      <c r="CSS11" s="495"/>
      <c r="CST11" s="495"/>
      <c r="CSU11" s="495"/>
      <c r="CSV11" s="495"/>
      <c r="CSW11" s="495"/>
      <c r="CSX11" s="495"/>
      <c r="CSY11" s="495"/>
      <c r="CSZ11" s="495"/>
      <c r="CTA11" s="495"/>
      <c r="CTB11" s="495"/>
      <c r="CTC11" s="495"/>
      <c r="CTD11" s="495"/>
      <c r="CTE11" s="495"/>
      <c r="CTF11" s="495"/>
      <c r="CTG11" s="495"/>
      <c r="CTH11" s="495"/>
      <c r="CTI11" s="495"/>
      <c r="CTJ11" s="495"/>
      <c r="CTK11" s="495"/>
      <c r="CTL11" s="495"/>
      <c r="CTM11" s="495"/>
      <c r="CTN11" s="495"/>
      <c r="CTO11" s="495"/>
      <c r="CTP11" s="495"/>
      <c r="CTQ11" s="495"/>
      <c r="CTR11" s="495"/>
      <c r="CTS11" s="495"/>
      <c r="CTT11" s="495"/>
      <c r="CTU11" s="495"/>
      <c r="CTV11" s="495"/>
      <c r="CTW11" s="495"/>
      <c r="CTX11" s="495"/>
      <c r="CTY11" s="495"/>
      <c r="CTZ11" s="495"/>
      <c r="CUA11" s="495"/>
      <c r="CUB11" s="495"/>
      <c r="CUC11" s="495"/>
      <c r="CUD11" s="495"/>
      <c r="CUE11" s="495"/>
      <c r="CUF11" s="495"/>
      <c r="CUG11" s="495"/>
      <c r="CUH11" s="495"/>
      <c r="CUI11" s="495"/>
      <c r="CUJ11" s="495"/>
      <c r="CUK11" s="495"/>
      <c r="CUL11" s="495"/>
      <c r="CUM11" s="495"/>
      <c r="CUN11" s="495"/>
      <c r="CUO11" s="495"/>
      <c r="CUP11" s="495"/>
      <c r="CUQ11" s="495"/>
      <c r="CUR11" s="495"/>
      <c r="CUS11" s="495"/>
      <c r="CUT11" s="495"/>
      <c r="CUU11" s="495"/>
      <c r="CUV11" s="495"/>
      <c r="CUW11" s="495"/>
      <c r="CUX11" s="495"/>
      <c r="CUY11" s="495"/>
      <c r="CUZ11" s="495"/>
      <c r="CVA11" s="495"/>
      <c r="CVB11" s="495"/>
      <c r="CVC11" s="495"/>
      <c r="CVD11" s="495"/>
      <c r="CVE11" s="495"/>
      <c r="CVF11" s="495"/>
      <c r="CVG11" s="495"/>
      <c r="CVH11" s="495"/>
      <c r="CVI11" s="495"/>
      <c r="CVJ11" s="495"/>
      <c r="CVK11" s="495"/>
      <c r="CVL11" s="495"/>
      <c r="CVM11" s="495"/>
      <c r="CVN11" s="495"/>
      <c r="CVO11" s="495"/>
      <c r="CVP11" s="495"/>
      <c r="CVQ11" s="495"/>
      <c r="CVR11" s="495"/>
      <c r="CVS11" s="495"/>
      <c r="CVT11" s="495"/>
      <c r="CVU11" s="495"/>
      <c r="CVV11" s="495"/>
      <c r="CVW11" s="495"/>
      <c r="CVX11" s="495"/>
      <c r="CVY11" s="495"/>
      <c r="CVZ11" s="495"/>
      <c r="CWA11" s="495"/>
      <c r="CWB11" s="495"/>
      <c r="CWC11" s="495"/>
      <c r="CWD11" s="495"/>
      <c r="CWE11" s="495"/>
      <c r="CWF11" s="495"/>
      <c r="CWG11" s="495"/>
      <c r="CWH11" s="495"/>
      <c r="CWI11" s="495"/>
      <c r="CWJ11" s="495"/>
      <c r="CWK11" s="495"/>
      <c r="CWL11" s="495"/>
      <c r="CWM11" s="495"/>
      <c r="CWN11" s="495"/>
      <c r="CWO11" s="495"/>
      <c r="CWP11" s="495"/>
      <c r="CWQ11" s="495"/>
      <c r="CWR11" s="495"/>
      <c r="CWS11" s="495"/>
      <c r="CWT11" s="495"/>
      <c r="CWU11" s="495"/>
      <c r="CWV11" s="495"/>
      <c r="CWW11" s="495"/>
      <c r="CWX11" s="495"/>
      <c r="CWY11" s="495"/>
      <c r="CWZ11" s="495"/>
      <c r="CXA11" s="495"/>
      <c r="CXB11" s="495"/>
      <c r="CXC11" s="495"/>
      <c r="CXD11" s="495"/>
      <c r="CXE11" s="495"/>
      <c r="CXF11" s="495"/>
      <c r="CXG11" s="495"/>
      <c r="CXH11" s="495"/>
      <c r="CXI11" s="495"/>
      <c r="CXJ11" s="495"/>
      <c r="CXK11" s="495"/>
      <c r="CXL11" s="495"/>
      <c r="CXM11" s="495"/>
      <c r="CXN11" s="495"/>
      <c r="CXO11" s="495"/>
      <c r="CXP11" s="495"/>
      <c r="CXQ11" s="495"/>
      <c r="CXR11" s="495"/>
      <c r="CXS11" s="495"/>
      <c r="CXT11" s="495"/>
      <c r="CXU11" s="495"/>
      <c r="CXV11" s="495"/>
      <c r="CXW11" s="495"/>
      <c r="CXX11" s="495"/>
      <c r="CXY11" s="495"/>
      <c r="CXZ11" s="495"/>
      <c r="CYA11" s="495"/>
      <c r="CYB11" s="495"/>
      <c r="CYC11" s="495"/>
      <c r="CYD11" s="495"/>
      <c r="CYE11" s="495"/>
      <c r="CYF11" s="495"/>
      <c r="CYG11" s="495"/>
      <c r="CYH11" s="495"/>
      <c r="CYI11" s="495"/>
      <c r="CYJ11" s="495"/>
      <c r="CYK11" s="495"/>
      <c r="CYL11" s="495"/>
      <c r="CYM11" s="495"/>
      <c r="CYN11" s="495"/>
      <c r="CYO11" s="495"/>
      <c r="CYP11" s="495"/>
      <c r="CYQ11" s="495"/>
      <c r="CYR11" s="495"/>
      <c r="CYS11" s="495"/>
      <c r="CYT11" s="495"/>
      <c r="CYU11" s="495"/>
      <c r="CYV11" s="495"/>
      <c r="CYW11" s="495"/>
      <c r="CYX11" s="495"/>
      <c r="CYY11" s="495"/>
      <c r="CYZ11" s="495"/>
      <c r="CZA11" s="495"/>
      <c r="CZB11" s="495"/>
      <c r="CZC11" s="495"/>
      <c r="CZD11" s="495"/>
      <c r="CZE11" s="495"/>
      <c r="CZF11" s="495"/>
      <c r="CZG11" s="495"/>
      <c r="CZH11" s="495"/>
      <c r="CZI11" s="495"/>
      <c r="CZJ11" s="495"/>
      <c r="CZK11" s="495"/>
      <c r="CZL11" s="495"/>
      <c r="CZM11" s="495"/>
      <c r="CZN11" s="495"/>
      <c r="CZO11" s="495"/>
      <c r="CZP11" s="495"/>
      <c r="CZQ11" s="495"/>
      <c r="CZR11" s="495"/>
      <c r="CZS11" s="495"/>
      <c r="CZT11" s="495"/>
      <c r="CZU11" s="495"/>
      <c r="CZV11" s="495"/>
      <c r="CZW11" s="495"/>
      <c r="CZX11" s="495"/>
      <c r="CZY11" s="495"/>
      <c r="CZZ11" s="495"/>
      <c r="DAA11" s="495"/>
      <c r="DAB11" s="495"/>
      <c r="DAC11" s="495"/>
      <c r="DAD11" s="495"/>
      <c r="DAE11" s="495"/>
      <c r="DAF11" s="495"/>
      <c r="DAG11" s="495"/>
      <c r="DAH11" s="495"/>
      <c r="DAI11" s="495"/>
      <c r="DAJ11" s="495"/>
      <c r="DAK11" s="495"/>
      <c r="DAL11" s="495"/>
      <c r="DAM11" s="495"/>
      <c r="DAN11" s="495"/>
      <c r="DAO11" s="495"/>
      <c r="DAP11" s="495"/>
      <c r="DAQ11" s="495"/>
      <c r="DAR11" s="495"/>
      <c r="DAS11" s="495"/>
      <c r="DAT11" s="495"/>
      <c r="DAU11" s="495"/>
      <c r="DAV11" s="495"/>
      <c r="DAW11" s="495"/>
      <c r="DAX11" s="495"/>
      <c r="DAY11" s="495"/>
      <c r="DAZ11" s="495"/>
      <c r="DBA11" s="495"/>
      <c r="DBB11" s="495"/>
      <c r="DBC11" s="495"/>
      <c r="DBD11" s="495"/>
      <c r="DBE11" s="495"/>
      <c r="DBF11" s="495"/>
      <c r="DBG11" s="495"/>
      <c r="DBH11" s="495"/>
      <c r="DBI11" s="495"/>
      <c r="DBJ11" s="495"/>
      <c r="DBK11" s="495"/>
      <c r="DBL11" s="495"/>
      <c r="DBM11" s="495"/>
      <c r="DBN11" s="495"/>
      <c r="DBO11" s="495"/>
      <c r="DBP11" s="495"/>
      <c r="DBQ11" s="495"/>
      <c r="DBR11" s="495"/>
      <c r="DBS11" s="495"/>
      <c r="DBT11" s="495"/>
      <c r="DBU11" s="495"/>
      <c r="DBV11" s="495"/>
      <c r="DBW11" s="495"/>
      <c r="DBX11" s="495"/>
      <c r="DBY11" s="495"/>
      <c r="DBZ11" s="495"/>
      <c r="DCA11" s="495"/>
      <c r="DCB11" s="495"/>
      <c r="DCC11" s="495"/>
      <c r="DCD11" s="495"/>
      <c r="DCE11" s="495"/>
      <c r="DCF11" s="495"/>
      <c r="DCG11" s="495"/>
      <c r="DCH11" s="495"/>
      <c r="DCI11" s="495"/>
      <c r="DCJ11" s="495"/>
      <c r="DCK11" s="495"/>
      <c r="DCL11" s="495"/>
      <c r="DCM11" s="495"/>
      <c r="DCN11" s="495"/>
      <c r="DCO11" s="495"/>
      <c r="DCP11" s="495"/>
      <c r="DCQ11" s="495"/>
      <c r="DCR11" s="495"/>
      <c r="DCS11" s="495"/>
      <c r="DCT11" s="495"/>
      <c r="DCU11" s="495"/>
      <c r="DCV11" s="495"/>
      <c r="DCW11" s="495"/>
      <c r="DCX11" s="495"/>
      <c r="DCY11" s="495"/>
      <c r="DCZ11" s="495"/>
      <c r="DDA11" s="495"/>
      <c r="DDB11" s="495"/>
      <c r="DDC11" s="495"/>
      <c r="DDD11" s="495"/>
      <c r="DDE11" s="495"/>
      <c r="DDF11" s="495"/>
      <c r="DDG11" s="495"/>
      <c r="DDH11" s="495"/>
      <c r="DDI11" s="495"/>
      <c r="DDJ11" s="495"/>
      <c r="DDK11" s="495"/>
      <c r="DDL11" s="495"/>
      <c r="DDM11" s="495"/>
      <c r="DDN11" s="495"/>
      <c r="DDO11" s="495"/>
      <c r="DDP11" s="495"/>
      <c r="DDQ11" s="495"/>
      <c r="DDR11" s="495"/>
      <c r="DDS11" s="495"/>
      <c r="DDT11" s="495"/>
      <c r="DDU11" s="495"/>
      <c r="DDV11" s="495"/>
      <c r="DDW11" s="495"/>
      <c r="DDX11" s="495"/>
      <c r="DDY11" s="495"/>
      <c r="DDZ11" s="495"/>
      <c r="DEA11" s="495"/>
      <c r="DEB11" s="495"/>
      <c r="DEC11" s="495"/>
      <c r="DED11" s="495"/>
      <c r="DEE11" s="495"/>
      <c r="DEF11" s="495"/>
      <c r="DEG11" s="495"/>
      <c r="DEH11" s="495"/>
      <c r="DEI11" s="495"/>
      <c r="DEJ11" s="495"/>
      <c r="DEK11" s="495"/>
      <c r="DEL11" s="495"/>
      <c r="DEM11" s="495"/>
      <c r="DEN11" s="495"/>
      <c r="DEO11" s="495"/>
      <c r="DEP11" s="495"/>
      <c r="DEQ11" s="495"/>
      <c r="DER11" s="495"/>
      <c r="DES11" s="495"/>
      <c r="DET11" s="495"/>
      <c r="DEU11" s="495"/>
      <c r="DEV11" s="495"/>
      <c r="DEW11" s="495"/>
      <c r="DEX11" s="495"/>
      <c r="DEY11" s="495"/>
      <c r="DEZ11" s="495"/>
      <c r="DFA11" s="495"/>
      <c r="DFB11" s="495"/>
      <c r="DFC11" s="495"/>
      <c r="DFD11" s="495"/>
      <c r="DFE11" s="495"/>
      <c r="DFF11" s="495"/>
      <c r="DFG11" s="495"/>
      <c r="DFH11" s="495"/>
      <c r="DFI11" s="495"/>
      <c r="DFJ11" s="495"/>
      <c r="DFK11" s="495"/>
      <c r="DFL11" s="495"/>
      <c r="DFM11" s="495"/>
      <c r="DFN11" s="495"/>
      <c r="DFO11" s="495"/>
      <c r="DFP11" s="495"/>
      <c r="DFQ11" s="495"/>
      <c r="DFR11" s="495"/>
      <c r="DFS11" s="495"/>
      <c r="DFT11" s="495"/>
      <c r="DFU11" s="495"/>
      <c r="DFV11" s="495"/>
      <c r="DFW11" s="495"/>
      <c r="DFX11" s="495"/>
      <c r="DFY11" s="495"/>
      <c r="DFZ11" s="495"/>
      <c r="DGA11" s="495"/>
      <c r="DGB11" s="495"/>
      <c r="DGC11" s="495"/>
      <c r="DGD11" s="495"/>
      <c r="DGE11" s="495"/>
      <c r="DGF11" s="495"/>
      <c r="DGG11" s="495"/>
      <c r="DGH11" s="495"/>
      <c r="DGI11" s="495"/>
      <c r="DGJ11" s="495"/>
      <c r="DGK11" s="495"/>
      <c r="DGL11" s="495"/>
      <c r="DGM11" s="495"/>
      <c r="DGN11" s="495"/>
      <c r="DGO11" s="495"/>
      <c r="DGP11" s="495"/>
      <c r="DGQ11" s="495"/>
      <c r="DGR11" s="495"/>
      <c r="DGS11" s="495"/>
      <c r="DGT11" s="495"/>
      <c r="DGU11" s="495"/>
      <c r="DGV11" s="495"/>
      <c r="DGW11" s="495"/>
      <c r="DGX11" s="495"/>
      <c r="DGY11" s="495"/>
      <c r="DGZ11" s="495"/>
      <c r="DHA11" s="495"/>
      <c r="DHB11" s="495"/>
      <c r="DHC11" s="495"/>
      <c r="DHD11" s="495"/>
      <c r="DHE11" s="495"/>
      <c r="DHF11" s="495"/>
      <c r="DHG11" s="495"/>
      <c r="DHH11" s="495"/>
      <c r="DHI11" s="495"/>
      <c r="DHJ11" s="495"/>
      <c r="DHK11" s="495"/>
      <c r="DHL11" s="495"/>
      <c r="DHM11" s="495"/>
      <c r="DHN11" s="495"/>
      <c r="DHO11" s="495"/>
      <c r="DHP11" s="495"/>
      <c r="DHQ11" s="495"/>
      <c r="DHR11" s="495"/>
      <c r="DHS11" s="495"/>
      <c r="DHT11" s="495"/>
      <c r="DHU11" s="495"/>
      <c r="DHV11" s="495"/>
      <c r="DHW11" s="495"/>
      <c r="DHX11" s="495"/>
      <c r="DHY11" s="495"/>
      <c r="DHZ11" s="495"/>
      <c r="DIA11" s="495"/>
      <c r="DIB11" s="495"/>
      <c r="DIC11" s="495"/>
      <c r="DID11" s="495"/>
      <c r="DIE11" s="495"/>
      <c r="DIF11" s="495"/>
      <c r="DIG11" s="495"/>
      <c r="DIH11" s="495"/>
      <c r="DII11" s="495"/>
      <c r="DIJ11" s="495"/>
      <c r="DIK11" s="495"/>
      <c r="DIL11" s="495"/>
      <c r="DIM11" s="495"/>
      <c r="DIN11" s="495"/>
      <c r="DIO11" s="495"/>
      <c r="DIP11" s="495"/>
      <c r="DIQ11" s="495"/>
      <c r="DIR11" s="495"/>
      <c r="DIS11" s="495"/>
      <c r="DIT11" s="495"/>
      <c r="DIU11" s="495"/>
      <c r="DIV11" s="495"/>
      <c r="DIW11" s="495"/>
      <c r="DIX11" s="495"/>
      <c r="DIY11" s="495"/>
      <c r="DIZ11" s="495"/>
      <c r="DJA11" s="495"/>
      <c r="DJB11" s="495"/>
      <c r="DJC11" s="495"/>
      <c r="DJD11" s="495"/>
      <c r="DJE11" s="495"/>
      <c r="DJF11" s="495"/>
      <c r="DJG11" s="495"/>
      <c r="DJH11" s="495"/>
      <c r="DJI11" s="495"/>
      <c r="DJJ11" s="495"/>
      <c r="DJK11" s="495"/>
      <c r="DJL11" s="495"/>
      <c r="DJM11" s="495"/>
      <c r="DJN11" s="495"/>
      <c r="DJO11" s="495"/>
      <c r="DJP11" s="495"/>
      <c r="DJQ11" s="495"/>
      <c r="DJR11" s="495"/>
      <c r="DJS11" s="495"/>
      <c r="DJT11" s="495"/>
      <c r="DJU11" s="495"/>
      <c r="DJV11" s="495"/>
      <c r="DJW11" s="495"/>
      <c r="DJX11" s="495"/>
      <c r="DJY11" s="495"/>
      <c r="DJZ11" s="495"/>
      <c r="DKA11" s="495"/>
      <c r="DKB11" s="495"/>
      <c r="DKC11" s="495"/>
      <c r="DKD11" s="495"/>
      <c r="DKE11" s="495"/>
      <c r="DKF11" s="495"/>
      <c r="DKG11" s="495"/>
      <c r="DKH11" s="495"/>
      <c r="DKI11" s="495"/>
      <c r="DKJ11" s="495"/>
      <c r="DKK11" s="495"/>
      <c r="DKL11" s="495"/>
      <c r="DKM11" s="495"/>
      <c r="DKN11" s="495"/>
      <c r="DKO11" s="495"/>
      <c r="DKP11" s="495"/>
      <c r="DKQ11" s="495"/>
      <c r="DKR11" s="495"/>
      <c r="DKS11" s="495"/>
      <c r="DKT11" s="495"/>
      <c r="DKU11" s="495"/>
      <c r="DKV11" s="495"/>
      <c r="DKW11" s="495"/>
      <c r="DKX11" s="495"/>
      <c r="DKY11" s="495"/>
      <c r="DKZ11" s="495"/>
      <c r="DLA11" s="495"/>
      <c r="DLB11" s="495"/>
      <c r="DLC11" s="495"/>
      <c r="DLD11" s="495"/>
      <c r="DLE11" s="495"/>
      <c r="DLF11" s="495"/>
      <c r="DLG11" s="495"/>
      <c r="DLH11" s="495"/>
      <c r="DLI11" s="495"/>
      <c r="DLJ11" s="495"/>
      <c r="DLK11" s="495"/>
      <c r="DLL11" s="495"/>
      <c r="DLM11" s="495"/>
      <c r="DLN11" s="495"/>
      <c r="DLO11" s="495"/>
      <c r="DLP11" s="495"/>
      <c r="DLQ11" s="495"/>
      <c r="DLR11" s="495"/>
      <c r="DLS11" s="495"/>
      <c r="DLT11" s="495"/>
      <c r="DLU11" s="495"/>
      <c r="DLV11" s="495"/>
      <c r="DLW11" s="495"/>
      <c r="DLX11" s="495"/>
      <c r="DLY11" s="495"/>
      <c r="DLZ11" s="495"/>
      <c r="DMA11" s="495"/>
      <c r="DMB11" s="495"/>
      <c r="DMC11" s="495"/>
      <c r="DMD11" s="495"/>
      <c r="DME11" s="495"/>
      <c r="DMF11" s="495"/>
      <c r="DMG11" s="495"/>
      <c r="DMH11" s="495"/>
      <c r="DMI11" s="495"/>
      <c r="DMJ11" s="495"/>
      <c r="DMK11" s="495"/>
      <c r="DML11" s="495"/>
      <c r="DMM11" s="495"/>
      <c r="DMN11" s="495"/>
      <c r="DMO11" s="495"/>
      <c r="DMP11" s="495"/>
      <c r="DMQ11" s="495"/>
      <c r="DMR11" s="495"/>
      <c r="DMS11" s="495"/>
      <c r="DMT11" s="495"/>
      <c r="DMU11" s="495"/>
      <c r="DMV11" s="495"/>
      <c r="DMW11" s="495"/>
      <c r="DMX11" s="495"/>
      <c r="DMY11" s="495"/>
      <c r="DMZ11" s="495"/>
      <c r="DNA11" s="495"/>
      <c r="DNB11" s="495"/>
      <c r="DNC11" s="495"/>
      <c r="DND11" s="495"/>
      <c r="DNE11" s="495"/>
      <c r="DNF11" s="495"/>
      <c r="DNG11" s="495"/>
      <c r="DNH11" s="495"/>
      <c r="DNI11" s="495"/>
      <c r="DNJ11" s="495"/>
      <c r="DNK11" s="495"/>
      <c r="DNL11" s="495"/>
      <c r="DNM11" s="495"/>
      <c r="DNN11" s="495"/>
      <c r="DNO11" s="495"/>
      <c r="DNP11" s="495"/>
      <c r="DNQ11" s="495"/>
      <c r="DNR11" s="495"/>
      <c r="DNS11" s="495"/>
      <c r="DNT11" s="495"/>
      <c r="DNU11" s="495"/>
      <c r="DNV11" s="495"/>
      <c r="DNW11" s="495"/>
      <c r="DNX11" s="495"/>
      <c r="DNY11" s="495"/>
      <c r="DNZ11" s="495"/>
      <c r="DOA11" s="495"/>
      <c r="DOB11" s="495"/>
      <c r="DOC11" s="495"/>
      <c r="DOD11" s="495"/>
      <c r="DOE11" s="495"/>
      <c r="DOF11" s="495"/>
      <c r="DOG11" s="495"/>
      <c r="DOH11" s="495"/>
      <c r="DOI11" s="495"/>
      <c r="DOJ11" s="495"/>
      <c r="DOK11" s="495"/>
      <c r="DOL11" s="495"/>
      <c r="DOM11" s="495"/>
      <c r="DON11" s="495"/>
      <c r="DOO11" s="495"/>
      <c r="DOP11" s="495"/>
      <c r="DOQ11" s="495"/>
      <c r="DOR11" s="495"/>
      <c r="DOS11" s="495"/>
      <c r="DOT11" s="495"/>
      <c r="DOU11" s="495"/>
      <c r="DOV11" s="495"/>
      <c r="DOW11" s="495"/>
      <c r="DOX11" s="495"/>
      <c r="DOY11" s="495"/>
      <c r="DOZ11" s="495"/>
      <c r="DPA11" s="495"/>
      <c r="DPB11" s="495"/>
      <c r="DPC11" s="495"/>
      <c r="DPD11" s="495"/>
      <c r="DPE11" s="495"/>
      <c r="DPF11" s="495"/>
      <c r="DPG11" s="495"/>
      <c r="DPH11" s="495"/>
      <c r="DPI11" s="495"/>
      <c r="DPJ11" s="495"/>
      <c r="DPK11" s="495"/>
      <c r="DPL11" s="495"/>
      <c r="DPM11" s="495"/>
      <c r="DPN11" s="495"/>
      <c r="DPO11" s="495"/>
      <c r="DPP11" s="495"/>
      <c r="DPQ11" s="495"/>
      <c r="DPR11" s="495"/>
      <c r="DPS11" s="495"/>
      <c r="DPT11" s="495"/>
      <c r="DPU11" s="495"/>
      <c r="DPV11" s="495"/>
      <c r="DPW11" s="495"/>
      <c r="DPX11" s="495"/>
      <c r="DPY11" s="495"/>
      <c r="DPZ11" s="495"/>
      <c r="DQA11" s="495"/>
      <c r="DQB11" s="495"/>
      <c r="DQC11" s="495"/>
      <c r="DQD11" s="495"/>
      <c r="DQE11" s="495"/>
      <c r="DQF11" s="495"/>
      <c r="DQG11" s="495"/>
      <c r="DQH11" s="495"/>
      <c r="DQI11" s="495"/>
      <c r="DQJ11" s="495"/>
      <c r="DQK11" s="495"/>
      <c r="DQL11" s="495"/>
      <c r="DQM11" s="495"/>
      <c r="DQN11" s="495"/>
      <c r="DQO11" s="495"/>
      <c r="DQP11" s="495"/>
      <c r="DQQ11" s="495"/>
      <c r="DQR11" s="495"/>
      <c r="DQS11" s="495"/>
      <c r="DQT11" s="495"/>
      <c r="DQU11" s="495"/>
      <c r="DQV11" s="495"/>
      <c r="DQW11" s="495"/>
      <c r="DQX11" s="495"/>
      <c r="DQY11" s="495"/>
      <c r="DQZ11" s="495"/>
      <c r="DRA11" s="495"/>
      <c r="DRB11" s="495"/>
      <c r="DRC11" s="495"/>
      <c r="DRD11" s="495"/>
      <c r="DRE11" s="495"/>
      <c r="DRF11" s="495"/>
      <c r="DRG11" s="495"/>
      <c r="DRH11" s="495"/>
      <c r="DRI11" s="495"/>
      <c r="DRJ11" s="495"/>
      <c r="DRK11" s="495"/>
      <c r="DRL11" s="495"/>
      <c r="DRM11" s="495"/>
      <c r="DRN11" s="495"/>
      <c r="DRO11" s="495"/>
      <c r="DRP11" s="495"/>
      <c r="DRQ11" s="495"/>
      <c r="DRR11" s="495"/>
      <c r="DRS11" s="495"/>
      <c r="DRT11" s="495"/>
      <c r="DRU11" s="495"/>
      <c r="DRV11" s="495"/>
      <c r="DRW11" s="495"/>
      <c r="DRX11" s="495"/>
      <c r="DRY11" s="495"/>
      <c r="DRZ11" s="495"/>
      <c r="DSA11" s="495"/>
      <c r="DSB11" s="495"/>
      <c r="DSC11" s="495"/>
      <c r="DSD11" s="495"/>
      <c r="DSE11" s="495"/>
      <c r="DSF11" s="495"/>
      <c r="DSG11" s="495"/>
      <c r="DSH11" s="495"/>
      <c r="DSI11" s="495"/>
      <c r="DSJ11" s="495"/>
      <c r="DSK11" s="495"/>
      <c r="DSL11" s="495"/>
      <c r="DSM11" s="495"/>
      <c r="DSN11" s="495"/>
      <c r="DSO11" s="495"/>
      <c r="DSP11" s="495"/>
      <c r="DSQ11" s="495"/>
      <c r="DSR11" s="495"/>
      <c r="DSS11" s="495"/>
      <c r="DST11" s="495"/>
      <c r="DSU11" s="495"/>
      <c r="DSV11" s="495"/>
      <c r="DSW11" s="495"/>
      <c r="DSX11" s="495"/>
      <c r="DSY11" s="495"/>
      <c r="DSZ11" s="495"/>
      <c r="DTA11" s="495"/>
      <c r="DTB11" s="495"/>
      <c r="DTC11" s="495"/>
      <c r="DTD11" s="495"/>
      <c r="DTE11" s="495"/>
      <c r="DTF11" s="495"/>
      <c r="DTG11" s="495"/>
      <c r="DTH11" s="495"/>
      <c r="DTI11" s="495"/>
      <c r="DTJ11" s="495"/>
      <c r="DTK11" s="495"/>
      <c r="DTL11" s="495"/>
      <c r="DTM11" s="495"/>
      <c r="DTN11" s="495"/>
      <c r="DTO11" s="495"/>
      <c r="DTP11" s="495"/>
      <c r="DTQ11" s="495"/>
      <c r="DTR11" s="495"/>
      <c r="DTS11" s="495"/>
      <c r="DTT11" s="495"/>
      <c r="DTU11" s="495"/>
      <c r="DTV11" s="495"/>
      <c r="DTW11" s="495"/>
      <c r="DTX11" s="495"/>
      <c r="DTY11" s="495"/>
      <c r="DTZ11" s="495"/>
      <c r="DUA11" s="495"/>
      <c r="DUB11" s="495"/>
      <c r="DUC11" s="495"/>
      <c r="DUD11" s="495"/>
      <c r="DUE11" s="495"/>
      <c r="DUF11" s="495"/>
      <c r="DUG11" s="495"/>
      <c r="DUH11" s="495"/>
      <c r="DUI11" s="495"/>
      <c r="DUJ11" s="495"/>
      <c r="DUK11" s="495"/>
      <c r="DUL11" s="495"/>
      <c r="DUM11" s="495"/>
      <c r="DUN11" s="495"/>
      <c r="DUO11" s="495"/>
      <c r="DUP11" s="495"/>
      <c r="DUQ11" s="495"/>
      <c r="DUR11" s="495"/>
      <c r="DUS11" s="495"/>
      <c r="DUT11" s="495"/>
      <c r="DUU11" s="495"/>
      <c r="DUV11" s="495"/>
      <c r="DUW11" s="495"/>
      <c r="DUX11" s="495"/>
      <c r="DUY11" s="495"/>
      <c r="DUZ11" s="495"/>
      <c r="DVA11" s="495"/>
      <c r="DVB11" s="495"/>
      <c r="DVC11" s="495"/>
      <c r="DVD11" s="495"/>
      <c r="DVE11" s="495"/>
      <c r="DVF11" s="495"/>
      <c r="DVG11" s="495"/>
      <c r="DVH11" s="495"/>
      <c r="DVI11" s="495"/>
      <c r="DVJ11" s="495"/>
      <c r="DVK11" s="495"/>
      <c r="DVL11" s="495"/>
      <c r="DVM11" s="495"/>
      <c r="DVN11" s="495"/>
      <c r="DVO11" s="495"/>
      <c r="DVP11" s="495"/>
      <c r="DVQ11" s="495"/>
      <c r="DVR11" s="495"/>
      <c r="DVS11" s="495"/>
      <c r="DVT11" s="495"/>
      <c r="DVU11" s="495"/>
      <c r="DVV11" s="495"/>
      <c r="DVW11" s="495"/>
      <c r="DVX11" s="495"/>
      <c r="DVY11" s="495"/>
      <c r="DVZ11" s="495"/>
      <c r="DWA11" s="495"/>
      <c r="DWB11" s="495"/>
      <c r="DWC11" s="495"/>
      <c r="DWD11" s="495"/>
      <c r="DWE11" s="495"/>
      <c r="DWF11" s="495"/>
      <c r="DWG11" s="495"/>
      <c r="DWH11" s="495"/>
      <c r="DWI11" s="495"/>
      <c r="DWJ11" s="495"/>
      <c r="DWK11" s="495"/>
      <c r="DWL11" s="495"/>
      <c r="DWM11" s="495"/>
      <c r="DWN11" s="495"/>
      <c r="DWO11" s="495"/>
      <c r="DWP11" s="495"/>
      <c r="DWQ11" s="495"/>
      <c r="DWR11" s="495"/>
      <c r="DWS11" s="495"/>
      <c r="DWT11" s="495"/>
      <c r="DWU11" s="495"/>
      <c r="DWV11" s="495"/>
      <c r="DWW11" s="495"/>
      <c r="DWX11" s="495"/>
      <c r="DWY11" s="495"/>
      <c r="DWZ11" s="495"/>
      <c r="DXA11" s="495"/>
      <c r="DXB11" s="495"/>
      <c r="DXC11" s="495"/>
      <c r="DXD11" s="495"/>
      <c r="DXE11" s="495"/>
      <c r="DXF11" s="495"/>
      <c r="DXG11" s="495"/>
      <c r="DXH11" s="495"/>
      <c r="DXI11" s="495"/>
      <c r="DXJ11" s="495"/>
      <c r="DXK11" s="495"/>
      <c r="DXL11" s="495"/>
      <c r="DXM11" s="495"/>
      <c r="DXN11" s="495"/>
      <c r="DXO11" s="495"/>
      <c r="DXP11" s="495"/>
      <c r="DXQ11" s="495"/>
      <c r="DXR11" s="495"/>
      <c r="DXS11" s="495"/>
      <c r="DXT11" s="495"/>
      <c r="DXU11" s="495"/>
      <c r="DXV11" s="495"/>
      <c r="DXW11" s="495"/>
      <c r="DXX11" s="495"/>
      <c r="DXY11" s="495"/>
      <c r="DXZ11" s="495"/>
      <c r="DYA11" s="495"/>
      <c r="DYB11" s="495"/>
      <c r="DYC11" s="495"/>
      <c r="DYD11" s="495"/>
      <c r="DYE11" s="495"/>
      <c r="DYF11" s="495"/>
      <c r="DYG11" s="495"/>
      <c r="DYH11" s="495"/>
      <c r="DYI11" s="495"/>
      <c r="DYJ11" s="495"/>
      <c r="DYK11" s="495"/>
      <c r="DYL11" s="495"/>
      <c r="DYM11" s="495"/>
      <c r="DYN11" s="495"/>
      <c r="DYO11" s="495"/>
      <c r="DYP11" s="495"/>
      <c r="DYQ11" s="495"/>
      <c r="DYR11" s="495"/>
      <c r="DYS11" s="495"/>
      <c r="DYT11" s="495"/>
      <c r="DYU11" s="495"/>
      <c r="DYV11" s="495"/>
      <c r="DYW11" s="495"/>
      <c r="DYX11" s="495"/>
      <c r="DYY11" s="495"/>
      <c r="DYZ11" s="495"/>
      <c r="DZA11" s="495"/>
      <c r="DZB11" s="495"/>
      <c r="DZC11" s="495"/>
      <c r="DZD11" s="495"/>
      <c r="DZE11" s="495"/>
      <c r="DZF11" s="495"/>
      <c r="DZG11" s="495"/>
      <c r="DZH11" s="495"/>
      <c r="DZI11" s="495"/>
      <c r="DZJ11" s="495"/>
      <c r="DZK11" s="495"/>
      <c r="DZL11" s="495"/>
      <c r="DZM11" s="495"/>
      <c r="DZN11" s="495"/>
      <c r="DZO11" s="495"/>
      <c r="DZP11" s="495"/>
      <c r="DZQ11" s="495"/>
      <c r="DZR11" s="495"/>
      <c r="DZS11" s="495"/>
      <c r="DZT11" s="495"/>
      <c r="DZU11" s="495"/>
      <c r="DZV11" s="495"/>
      <c r="DZW11" s="495"/>
      <c r="DZX11" s="495"/>
      <c r="DZY11" s="495"/>
      <c r="DZZ11" s="495"/>
      <c r="EAA11" s="495"/>
      <c r="EAB11" s="495"/>
      <c r="EAC11" s="495"/>
      <c r="EAD11" s="495"/>
      <c r="EAE11" s="495"/>
      <c r="EAF11" s="495"/>
      <c r="EAG11" s="495"/>
      <c r="EAH11" s="495"/>
      <c r="EAI11" s="495"/>
      <c r="EAJ11" s="495"/>
      <c r="EAK11" s="495"/>
      <c r="EAL11" s="495"/>
      <c r="EAM11" s="495"/>
      <c r="EAN11" s="495"/>
      <c r="EAO11" s="495"/>
      <c r="EAP11" s="495"/>
      <c r="EAQ11" s="495"/>
      <c r="EAR11" s="495"/>
      <c r="EAS11" s="495"/>
      <c r="EAT11" s="495"/>
      <c r="EAU11" s="495"/>
      <c r="EAV11" s="495"/>
      <c r="EAW11" s="495"/>
      <c r="EAX11" s="495"/>
      <c r="EAY11" s="495"/>
      <c r="EAZ11" s="495"/>
      <c r="EBA11" s="495"/>
      <c r="EBB11" s="495"/>
      <c r="EBC11" s="495"/>
      <c r="EBD11" s="495"/>
      <c r="EBE11" s="495"/>
      <c r="EBF11" s="495"/>
      <c r="EBG11" s="495"/>
      <c r="EBH11" s="495"/>
      <c r="EBI11" s="495"/>
      <c r="EBJ11" s="495"/>
      <c r="EBK11" s="495"/>
      <c r="EBL11" s="495"/>
      <c r="EBM11" s="495"/>
      <c r="EBN11" s="495"/>
      <c r="EBO11" s="495"/>
      <c r="EBP11" s="495"/>
      <c r="EBQ11" s="495"/>
      <c r="EBR11" s="495"/>
      <c r="EBS11" s="495"/>
      <c r="EBT11" s="495"/>
      <c r="EBU11" s="495"/>
      <c r="EBV11" s="495"/>
      <c r="EBW11" s="495"/>
      <c r="EBX11" s="495"/>
      <c r="EBY11" s="495"/>
      <c r="EBZ11" s="495"/>
      <c r="ECA11" s="495"/>
      <c r="ECB11" s="495"/>
      <c r="ECC11" s="495"/>
      <c r="ECD11" s="495"/>
      <c r="ECE11" s="495"/>
      <c r="ECF11" s="495"/>
      <c r="ECG11" s="495"/>
      <c r="ECH11" s="495"/>
      <c r="ECI11" s="495"/>
      <c r="ECJ11" s="495"/>
      <c r="ECK11" s="495"/>
      <c r="ECL11" s="495"/>
      <c r="ECM11" s="495"/>
      <c r="ECN11" s="495"/>
      <c r="ECO11" s="495"/>
      <c r="ECP11" s="495"/>
      <c r="ECQ11" s="495"/>
      <c r="ECR11" s="495"/>
      <c r="ECS11" s="495"/>
      <c r="ECT11" s="495"/>
      <c r="ECU11" s="495"/>
      <c r="ECV11" s="495"/>
      <c r="ECW11" s="495"/>
      <c r="ECX11" s="495"/>
      <c r="ECY11" s="495"/>
      <c r="ECZ11" s="495"/>
      <c r="EDA11" s="495"/>
      <c r="EDB11" s="495"/>
      <c r="EDC11" s="495"/>
      <c r="EDD11" s="495"/>
      <c r="EDE11" s="495"/>
      <c r="EDF11" s="495"/>
      <c r="EDG11" s="495"/>
      <c r="EDH11" s="495"/>
      <c r="EDI11" s="495"/>
      <c r="EDJ11" s="495"/>
      <c r="EDK11" s="495"/>
      <c r="EDL11" s="495"/>
      <c r="EDM11" s="495"/>
      <c r="EDN11" s="495"/>
      <c r="EDO11" s="495"/>
      <c r="EDP11" s="495"/>
      <c r="EDQ11" s="495"/>
      <c r="EDR11" s="495"/>
      <c r="EDS11" s="495"/>
      <c r="EDT11" s="495"/>
      <c r="EDU11" s="495"/>
      <c r="EDV11" s="495"/>
      <c r="EDW11" s="495"/>
      <c r="EDX11" s="495"/>
      <c r="EDY11" s="495"/>
      <c r="EDZ11" s="495"/>
      <c r="EEA11" s="495"/>
      <c r="EEB11" s="495"/>
      <c r="EEC11" s="495"/>
      <c r="EED11" s="495"/>
      <c r="EEE11" s="495"/>
      <c r="EEF11" s="495"/>
      <c r="EEG11" s="495"/>
      <c r="EEH11" s="495"/>
      <c r="EEI11" s="495"/>
      <c r="EEJ11" s="495"/>
      <c r="EEK11" s="495"/>
      <c r="EEL11" s="495"/>
      <c r="EEM11" s="495"/>
      <c r="EEN11" s="495"/>
      <c r="EEO11" s="495"/>
      <c r="EEP11" s="495"/>
      <c r="EEQ11" s="495"/>
      <c r="EER11" s="495"/>
      <c r="EES11" s="495"/>
      <c r="EET11" s="495"/>
      <c r="EEU11" s="495"/>
      <c r="EEV11" s="495"/>
      <c r="EEW11" s="495"/>
      <c r="EEX11" s="495"/>
      <c r="EEY11" s="495"/>
      <c r="EEZ11" s="495"/>
      <c r="EFA11" s="495"/>
      <c r="EFB11" s="495"/>
      <c r="EFC11" s="495"/>
      <c r="EFD11" s="495"/>
      <c r="EFE11" s="495"/>
      <c r="EFF11" s="495"/>
      <c r="EFG11" s="495"/>
      <c r="EFH11" s="495"/>
      <c r="EFI11" s="495"/>
      <c r="EFJ11" s="495"/>
      <c r="EFK11" s="495"/>
      <c r="EFL11" s="495"/>
      <c r="EFM11" s="495"/>
      <c r="EFN11" s="495"/>
      <c r="EFO11" s="495"/>
      <c r="EFP11" s="495"/>
      <c r="EFQ11" s="495"/>
      <c r="EFR11" s="495"/>
      <c r="EFS11" s="495"/>
      <c r="EFT11" s="495"/>
      <c r="EFU11" s="495"/>
      <c r="EFV11" s="495"/>
      <c r="EFW11" s="495"/>
      <c r="EFX11" s="495"/>
      <c r="EFY11" s="495"/>
      <c r="EFZ11" s="495"/>
      <c r="EGA11" s="495"/>
      <c r="EGB11" s="495"/>
      <c r="EGC11" s="495"/>
      <c r="EGD11" s="495"/>
      <c r="EGE11" s="495"/>
      <c r="EGF11" s="495"/>
      <c r="EGG11" s="495"/>
      <c r="EGH11" s="495"/>
      <c r="EGI11" s="495"/>
      <c r="EGJ11" s="495"/>
      <c r="EGK11" s="495"/>
      <c r="EGL11" s="495"/>
      <c r="EGM11" s="495"/>
      <c r="EGN11" s="495"/>
      <c r="EGO11" s="495"/>
      <c r="EGP11" s="495"/>
      <c r="EGQ11" s="495"/>
      <c r="EGR11" s="495"/>
      <c r="EGS11" s="495"/>
      <c r="EGT11" s="495"/>
      <c r="EGU11" s="495"/>
      <c r="EGV11" s="495"/>
      <c r="EGW11" s="495"/>
      <c r="EGX11" s="495"/>
      <c r="EGY11" s="495"/>
      <c r="EGZ11" s="495"/>
      <c r="EHA11" s="495"/>
      <c r="EHB11" s="495"/>
      <c r="EHC11" s="495"/>
      <c r="EHD11" s="495"/>
      <c r="EHE11" s="495"/>
      <c r="EHF11" s="495"/>
      <c r="EHG11" s="495"/>
      <c r="EHH11" s="495"/>
      <c r="EHI11" s="495"/>
      <c r="EHJ11" s="495"/>
      <c r="EHK11" s="495"/>
      <c r="EHL11" s="495"/>
      <c r="EHM11" s="495"/>
      <c r="EHN11" s="495"/>
      <c r="EHO11" s="495"/>
      <c r="EHP11" s="495"/>
      <c r="EHQ11" s="495"/>
      <c r="EHR11" s="495"/>
      <c r="EHS11" s="495"/>
      <c r="EHT11" s="495"/>
      <c r="EHU11" s="495"/>
      <c r="EHV11" s="495"/>
      <c r="EHW11" s="495"/>
      <c r="EHX11" s="495"/>
      <c r="EHY11" s="495"/>
      <c r="EHZ11" s="495"/>
      <c r="EIA11" s="495"/>
      <c r="EIB11" s="495"/>
      <c r="EIC11" s="495"/>
      <c r="EID11" s="495"/>
      <c r="EIE11" s="495"/>
      <c r="EIF11" s="495"/>
      <c r="EIG11" s="495"/>
      <c r="EIH11" s="495"/>
      <c r="EII11" s="495"/>
      <c r="EIJ11" s="495"/>
      <c r="EIK11" s="495"/>
      <c r="EIL11" s="495"/>
      <c r="EIM11" s="495"/>
      <c r="EIN11" s="495"/>
      <c r="EIO11" s="495"/>
      <c r="EIP11" s="495"/>
      <c r="EIQ11" s="495"/>
      <c r="EIR11" s="495"/>
      <c r="EIS11" s="495"/>
      <c r="EIT11" s="495"/>
      <c r="EIU11" s="495"/>
      <c r="EIV11" s="495"/>
      <c r="EIW11" s="495"/>
      <c r="EIX11" s="495"/>
      <c r="EIY11" s="495"/>
      <c r="EIZ11" s="495"/>
      <c r="EJA11" s="495"/>
      <c r="EJB11" s="495"/>
      <c r="EJC11" s="495"/>
      <c r="EJD11" s="495"/>
      <c r="EJE11" s="495"/>
      <c r="EJF11" s="495"/>
      <c r="EJG11" s="495"/>
      <c r="EJH11" s="495"/>
      <c r="EJI11" s="495"/>
      <c r="EJJ11" s="495"/>
      <c r="EJK11" s="495"/>
      <c r="EJL11" s="495"/>
      <c r="EJM11" s="495"/>
      <c r="EJN11" s="495"/>
      <c r="EJO11" s="495"/>
      <c r="EJP11" s="495"/>
      <c r="EJQ11" s="495"/>
      <c r="EJR11" s="495"/>
      <c r="EJS11" s="495"/>
      <c r="EJT11" s="495"/>
      <c r="EJU11" s="495"/>
      <c r="EJV11" s="495"/>
      <c r="EJW11" s="495"/>
      <c r="EJX11" s="495"/>
      <c r="EJY11" s="495"/>
      <c r="EJZ11" s="495"/>
      <c r="EKA11" s="495"/>
      <c r="EKB11" s="495"/>
      <c r="EKC11" s="495"/>
      <c r="EKD11" s="495"/>
      <c r="EKE11" s="495"/>
      <c r="EKF11" s="495"/>
      <c r="EKG11" s="495"/>
      <c r="EKH11" s="495"/>
      <c r="EKI11" s="495"/>
      <c r="EKJ11" s="495"/>
      <c r="EKK11" s="495"/>
      <c r="EKL11" s="495"/>
      <c r="EKM11" s="495"/>
      <c r="EKN11" s="495"/>
      <c r="EKO11" s="495"/>
      <c r="EKP11" s="495"/>
      <c r="EKQ11" s="495"/>
      <c r="EKR11" s="495"/>
      <c r="EKS11" s="495"/>
      <c r="EKT11" s="495"/>
      <c r="EKU11" s="495"/>
      <c r="EKV11" s="495"/>
      <c r="EKW11" s="495"/>
      <c r="EKX11" s="495"/>
      <c r="EKY11" s="495"/>
      <c r="EKZ11" s="495"/>
      <c r="ELA11" s="495"/>
      <c r="ELB11" s="495"/>
      <c r="ELC11" s="495"/>
      <c r="ELD11" s="495"/>
      <c r="ELE11" s="495"/>
      <c r="ELF11" s="495"/>
      <c r="ELG11" s="495"/>
      <c r="ELH11" s="495"/>
      <c r="ELI11" s="495"/>
      <c r="ELJ11" s="495"/>
      <c r="ELK11" s="495"/>
      <c r="ELL11" s="495"/>
      <c r="ELM11" s="495"/>
      <c r="ELN11" s="495"/>
      <c r="ELO11" s="495"/>
      <c r="ELP11" s="495"/>
      <c r="ELQ11" s="495"/>
      <c r="ELR11" s="495"/>
      <c r="ELS11" s="495"/>
      <c r="ELT11" s="495"/>
      <c r="ELU11" s="495"/>
      <c r="ELV11" s="495"/>
      <c r="ELW11" s="495"/>
      <c r="ELX11" s="495"/>
      <c r="ELY11" s="495"/>
      <c r="ELZ11" s="495"/>
      <c r="EMA11" s="495"/>
      <c r="EMB11" s="495"/>
      <c r="EMC11" s="495"/>
      <c r="EMD11" s="495"/>
      <c r="EME11" s="495"/>
      <c r="EMF11" s="495"/>
      <c r="EMG11" s="495"/>
      <c r="EMH11" s="495"/>
      <c r="EMI11" s="495"/>
      <c r="EMJ11" s="495"/>
      <c r="EMK11" s="495"/>
      <c r="EML11" s="495"/>
      <c r="EMM11" s="495"/>
      <c r="EMN11" s="495"/>
      <c r="EMO11" s="495"/>
      <c r="EMP11" s="495"/>
      <c r="EMQ11" s="495"/>
      <c r="EMR11" s="495"/>
      <c r="EMS11" s="495"/>
      <c r="EMT11" s="495"/>
      <c r="EMU11" s="495"/>
      <c r="EMV11" s="495"/>
      <c r="EMW11" s="495"/>
      <c r="EMX11" s="495"/>
      <c r="EMY11" s="495"/>
      <c r="EMZ11" s="495"/>
      <c r="ENA11" s="495"/>
      <c r="ENB11" s="495"/>
      <c r="ENC11" s="495"/>
      <c r="END11" s="495"/>
      <c r="ENE11" s="495"/>
      <c r="ENF11" s="495"/>
      <c r="ENG11" s="495"/>
      <c r="ENH11" s="495"/>
      <c r="ENI11" s="495"/>
      <c r="ENJ11" s="495"/>
      <c r="ENK11" s="495"/>
      <c r="ENL11" s="495"/>
      <c r="ENM11" s="495"/>
      <c r="ENN11" s="495"/>
      <c r="ENO11" s="495"/>
      <c r="ENP11" s="495"/>
      <c r="ENQ11" s="495"/>
      <c r="ENR11" s="495"/>
      <c r="ENS11" s="495"/>
      <c r="ENT11" s="495"/>
      <c r="ENU11" s="495"/>
      <c r="ENV11" s="495"/>
      <c r="ENW11" s="495"/>
      <c r="ENX11" s="495"/>
      <c r="ENY11" s="495"/>
      <c r="ENZ11" s="495"/>
      <c r="EOA11" s="495"/>
      <c r="EOB11" s="495"/>
      <c r="EOC11" s="495"/>
      <c r="EOD11" s="495"/>
      <c r="EOE11" s="495"/>
      <c r="EOF11" s="495"/>
      <c r="EOG11" s="495"/>
      <c r="EOH11" s="495"/>
      <c r="EOI11" s="495"/>
      <c r="EOJ11" s="495"/>
      <c r="EOK11" s="495"/>
      <c r="EOL11" s="495"/>
      <c r="EOM11" s="495"/>
      <c r="EON11" s="495"/>
      <c r="EOO11" s="495"/>
      <c r="EOP11" s="495"/>
      <c r="EOQ11" s="495"/>
      <c r="EOR11" s="495"/>
      <c r="EOS11" s="495"/>
      <c r="EOT11" s="495"/>
      <c r="EOU11" s="495"/>
      <c r="EOV11" s="495"/>
      <c r="EOW11" s="495"/>
      <c r="EOX11" s="495"/>
      <c r="EOY11" s="495"/>
      <c r="EOZ11" s="495"/>
      <c r="EPA11" s="495"/>
      <c r="EPB11" s="495"/>
      <c r="EPC11" s="495"/>
      <c r="EPD11" s="495"/>
      <c r="EPE11" s="495"/>
      <c r="EPF11" s="495"/>
      <c r="EPG11" s="495"/>
      <c r="EPH11" s="495"/>
      <c r="EPI11" s="495"/>
      <c r="EPJ11" s="495"/>
      <c r="EPK11" s="495"/>
      <c r="EPL11" s="495"/>
      <c r="EPM11" s="495"/>
      <c r="EPN11" s="495"/>
      <c r="EPO11" s="495"/>
      <c r="EPP11" s="495"/>
      <c r="EPQ11" s="495"/>
      <c r="EPR11" s="495"/>
      <c r="EPS11" s="495"/>
      <c r="EPT11" s="495"/>
      <c r="EPU11" s="495"/>
      <c r="EPV11" s="495"/>
      <c r="EPW11" s="495"/>
      <c r="EPX11" s="495"/>
      <c r="EPY11" s="495"/>
      <c r="EPZ11" s="495"/>
      <c r="EQA11" s="495"/>
      <c r="EQB11" s="495"/>
      <c r="EQC11" s="495"/>
      <c r="EQD11" s="495"/>
      <c r="EQE11" s="495"/>
      <c r="EQF11" s="495"/>
      <c r="EQG11" s="495"/>
      <c r="EQH11" s="495"/>
      <c r="EQI11" s="495"/>
      <c r="EQJ11" s="495"/>
      <c r="EQK11" s="495"/>
      <c r="EQL11" s="495"/>
      <c r="EQM11" s="495"/>
      <c r="EQN11" s="495"/>
      <c r="EQO11" s="495"/>
      <c r="EQP11" s="495"/>
      <c r="EQQ11" s="495"/>
      <c r="EQR11" s="495"/>
      <c r="EQS11" s="495"/>
      <c r="EQT11" s="495"/>
      <c r="EQU11" s="495"/>
      <c r="EQV11" s="495"/>
      <c r="EQW11" s="495"/>
      <c r="EQX11" s="495"/>
      <c r="EQY11" s="495"/>
      <c r="EQZ11" s="495"/>
      <c r="ERA11" s="495"/>
      <c r="ERB11" s="495"/>
      <c r="ERC11" s="495"/>
      <c r="ERD11" s="495"/>
      <c r="ERE11" s="495"/>
      <c r="ERF11" s="495"/>
      <c r="ERG11" s="495"/>
      <c r="ERH11" s="495"/>
      <c r="ERI11" s="495"/>
      <c r="ERJ11" s="495"/>
      <c r="ERK11" s="495"/>
      <c r="ERL11" s="495"/>
      <c r="ERM11" s="495"/>
      <c r="ERN11" s="495"/>
      <c r="ERO11" s="495"/>
      <c r="ERP11" s="495"/>
      <c r="ERQ11" s="495"/>
      <c r="ERR11" s="495"/>
      <c r="ERS11" s="495"/>
      <c r="ERT11" s="495"/>
      <c r="ERU11" s="495"/>
      <c r="ERV11" s="495"/>
      <c r="ERW11" s="495"/>
      <c r="ERX11" s="495"/>
      <c r="ERY11" s="495"/>
      <c r="ERZ11" s="495"/>
      <c r="ESA11" s="495"/>
      <c r="ESB11" s="495"/>
      <c r="ESC11" s="495"/>
      <c r="ESD11" s="495"/>
      <c r="ESE11" s="495"/>
      <c r="ESF11" s="495"/>
      <c r="ESG11" s="495"/>
      <c r="ESH11" s="495"/>
      <c r="ESI11" s="495"/>
      <c r="ESJ11" s="495"/>
      <c r="ESK11" s="495"/>
      <c r="ESL11" s="495"/>
      <c r="ESM11" s="495"/>
      <c r="ESN11" s="495"/>
      <c r="ESO11" s="495"/>
      <c r="ESP11" s="495"/>
      <c r="ESQ11" s="495"/>
      <c r="ESR11" s="495"/>
      <c r="ESS11" s="495"/>
      <c r="EST11" s="495"/>
      <c r="ESU11" s="495"/>
      <c r="ESV11" s="495"/>
      <c r="ESW11" s="495"/>
      <c r="ESX11" s="495"/>
      <c r="ESY11" s="495"/>
      <c r="ESZ11" s="495"/>
      <c r="ETA11" s="495"/>
      <c r="ETB11" s="495"/>
      <c r="ETC11" s="495"/>
      <c r="ETD11" s="495"/>
      <c r="ETE11" s="495"/>
      <c r="ETF11" s="495"/>
      <c r="ETG11" s="495"/>
      <c r="ETH11" s="495"/>
      <c r="ETI11" s="495"/>
      <c r="ETJ11" s="495"/>
      <c r="ETK11" s="495"/>
      <c r="ETL11" s="495"/>
      <c r="ETM11" s="495"/>
      <c r="ETN11" s="495"/>
      <c r="ETO11" s="495"/>
      <c r="ETP11" s="495"/>
      <c r="ETQ11" s="495"/>
      <c r="ETR11" s="495"/>
      <c r="ETS11" s="495"/>
      <c r="ETT11" s="495"/>
      <c r="ETU11" s="495"/>
      <c r="ETV11" s="495"/>
      <c r="ETW11" s="495"/>
      <c r="ETX11" s="495"/>
      <c r="ETY11" s="495"/>
      <c r="ETZ11" s="495"/>
      <c r="EUA11" s="495"/>
      <c r="EUB11" s="495"/>
      <c r="EUC11" s="495"/>
      <c r="EUD11" s="495"/>
      <c r="EUE11" s="495"/>
      <c r="EUF11" s="495"/>
      <c r="EUG11" s="495"/>
      <c r="EUH11" s="495"/>
      <c r="EUI11" s="495"/>
      <c r="EUJ11" s="495"/>
      <c r="EUK11" s="495"/>
      <c r="EUL11" s="495"/>
      <c r="EUM11" s="495"/>
      <c r="EUN11" s="495"/>
      <c r="EUO11" s="495"/>
      <c r="EUP11" s="495"/>
      <c r="EUQ11" s="495"/>
      <c r="EUR11" s="495"/>
      <c r="EUS11" s="495"/>
      <c r="EUT11" s="495"/>
      <c r="EUU11" s="495"/>
      <c r="EUV11" s="495"/>
      <c r="EUW11" s="495"/>
      <c r="EUX11" s="495"/>
      <c r="EUY11" s="495"/>
      <c r="EUZ11" s="495"/>
      <c r="EVA11" s="495"/>
      <c r="EVB11" s="495"/>
      <c r="EVC11" s="495"/>
      <c r="EVD11" s="495"/>
      <c r="EVE11" s="495"/>
      <c r="EVF11" s="495"/>
      <c r="EVG11" s="495"/>
      <c r="EVH11" s="495"/>
      <c r="EVI11" s="495"/>
      <c r="EVJ11" s="495"/>
      <c r="EVK11" s="495"/>
      <c r="EVL11" s="495"/>
      <c r="EVM11" s="495"/>
      <c r="EVN11" s="495"/>
      <c r="EVO11" s="495"/>
      <c r="EVP11" s="495"/>
      <c r="EVQ11" s="495"/>
      <c r="EVR11" s="495"/>
      <c r="EVS11" s="495"/>
      <c r="EVT11" s="495"/>
      <c r="EVU11" s="495"/>
      <c r="EVV11" s="495"/>
      <c r="EVW11" s="495"/>
      <c r="EVX11" s="495"/>
      <c r="EVY11" s="495"/>
      <c r="EVZ11" s="495"/>
      <c r="EWA11" s="495"/>
      <c r="EWB11" s="495"/>
      <c r="EWC11" s="495"/>
      <c r="EWD11" s="495"/>
      <c r="EWE11" s="495"/>
      <c r="EWF11" s="495"/>
      <c r="EWG11" s="495"/>
      <c r="EWH11" s="495"/>
      <c r="EWI11" s="495"/>
      <c r="EWJ11" s="495"/>
      <c r="EWK11" s="495"/>
      <c r="EWL11" s="495"/>
      <c r="EWM11" s="495"/>
      <c r="EWN11" s="495"/>
      <c r="EWO11" s="495"/>
      <c r="EWP11" s="495"/>
      <c r="EWQ11" s="495"/>
      <c r="EWR11" s="495"/>
      <c r="EWS11" s="495"/>
      <c r="EWT11" s="495"/>
      <c r="EWU11" s="495"/>
      <c r="EWV11" s="495"/>
      <c r="EWW11" s="495"/>
      <c r="EWX11" s="495"/>
      <c r="EWY11" s="495"/>
      <c r="EWZ11" s="495"/>
      <c r="EXA11" s="495"/>
      <c r="EXB11" s="495"/>
      <c r="EXC11" s="495"/>
      <c r="EXD11" s="495"/>
      <c r="EXE11" s="495"/>
      <c r="EXF11" s="495"/>
      <c r="EXG11" s="495"/>
      <c r="EXH11" s="495"/>
      <c r="EXI11" s="495"/>
      <c r="EXJ11" s="495"/>
      <c r="EXK11" s="495"/>
      <c r="EXL11" s="495"/>
      <c r="EXM11" s="495"/>
      <c r="EXN11" s="495"/>
      <c r="EXO11" s="495"/>
      <c r="EXP11" s="495"/>
      <c r="EXQ11" s="495"/>
      <c r="EXR11" s="495"/>
      <c r="EXS11" s="495"/>
      <c r="EXT11" s="495"/>
      <c r="EXU11" s="495"/>
      <c r="EXV11" s="495"/>
      <c r="EXW11" s="495"/>
      <c r="EXX11" s="495"/>
      <c r="EXY11" s="495"/>
      <c r="EXZ11" s="495"/>
      <c r="EYA11" s="495"/>
      <c r="EYB11" s="495"/>
      <c r="EYC11" s="495"/>
      <c r="EYD11" s="495"/>
      <c r="EYE11" s="495"/>
      <c r="EYF11" s="495"/>
      <c r="EYG11" s="495"/>
      <c r="EYH11" s="495"/>
      <c r="EYI11" s="495"/>
      <c r="EYJ11" s="495"/>
      <c r="EYK11" s="495"/>
      <c r="EYL11" s="495"/>
      <c r="EYM11" s="495"/>
      <c r="EYN11" s="495"/>
      <c r="EYO11" s="495"/>
      <c r="EYP11" s="495"/>
      <c r="EYQ11" s="495"/>
      <c r="EYR11" s="495"/>
      <c r="EYS11" s="495"/>
      <c r="EYT11" s="495"/>
      <c r="EYU11" s="495"/>
      <c r="EYV11" s="495"/>
      <c r="EYW11" s="495"/>
      <c r="EYX11" s="495"/>
      <c r="EYY11" s="495"/>
      <c r="EYZ11" s="495"/>
      <c r="EZA11" s="495"/>
      <c r="EZB11" s="495"/>
      <c r="EZC11" s="495"/>
      <c r="EZD11" s="495"/>
      <c r="EZE11" s="495"/>
      <c r="EZF11" s="495"/>
      <c r="EZG11" s="495"/>
      <c r="EZH11" s="495"/>
      <c r="EZI11" s="495"/>
      <c r="EZJ11" s="495"/>
      <c r="EZK11" s="495"/>
      <c r="EZL11" s="495"/>
      <c r="EZM11" s="495"/>
      <c r="EZN11" s="495"/>
      <c r="EZO11" s="495"/>
      <c r="EZP11" s="495"/>
      <c r="EZQ11" s="495"/>
      <c r="EZR11" s="495"/>
      <c r="EZS11" s="495"/>
      <c r="EZT11" s="495"/>
      <c r="EZU11" s="495"/>
      <c r="EZV11" s="495"/>
      <c r="EZW11" s="495"/>
      <c r="EZX11" s="495"/>
      <c r="EZY11" s="495"/>
      <c r="EZZ11" s="495"/>
      <c r="FAA11" s="495"/>
      <c r="FAB11" s="495"/>
      <c r="FAC11" s="495"/>
      <c r="FAD11" s="495"/>
      <c r="FAE11" s="495"/>
      <c r="FAF11" s="495"/>
      <c r="FAG11" s="495"/>
      <c r="FAH11" s="495"/>
      <c r="FAI11" s="495"/>
      <c r="FAJ11" s="495"/>
      <c r="FAK11" s="495"/>
      <c r="FAL11" s="495"/>
      <c r="FAM11" s="495"/>
      <c r="FAN11" s="495"/>
      <c r="FAO11" s="495"/>
      <c r="FAP11" s="495"/>
      <c r="FAQ11" s="495"/>
      <c r="FAR11" s="495"/>
      <c r="FAS11" s="495"/>
      <c r="FAT11" s="495"/>
      <c r="FAU11" s="495"/>
      <c r="FAV11" s="495"/>
      <c r="FAW11" s="495"/>
      <c r="FAX11" s="495"/>
      <c r="FAY11" s="495"/>
      <c r="FAZ11" s="495"/>
      <c r="FBA11" s="495"/>
      <c r="FBB11" s="495"/>
      <c r="FBC11" s="495"/>
      <c r="FBD11" s="495"/>
      <c r="FBE11" s="495"/>
      <c r="FBF11" s="495"/>
      <c r="FBG11" s="495"/>
      <c r="FBH11" s="495"/>
      <c r="FBI11" s="495"/>
      <c r="FBJ11" s="495"/>
      <c r="FBK11" s="495"/>
      <c r="FBL11" s="495"/>
      <c r="FBM11" s="495"/>
      <c r="FBN11" s="495"/>
      <c r="FBO11" s="495"/>
      <c r="FBP11" s="495"/>
      <c r="FBQ11" s="495"/>
      <c r="FBR11" s="495"/>
      <c r="FBS11" s="495"/>
      <c r="FBT11" s="495"/>
      <c r="FBU11" s="495"/>
      <c r="FBV11" s="495"/>
      <c r="FBW11" s="495"/>
      <c r="FBX11" s="495"/>
      <c r="FBY11" s="495"/>
      <c r="FBZ11" s="495"/>
      <c r="FCA11" s="495"/>
      <c r="FCB11" s="495"/>
      <c r="FCC11" s="495"/>
      <c r="FCD11" s="495"/>
      <c r="FCE11" s="495"/>
      <c r="FCF11" s="495"/>
      <c r="FCG11" s="495"/>
      <c r="FCH11" s="495"/>
      <c r="FCI11" s="495"/>
      <c r="FCJ11" s="495"/>
      <c r="FCK11" s="495"/>
      <c r="FCL11" s="495"/>
      <c r="FCM11" s="495"/>
      <c r="FCN11" s="495"/>
      <c r="FCO11" s="495"/>
      <c r="FCP11" s="495"/>
      <c r="FCQ11" s="495"/>
      <c r="FCR11" s="495"/>
      <c r="FCS11" s="495"/>
      <c r="FCT11" s="495"/>
      <c r="FCU11" s="495"/>
      <c r="FCV11" s="495"/>
      <c r="FCW11" s="495"/>
      <c r="FCX11" s="495"/>
      <c r="FCY11" s="495"/>
      <c r="FCZ11" s="495"/>
      <c r="FDA11" s="495"/>
      <c r="FDB11" s="495"/>
      <c r="FDC11" s="495"/>
      <c r="FDD11" s="495"/>
      <c r="FDE11" s="495"/>
      <c r="FDF11" s="495"/>
      <c r="FDG11" s="495"/>
      <c r="FDH11" s="495"/>
      <c r="FDI11" s="495"/>
      <c r="FDJ11" s="495"/>
      <c r="FDK11" s="495"/>
      <c r="FDL11" s="495"/>
      <c r="FDM11" s="495"/>
      <c r="FDN11" s="495"/>
      <c r="FDO11" s="495"/>
      <c r="FDP11" s="495"/>
      <c r="FDQ11" s="495"/>
      <c r="FDR11" s="495"/>
      <c r="FDS11" s="495"/>
      <c r="FDT11" s="495"/>
      <c r="FDU11" s="495"/>
      <c r="FDV11" s="495"/>
      <c r="FDW11" s="495"/>
      <c r="FDX11" s="495"/>
      <c r="FDY11" s="495"/>
      <c r="FDZ11" s="495"/>
      <c r="FEA11" s="495"/>
      <c r="FEB11" s="495"/>
      <c r="FEC11" s="495"/>
      <c r="FED11" s="495"/>
      <c r="FEE11" s="495"/>
      <c r="FEF11" s="495"/>
      <c r="FEG11" s="495"/>
      <c r="FEH11" s="495"/>
      <c r="FEI11" s="495"/>
      <c r="FEJ11" s="495"/>
      <c r="FEK11" s="495"/>
      <c r="FEL11" s="495"/>
      <c r="FEM11" s="495"/>
      <c r="FEN11" s="495"/>
      <c r="FEO11" s="495"/>
      <c r="FEP11" s="495"/>
      <c r="FEQ11" s="495"/>
      <c r="FER11" s="495"/>
      <c r="FES11" s="495"/>
      <c r="FET11" s="495"/>
      <c r="FEU11" s="495"/>
      <c r="FEV11" s="495"/>
      <c r="FEW11" s="495"/>
      <c r="FEX11" s="495"/>
      <c r="FEY11" s="495"/>
      <c r="FEZ11" s="495"/>
      <c r="FFA11" s="495"/>
      <c r="FFB11" s="495"/>
      <c r="FFC11" s="495"/>
      <c r="FFD11" s="495"/>
      <c r="FFE11" s="495"/>
      <c r="FFF11" s="495"/>
      <c r="FFG11" s="495"/>
      <c r="FFH11" s="495"/>
      <c r="FFI11" s="495"/>
      <c r="FFJ11" s="495"/>
      <c r="FFK11" s="495"/>
      <c r="FFL11" s="495"/>
      <c r="FFM11" s="495"/>
      <c r="FFN11" s="495"/>
      <c r="FFO11" s="495"/>
      <c r="FFP11" s="495"/>
      <c r="FFQ11" s="495"/>
      <c r="FFR11" s="495"/>
      <c r="FFS11" s="495"/>
      <c r="FFT11" s="495"/>
      <c r="FFU11" s="495"/>
      <c r="FFV11" s="495"/>
      <c r="FFW11" s="495"/>
      <c r="FFX11" s="495"/>
      <c r="FFY11" s="495"/>
      <c r="FFZ11" s="495"/>
      <c r="FGA11" s="495"/>
      <c r="FGB11" s="495"/>
      <c r="FGC11" s="495"/>
      <c r="FGD11" s="495"/>
      <c r="FGE11" s="495"/>
      <c r="FGF11" s="495"/>
      <c r="FGG11" s="495"/>
      <c r="FGH11" s="495"/>
      <c r="FGI11" s="495"/>
      <c r="FGJ11" s="495"/>
      <c r="FGK11" s="495"/>
      <c r="FGL11" s="495"/>
      <c r="FGM11" s="495"/>
      <c r="FGN11" s="495"/>
      <c r="FGO11" s="495"/>
      <c r="FGP11" s="495"/>
      <c r="FGQ11" s="495"/>
      <c r="FGR11" s="495"/>
      <c r="FGS11" s="495"/>
      <c r="FGT11" s="495"/>
      <c r="FGU11" s="495"/>
      <c r="FGV11" s="495"/>
      <c r="FGW11" s="495"/>
      <c r="FGX11" s="495"/>
      <c r="FGY11" s="495"/>
      <c r="FGZ11" s="495"/>
      <c r="FHA11" s="495"/>
      <c r="FHB11" s="495"/>
      <c r="FHC11" s="495"/>
      <c r="FHD11" s="495"/>
      <c r="FHE11" s="495"/>
      <c r="FHF11" s="495"/>
      <c r="FHG11" s="495"/>
      <c r="FHH11" s="495"/>
      <c r="FHI11" s="495"/>
      <c r="FHJ11" s="495"/>
      <c r="FHK11" s="495"/>
      <c r="FHL11" s="495"/>
      <c r="FHM11" s="495"/>
      <c r="FHN11" s="495"/>
      <c r="FHO11" s="495"/>
      <c r="FHP11" s="495"/>
      <c r="FHQ11" s="495"/>
      <c r="FHR11" s="495"/>
      <c r="FHS11" s="495"/>
      <c r="FHT11" s="495"/>
      <c r="FHU11" s="495"/>
      <c r="FHV11" s="495"/>
      <c r="FHW11" s="495"/>
      <c r="FHX11" s="495"/>
      <c r="FHY11" s="495"/>
      <c r="FHZ11" s="495"/>
      <c r="FIA11" s="495"/>
      <c r="FIB11" s="495"/>
      <c r="FIC11" s="495"/>
      <c r="FID11" s="495"/>
      <c r="FIE11" s="495"/>
      <c r="FIF11" s="495"/>
      <c r="FIG11" s="495"/>
      <c r="FIH11" s="495"/>
      <c r="FII11" s="495"/>
      <c r="FIJ11" s="495"/>
      <c r="FIK11" s="495"/>
      <c r="FIL11" s="495"/>
      <c r="FIM11" s="495"/>
      <c r="FIN11" s="495"/>
      <c r="FIO11" s="495"/>
      <c r="FIP11" s="495"/>
      <c r="FIQ11" s="495"/>
      <c r="FIR11" s="495"/>
      <c r="FIS11" s="495"/>
      <c r="FIT11" s="495"/>
      <c r="FIU11" s="495"/>
      <c r="FIV11" s="495"/>
      <c r="FIW11" s="495"/>
      <c r="FIX11" s="495"/>
      <c r="FIY11" s="495"/>
      <c r="FIZ11" s="495"/>
      <c r="FJA11" s="495"/>
      <c r="FJB11" s="495"/>
      <c r="FJC11" s="495"/>
      <c r="FJD11" s="495"/>
      <c r="FJE11" s="495"/>
      <c r="FJF11" s="495"/>
      <c r="FJG11" s="495"/>
      <c r="FJH11" s="495"/>
      <c r="FJI11" s="495"/>
      <c r="FJJ11" s="495"/>
      <c r="FJK11" s="495"/>
      <c r="FJL11" s="495"/>
      <c r="FJM11" s="495"/>
      <c r="FJN11" s="495"/>
      <c r="FJO11" s="495"/>
      <c r="FJP11" s="495"/>
      <c r="FJQ11" s="495"/>
      <c r="FJR11" s="495"/>
      <c r="FJS11" s="495"/>
      <c r="FJT11" s="495"/>
      <c r="FJU11" s="495"/>
      <c r="FJV11" s="495"/>
      <c r="FJW11" s="495"/>
      <c r="FJX11" s="495"/>
      <c r="FJY11" s="495"/>
      <c r="FJZ11" s="495"/>
      <c r="FKA11" s="495"/>
      <c r="FKB11" s="495"/>
      <c r="FKC11" s="495"/>
      <c r="FKD11" s="495"/>
      <c r="FKE11" s="495"/>
      <c r="FKF11" s="495"/>
      <c r="FKG11" s="495"/>
      <c r="FKH11" s="495"/>
      <c r="FKI11" s="495"/>
      <c r="FKJ11" s="495"/>
      <c r="FKK11" s="495"/>
      <c r="FKL11" s="495"/>
      <c r="FKM11" s="495"/>
      <c r="FKN11" s="495"/>
      <c r="FKO11" s="495"/>
      <c r="FKP11" s="495"/>
      <c r="FKQ11" s="495"/>
      <c r="FKR11" s="495"/>
      <c r="FKS11" s="495"/>
      <c r="FKT11" s="495"/>
      <c r="FKU11" s="495"/>
      <c r="FKV11" s="495"/>
      <c r="FKW11" s="495"/>
      <c r="FKX11" s="495"/>
      <c r="FKY11" s="495"/>
      <c r="FKZ11" s="495"/>
      <c r="FLA11" s="495"/>
      <c r="FLB11" s="495"/>
      <c r="FLC11" s="495"/>
      <c r="FLD11" s="495"/>
      <c r="FLE11" s="495"/>
      <c r="FLF11" s="495"/>
      <c r="FLG11" s="495"/>
      <c r="FLH11" s="495"/>
      <c r="FLI11" s="495"/>
      <c r="FLJ11" s="495"/>
      <c r="FLK11" s="495"/>
      <c r="FLL11" s="495"/>
      <c r="FLM11" s="495"/>
      <c r="FLN11" s="495"/>
      <c r="FLO11" s="495"/>
      <c r="FLP11" s="495"/>
      <c r="FLQ11" s="495"/>
      <c r="FLR11" s="495"/>
      <c r="FLS11" s="495"/>
      <c r="FLT11" s="495"/>
      <c r="FLU11" s="495"/>
      <c r="FLV11" s="495"/>
      <c r="FLW11" s="495"/>
      <c r="FLX11" s="495"/>
      <c r="FLY11" s="495"/>
      <c r="FLZ11" s="495"/>
      <c r="FMA11" s="495"/>
      <c r="FMB11" s="495"/>
      <c r="FMC11" s="495"/>
      <c r="FMD11" s="495"/>
      <c r="FME11" s="495"/>
      <c r="FMF11" s="495"/>
      <c r="FMG11" s="495"/>
      <c r="FMH11" s="495"/>
      <c r="FMI11" s="495"/>
      <c r="FMJ11" s="495"/>
      <c r="FMK11" s="495"/>
      <c r="FML11" s="495"/>
      <c r="FMM11" s="495"/>
      <c r="FMN11" s="495"/>
      <c r="FMO11" s="495"/>
      <c r="FMP11" s="495"/>
      <c r="FMQ11" s="495"/>
      <c r="FMR11" s="495"/>
      <c r="FMS11" s="495"/>
      <c r="FMT11" s="495"/>
      <c r="FMU11" s="495"/>
      <c r="FMV11" s="495"/>
      <c r="FMW11" s="495"/>
      <c r="FMX11" s="495"/>
      <c r="FMY11" s="495"/>
      <c r="FMZ11" s="495"/>
      <c r="FNA11" s="495"/>
      <c r="FNB11" s="495"/>
      <c r="FNC11" s="495"/>
      <c r="FND11" s="495"/>
      <c r="FNE11" s="495"/>
      <c r="FNF11" s="495"/>
      <c r="FNG11" s="495"/>
      <c r="FNH11" s="495"/>
      <c r="FNI11" s="495"/>
      <c r="FNJ11" s="495"/>
      <c r="FNK11" s="495"/>
      <c r="FNL11" s="495"/>
      <c r="FNM11" s="495"/>
      <c r="FNN11" s="495"/>
      <c r="FNO11" s="495"/>
      <c r="FNP11" s="495"/>
      <c r="FNQ11" s="495"/>
      <c r="FNR11" s="495"/>
      <c r="FNS11" s="495"/>
      <c r="FNT11" s="495"/>
      <c r="FNU11" s="495"/>
      <c r="FNV11" s="495"/>
      <c r="FNW11" s="495"/>
      <c r="FNX11" s="495"/>
      <c r="FNY11" s="495"/>
      <c r="FNZ11" s="495"/>
      <c r="FOA11" s="495"/>
      <c r="FOB11" s="495"/>
      <c r="FOC11" s="495"/>
      <c r="FOD11" s="495"/>
      <c r="FOE11" s="495"/>
      <c r="FOF11" s="495"/>
      <c r="FOG11" s="495"/>
      <c r="FOH11" s="495"/>
      <c r="FOI11" s="495"/>
      <c r="FOJ11" s="495"/>
      <c r="FOK11" s="495"/>
      <c r="FOL11" s="495"/>
      <c r="FOM11" s="495"/>
      <c r="FON11" s="495"/>
      <c r="FOO11" s="495"/>
      <c r="FOP11" s="495"/>
      <c r="FOQ11" s="495"/>
      <c r="FOR11" s="495"/>
      <c r="FOS11" s="495"/>
      <c r="FOT11" s="495"/>
      <c r="FOU11" s="495"/>
      <c r="FOV11" s="495"/>
      <c r="FOW11" s="495"/>
      <c r="FOX11" s="495"/>
      <c r="FOY11" s="495"/>
      <c r="FOZ11" s="495"/>
      <c r="FPA11" s="495"/>
      <c r="FPB11" s="495"/>
      <c r="FPC11" s="495"/>
      <c r="FPD11" s="495"/>
      <c r="FPE11" s="495"/>
      <c r="FPF11" s="495"/>
      <c r="FPG11" s="495"/>
      <c r="FPH11" s="495"/>
      <c r="FPI11" s="495"/>
      <c r="FPJ11" s="495"/>
      <c r="FPK11" s="495"/>
      <c r="FPL11" s="495"/>
      <c r="FPM11" s="495"/>
      <c r="FPN11" s="495"/>
      <c r="FPO11" s="495"/>
      <c r="FPP11" s="495"/>
      <c r="FPQ11" s="495"/>
      <c r="FPR11" s="495"/>
      <c r="FPS11" s="495"/>
      <c r="FPT11" s="495"/>
      <c r="FPU11" s="495"/>
      <c r="FPV11" s="495"/>
      <c r="FPW11" s="495"/>
      <c r="FPX11" s="495"/>
      <c r="FPY11" s="495"/>
      <c r="FPZ11" s="495"/>
      <c r="FQA11" s="495"/>
      <c r="FQB11" s="495"/>
      <c r="FQC11" s="495"/>
      <c r="FQD11" s="495"/>
      <c r="FQE11" s="495"/>
      <c r="FQF11" s="495"/>
      <c r="FQG11" s="495"/>
      <c r="FQH11" s="495"/>
      <c r="FQI11" s="495"/>
      <c r="FQJ11" s="495"/>
      <c r="FQK11" s="495"/>
      <c r="FQL11" s="495"/>
      <c r="FQM11" s="495"/>
      <c r="FQN11" s="495"/>
      <c r="FQO11" s="495"/>
      <c r="FQP11" s="495"/>
      <c r="FQQ11" s="495"/>
      <c r="FQR11" s="495"/>
      <c r="FQS11" s="495"/>
      <c r="FQT11" s="495"/>
      <c r="FQU11" s="495"/>
      <c r="FQV11" s="495"/>
      <c r="FQW11" s="495"/>
      <c r="FQX11" s="495"/>
      <c r="FQY11" s="495"/>
      <c r="FQZ11" s="495"/>
      <c r="FRA11" s="495"/>
      <c r="FRB11" s="495"/>
      <c r="FRC11" s="495"/>
      <c r="FRD11" s="495"/>
      <c r="FRE11" s="495"/>
      <c r="FRF11" s="495"/>
      <c r="FRG11" s="495"/>
      <c r="FRH11" s="495"/>
      <c r="FRI11" s="495"/>
      <c r="FRJ11" s="495"/>
      <c r="FRK11" s="495"/>
      <c r="FRL11" s="495"/>
      <c r="FRM11" s="495"/>
      <c r="FRN11" s="495"/>
      <c r="FRO11" s="495"/>
      <c r="FRP11" s="495"/>
      <c r="FRQ11" s="495"/>
      <c r="FRR11" s="495"/>
      <c r="FRS11" s="495"/>
      <c r="FRT11" s="495"/>
      <c r="FRU11" s="495"/>
      <c r="FRV11" s="495"/>
      <c r="FRW11" s="495"/>
      <c r="FRX11" s="495"/>
      <c r="FRY11" s="495"/>
      <c r="FRZ11" s="495"/>
      <c r="FSA11" s="495"/>
      <c r="FSB11" s="495"/>
      <c r="FSC11" s="495"/>
      <c r="FSD11" s="495"/>
      <c r="FSE11" s="495"/>
      <c r="FSF11" s="495"/>
      <c r="FSG11" s="495"/>
      <c r="FSH11" s="495"/>
      <c r="FSI11" s="495"/>
      <c r="FSJ11" s="495"/>
      <c r="FSK11" s="495"/>
      <c r="FSL11" s="495"/>
      <c r="FSM11" s="495"/>
      <c r="FSN11" s="495"/>
      <c r="FSO11" s="495"/>
      <c r="FSP11" s="495"/>
      <c r="FSQ11" s="495"/>
      <c r="FSR11" s="495"/>
      <c r="FSS11" s="495"/>
      <c r="FST11" s="495"/>
      <c r="FSU11" s="495"/>
      <c r="FSV11" s="495"/>
      <c r="FSW11" s="495"/>
      <c r="FSX11" s="495"/>
      <c r="FSY11" s="495"/>
      <c r="FSZ11" s="495"/>
      <c r="FTA11" s="495"/>
      <c r="FTB11" s="495"/>
      <c r="FTC11" s="495"/>
      <c r="FTD11" s="495"/>
      <c r="FTE11" s="495"/>
      <c r="FTF11" s="495"/>
      <c r="FTG11" s="495"/>
      <c r="FTH11" s="495"/>
      <c r="FTI11" s="495"/>
      <c r="FTJ11" s="495"/>
      <c r="FTK11" s="495"/>
      <c r="FTL11" s="495"/>
      <c r="FTM11" s="495"/>
      <c r="FTN11" s="495"/>
      <c r="FTO11" s="495"/>
      <c r="FTP11" s="495"/>
      <c r="FTQ11" s="495"/>
      <c r="FTR11" s="495"/>
      <c r="FTS11" s="495"/>
      <c r="FTT11" s="495"/>
      <c r="FTU11" s="495"/>
      <c r="FTV11" s="495"/>
      <c r="FTW11" s="495"/>
      <c r="FTX11" s="495"/>
      <c r="FTY11" s="495"/>
      <c r="FTZ11" s="495"/>
      <c r="FUA11" s="495"/>
      <c r="FUB11" s="495"/>
      <c r="FUC11" s="495"/>
      <c r="FUD11" s="495"/>
      <c r="FUE11" s="495"/>
      <c r="FUF11" s="495"/>
      <c r="FUG11" s="495"/>
      <c r="FUH11" s="495"/>
      <c r="FUI11" s="495"/>
      <c r="FUJ11" s="495"/>
      <c r="FUK11" s="495"/>
      <c r="FUL11" s="495"/>
      <c r="FUM11" s="495"/>
      <c r="FUN11" s="495"/>
      <c r="FUO11" s="495"/>
      <c r="FUP11" s="495"/>
      <c r="FUQ11" s="495"/>
      <c r="FUR11" s="495"/>
      <c r="FUS11" s="495"/>
      <c r="FUT11" s="495"/>
      <c r="FUU11" s="495"/>
      <c r="FUV11" s="495"/>
      <c r="FUW11" s="495"/>
      <c r="FUX11" s="495"/>
      <c r="FUY11" s="495"/>
      <c r="FUZ11" s="495"/>
      <c r="FVA11" s="495"/>
      <c r="FVB11" s="495"/>
      <c r="FVC11" s="495"/>
      <c r="FVD11" s="495"/>
      <c r="FVE11" s="495"/>
      <c r="FVF11" s="495"/>
      <c r="FVG11" s="495"/>
      <c r="FVH11" s="495"/>
      <c r="FVI11" s="495"/>
      <c r="FVJ11" s="495"/>
      <c r="FVK11" s="495"/>
      <c r="FVL11" s="495"/>
      <c r="FVM11" s="495"/>
      <c r="FVN11" s="495"/>
      <c r="FVO11" s="495"/>
      <c r="FVP11" s="495"/>
      <c r="FVQ11" s="495"/>
      <c r="FVR11" s="495"/>
      <c r="FVS11" s="495"/>
      <c r="FVT11" s="495"/>
      <c r="FVU11" s="495"/>
      <c r="FVV11" s="495"/>
      <c r="FVW11" s="495"/>
      <c r="FVX11" s="495"/>
      <c r="FVY11" s="495"/>
      <c r="FVZ11" s="495"/>
      <c r="FWA11" s="495"/>
      <c r="FWB11" s="495"/>
      <c r="FWC11" s="495"/>
      <c r="FWD11" s="495"/>
      <c r="FWE11" s="495"/>
      <c r="FWF11" s="495"/>
      <c r="FWG11" s="495"/>
      <c r="FWH11" s="495"/>
      <c r="FWI11" s="495"/>
      <c r="FWJ11" s="495"/>
      <c r="FWK11" s="495"/>
      <c r="FWL11" s="495"/>
      <c r="FWM11" s="495"/>
      <c r="FWN11" s="495"/>
      <c r="FWO11" s="495"/>
      <c r="FWP11" s="495"/>
      <c r="FWQ11" s="495"/>
      <c r="FWR11" s="495"/>
      <c r="FWS11" s="495"/>
      <c r="FWT11" s="495"/>
      <c r="FWU11" s="495"/>
      <c r="FWV11" s="495"/>
      <c r="FWW11" s="495"/>
      <c r="FWX11" s="495"/>
      <c r="FWY11" s="495"/>
      <c r="FWZ11" s="495"/>
      <c r="FXA11" s="495"/>
      <c r="FXB11" s="495"/>
      <c r="FXC11" s="495"/>
      <c r="FXD11" s="495"/>
      <c r="FXE11" s="495"/>
      <c r="FXF11" s="495"/>
      <c r="FXG11" s="495"/>
      <c r="FXH11" s="495"/>
      <c r="FXI11" s="495"/>
      <c r="FXJ11" s="495"/>
      <c r="FXK11" s="495"/>
      <c r="FXL11" s="495"/>
      <c r="FXM11" s="495"/>
      <c r="FXN11" s="495"/>
      <c r="FXO11" s="495"/>
      <c r="FXP11" s="495"/>
      <c r="FXQ11" s="495"/>
      <c r="FXR11" s="495"/>
      <c r="FXS11" s="495"/>
      <c r="FXT11" s="495"/>
      <c r="FXU11" s="495"/>
      <c r="FXV11" s="495"/>
      <c r="FXW11" s="495"/>
      <c r="FXX11" s="495"/>
      <c r="FXY11" s="495"/>
      <c r="FXZ11" s="495"/>
      <c r="FYA11" s="495"/>
      <c r="FYB11" s="495"/>
      <c r="FYC11" s="495"/>
      <c r="FYD11" s="495"/>
      <c r="FYE11" s="495"/>
      <c r="FYF11" s="495"/>
      <c r="FYG11" s="495"/>
      <c r="FYH11" s="495"/>
      <c r="FYI11" s="495"/>
      <c r="FYJ11" s="495"/>
      <c r="FYK11" s="495"/>
      <c r="FYL11" s="495"/>
      <c r="FYM11" s="495"/>
      <c r="FYN11" s="495"/>
      <c r="FYO11" s="495"/>
      <c r="FYP11" s="495"/>
      <c r="FYQ11" s="495"/>
      <c r="FYR11" s="495"/>
      <c r="FYS11" s="495"/>
      <c r="FYT11" s="495"/>
      <c r="FYU11" s="495"/>
      <c r="FYV11" s="495"/>
      <c r="FYW11" s="495"/>
      <c r="FYX11" s="495"/>
      <c r="FYY11" s="495"/>
      <c r="FYZ11" s="495"/>
      <c r="FZA11" s="495"/>
      <c r="FZB11" s="495"/>
      <c r="FZC11" s="495"/>
      <c r="FZD11" s="495"/>
      <c r="FZE11" s="495"/>
      <c r="FZF11" s="495"/>
      <c r="FZG11" s="495"/>
      <c r="FZH11" s="495"/>
      <c r="FZI11" s="495"/>
      <c r="FZJ11" s="495"/>
      <c r="FZK11" s="495"/>
      <c r="FZL11" s="495"/>
      <c r="FZM11" s="495"/>
      <c r="FZN11" s="495"/>
      <c r="FZO11" s="495"/>
      <c r="FZP11" s="495"/>
      <c r="FZQ11" s="495"/>
      <c r="FZR11" s="495"/>
      <c r="FZS11" s="495"/>
      <c r="FZT11" s="495"/>
      <c r="FZU11" s="495"/>
      <c r="FZV11" s="495"/>
      <c r="FZW11" s="495"/>
      <c r="FZX11" s="495"/>
      <c r="FZY11" s="495"/>
      <c r="FZZ11" s="495"/>
      <c r="GAA11" s="495"/>
      <c r="GAB11" s="495"/>
      <c r="GAC11" s="495"/>
      <c r="GAD11" s="495"/>
      <c r="GAE11" s="495"/>
      <c r="GAF11" s="495"/>
      <c r="GAG11" s="495"/>
      <c r="GAH11" s="495"/>
      <c r="GAI11" s="495"/>
      <c r="GAJ11" s="495"/>
      <c r="GAK11" s="495"/>
      <c r="GAL11" s="495"/>
      <c r="GAM11" s="495"/>
      <c r="GAN11" s="495"/>
      <c r="GAO11" s="495"/>
      <c r="GAP11" s="495"/>
      <c r="GAQ11" s="495"/>
      <c r="GAR11" s="495"/>
      <c r="GAS11" s="495"/>
      <c r="GAT11" s="495"/>
      <c r="GAU11" s="495"/>
      <c r="GAV11" s="495"/>
      <c r="GAW11" s="495"/>
      <c r="GAX11" s="495"/>
      <c r="GAY11" s="495"/>
      <c r="GAZ11" s="495"/>
      <c r="GBA11" s="495"/>
      <c r="GBB11" s="495"/>
      <c r="GBC11" s="495"/>
      <c r="GBD11" s="495"/>
      <c r="GBE11" s="495"/>
      <c r="GBF11" s="495"/>
      <c r="GBG11" s="495"/>
      <c r="GBH11" s="495"/>
      <c r="GBI11" s="495"/>
      <c r="GBJ11" s="495"/>
      <c r="GBK11" s="495"/>
      <c r="GBL11" s="495"/>
      <c r="GBM11" s="495"/>
      <c r="GBN11" s="495"/>
      <c r="GBO11" s="495"/>
      <c r="GBP11" s="495"/>
      <c r="GBQ11" s="495"/>
      <c r="GBR11" s="495"/>
      <c r="GBS11" s="495"/>
      <c r="GBT11" s="495"/>
      <c r="GBU11" s="495"/>
      <c r="GBV11" s="495"/>
      <c r="GBW11" s="495"/>
      <c r="GBX11" s="495"/>
      <c r="GBY11" s="495"/>
      <c r="GBZ11" s="495"/>
      <c r="GCA11" s="495"/>
      <c r="GCB11" s="495"/>
      <c r="GCC11" s="495"/>
      <c r="GCD11" s="495"/>
      <c r="GCE11" s="495"/>
      <c r="GCF11" s="495"/>
      <c r="GCG11" s="495"/>
      <c r="GCH11" s="495"/>
      <c r="GCI11" s="495"/>
      <c r="GCJ11" s="495"/>
      <c r="GCK11" s="495"/>
      <c r="GCL11" s="495"/>
      <c r="GCM11" s="495"/>
      <c r="GCN11" s="495"/>
      <c r="GCO11" s="495"/>
      <c r="GCP11" s="495"/>
      <c r="GCQ11" s="495"/>
      <c r="GCR11" s="495"/>
      <c r="GCS11" s="495"/>
      <c r="GCT11" s="495"/>
      <c r="GCU11" s="495"/>
      <c r="GCV11" s="495"/>
      <c r="GCW11" s="495"/>
      <c r="GCX11" s="495"/>
      <c r="GCY11" s="495"/>
      <c r="GCZ11" s="495"/>
      <c r="GDA11" s="495"/>
      <c r="GDB11" s="495"/>
      <c r="GDC11" s="495"/>
      <c r="GDD11" s="495"/>
      <c r="GDE11" s="495"/>
      <c r="GDF11" s="495"/>
      <c r="GDG11" s="495"/>
      <c r="GDH11" s="495"/>
      <c r="GDI11" s="495"/>
      <c r="GDJ11" s="495"/>
      <c r="GDK11" s="495"/>
      <c r="GDL11" s="495"/>
      <c r="GDM11" s="495"/>
      <c r="GDN11" s="495"/>
      <c r="GDO11" s="495"/>
      <c r="GDP11" s="495"/>
      <c r="GDQ11" s="495"/>
      <c r="GDR11" s="495"/>
      <c r="GDS11" s="495"/>
      <c r="GDT11" s="495"/>
      <c r="GDU11" s="495"/>
      <c r="GDV11" s="495"/>
      <c r="GDW11" s="495"/>
      <c r="GDX11" s="495"/>
      <c r="GDY11" s="495"/>
      <c r="GDZ11" s="495"/>
      <c r="GEA11" s="495"/>
      <c r="GEB11" s="495"/>
      <c r="GEC11" s="495"/>
      <c r="GED11" s="495"/>
      <c r="GEE11" s="495"/>
      <c r="GEF11" s="495"/>
      <c r="GEG11" s="495"/>
      <c r="GEH11" s="495"/>
      <c r="GEI11" s="495"/>
      <c r="GEJ11" s="495"/>
      <c r="GEK11" s="495"/>
      <c r="GEL11" s="495"/>
      <c r="GEM11" s="495"/>
      <c r="GEN11" s="495"/>
      <c r="GEO11" s="495"/>
      <c r="GEP11" s="495"/>
      <c r="GEQ11" s="495"/>
      <c r="GER11" s="495"/>
      <c r="GES11" s="495"/>
      <c r="GET11" s="495"/>
      <c r="GEU11" s="495"/>
      <c r="GEV11" s="495"/>
      <c r="GEW11" s="495"/>
      <c r="GEX11" s="495"/>
      <c r="GEY11" s="495"/>
      <c r="GEZ11" s="495"/>
      <c r="GFA11" s="495"/>
      <c r="GFB11" s="495"/>
      <c r="GFC11" s="495"/>
      <c r="GFD11" s="495"/>
      <c r="GFE11" s="495"/>
      <c r="GFF11" s="495"/>
      <c r="GFG11" s="495"/>
      <c r="GFH11" s="495"/>
      <c r="GFI11" s="495"/>
      <c r="GFJ11" s="495"/>
      <c r="GFK11" s="495"/>
      <c r="GFL11" s="495"/>
      <c r="GFM11" s="495"/>
      <c r="GFN11" s="495"/>
      <c r="GFO11" s="495"/>
      <c r="GFP11" s="495"/>
      <c r="GFQ11" s="495"/>
      <c r="GFR11" s="495"/>
      <c r="GFS11" s="495"/>
      <c r="GFT11" s="495"/>
      <c r="GFU11" s="495"/>
      <c r="GFV11" s="495"/>
      <c r="GFW11" s="495"/>
      <c r="GFX11" s="495"/>
      <c r="GFY11" s="495"/>
      <c r="GFZ11" s="495"/>
      <c r="GGA11" s="495"/>
      <c r="GGB11" s="495"/>
      <c r="GGC11" s="495"/>
      <c r="GGD11" s="495"/>
      <c r="GGE11" s="495"/>
      <c r="GGF11" s="495"/>
      <c r="GGG11" s="495"/>
      <c r="GGH11" s="495"/>
      <c r="GGI11" s="495"/>
      <c r="GGJ11" s="495"/>
      <c r="GGK11" s="495"/>
      <c r="GGL11" s="495"/>
      <c r="GGM11" s="495"/>
      <c r="GGN11" s="495"/>
      <c r="GGO11" s="495"/>
      <c r="GGP11" s="495"/>
      <c r="GGQ11" s="495"/>
      <c r="GGR11" s="495"/>
      <c r="GGS11" s="495"/>
      <c r="GGT11" s="495"/>
      <c r="GGU11" s="495"/>
      <c r="GGV11" s="495"/>
      <c r="GGW11" s="495"/>
      <c r="GGX11" s="495"/>
      <c r="GGY11" s="495"/>
      <c r="GGZ11" s="495"/>
      <c r="GHA11" s="495"/>
      <c r="GHB11" s="495"/>
      <c r="GHC11" s="495"/>
      <c r="GHD11" s="495"/>
      <c r="GHE11" s="495"/>
      <c r="GHF11" s="495"/>
      <c r="GHG11" s="495"/>
      <c r="GHH11" s="495"/>
      <c r="GHI11" s="495"/>
      <c r="GHJ11" s="495"/>
      <c r="GHK11" s="495"/>
      <c r="GHL11" s="495"/>
      <c r="GHM11" s="495"/>
      <c r="GHN11" s="495"/>
      <c r="GHO11" s="495"/>
      <c r="GHP11" s="495"/>
      <c r="GHQ11" s="495"/>
      <c r="GHR11" s="495"/>
      <c r="GHS11" s="495"/>
      <c r="GHT11" s="495"/>
      <c r="GHU11" s="495"/>
      <c r="GHV11" s="495"/>
      <c r="GHW11" s="495"/>
      <c r="GHX11" s="495"/>
      <c r="GHY11" s="495"/>
      <c r="GHZ11" s="495"/>
      <c r="GIA11" s="495"/>
      <c r="GIB11" s="495"/>
      <c r="GIC11" s="495"/>
      <c r="GID11" s="495"/>
      <c r="GIE11" s="495"/>
      <c r="GIF11" s="495"/>
      <c r="GIG11" s="495"/>
      <c r="GIH11" s="495"/>
      <c r="GII11" s="495"/>
      <c r="GIJ11" s="495"/>
      <c r="GIK11" s="495"/>
      <c r="GIL11" s="495"/>
      <c r="GIM11" s="495"/>
      <c r="GIN11" s="495"/>
      <c r="GIO11" s="495"/>
      <c r="GIP11" s="495"/>
      <c r="GIQ11" s="495"/>
      <c r="GIR11" s="495"/>
      <c r="GIS11" s="495"/>
      <c r="GIT11" s="495"/>
      <c r="GIU11" s="495"/>
      <c r="GIV11" s="495"/>
      <c r="GIW11" s="495"/>
      <c r="GIX11" s="495"/>
      <c r="GIY11" s="495"/>
      <c r="GIZ11" s="495"/>
      <c r="GJA11" s="495"/>
      <c r="GJB11" s="495"/>
      <c r="GJC11" s="495"/>
      <c r="GJD11" s="495"/>
      <c r="GJE11" s="495"/>
      <c r="GJF11" s="495"/>
      <c r="GJG11" s="495"/>
      <c r="GJH11" s="495"/>
      <c r="GJI11" s="495"/>
      <c r="GJJ11" s="495"/>
      <c r="GJK11" s="495"/>
      <c r="GJL11" s="495"/>
      <c r="GJM11" s="495"/>
      <c r="GJN11" s="495"/>
      <c r="GJO11" s="495"/>
      <c r="GJP11" s="495"/>
      <c r="GJQ11" s="495"/>
      <c r="GJR11" s="495"/>
      <c r="GJS11" s="495"/>
      <c r="GJT11" s="495"/>
      <c r="GJU11" s="495"/>
      <c r="GJV11" s="495"/>
      <c r="GJW11" s="495"/>
      <c r="GJX11" s="495"/>
      <c r="GJY11" s="495"/>
      <c r="GJZ11" s="495"/>
      <c r="GKA11" s="495"/>
      <c r="GKB11" s="495"/>
      <c r="GKC11" s="495"/>
      <c r="GKD11" s="495"/>
      <c r="GKE11" s="495"/>
      <c r="GKF11" s="495"/>
      <c r="GKG11" s="495"/>
      <c r="GKH11" s="495"/>
      <c r="GKI11" s="495"/>
      <c r="GKJ11" s="495"/>
      <c r="GKK11" s="495"/>
      <c r="GKL11" s="495"/>
      <c r="GKM11" s="495"/>
      <c r="GKN11" s="495"/>
      <c r="GKO11" s="495"/>
      <c r="GKP11" s="495"/>
      <c r="GKQ11" s="495"/>
      <c r="GKR11" s="495"/>
      <c r="GKS11" s="495"/>
      <c r="GKT11" s="495"/>
      <c r="GKU11" s="495"/>
      <c r="GKV11" s="495"/>
      <c r="GKW11" s="495"/>
      <c r="GKX11" s="495"/>
      <c r="GKY11" s="495"/>
      <c r="GKZ11" s="495"/>
      <c r="GLA11" s="495"/>
      <c r="GLB11" s="495"/>
      <c r="GLC11" s="495"/>
      <c r="GLD11" s="495"/>
      <c r="GLE11" s="495"/>
      <c r="GLF11" s="495"/>
      <c r="GLG11" s="495"/>
      <c r="GLH11" s="495"/>
      <c r="GLI11" s="495"/>
      <c r="GLJ11" s="495"/>
      <c r="GLK11" s="495"/>
      <c r="GLL11" s="495"/>
      <c r="GLM11" s="495"/>
      <c r="GLN11" s="495"/>
      <c r="GLO11" s="495"/>
      <c r="GLP11" s="495"/>
      <c r="GLQ11" s="495"/>
      <c r="GLR11" s="495"/>
      <c r="GLS11" s="495"/>
      <c r="GLT11" s="495"/>
      <c r="GLU11" s="495"/>
      <c r="GLV11" s="495"/>
      <c r="GLW11" s="495"/>
      <c r="GLX11" s="495"/>
      <c r="GLY11" s="495"/>
      <c r="GLZ11" s="495"/>
      <c r="GMA11" s="495"/>
      <c r="GMB11" s="495"/>
      <c r="GMC11" s="495"/>
      <c r="GMD11" s="495"/>
      <c r="GME11" s="495"/>
      <c r="GMF11" s="495"/>
      <c r="GMG11" s="495"/>
      <c r="GMH11" s="495"/>
      <c r="GMI11" s="495"/>
      <c r="GMJ11" s="495"/>
      <c r="GMK11" s="495"/>
      <c r="GML11" s="495"/>
      <c r="GMM11" s="495"/>
      <c r="GMN11" s="495"/>
      <c r="GMO11" s="495"/>
      <c r="GMP11" s="495"/>
      <c r="GMQ11" s="495"/>
      <c r="GMR11" s="495"/>
      <c r="GMS11" s="495"/>
      <c r="GMT11" s="495"/>
      <c r="GMU11" s="495"/>
      <c r="GMV11" s="495"/>
      <c r="GMW11" s="495"/>
      <c r="GMX11" s="495"/>
      <c r="GMY11" s="495"/>
      <c r="GMZ11" s="495"/>
      <c r="GNA11" s="495"/>
      <c r="GNB11" s="495"/>
      <c r="GNC11" s="495"/>
      <c r="GND11" s="495"/>
      <c r="GNE11" s="495"/>
      <c r="GNF11" s="495"/>
      <c r="GNG11" s="495"/>
      <c r="GNH11" s="495"/>
      <c r="GNI11" s="495"/>
      <c r="GNJ11" s="495"/>
      <c r="GNK11" s="495"/>
      <c r="GNL11" s="495"/>
      <c r="GNM11" s="495"/>
      <c r="GNN11" s="495"/>
      <c r="GNO11" s="495"/>
      <c r="GNP11" s="495"/>
      <c r="GNQ11" s="495"/>
      <c r="GNR11" s="495"/>
      <c r="GNS11" s="495"/>
      <c r="GNT11" s="495"/>
      <c r="GNU11" s="495"/>
      <c r="GNV11" s="495"/>
      <c r="GNW11" s="495"/>
      <c r="GNX11" s="495"/>
      <c r="GNY11" s="495"/>
      <c r="GNZ11" s="495"/>
      <c r="GOA11" s="495"/>
      <c r="GOB11" s="495"/>
      <c r="GOC11" s="495"/>
      <c r="GOD11" s="495"/>
      <c r="GOE11" s="495"/>
      <c r="GOF11" s="495"/>
      <c r="GOG11" s="495"/>
      <c r="GOH11" s="495"/>
      <c r="GOI11" s="495"/>
      <c r="GOJ11" s="495"/>
      <c r="GOK11" s="495"/>
      <c r="GOL11" s="495"/>
      <c r="GOM11" s="495"/>
      <c r="GON11" s="495"/>
      <c r="GOO11" s="495"/>
      <c r="GOP11" s="495"/>
      <c r="GOQ11" s="495"/>
      <c r="GOR11" s="495"/>
      <c r="GOS11" s="495"/>
      <c r="GOT11" s="495"/>
      <c r="GOU11" s="495"/>
      <c r="GOV11" s="495"/>
      <c r="GOW11" s="495"/>
      <c r="GOX11" s="495"/>
      <c r="GOY11" s="495"/>
      <c r="GOZ11" s="495"/>
      <c r="GPA11" s="495"/>
      <c r="GPB11" s="495"/>
      <c r="GPC11" s="495"/>
      <c r="GPD11" s="495"/>
      <c r="GPE11" s="495"/>
      <c r="GPF11" s="495"/>
      <c r="GPG11" s="495"/>
      <c r="GPH11" s="495"/>
      <c r="GPI11" s="495"/>
      <c r="GPJ11" s="495"/>
      <c r="GPK11" s="495"/>
      <c r="GPL11" s="495"/>
      <c r="GPM11" s="495"/>
      <c r="GPN11" s="495"/>
      <c r="GPO11" s="495"/>
      <c r="GPP11" s="495"/>
      <c r="GPQ11" s="495"/>
      <c r="GPR11" s="495"/>
      <c r="GPS11" s="495"/>
      <c r="GPT11" s="495"/>
      <c r="GPU11" s="495"/>
      <c r="GPV11" s="495"/>
      <c r="GPW11" s="495"/>
      <c r="GPX11" s="495"/>
      <c r="GPY11" s="495"/>
      <c r="GPZ11" s="495"/>
      <c r="GQA11" s="495"/>
      <c r="GQB11" s="495"/>
      <c r="GQC11" s="495"/>
      <c r="GQD11" s="495"/>
      <c r="GQE11" s="495"/>
      <c r="GQF11" s="495"/>
      <c r="GQG11" s="495"/>
      <c r="GQH11" s="495"/>
      <c r="GQI11" s="495"/>
      <c r="GQJ11" s="495"/>
      <c r="GQK11" s="495"/>
      <c r="GQL11" s="495"/>
      <c r="GQM11" s="495"/>
      <c r="GQN11" s="495"/>
      <c r="GQO11" s="495"/>
      <c r="GQP11" s="495"/>
      <c r="GQQ11" s="495"/>
      <c r="GQR11" s="495"/>
      <c r="GQS11" s="495"/>
      <c r="GQT11" s="495"/>
      <c r="GQU11" s="495"/>
      <c r="GQV11" s="495"/>
      <c r="GQW11" s="495"/>
      <c r="GQX11" s="495"/>
      <c r="GQY11" s="495"/>
      <c r="GQZ11" s="495"/>
      <c r="GRA11" s="495"/>
      <c r="GRB11" s="495"/>
      <c r="GRC11" s="495"/>
      <c r="GRD11" s="495"/>
      <c r="GRE11" s="495"/>
      <c r="GRF11" s="495"/>
      <c r="GRG11" s="495"/>
      <c r="GRH11" s="495"/>
      <c r="GRI11" s="495"/>
      <c r="GRJ11" s="495"/>
      <c r="GRK11" s="495"/>
      <c r="GRL11" s="495"/>
      <c r="GRM11" s="495"/>
      <c r="GRN11" s="495"/>
      <c r="GRO11" s="495"/>
      <c r="GRP11" s="495"/>
      <c r="GRQ11" s="495"/>
      <c r="GRR11" s="495"/>
      <c r="GRS11" s="495"/>
      <c r="GRT11" s="495"/>
      <c r="GRU11" s="495"/>
      <c r="GRV11" s="495"/>
      <c r="GRW11" s="495"/>
      <c r="GRX11" s="495"/>
      <c r="GRY11" s="495"/>
      <c r="GRZ11" s="495"/>
      <c r="GSA11" s="495"/>
      <c r="GSB11" s="495"/>
      <c r="GSC11" s="495"/>
      <c r="GSD11" s="495"/>
      <c r="GSE11" s="495"/>
      <c r="GSF11" s="495"/>
      <c r="GSG11" s="495"/>
      <c r="GSH11" s="495"/>
      <c r="GSI11" s="495"/>
      <c r="GSJ11" s="495"/>
      <c r="GSK11" s="495"/>
      <c r="GSL11" s="495"/>
      <c r="GSM11" s="495"/>
      <c r="GSN11" s="495"/>
      <c r="GSO11" s="495"/>
      <c r="GSP11" s="495"/>
      <c r="GSQ11" s="495"/>
      <c r="GSR11" s="495"/>
      <c r="GSS11" s="495"/>
      <c r="GST11" s="495"/>
      <c r="GSU11" s="495"/>
      <c r="GSV11" s="495"/>
      <c r="GSW11" s="495"/>
      <c r="GSX11" s="495"/>
      <c r="GSY11" s="495"/>
      <c r="GSZ11" s="495"/>
      <c r="GTA11" s="495"/>
      <c r="GTB11" s="495"/>
      <c r="GTC11" s="495"/>
      <c r="GTD11" s="495"/>
      <c r="GTE11" s="495"/>
      <c r="GTF11" s="495"/>
      <c r="GTG11" s="495"/>
      <c r="GTH11" s="495"/>
      <c r="GTI11" s="495"/>
      <c r="GTJ11" s="495"/>
      <c r="GTK11" s="495"/>
      <c r="GTL11" s="495"/>
      <c r="GTM11" s="495"/>
      <c r="GTN11" s="495"/>
      <c r="GTO11" s="495"/>
      <c r="GTP11" s="495"/>
      <c r="GTQ11" s="495"/>
      <c r="GTR11" s="495"/>
      <c r="GTS11" s="495"/>
      <c r="GTT11" s="495"/>
      <c r="GTU11" s="495"/>
      <c r="GTV11" s="495"/>
      <c r="GTW11" s="495"/>
      <c r="GTX11" s="495"/>
      <c r="GTY11" s="495"/>
      <c r="GTZ11" s="495"/>
      <c r="GUA11" s="495"/>
      <c r="GUB11" s="495"/>
      <c r="GUC11" s="495"/>
      <c r="GUD11" s="495"/>
      <c r="GUE11" s="495"/>
      <c r="GUF11" s="495"/>
      <c r="GUG11" s="495"/>
      <c r="GUH11" s="495"/>
      <c r="GUI11" s="495"/>
      <c r="GUJ11" s="495"/>
      <c r="GUK11" s="495"/>
      <c r="GUL11" s="495"/>
      <c r="GUM11" s="495"/>
      <c r="GUN11" s="495"/>
      <c r="GUO11" s="495"/>
      <c r="GUP11" s="495"/>
      <c r="GUQ11" s="495"/>
      <c r="GUR11" s="495"/>
      <c r="GUS11" s="495"/>
      <c r="GUT11" s="495"/>
      <c r="GUU11" s="495"/>
      <c r="GUV11" s="495"/>
      <c r="GUW11" s="495"/>
      <c r="GUX11" s="495"/>
      <c r="GUY11" s="495"/>
      <c r="GUZ11" s="495"/>
      <c r="GVA11" s="495"/>
      <c r="GVB11" s="495"/>
      <c r="GVC11" s="495"/>
      <c r="GVD11" s="495"/>
      <c r="GVE11" s="495"/>
      <c r="GVF11" s="495"/>
      <c r="GVG11" s="495"/>
      <c r="GVH11" s="495"/>
      <c r="GVI11" s="495"/>
      <c r="GVJ11" s="495"/>
      <c r="GVK11" s="495"/>
      <c r="GVL11" s="495"/>
      <c r="GVM11" s="495"/>
      <c r="GVN11" s="495"/>
      <c r="GVO11" s="495"/>
      <c r="GVP11" s="495"/>
      <c r="GVQ11" s="495"/>
      <c r="GVR11" s="495"/>
      <c r="GVS11" s="495"/>
      <c r="GVT11" s="495"/>
      <c r="GVU11" s="495"/>
      <c r="GVV11" s="495"/>
      <c r="GVW11" s="495"/>
      <c r="GVX11" s="495"/>
      <c r="GVY11" s="495"/>
      <c r="GVZ11" s="495"/>
      <c r="GWA11" s="495"/>
      <c r="GWB11" s="495"/>
      <c r="GWC11" s="495"/>
      <c r="GWD11" s="495"/>
      <c r="GWE11" s="495"/>
      <c r="GWF11" s="495"/>
      <c r="GWG11" s="495"/>
      <c r="GWH11" s="495"/>
      <c r="GWI11" s="495"/>
      <c r="GWJ11" s="495"/>
      <c r="GWK11" s="495"/>
      <c r="GWL11" s="495"/>
      <c r="GWM11" s="495"/>
      <c r="GWN11" s="495"/>
      <c r="GWO11" s="495"/>
      <c r="GWP11" s="495"/>
      <c r="GWQ11" s="495"/>
      <c r="GWR11" s="495"/>
      <c r="GWS11" s="495"/>
      <c r="GWT11" s="495"/>
      <c r="GWU11" s="495"/>
      <c r="GWV11" s="495"/>
      <c r="GWW11" s="495"/>
      <c r="GWX11" s="495"/>
      <c r="GWY11" s="495"/>
      <c r="GWZ11" s="495"/>
      <c r="GXA11" s="495"/>
      <c r="GXB11" s="495"/>
      <c r="GXC11" s="495"/>
      <c r="GXD11" s="495"/>
      <c r="GXE11" s="495"/>
      <c r="GXF11" s="495"/>
      <c r="GXG11" s="495"/>
      <c r="GXH11" s="495"/>
      <c r="GXI11" s="495"/>
      <c r="GXJ11" s="495"/>
      <c r="GXK11" s="495"/>
      <c r="GXL11" s="495"/>
      <c r="GXM11" s="495"/>
      <c r="GXN11" s="495"/>
      <c r="GXO11" s="495"/>
      <c r="GXP11" s="495"/>
      <c r="GXQ11" s="495"/>
      <c r="GXR11" s="495"/>
      <c r="GXS11" s="495"/>
      <c r="GXT11" s="495"/>
      <c r="GXU11" s="495"/>
      <c r="GXV11" s="495"/>
      <c r="GXW11" s="495"/>
      <c r="GXX11" s="495"/>
      <c r="GXY11" s="495"/>
      <c r="GXZ11" s="495"/>
      <c r="GYA11" s="495"/>
      <c r="GYB11" s="495"/>
      <c r="GYC11" s="495"/>
      <c r="GYD11" s="495"/>
      <c r="GYE11" s="495"/>
      <c r="GYF11" s="495"/>
      <c r="GYG11" s="495"/>
      <c r="GYH11" s="495"/>
      <c r="GYI11" s="495"/>
      <c r="GYJ11" s="495"/>
      <c r="GYK11" s="495"/>
      <c r="GYL11" s="495"/>
      <c r="GYM11" s="495"/>
      <c r="GYN11" s="495"/>
      <c r="GYO11" s="495"/>
      <c r="GYP11" s="495"/>
      <c r="GYQ11" s="495"/>
      <c r="GYR11" s="495"/>
      <c r="GYS11" s="495"/>
      <c r="GYT11" s="495"/>
      <c r="GYU11" s="495"/>
      <c r="GYV11" s="495"/>
      <c r="GYW11" s="495"/>
      <c r="GYX11" s="495"/>
      <c r="GYY11" s="495"/>
      <c r="GYZ11" s="495"/>
      <c r="GZA11" s="495"/>
      <c r="GZB11" s="495"/>
      <c r="GZC11" s="495"/>
      <c r="GZD11" s="495"/>
      <c r="GZE11" s="495"/>
      <c r="GZF11" s="495"/>
      <c r="GZG11" s="495"/>
      <c r="GZH11" s="495"/>
      <c r="GZI11" s="495"/>
      <c r="GZJ11" s="495"/>
      <c r="GZK11" s="495"/>
      <c r="GZL11" s="495"/>
      <c r="GZM11" s="495"/>
      <c r="GZN11" s="495"/>
      <c r="GZO11" s="495"/>
      <c r="GZP11" s="495"/>
      <c r="GZQ11" s="495"/>
      <c r="GZR11" s="495"/>
      <c r="GZS11" s="495"/>
      <c r="GZT11" s="495"/>
      <c r="GZU11" s="495"/>
      <c r="GZV11" s="495"/>
      <c r="GZW11" s="495"/>
      <c r="GZX11" s="495"/>
      <c r="GZY11" s="495"/>
      <c r="GZZ11" s="495"/>
      <c r="HAA11" s="495"/>
      <c r="HAB11" s="495"/>
      <c r="HAC11" s="495"/>
      <c r="HAD11" s="495"/>
      <c r="HAE11" s="495"/>
      <c r="HAF11" s="495"/>
      <c r="HAG11" s="495"/>
      <c r="HAH11" s="495"/>
      <c r="HAI11" s="495"/>
      <c r="HAJ11" s="495"/>
      <c r="HAK11" s="495"/>
      <c r="HAL11" s="495"/>
      <c r="HAM11" s="495"/>
      <c r="HAN11" s="495"/>
      <c r="HAO11" s="495"/>
      <c r="HAP11" s="495"/>
      <c r="HAQ11" s="495"/>
      <c r="HAR11" s="495"/>
      <c r="HAS11" s="495"/>
      <c r="HAT11" s="495"/>
      <c r="HAU11" s="495"/>
      <c r="HAV11" s="495"/>
      <c r="HAW11" s="495"/>
      <c r="HAX11" s="495"/>
      <c r="HAY11" s="495"/>
      <c r="HAZ11" s="495"/>
      <c r="HBA11" s="495"/>
      <c r="HBB11" s="495"/>
      <c r="HBC11" s="495"/>
      <c r="HBD11" s="495"/>
      <c r="HBE11" s="495"/>
      <c r="HBF11" s="495"/>
      <c r="HBG11" s="495"/>
      <c r="HBH11" s="495"/>
      <c r="HBI11" s="495"/>
      <c r="HBJ11" s="495"/>
      <c r="HBK11" s="495"/>
      <c r="HBL11" s="495"/>
      <c r="HBM11" s="495"/>
      <c r="HBN11" s="495"/>
      <c r="HBO11" s="495"/>
      <c r="HBP11" s="495"/>
      <c r="HBQ11" s="495"/>
      <c r="HBR11" s="495"/>
      <c r="HBS11" s="495"/>
      <c r="HBT11" s="495"/>
      <c r="HBU11" s="495"/>
      <c r="HBV11" s="495"/>
      <c r="HBW11" s="495"/>
      <c r="HBX11" s="495"/>
      <c r="HBY11" s="495"/>
      <c r="HBZ11" s="495"/>
      <c r="HCA11" s="495"/>
      <c r="HCB11" s="495"/>
      <c r="HCC11" s="495"/>
      <c r="HCD11" s="495"/>
      <c r="HCE11" s="495"/>
      <c r="HCF11" s="495"/>
      <c r="HCG11" s="495"/>
      <c r="HCH11" s="495"/>
      <c r="HCI11" s="495"/>
      <c r="HCJ11" s="495"/>
      <c r="HCK11" s="495"/>
      <c r="HCL11" s="495"/>
      <c r="HCM11" s="495"/>
      <c r="HCN11" s="495"/>
      <c r="HCO11" s="495"/>
      <c r="HCP11" s="495"/>
      <c r="HCQ11" s="495"/>
      <c r="HCR11" s="495"/>
      <c r="HCS11" s="495"/>
      <c r="HCT11" s="495"/>
      <c r="HCU11" s="495"/>
      <c r="HCV11" s="495"/>
      <c r="HCW11" s="495"/>
      <c r="HCX11" s="495"/>
      <c r="HCY11" s="495"/>
      <c r="HCZ11" s="495"/>
      <c r="HDA11" s="495"/>
      <c r="HDB11" s="495"/>
      <c r="HDC11" s="495"/>
      <c r="HDD11" s="495"/>
      <c r="HDE11" s="495"/>
      <c r="HDF11" s="495"/>
      <c r="HDG11" s="495"/>
      <c r="HDH11" s="495"/>
      <c r="HDI11" s="495"/>
      <c r="HDJ11" s="495"/>
      <c r="HDK11" s="495"/>
      <c r="HDL11" s="495"/>
      <c r="HDM11" s="495"/>
      <c r="HDN11" s="495"/>
      <c r="HDO11" s="495"/>
      <c r="HDP11" s="495"/>
      <c r="HDQ11" s="495"/>
      <c r="HDR11" s="495"/>
      <c r="HDS11" s="495"/>
      <c r="HDT11" s="495"/>
      <c r="HDU11" s="495"/>
      <c r="HDV11" s="495"/>
      <c r="HDW11" s="495"/>
      <c r="HDX11" s="495"/>
      <c r="HDY11" s="495"/>
      <c r="HDZ11" s="495"/>
      <c r="HEA11" s="495"/>
      <c r="HEB11" s="495"/>
      <c r="HEC11" s="495"/>
      <c r="HED11" s="495"/>
      <c r="HEE11" s="495"/>
      <c r="HEF11" s="495"/>
      <c r="HEG11" s="495"/>
      <c r="HEH11" s="495"/>
      <c r="HEI11" s="495"/>
      <c r="HEJ11" s="495"/>
      <c r="HEK11" s="495"/>
      <c r="HEL11" s="495"/>
      <c r="HEM11" s="495"/>
      <c r="HEN11" s="495"/>
      <c r="HEO11" s="495"/>
      <c r="HEP11" s="495"/>
      <c r="HEQ11" s="495"/>
      <c r="HER11" s="495"/>
      <c r="HES11" s="495"/>
      <c r="HET11" s="495"/>
      <c r="HEU11" s="495"/>
      <c r="HEV11" s="495"/>
      <c r="HEW11" s="495"/>
      <c r="HEX11" s="495"/>
      <c r="HEY11" s="495"/>
      <c r="HEZ11" s="495"/>
      <c r="HFA11" s="495"/>
      <c r="HFB11" s="495"/>
      <c r="HFC11" s="495"/>
      <c r="HFD11" s="495"/>
      <c r="HFE11" s="495"/>
      <c r="HFF11" s="495"/>
      <c r="HFG11" s="495"/>
      <c r="HFH11" s="495"/>
      <c r="HFI11" s="495"/>
      <c r="HFJ11" s="495"/>
      <c r="HFK11" s="495"/>
      <c r="HFL11" s="495"/>
      <c r="HFM11" s="495"/>
      <c r="HFN11" s="495"/>
      <c r="HFO11" s="495"/>
      <c r="HFP11" s="495"/>
      <c r="HFQ11" s="495"/>
      <c r="HFR11" s="495"/>
      <c r="HFS11" s="495"/>
      <c r="HFT11" s="495"/>
      <c r="HFU11" s="495"/>
      <c r="HFV11" s="495"/>
      <c r="HFW11" s="495"/>
      <c r="HFX11" s="495"/>
      <c r="HFY11" s="495"/>
      <c r="HFZ11" s="495"/>
      <c r="HGA11" s="495"/>
      <c r="HGB11" s="495"/>
      <c r="HGC11" s="495"/>
      <c r="HGD11" s="495"/>
      <c r="HGE11" s="495"/>
      <c r="HGF11" s="495"/>
      <c r="HGG11" s="495"/>
      <c r="HGH11" s="495"/>
      <c r="HGI11" s="495"/>
      <c r="HGJ11" s="495"/>
      <c r="HGK11" s="495"/>
      <c r="HGL11" s="495"/>
      <c r="HGM11" s="495"/>
      <c r="HGN11" s="495"/>
      <c r="HGO11" s="495"/>
      <c r="HGP11" s="495"/>
      <c r="HGQ11" s="495"/>
      <c r="HGR11" s="495"/>
      <c r="HGS11" s="495"/>
      <c r="HGT11" s="495"/>
      <c r="HGU11" s="495"/>
      <c r="HGV11" s="495"/>
      <c r="HGW11" s="495"/>
      <c r="HGX11" s="495"/>
      <c r="HGY11" s="495"/>
      <c r="HGZ11" s="495"/>
      <c r="HHA11" s="495"/>
      <c r="HHB11" s="495"/>
      <c r="HHC11" s="495"/>
      <c r="HHD11" s="495"/>
      <c r="HHE11" s="495"/>
      <c r="HHF11" s="495"/>
      <c r="HHG11" s="495"/>
      <c r="HHH11" s="495"/>
      <c r="HHI11" s="495"/>
      <c r="HHJ11" s="495"/>
      <c r="HHK11" s="495"/>
      <c r="HHL11" s="495"/>
      <c r="HHM11" s="495"/>
      <c r="HHN11" s="495"/>
      <c r="HHO11" s="495"/>
      <c r="HHP11" s="495"/>
      <c r="HHQ11" s="495"/>
      <c r="HHR11" s="495"/>
      <c r="HHS11" s="495"/>
      <c r="HHT11" s="495"/>
      <c r="HHU11" s="495"/>
      <c r="HHV11" s="495"/>
      <c r="HHW11" s="495"/>
      <c r="HHX11" s="495"/>
      <c r="HHY11" s="495"/>
      <c r="HHZ11" s="495"/>
      <c r="HIA11" s="495"/>
      <c r="HIB11" s="495"/>
      <c r="HIC11" s="495"/>
      <c r="HID11" s="495"/>
      <c r="HIE11" s="495"/>
      <c r="HIF11" s="495"/>
      <c r="HIG11" s="495"/>
      <c r="HIH11" s="495"/>
      <c r="HII11" s="495"/>
      <c r="HIJ11" s="495"/>
      <c r="HIK11" s="495"/>
      <c r="HIL11" s="495"/>
      <c r="HIM11" s="495"/>
      <c r="HIN11" s="495"/>
      <c r="HIO11" s="495"/>
      <c r="HIP11" s="495"/>
      <c r="HIQ11" s="495"/>
      <c r="HIR11" s="495"/>
      <c r="HIS11" s="495"/>
      <c r="HIT11" s="495"/>
      <c r="HIU11" s="495"/>
      <c r="HIV11" s="495"/>
      <c r="HIW11" s="495"/>
      <c r="HIX11" s="495"/>
      <c r="HIY11" s="495"/>
      <c r="HIZ11" s="495"/>
      <c r="HJA11" s="495"/>
      <c r="HJB11" s="495"/>
      <c r="HJC11" s="495"/>
      <c r="HJD11" s="495"/>
      <c r="HJE11" s="495"/>
      <c r="HJF11" s="495"/>
      <c r="HJG11" s="495"/>
      <c r="HJH11" s="495"/>
      <c r="HJI11" s="495"/>
      <c r="HJJ11" s="495"/>
      <c r="HJK11" s="495"/>
      <c r="HJL11" s="495"/>
      <c r="HJM11" s="495"/>
      <c r="HJN11" s="495"/>
      <c r="HJO11" s="495"/>
      <c r="HJP11" s="495"/>
      <c r="HJQ11" s="495"/>
      <c r="HJR11" s="495"/>
      <c r="HJS11" s="495"/>
      <c r="HJT11" s="495"/>
      <c r="HJU11" s="495"/>
      <c r="HJV11" s="495"/>
      <c r="HJW11" s="495"/>
      <c r="HJX11" s="495"/>
      <c r="HJY11" s="495"/>
      <c r="HJZ11" s="495"/>
      <c r="HKA11" s="495"/>
      <c r="HKB11" s="495"/>
      <c r="HKC11" s="495"/>
      <c r="HKD11" s="495"/>
      <c r="HKE11" s="495"/>
      <c r="HKF11" s="495"/>
      <c r="HKG11" s="495"/>
      <c r="HKH11" s="495"/>
      <c r="HKI11" s="495"/>
      <c r="HKJ11" s="495"/>
      <c r="HKK11" s="495"/>
      <c r="HKL11" s="495"/>
      <c r="HKM11" s="495"/>
      <c r="HKN11" s="495"/>
      <c r="HKO11" s="495"/>
      <c r="HKP11" s="495"/>
      <c r="HKQ11" s="495"/>
      <c r="HKR11" s="495"/>
      <c r="HKS11" s="495"/>
      <c r="HKT11" s="495"/>
      <c r="HKU11" s="495"/>
      <c r="HKV11" s="495"/>
      <c r="HKW11" s="495"/>
      <c r="HKX11" s="495"/>
      <c r="HKY11" s="495"/>
      <c r="HKZ11" s="495"/>
      <c r="HLA11" s="495"/>
      <c r="HLB11" s="495"/>
      <c r="HLC11" s="495"/>
      <c r="HLD11" s="495"/>
      <c r="HLE11" s="495"/>
      <c r="HLF11" s="495"/>
      <c r="HLG11" s="495"/>
      <c r="HLH11" s="495"/>
      <c r="HLI11" s="495"/>
      <c r="HLJ11" s="495"/>
      <c r="HLK11" s="495"/>
      <c r="HLL11" s="495"/>
      <c r="HLM11" s="495"/>
      <c r="HLN11" s="495"/>
      <c r="HLO11" s="495"/>
      <c r="HLP11" s="495"/>
      <c r="HLQ11" s="495"/>
      <c r="HLR11" s="495"/>
      <c r="HLS11" s="495"/>
      <c r="HLT11" s="495"/>
      <c r="HLU11" s="495"/>
      <c r="HLV11" s="495"/>
      <c r="HLW11" s="495"/>
      <c r="HLX11" s="495"/>
      <c r="HLY11" s="495"/>
      <c r="HLZ11" s="495"/>
      <c r="HMA11" s="495"/>
      <c r="HMB11" s="495"/>
      <c r="HMC11" s="495"/>
      <c r="HMD11" s="495"/>
      <c r="HME11" s="495"/>
      <c r="HMF11" s="495"/>
      <c r="HMG11" s="495"/>
      <c r="HMH11" s="495"/>
      <c r="HMI11" s="495"/>
      <c r="HMJ11" s="495"/>
      <c r="HMK11" s="495"/>
      <c r="HML11" s="495"/>
      <c r="HMM11" s="495"/>
      <c r="HMN11" s="495"/>
      <c r="HMO11" s="495"/>
      <c r="HMP11" s="495"/>
      <c r="HMQ11" s="495"/>
      <c r="HMR11" s="495"/>
      <c r="HMS11" s="495"/>
      <c r="HMT11" s="495"/>
      <c r="HMU11" s="495"/>
      <c r="HMV11" s="495"/>
      <c r="HMW11" s="495"/>
      <c r="HMX11" s="495"/>
      <c r="HMY11" s="495"/>
      <c r="HMZ11" s="495"/>
      <c r="HNA11" s="495"/>
      <c r="HNB11" s="495"/>
      <c r="HNC11" s="495"/>
      <c r="HND11" s="495"/>
      <c r="HNE11" s="495"/>
      <c r="HNF11" s="495"/>
      <c r="HNG11" s="495"/>
      <c r="HNH11" s="495"/>
      <c r="HNI11" s="495"/>
      <c r="HNJ11" s="495"/>
      <c r="HNK11" s="495"/>
      <c r="HNL11" s="495"/>
      <c r="HNM11" s="495"/>
      <c r="HNN11" s="495"/>
      <c r="HNO11" s="495"/>
      <c r="HNP11" s="495"/>
      <c r="HNQ11" s="495"/>
      <c r="HNR11" s="495"/>
      <c r="HNS11" s="495"/>
      <c r="HNT11" s="495"/>
      <c r="HNU11" s="495"/>
      <c r="HNV11" s="495"/>
      <c r="HNW11" s="495"/>
      <c r="HNX11" s="495"/>
      <c r="HNY11" s="495"/>
      <c r="HNZ11" s="495"/>
      <c r="HOA11" s="495"/>
      <c r="HOB11" s="495"/>
      <c r="HOC11" s="495"/>
      <c r="HOD11" s="495"/>
      <c r="HOE11" s="495"/>
      <c r="HOF11" s="495"/>
      <c r="HOG11" s="495"/>
      <c r="HOH11" s="495"/>
      <c r="HOI11" s="495"/>
      <c r="HOJ11" s="495"/>
      <c r="HOK11" s="495"/>
      <c r="HOL11" s="495"/>
      <c r="HOM11" s="495"/>
      <c r="HON11" s="495"/>
      <c r="HOO11" s="495"/>
      <c r="HOP11" s="495"/>
      <c r="HOQ11" s="495"/>
      <c r="HOR11" s="495"/>
      <c r="HOS11" s="495"/>
      <c r="HOT11" s="495"/>
      <c r="HOU11" s="495"/>
      <c r="HOV11" s="495"/>
      <c r="HOW11" s="495"/>
      <c r="HOX11" s="495"/>
      <c r="HOY11" s="495"/>
      <c r="HOZ11" s="495"/>
      <c r="HPA11" s="495"/>
      <c r="HPB11" s="495"/>
      <c r="HPC11" s="495"/>
      <c r="HPD11" s="495"/>
      <c r="HPE11" s="495"/>
      <c r="HPF11" s="495"/>
      <c r="HPG11" s="495"/>
      <c r="HPH11" s="495"/>
      <c r="HPI11" s="495"/>
      <c r="HPJ11" s="495"/>
      <c r="HPK11" s="495"/>
      <c r="HPL11" s="495"/>
      <c r="HPM11" s="495"/>
      <c r="HPN11" s="495"/>
      <c r="HPO11" s="495"/>
      <c r="HPP11" s="495"/>
      <c r="HPQ11" s="495"/>
      <c r="HPR11" s="495"/>
      <c r="HPS11" s="495"/>
      <c r="HPT11" s="495"/>
      <c r="HPU11" s="495"/>
      <c r="HPV11" s="495"/>
      <c r="HPW11" s="495"/>
      <c r="HPX11" s="495"/>
      <c r="HPY11" s="495"/>
      <c r="HPZ11" s="495"/>
      <c r="HQA11" s="495"/>
      <c r="HQB11" s="495"/>
      <c r="HQC11" s="495"/>
      <c r="HQD11" s="495"/>
      <c r="HQE11" s="495"/>
      <c r="HQF11" s="495"/>
      <c r="HQG11" s="495"/>
      <c r="HQH11" s="495"/>
      <c r="HQI11" s="495"/>
      <c r="HQJ11" s="495"/>
      <c r="HQK11" s="495"/>
      <c r="HQL11" s="495"/>
      <c r="HQM11" s="495"/>
      <c r="HQN11" s="495"/>
      <c r="HQO11" s="495"/>
      <c r="HQP11" s="495"/>
      <c r="HQQ11" s="495"/>
      <c r="HQR11" s="495"/>
      <c r="HQS11" s="495"/>
      <c r="HQT11" s="495"/>
      <c r="HQU11" s="495"/>
      <c r="HQV11" s="495"/>
      <c r="HQW11" s="495"/>
      <c r="HQX11" s="495"/>
      <c r="HQY11" s="495"/>
      <c r="HQZ11" s="495"/>
      <c r="HRA11" s="495"/>
      <c r="HRB11" s="495"/>
      <c r="HRC11" s="495"/>
      <c r="HRD11" s="495"/>
      <c r="HRE11" s="495"/>
      <c r="HRF11" s="495"/>
      <c r="HRG11" s="495"/>
      <c r="HRH11" s="495"/>
      <c r="HRI11" s="495"/>
      <c r="HRJ11" s="495"/>
      <c r="HRK11" s="495"/>
      <c r="HRL11" s="495"/>
      <c r="HRM11" s="495"/>
      <c r="HRN11" s="495"/>
      <c r="HRO11" s="495"/>
      <c r="HRP11" s="495"/>
      <c r="HRQ11" s="495"/>
      <c r="HRR11" s="495"/>
      <c r="HRS11" s="495"/>
      <c r="HRT11" s="495"/>
      <c r="HRU11" s="495"/>
      <c r="HRV11" s="495"/>
      <c r="HRW11" s="495"/>
      <c r="HRX11" s="495"/>
      <c r="HRY11" s="495"/>
      <c r="HRZ11" s="495"/>
      <c r="HSA11" s="495"/>
      <c r="HSB11" s="495"/>
      <c r="HSC11" s="495"/>
      <c r="HSD11" s="495"/>
      <c r="HSE11" s="495"/>
      <c r="HSF11" s="495"/>
      <c r="HSG11" s="495"/>
      <c r="HSH11" s="495"/>
      <c r="HSI11" s="495"/>
      <c r="HSJ11" s="495"/>
      <c r="HSK11" s="495"/>
      <c r="HSL11" s="495"/>
      <c r="HSM11" s="495"/>
      <c r="HSN11" s="495"/>
      <c r="HSO11" s="495"/>
      <c r="HSP11" s="495"/>
      <c r="HSQ11" s="495"/>
      <c r="HSR11" s="495"/>
      <c r="HSS11" s="495"/>
      <c r="HST11" s="495"/>
      <c r="HSU11" s="495"/>
      <c r="HSV11" s="495"/>
      <c r="HSW11" s="495"/>
      <c r="HSX11" s="495"/>
      <c r="HSY11" s="495"/>
      <c r="HSZ11" s="495"/>
      <c r="HTA11" s="495"/>
      <c r="HTB11" s="495"/>
      <c r="HTC11" s="495"/>
      <c r="HTD11" s="495"/>
      <c r="HTE11" s="495"/>
      <c r="HTF11" s="495"/>
      <c r="HTG11" s="495"/>
      <c r="HTH11" s="495"/>
      <c r="HTI11" s="495"/>
      <c r="HTJ11" s="495"/>
      <c r="HTK11" s="495"/>
      <c r="HTL11" s="495"/>
      <c r="HTM11" s="495"/>
      <c r="HTN11" s="495"/>
      <c r="HTO11" s="495"/>
      <c r="HTP11" s="495"/>
      <c r="HTQ11" s="495"/>
      <c r="HTR11" s="495"/>
      <c r="HTS11" s="495"/>
      <c r="HTT11" s="495"/>
      <c r="HTU11" s="495"/>
      <c r="HTV11" s="495"/>
      <c r="HTW11" s="495"/>
      <c r="HTX11" s="495"/>
      <c r="HTY11" s="495"/>
      <c r="HTZ11" s="495"/>
      <c r="HUA11" s="495"/>
      <c r="HUB11" s="495"/>
      <c r="HUC11" s="495"/>
      <c r="HUD11" s="495"/>
      <c r="HUE11" s="495"/>
      <c r="HUF11" s="495"/>
      <c r="HUG11" s="495"/>
      <c r="HUH11" s="495"/>
      <c r="HUI11" s="495"/>
      <c r="HUJ11" s="495"/>
      <c r="HUK11" s="495"/>
      <c r="HUL11" s="495"/>
      <c r="HUM11" s="495"/>
      <c r="HUN11" s="495"/>
      <c r="HUO11" s="495"/>
      <c r="HUP11" s="495"/>
      <c r="HUQ11" s="495"/>
      <c r="HUR11" s="495"/>
      <c r="HUS11" s="495"/>
      <c r="HUT11" s="495"/>
      <c r="HUU11" s="495"/>
      <c r="HUV11" s="495"/>
      <c r="HUW11" s="495"/>
      <c r="HUX11" s="495"/>
      <c r="HUY11" s="495"/>
      <c r="HUZ11" s="495"/>
      <c r="HVA11" s="495"/>
      <c r="HVB11" s="495"/>
      <c r="HVC11" s="495"/>
      <c r="HVD11" s="495"/>
      <c r="HVE11" s="495"/>
      <c r="HVF11" s="495"/>
      <c r="HVG11" s="495"/>
      <c r="HVH11" s="495"/>
      <c r="HVI11" s="495"/>
      <c r="HVJ11" s="495"/>
      <c r="HVK11" s="495"/>
      <c r="HVL11" s="495"/>
      <c r="HVM11" s="495"/>
      <c r="HVN11" s="495"/>
      <c r="HVO11" s="495"/>
      <c r="HVP11" s="495"/>
      <c r="HVQ11" s="495"/>
      <c r="HVR11" s="495"/>
      <c r="HVS11" s="495"/>
      <c r="HVT11" s="495"/>
      <c r="HVU11" s="495"/>
      <c r="HVV11" s="495"/>
      <c r="HVW11" s="495"/>
      <c r="HVX11" s="495"/>
      <c r="HVY11" s="495"/>
      <c r="HVZ11" s="495"/>
      <c r="HWA11" s="495"/>
      <c r="HWB11" s="495"/>
      <c r="HWC11" s="495"/>
      <c r="HWD11" s="495"/>
      <c r="HWE11" s="495"/>
      <c r="HWF11" s="495"/>
      <c r="HWG11" s="495"/>
      <c r="HWH11" s="495"/>
      <c r="HWI11" s="495"/>
      <c r="HWJ11" s="495"/>
      <c r="HWK11" s="495"/>
      <c r="HWL11" s="495"/>
      <c r="HWM11" s="495"/>
      <c r="HWN11" s="495"/>
      <c r="HWO11" s="495"/>
      <c r="HWP11" s="495"/>
      <c r="HWQ11" s="495"/>
      <c r="HWR11" s="495"/>
      <c r="HWS11" s="495"/>
      <c r="HWT11" s="495"/>
      <c r="HWU11" s="495"/>
      <c r="HWV11" s="495"/>
      <c r="HWW11" s="495"/>
      <c r="HWX11" s="495"/>
      <c r="HWY11" s="495"/>
      <c r="HWZ11" s="495"/>
      <c r="HXA11" s="495"/>
      <c r="HXB11" s="495"/>
      <c r="HXC11" s="495"/>
      <c r="HXD11" s="495"/>
      <c r="HXE11" s="495"/>
      <c r="HXF11" s="495"/>
      <c r="HXG11" s="495"/>
      <c r="HXH11" s="495"/>
      <c r="HXI11" s="495"/>
      <c r="HXJ11" s="495"/>
      <c r="HXK11" s="495"/>
      <c r="HXL11" s="495"/>
      <c r="HXM11" s="495"/>
      <c r="HXN11" s="495"/>
      <c r="HXO11" s="495"/>
      <c r="HXP11" s="495"/>
      <c r="HXQ11" s="495"/>
      <c r="HXR11" s="495"/>
      <c r="HXS11" s="495"/>
      <c r="HXT11" s="495"/>
      <c r="HXU11" s="495"/>
      <c r="HXV11" s="495"/>
      <c r="HXW11" s="495"/>
      <c r="HXX11" s="495"/>
      <c r="HXY11" s="495"/>
      <c r="HXZ11" s="495"/>
      <c r="HYA11" s="495"/>
      <c r="HYB11" s="495"/>
      <c r="HYC11" s="495"/>
      <c r="HYD11" s="495"/>
      <c r="HYE11" s="495"/>
      <c r="HYF11" s="495"/>
      <c r="HYG11" s="495"/>
      <c r="HYH11" s="495"/>
      <c r="HYI11" s="495"/>
      <c r="HYJ11" s="495"/>
      <c r="HYK11" s="495"/>
      <c r="HYL11" s="495"/>
      <c r="HYM11" s="495"/>
      <c r="HYN11" s="495"/>
      <c r="HYO11" s="495"/>
      <c r="HYP11" s="495"/>
      <c r="HYQ11" s="495"/>
      <c r="HYR11" s="495"/>
      <c r="HYS11" s="495"/>
      <c r="HYT11" s="495"/>
      <c r="HYU11" s="495"/>
      <c r="HYV11" s="495"/>
      <c r="HYW11" s="495"/>
      <c r="HYX11" s="495"/>
      <c r="HYY11" s="495"/>
      <c r="HYZ11" s="495"/>
      <c r="HZA11" s="495"/>
      <c r="HZB11" s="495"/>
      <c r="HZC11" s="495"/>
      <c r="HZD11" s="495"/>
      <c r="HZE11" s="495"/>
      <c r="HZF11" s="495"/>
      <c r="HZG11" s="495"/>
      <c r="HZH11" s="495"/>
      <c r="HZI11" s="495"/>
      <c r="HZJ11" s="495"/>
      <c r="HZK11" s="495"/>
      <c r="HZL11" s="495"/>
      <c r="HZM11" s="495"/>
      <c r="HZN11" s="495"/>
      <c r="HZO11" s="495"/>
      <c r="HZP11" s="495"/>
      <c r="HZQ11" s="495"/>
      <c r="HZR11" s="495"/>
      <c r="HZS11" s="495"/>
      <c r="HZT11" s="495"/>
      <c r="HZU11" s="495"/>
      <c r="HZV11" s="495"/>
      <c r="HZW11" s="495"/>
      <c r="HZX11" s="495"/>
      <c r="HZY11" s="495"/>
      <c r="HZZ11" s="495"/>
      <c r="IAA11" s="495"/>
      <c r="IAB11" s="495"/>
      <c r="IAC11" s="495"/>
      <c r="IAD11" s="495"/>
      <c r="IAE11" s="495"/>
      <c r="IAF11" s="495"/>
      <c r="IAG11" s="495"/>
      <c r="IAH11" s="495"/>
      <c r="IAI11" s="495"/>
      <c r="IAJ11" s="495"/>
      <c r="IAK11" s="495"/>
      <c r="IAL11" s="495"/>
      <c r="IAM11" s="495"/>
      <c r="IAN11" s="495"/>
      <c r="IAO11" s="495"/>
      <c r="IAP11" s="495"/>
      <c r="IAQ11" s="495"/>
      <c r="IAR11" s="495"/>
      <c r="IAS11" s="495"/>
      <c r="IAT11" s="495"/>
      <c r="IAU11" s="495"/>
      <c r="IAV11" s="495"/>
      <c r="IAW11" s="495"/>
      <c r="IAX11" s="495"/>
      <c r="IAY11" s="495"/>
      <c r="IAZ11" s="495"/>
      <c r="IBA11" s="495"/>
      <c r="IBB11" s="495"/>
      <c r="IBC11" s="495"/>
      <c r="IBD11" s="495"/>
      <c r="IBE11" s="495"/>
      <c r="IBF11" s="495"/>
      <c r="IBG11" s="495"/>
      <c r="IBH11" s="495"/>
      <c r="IBI11" s="495"/>
      <c r="IBJ11" s="495"/>
      <c r="IBK11" s="495"/>
      <c r="IBL11" s="495"/>
      <c r="IBM11" s="495"/>
      <c r="IBN11" s="495"/>
      <c r="IBO11" s="495"/>
      <c r="IBP11" s="495"/>
      <c r="IBQ11" s="495"/>
      <c r="IBR11" s="495"/>
      <c r="IBS11" s="495"/>
      <c r="IBT11" s="495"/>
      <c r="IBU11" s="495"/>
      <c r="IBV11" s="495"/>
      <c r="IBW11" s="495"/>
      <c r="IBX11" s="495"/>
      <c r="IBY11" s="495"/>
      <c r="IBZ11" s="495"/>
      <c r="ICA11" s="495"/>
      <c r="ICB11" s="495"/>
      <c r="ICC11" s="495"/>
      <c r="ICD11" s="495"/>
      <c r="ICE11" s="495"/>
      <c r="ICF11" s="495"/>
      <c r="ICG11" s="495"/>
      <c r="ICH11" s="495"/>
      <c r="ICI11" s="495"/>
      <c r="ICJ11" s="495"/>
      <c r="ICK11" s="495"/>
      <c r="ICL11" s="495"/>
      <c r="ICM11" s="495"/>
      <c r="ICN11" s="495"/>
      <c r="ICO11" s="495"/>
      <c r="ICP11" s="495"/>
      <c r="ICQ11" s="495"/>
      <c r="ICR11" s="495"/>
      <c r="ICS11" s="495"/>
      <c r="ICT11" s="495"/>
      <c r="ICU11" s="495"/>
      <c r="ICV11" s="495"/>
      <c r="ICW11" s="495"/>
      <c r="ICX11" s="495"/>
      <c r="ICY11" s="495"/>
      <c r="ICZ11" s="495"/>
      <c r="IDA11" s="495"/>
      <c r="IDB11" s="495"/>
      <c r="IDC11" s="495"/>
      <c r="IDD11" s="495"/>
      <c r="IDE11" s="495"/>
      <c r="IDF11" s="495"/>
      <c r="IDG11" s="495"/>
      <c r="IDH11" s="495"/>
      <c r="IDI11" s="495"/>
      <c r="IDJ11" s="495"/>
      <c r="IDK11" s="495"/>
      <c r="IDL11" s="495"/>
      <c r="IDM11" s="495"/>
      <c r="IDN11" s="495"/>
      <c r="IDO11" s="495"/>
      <c r="IDP11" s="495"/>
      <c r="IDQ11" s="495"/>
      <c r="IDR11" s="495"/>
      <c r="IDS11" s="495"/>
      <c r="IDT11" s="495"/>
      <c r="IDU11" s="495"/>
      <c r="IDV11" s="495"/>
      <c r="IDW11" s="495"/>
      <c r="IDX11" s="495"/>
      <c r="IDY11" s="495"/>
      <c r="IDZ11" s="495"/>
      <c r="IEA11" s="495"/>
      <c r="IEB11" s="495"/>
      <c r="IEC11" s="495"/>
      <c r="IED11" s="495"/>
      <c r="IEE11" s="495"/>
      <c r="IEF11" s="495"/>
      <c r="IEG11" s="495"/>
      <c r="IEH11" s="495"/>
      <c r="IEI11" s="495"/>
      <c r="IEJ11" s="495"/>
      <c r="IEK11" s="495"/>
      <c r="IEL11" s="495"/>
      <c r="IEM11" s="495"/>
      <c r="IEN11" s="495"/>
      <c r="IEO11" s="495"/>
      <c r="IEP11" s="495"/>
      <c r="IEQ11" s="495"/>
      <c r="IER11" s="495"/>
      <c r="IES11" s="495"/>
      <c r="IET11" s="495"/>
      <c r="IEU11" s="495"/>
      <c r="IEV11" s="495"/>
      <c r="IEW11" s="495"/>
      <c r="IEX11" s="495"/>
      <c r="IEY11" s="495"/>
      <c r="IEZ11" s="495"/>
      <c r="IFA11" s="495"/>
      <c r="IFB11" s="495"/>
      <c r="IFC11" s="495"/>
      <c r="IFD11" s="495"/>
      <c r="IFE11" s="495"/>
      <c r="IFF11" s="495"/>
      <c r="IFG11" s="495"/>
      <c r="IFH11" s="495"/>
      <c r="IFI11" s="495"/>
      <c r="IFJ11" s="495"/>
      <c r="IFK11" s="495"/>
      <c r="IFL11" s="495"/>
      <c r="IFM11" s="495"/>
      <c r="IFN11" s="495"/>
      <c r="IFO11" s="495"/>
      <c r="IFP11" s="495"/>
      <c r="IFQ11" s="495"/>
      <c r="IFR11" s="495"/>
      <c r="IFS11" s="495"/>
      <c r="IFT11" s="495"/>
      <c r="IFU11" s="495"/>
      <c r="IFV11" s="495"/>
      <c r="IFW11" s="495"/>
      <c r="IFX11" s="495"/>
      <c r="IFY11" s="495"/>
      <c r="IFZ11" s="495"/>
      <c r="IGA11" s="495"/>
      <c r="IGB11" s="495"/>
      <c r="IGC11" s="495"/>
      <c r="IGD11" s="495"/>
      <c r="IGE11" s="495"/>
      <c r="IGF11" s="495"/>
      <c r="IGG11" s="495"/>
      <c r="IGH11" s="495"/>
      <c r="IGI11" s="495"/>
      <c r="IGJ11" s="495"/>
      <c r="IGK11" s="495"/>
      <c r="IGL11" s="495"/>
      <c r="IGM11" s="495"/>
      <c r="IGN11" s="495"/>
      <c r="IGO11" s="495"/>
      <c r="IGP11" s="495"/>
      <c r="IGQ11" s="495"/>
      <c r="IGR11" s="495"/>
      <c r="IGS11" s="495"/>
      <c r="IGT11" s="495"/>
      <c r="IGU11" s="495"/>
      <c r="IGV11" s="495"/>
      <c r="IGW11" s="495"/>
      <c r="IGX11" s="495"/>
      <c r="IGY11" s="495"/>
      <c r="IGZ11" s="495"/>
      <c r="IHA11" s="495"/>
      <c r="IHB11" s="495"/>
      <c r="IHC11" s="495"/>
      <c r="IHD11" s="495"/>
      <c r="IHE11" s="495"/>
      <c r="IHF11" s="495"/>
      <c r="IHG11" s="495"/>
      <c r="IHH11" s="495"/>
      <c r="IHI11" s="495"/>
      <c r="IHJ11" s="495"/>
      <c r="IHK11" s="495"/>
      <c r="IHL11" s="495"/>
      <c r="IHM11" s="495"/>
      <c r="IHN11" s="495"/>
      <c r="IHO11" s="495"/>
      <c r="IHP11" s="495"/>
      <c r="IHQ11" s="495"/>
      <c r="IHR11" s="495"/>
      <c r="IHS11" s="495"/>
      <c r="IHT11" s="495"/>
      <c r="IHU11" s="495"/>
      <c r="IHV11" s="495"/>
      <c r="IHW11" s="495"/>
      <c r="IHX11" s="495"/>
      <c r="IHY11" s="495"/>
      <c r="IHZ11" s="495"/>
      <c r="IIA11" s="495"/>
      <c r="IIB11" s="495"/>
      <c r="IIC11" s="495"/>
      <c r="IID11" s="495"/>
      <c r="IIE11" s="495"/>
      <c r="IIF11" s="495"/>
      <c r="IIG11" s="495"/>
      <c r="IIH11" s="495"/>
      <c r="III11" s="495"/>
      <c r="IIJ11" s="495"/>
      <c r="IIK11" s="495"/>
      <c r="IIL11" s="495"/>
      <c r="IIM11" s="495"/>
      <c r="IIN11" s="495"/>
      <c r="IIO11" s="495"/>
      <c r="IIP11" s="495"/>
      <c r="IIQ11" s="495"/>
      <c r="IIR11" s="495"/>
      <c r="IIS11" s="495"/>
      <c r="IIT11" s="495"/>
      <c r="IIU11" s="495"/>
      <c r="IIV11" s="495"/>
      <c r="IIW11" s="495"/>
      <c r="IIX11" s="495"/>
      <c r="IIY11" s="495"/>
      <c r="IIZ11" s="495"/>
      <c r="IJA11" s="495"/>
      <c r="IJB11" s="495"/>
      <c r="IJC11" s="495"/>
      <c r="IJD11" s="495"/>
      <c r="IJE11" s="495"/>
      <c r="IJF11" s="495"/>
      <c r="IJG11" s="495"/>
      <c r="IJH11" s="495"/>
      <c r="IJI11" s="495"/>
      <c r="IJJ11" s="495"/>
      <c r="IJK11" s="495"/>
      <c r="IJL11" s="495"/>
      <c r="IJM11" s="495"/>
      <c r="IJN11" s="495"/>
      <c r="IJO11" s="495"/>
      <c r="IJP11" s="495"/>
      <c r="IJQ11" s="495"/>
      <c r="IJR11" s="495"/>
      <c r="IJS11" s="495"/>
      <c r="IJT11" s="495"/>
      <c r="IJU11" s="495"/>
      <c r="IJV11" s="495"/>
      <c r="IJW11" s="495"/>
      <c r="IJX11" s="495"/>
      <c r="IJY11" s="495"/>
      <c r="IJZ11" s="495"/>
      <c r="IKA11" s="495"/>
      <c r="IKB11" s="495"/>
      <c r="IKC11" s="495"/>
      <c r="IKD11" s="495"/>
      <c r="IKE11" s="495"/>
      <c r="IKF11" s="495"/>
      <c r="IKG11" s="495"/>
      <c r="IKH11" s="495"/>
      <c r="IKI11" s="495"/>
      <c r="IKJ11" s="495"/>
      <c r="IKK11" s="495"/>
      <c r="IKL11" s="495"/>
      <c r="IKM11" s="495"/>
      <c r="IKN11" s="495"/>
      <c r="IKO11" s="495"/>
      <c r="IKP11" s="495"/>
      <c r="IKQ11" s="495"/>
      <c r="IKR11" s="495"/>
      <c r="IKS11" s="495"/>
      <c r="IKT11" s="495"/>
      <c r="IKU11" s="495"/>
      <c r="IKV11" s="495"/>
      <c r="IKW11" s="495"/>
      <c r="IKX11" s="495"/>
      <c r="IKY11" s="495"/>
      <c r="IKZ11" s="495"/>
      <c r="ILA11" s="495"/>
      <c r="ILB11" s="495"/>
      <c r="ILC11" s="495"/>
      <c r="ILD11" s="495"/>
      <c r="ILE11" s="495"/>
      <c r="ILF11" s="495"/>
      <c r="ILG11" s="495"/>
      <c r="ILH11" s="495"/>
      <c r="ILI11" s="495"/>
      <c r="ILJ11" s="495"/>
      <c r="ILK11" s="495"/>
      <c r="ILL11" s="495"/>
      <c r="ILM11" s="495"/>
      <c r="ILN11" s="495"/>
      <c r="ILO11" s="495"/>
      <c r="ILP11" s="495"/>
      <c r="ILQ11" s="495"/>
      <c r="ILR11" s="495"/>
      <c r="ILS11" s="495"/>
      <c r="ILT11" s="495"/>
      <c r="ILU11" s="495"/>
      <c r="ILV11" s="495"/>
      <c r="ILW11" s="495"/>
      <c r="ILX11" s="495"/>
      <c r="ILY11" s="495"/>
      <c r="ILZ11" s="495"/>
      <c r="IMA11" s="495"/>
      <c r="IMB11" s="495"/>
      <c r="IMC11" s="495"/>
      <c r="IMD11" s="495"/>
      <c r="IME11" s="495"/>
      <c r="IMF11" s="495"/>
      <c r="IMG11" s="495"/>
      <c r="IMH11" s="495"/>
      <c r="IMI11" s="495"/>
      <c r="IMJ11" s="495"/>
      <c r="IMK11" s="495"/>
      <c r="IML11" s="495"/>
      <c r="IMM11" s="495"/>
      <c r="IMN11" s="495"/>
      <c r="IMO11" s="495"/>
      <c r="IMP11" s="495"/>
      <c r="IMQ11" s="495"/>
      <c r="IMR11" s="495"/>
      <c r="IMS11" s="495"/>
      <c r="IMT11" s="495"/>
      <c r="IMU11" s="495"/>
      <c r="IMV11" s="495"/>
      <c r="IMW11" s="495"/>
      <c r="IMX11" s="495"/>
      <c r="IMY11" s="495"/>
      <c r="IMZ11" s="495"/>
      <c r="INA11" s="495"/>
      <c r="INB11" s="495"/>
      <c r="INC11" s="495"/>
      <c r="IND11" s="495"/>
      <c r="INE11" s="495"/>
      <c r="INF11" s="495"/>
      <c r="ING11" s="495"/>
      <c r="INH11" s="495"/>
      <c r="INI11" s="495"/>
      <c r="INJ11" s="495"/>
      <c r="INK11" s="495"/>
      <c r="INL11" s="495"/>
      <c r="INM11" s="495"/>
      <c r="INN11" s="495"/>
      <c r="INO11" s="495"/>
      <c r="INP11" s="495"/>
      <c r="INQ11" s="495"/>
      <c r="INR11" s="495"/>
      <c r="INS11" s="495"/>
      <c r="INT11" s="495"/>
      <c r="INU11" s="495"/>
      <c r="INV11" s="495"/>
      <c r="INW11" s="495"/>
      <c r="INX11" s="495"/>
      <c r="INY11" s="495"/>
      <c r="INZ11" s="495"/>
      <c r="IOA11" s="495"/>
      <c r="IOB11" s="495"/>
      <c r="IOC11" s="495"/>
      <c r="IOD11" s="495"/>
      <c r="IOE11" s="495"/>
      <c r="IOF11" s="495"/>
      <c r="IOG11" s="495"/>
      <c r="IOH11" s="495"/>
      <c r="IOI11" s="495"/>
      <c r="IOJ11" s="495"/>
      <c r="IOK11" s="495"/>
      <c r="IOL11" s="495"/>
      <c r="IOM11" s="495"/>
      <c r="ION11" s="495"/>
      <c r="IOO11" s="495"/>
      <c r="IOP11" s="495"/>
      <c r="IOQ11" s="495"/>
      <c r="IOR11" s="495"/>
      <c r="IOS11" s="495"/>
      <c r="IOT11" s="495"/>
      <c r="IOU11" s="495"/>
      <c r="IOV11" s="495"/>
      <c r="IOW11" s="495"/>
      <c r="IOX11" s="495"/>
      <c r="IOY11" s="495"/>
      <c r="IOZ11" s="495"/>
      <c r="IPA11" s="495"/>
      <c r="IPB11" s="495"/>
      <c r="IPC11" s="495"/>
      <c r="IPD11" s="495"/>
      <c r="IPE11" s="495"/>
      <c r="IPF11" s="495"/>
      <c r="IPG11" s="495"/>
      <c r="IPH11" s="495"/>
      <c r="IPI11" s="495"/>
      <c r="IPJ11" s="495"/>
      <c r="IPK11" s="495"/>
      <c r="IPL11" s="495"/>
      <c r="IPM11" s="495"/>
      <c r="IPN11" s="495"/>
      <c r="IPO11" s="495"/>
      <c r="IPP11" s="495"/>
      <c r="IPQ11" s="495"/>
      <c r="IPR11" s="495"/>
      <c r="IPS11" s="495"/>
      <c r="IPT11" s="495"/>
      <c r="IPU11" s="495"/>
      <c r="IPV11" s="495"/>
      <c r="IPW11" s="495"/>
      <c r="IPX11" s="495"/>
      <c r="IPY11" s="495"/>
      <c r="IPZ11" s="495"/>
      <c r="IQA11" s="495"/>
      <c r="IQB11" s="495"/>
      <c r="IQC11" s="495"/>
      <c r="IQD11" s="495"/>
      <c r="IQE11" s="495"/>
      <c r="IQF11" s="495"/>
      <c r="IQG11" s="495"/>
      <c r="IQH11" s="495"/>
      <c r="IQI11" s="495"/>
      <c r="IQJ11" s="495"/>
      <c r="IQK11" s="495"/>
      <c r="IQL11" s="495"/>
      <c r="IQM11" s="495"/>
      <c r="IQN11" s="495"/>
      <c r="IQO11" s="495"/>
      <c r="IQP11" s="495"/>
      <c r="IQQ11" s="495"/>
      <c r="IQR11" s="495"/>
      <c r="IQS11" s="495"/>
      <c r="IQT11" s="495"/>
      <c r="IQU11" s="495"/>
      <c r="IQV11" s="495"/>
      <c r="IQW11" s="495"/>
      <c r="IQX11" s="495"/>
      <c r="IQY11" s="495"/>
      <c r="IQZ11" s="495"/>
      <c r="IRA11" s="495"/>
      <c r="IRB11" s="495"/>
      <c r="IRC11" s="495"/>
      <c r="IRD11" s="495"/>
      <c r="IRE11" s="495"/>
      <c r="IRF11" s="495"/>
      <c r="IRG11" s="495"/>
      <c r="IRH11" s="495"/>
      <c r="IRI11" s="495"/>
      <c r="IRJ11" s="495"/>
      <c r="IRK11" s="495"/>
      <c r="IRL11" s="495"/>
      <c r="IRM11" s="495"/>
      <c r="IRN11" s="495"/>
      <c r="IRO11" s="495"/>
      <c r="IRP11" s="495"/>
      <c r="IRQ11" s="495"/>
      <c r="IRR11" s="495"/>
      <c r="IRS11" s="495"/>
      <c r="IRT11" s="495"/>
      <c r="IRU11" s="495"/>
      <c r="IRV11" s="495"/>
      <c r="IRW11" s="495"/>
      <c r="IRX11" s="495"/>
      <c r="IRY11" s="495"/>
      <c r="IRZ11" s="495"/>
      <c r="ISA11" s="495"/>
      <c r="ISB11" s="495"/>
      <c r="ISC11" s="495"/>
      <c r="ISD11" s="495"/>
      <c r="ISE11" s="495"/>
      <c r="ISF11" s="495"/>
      <c r="ISG11" s="495"/>
      <c r="ISH11" s="495"/>
      <c r="ISI11" s="495"/>
      <c r="ISJ11" s="495"/>
      <c r="ISK11" s="495"/>
      <c r="ISL11" s="495"/>
      <c r="ISM11" s="495"/>
      <c r="ISN11" s="495"/>
      <c r="ISO11" s="495"/>
      <c r="ISP11" s="495"/>
      <c r="ISQ11" s="495"/>
      <c r="ISR11" s="495"/>
      <c r="ISS11" s="495"/>
      <c r="IST11" s="495"/>
      <c r="ISU11" s="495"/>
      <c r="ISV11" s="495"/>
      <c r="ISW11" s="495"/>
      <c r="ISX11" s="495"/>
      <c r="ISY11" s="495"/>
      <c r="ISZ11" s="495"/>
      <c r="ITA11" s="495"/>
      <c r="ITB11" s="495"/>
      <c r="ITC11" s="495"/>
      <c r="ITD11" s="495"/>
      <c r="ITE11" s="495"/>
      <c r="ITF11" s="495"/>
      <c r="ITG11" s="495"/>
      <c r="ITH11" s="495"/>
      <c r="ITI11" s="495"/>
      <c r="ITJ11" s="495"/>
      <c r="ITK11" s="495"/>
      <c r="ITL11" s="495"/>
      <c r="ITM11" s="495"/>
      <c r="ITN11" s="495"/>
      <c r="ITO11" s="495"/>
      <c r="ITP11" s="495"/>
      <c r="ITQ11" s="495"/>
      <c r="ITR11" s="495"/>
      <c r="ITS11" s="495"/>
      <c r="ITT11" s="495"/>
      <c r="ITU11" s="495"/>
      <c r="ITV11" s="495"/>
      <c r="ITW11" s="495"/>
      <c r="ITX11" s="495"/>
      <c r="ITY11" s="495"/>
      <c r="ITZ11" s="495"/>
      <c r="IUA11" s="495"/>
      <c r="IUB11" s="495"/>
      <c r="IUC11" s="495"/>
      <c r="IUD11" s="495"/>
      <c r="IUE11" s="495"/>
      <c r="IUF11" s="495"/>
      <c r="IUG11" s="495"/>
      <c r="IUH11" s="495"/>
      <c r="IUI11" s="495"/>
      <c r="IUJ11" s="495"/>
      <c r="IUK11" s="495"/>
      <c r="IUL11" s="495"/>
      <c r="IUM11" s="495"/>
      <c r="IUN11" s="495"/>
      <c r="IUO11" s="495"/>
      <c r="IUP11" s="495"/>
      <c r="IUQ11" s="495"/>
      <c r="IUR11" s="495"/>
      <c r="IUS11" s="495"/>
      <c r="IUT11" s="495"/>
      <c r="IUU11" s="495"/>
      <c r="IUV11" s="495"/>
      <c r="IUW11" s="495"/>
      <c r="IUX11" s="495"/>
      <c r="IUY11" s="495"/>
      <c r="IUZ11" s="495"/>
      <c r="IVA11" s="495"/>
      <c r="IVB11" s="495"/>
      <c r="IVC11" s="495"/>
      <c r="IVD11" s="495"/>
      <c r="IVE11" s="495"/>
      <c r="IVF11" s="495"/>
      <c r="IVG11" s="495"/>
      <c r="IVH11" s="495"/>
      <c r="IVI11" s="495"/>
      <c r="IVJ11" s="495"/>
      <c r="IVK11" s="495"/>
      <c r="IVL11" s="495"/>
      <c r="IVM11" s="495"/>
      <c r="IVN11" s="495"/>
      <c r="IVO11" s="495"/>
      <c r="IVP11" s="495"/>
      <c r="IVQ11" s="495"/>
      <c r="IVR11" s="495"/>
      <c r="IVS11" s="495"/>
      <c r="IVT11" s="495"/>
      <c r="IVU11" s="495"/>
      <c r="IVV11" s="495"/>
      <c r="IVW11" s="495"/>
      <c r="IVX11" s="495"/>
      <c r="IVY11" s="495"/>
      <c r="IVZ11" s="495"/>
      <c r="IWA11" s="495"/>
      <c r="IWB11" s="495"/>
      <c r="IWC11" s="495"/>
      <c r="IWD11" s="495"/>
      <c r="IWE11" s="495"/>
      <c r="IWF11" s="495"/>
      <c r="IWG11" s="495"/>
      <c r="IWH11" s="495"/>
      <c r="IWI11" s="495"/>
      <c r="IWJ11" s="495"/>
      <c r="IWK11" s="495"/>
      <c r="IWL11" s="495"/>
      <c r="IWM11" s="495"/>
      <c r="IWN11" s="495"/>
      <c r="IWO11" s="495"/>
      <c r="IWP11" s="495"/>
      <c r="IWQ11" s="495"/>
      <c r="IWR11" s="495"/>
      <c r="IWS11" s="495"/>
      <c r="IWT11" s="495"/>
      <c r="IWU11" s="495"/>
      <c r="IWV11" s="495"/>
      <c r="IWW11" s="495"/>
      <c r="IWX11" s="495"/>
      <c r="IWY11" s="495"/>
      <c r="IWZ11" s="495"/>
      <c r="IXA11" s="495"/>
      <c r="IXB11" s="495"/>
      <c r="IXC11" s="495"/>
      <c r="IXD11" s="495"/>
      <c r="IXE11" s="495"/>
      <c r="IXF11" s="495"/>
      <c r="IXG11" s="495"/>
      <c r="IXH11" s="495"/>
      <c r="IXI11" s="495"/>
      <c r="IXJ11" s="495"/>
      <c r="IXK11" s="495"/>
      <c r="IXL11" s="495"/>
      <c r="IXM11" s="495"/>
      <c r="IXN11" s="495"/>
      <c r="IXO11" s="495"/>
      <c r="IXP11" s="495"/>
      <c r="IXQ11" s="495"/>
      <c r="IXR11" s="495"/>
      <c r="IXS11" s="495"/>
      <c r="IXT11" s="495"/>
      <c r="IXU11" s="495"/>
      <c r="IXV11" s="495"/>
      <c r="IXW11" s="495"/>
      <c r="IXX11" s="495"/>
      <c r="IXY11" s="495"/>
      <c r="IXZ11" s="495"/>
      <c r="IYA11" s="495"/>
      <c r="IYB11" s="495"/>
      <c r="IYC11" s="495"/>
      <c r="IYD11" s="495"/>
      <c r="IYE11" s="495"/>
      <c r="IYF11" s="495"/>
      <c r="IYG11" s="495"/>
      <c r="IYH11" s="495"/>
      <c r="IYI11" s="495"/>
      <c r="IYJ11" s="495"/>
      <c r="IYK11" s="495"/>
      <c r="IYL11" s="495"/>
      <c r="IYM11" s="495"/>
      <c r="IYN11" s="495"/>
      <c r="IYO11" s="495"/>
      <c r="IYP11" s="495"/>
      <c r="IYQ11" s="495"/>
      <c r="IYR11" s="495"/>
      <c r="IYS11" s="495"/>
      <c r="IYT11" s="495"/>
      <c r="IYU11" s="495"/>
      <c r="IYV11" s="495"/>
      <c r="IYW11" s="495"/>
      <c r="IYX11" s="495"/>
      <c r="IYY11" s="495"/>
      <c r="IYZ11" s="495"/>
      <c r="IZA11" s="495"/>
      <c r="IZB11" s="495"/>
      <c r="IZC11" s="495"/>
      <c r="IZD11" s="495"/>
      <c r="IZE11" s="495"/>
      <c r="IZF11" s="495"/>
      <c r="IZG11" s="495"/>
      <c r="IZH11" s="495"/>
      <c r="IZI11" s="495"/>
      <c r="IZJ11" s="495"/>
      <c r="IZK11" s="495"/>
      <c r="IZL11" s="495"/>
      <c r="IZM11" s="495"/>
      <c r="IZN11" s="495"/>
      <c r="IZO11" s="495"/>
      <c r="IZP11" s="495"/>
      <c r="IZQ11" s="495"/>
      <c r="IZR11" s="495"/>
      <c r="IZS11" s="495"/>
      <c r="IZT11" s="495"/>
      <c r="IZU11" s="495"/>
      <c r="IZV11" s="495"/>
      <c r="IZW11" s="495"/>
      <c r="IZX11" s="495"/>
      <c r="IZY11" s="495"/>
      <c r="IZZ11" s="495"/>
      <c r="JAA11" s="495"/>
      <c r="JAB11" s="495"/>
      <c r="JAC11" s="495"/>
      <c r="JAD11" s="495"/>
      <c r="JAE11" s="495"/>
      <c r="JAF11" s="495"/>
      <c r="JAG11" s="495"/>
      <c r="JAH11" s="495"/>
      <c r="JAI11" s="495"/>
      <c r="JAJ11" s="495"/>
      <c r="JAK11" s="495"/>
      <c r="JAL11" s="495"/>
      <c r="JAM11" s="495"/>
      <c r="JAN11" s="495"/>
      <c r="JAO11" s="495"/>
      <c r="JAP11" s="495"/>
      <c r="JAQ11" s="495"/>
      <c r="JAR11" s="495"/>
      <c r="JAS11" s="495"/>
      <c r="JAT11" s="495"/>
      <c r="JAU11" s="495"/>
      <c r="JAV11" s="495"/>
      <c r="JAW11" s="495"/>
      <c r="JAX11" s="495"/>
      <c r="JAY11" s="495"/>
      <c r="JAZ11" s="495"/>
      <c r="JBA11" s="495"/>
      <c r="JBB11" s="495"/>
      <c r="JBC11" s="495"/>
      <c r="JBD11" s="495"/>
      <c r="JBE11" s="495"/>
      <c r="JBF11" s="495"/>
      <c r="JBG11" s="495"/>
      <c r="JBH11" s="495"/>
      <c r="JBI11" s="495"/>
      <c r="JBJ11" s="495"/>
      <c r="JBK11" s="495"/>
      <c r="JBL11" s="495"/>
      <c r="JBM11" s="495"/>
      <c r="JBN11" s="495"/>
      <c r="JBO11" s="495"/>
      <c r="JBP11" s="495"/>
      <c r="JBQ11" s="495"/>
      <c r="JBR11" s="495"/>
      <c r="JBS11" s="495"/>
      <c r="JBT11" s="495"/>
      <c r="JBU11" s="495"/>
      <c r="JBV11" s="495"/>
      <c r="JBW11" s="495"/>
      <c r="JBX11" s="495"/>
      <c r="JBY11" s="495"/>
      <c r="JBZ11" s="495"/>
      <c r="JCA11" s="495"/>
      <c r="JCB11" s="495"/>
      <c r="JCC11" s="495"/>
      <c r="JCD11" s="495"/>
      <c r="JCE11" s="495"/>
      <c r="JCF11" s="495"/>
      <c r="JCG11" s="495"/>
      <c r="JCH11" s="495"/>
      <c r="JCI11" s="495"/>
      <c r="JCJ11" s="495"/>
      <c r="JCK11" s="495"/>
      <c r="JCL11" s="495"/>
      <c r="JCM11" s="495"/>
      <c r="JCN11" s="495"/>
      <c r="JCO11" s="495"/>
      <c r="JCP11" s="495"/>
      <c r="JCQ11" s="495"/>
      <c r="JCR11" s="495"/>
      <c r="JCS11" s="495"/>
      <c r="JCT11" s="495"/>
      <c r="JCU11" s="495"/>
      <c r="JCV11" s="495"/>
      <c r="JCW11" s="495"/>
      <c r="JCX11" s="495"/>
      <c r="JCY11" s="495"/>
      <c r="JCZ11" s="495"/>
      <c r="JDA11" s="495"/>
      <c r="JDB11" s="495"/>
      <c r="JDC11" s="495"/>
      <c r="JDD11" s="495"/>
      <c r="JDE11" s="495"/>
      <c r="JDF11" s="495"/>
      <c r="JDG11" s="495"/>
      <c r="JDH11" s="495"/>
      <c r="JDI11" s="495"/>
      <c r="JDJ11" s="495"/>
      <c r="JDK11" s="495"/>
      <c r="JDL11" s="495"/>
      <c r="JDM11" s="495"/>
      <c r="JDN11" s="495"/>
      <c r="JDO11" s="495"/>
      <c r="JDP11" s="495"/>
      <c r="JDQ11" s="495"/>
      <c r="JDR11" s="495"/>
      <c r="JDS11" s="495"/>
      <c r="JDT11" s="495"/>
      <c r="JDU11" s="495"/>
      <c r="JDV11" s="495"/>
      <c r="JDW11" s="495"/>
      <c r="JDX11" s="495"/>
      <c r="JDY11" s="495"/>
      <c r="JDZ11" s="495"/>
      <c r="JEA11" s="495"/>
      <c r="JEB11" s="495"/>
      <c r="JEC11" s="495"/>
      <c r="JED11" s="495"/>
      <c r="JEE11" s="495"/>
      <c r="JEF11" s="495"/>
      <c r="JEG11" s="495"/>
      <c r="JEH11" s="495"/>
      <c r="JEI11" s="495"/>
      <c r="JEJ11" s="495"/>
      <c r="JEK11" s="495"/>
      <c r="JEL11" s="495"/>
      <c r="JEM11" s="495"/>
      <c r="JEN11" s="495"/>
      <c r="JEO11" s="495"/>
      <c r="JEP11" s="495"/>
      <c r="JEQ11" s="495"/>
      <c r="JER11" s="495"/>
      <c r="JES11" s="495"/>
      <c r="JET11" s="495"/>
      <c r="JEU11" s="495"/>
      <c r="JEV11" s="495"/>
      <c r="JEW11" s="495"/>
      <c r="JEX11" s="495"/>
      <c r="JEY11" s="495"/>
      <c r="JEZ11" s="495"/>
      <c r="JFA11" s="495"/>
      <c r="JFB11" s="495"/>
      <c r="JFC11" s="495"/>
      <c r="JFD11" s="495"/>
      <c r="JFE11" s="495"/>
      <c r="JFF11" s="495"/>
      <c r="JFG11" s="495"/>
      <c r="JFH11" s="495"/>
      <c r="JFI11" s="495"/>
      <c r="JFJ11" s="495"/>
      <c r="JFK11" s="495"/>
      <c r="JFL11" s="495"/>
      <c r="JFM11" s="495"/>
      <c r="JFN11" s="495"/>
      <c r="JFO11" s="495"/>
      <c r="JFP11" s="495"/>
      <c r="JFQ11" s="495"/>
      <c r="JFR11" s="495"/>
      <c r="JFS11" s="495"/>
      <c r="JFT11" s="495"/>
      <c r="JFU11" s="495"/>
      <c r="JFV11" s="495"/>
      <c r="JFW11" s="495"/>
      <c r="JFX11" s="495"/>
      <c r="JFY11" s="495"/>
      <c r="JFZ11" s="495"/>
      <c r="JGA11" s="495"/>
      <c r="JGB11" s="495"/>
      <c r="JGC11" s="495"/>
      <c r="JGD11" s="495"/>
      <c r="JGE11" s="495"/>
      <c r="JGF11" s="495"/>
      <c r="JGG11" s="495"/>
      <c r="JGH11" s="495"/>
      <c r="JGI11" s="495"/>
      <c r="JGJ11" s="495"/>
      <c r="JGK11" s="495"/>
      <c r="JGL11" s="495"/>
      <c r="JGM11" s="495"/>
      <c r="JGN11" s="495"/>
      <c r="JGO11" s="495"/>
      <c r="JGP11" s="495"/>
      <c r="JGQ11" s="495"/>
      <c r="JGR11" s="495"/>
      <c r="JGS11" s="495"/>
      <c r="JGT11" s="495"/>
      <c r="JGU11" s="495"/>
      <c r="JGV11" s="495"/>
      <c r="JGW11" s="495"/>
      <c r="JGX11" s="495"/>
      <c r="JGY11" s="495"/>
      <c r="JGZ11" s="495"/>
      <c r="JHA11" s="495"/>
      <c r="JHB11" s="495"/>
      <c r="JHC11" s="495"/>
      <c r="JHD11" s="495"/>
      <c r="JHE11" s="495"/>
      <c r="JHF11" s="495"/>
      <c r="JHG11" s="495"/>
      <c r="JHH11" s="495"/>
      <c r="JHI11" s="495"/>
      <c r="JHJ11" s="495"/>
      <c r="JHK11" s="495"/>
      <c r="JHL11" s="495"/>
      <c r="JHM11" s="495"/>
      <c r="JHN11" s="495"/>
      <c r="JHO11" s="495"/>
      <c r="JHP11" s="495"/>
      <c r="JHQ11" s="495"/>
      <c r="JHR11" s="495"/>
      <c r="JHS11" s="495"/>
      <c r="JHT11" s="495"/>
      <c r="JHU11" s="495"/>
      <c r="JHV11" s="495"/>
      <c r="JHW11" s="495"/>
      <c r="JHX11" s="495"/>
      <c r="JHY11" s="495"/>
      <c r="JHZ11" s="495"/>
      <c r="JIA11" s="495"/>
      <c r="JIB11" s="495"/>
      <c r="JIC11" s="495"/>
      <c r="JID11" s="495"/>
      <c r="JIE11" s="495"/>
      <c r="JIF11" s="495"/>
      <c r="JIG11" s="495"/>
      <c r="JIH11" s="495"/>
      <c r="JII11" s="495"/>
      <c r="JIJ11" s="495"/>
      <c r="JIK11" s="495"/>
      <c r="JIL11" s="495"/>
      <c r="JIM11" s="495"/>
      <c r="JIN11" s="495"/>
      <c r="JIO11" s="495"/>
      <c r="JIP11" s="495"/>
      <c r="JIQ11" s="495"/>
      <c r="JIR11" s="495"/>
      <c r="JIS11" s="495"/>
      <c r="JIT11" s="495"/>
      <c r="JIU11" s="495"/>
      <c r="JIV11" s="495"/>
      <c r="JIW11" s="495"/>
      <c r="JIX11" s="495"/>
      <c r="JIY11" s="495"/>
      <c r="JIZ11" s="495"/>
      <c r="JJA11" s="495"/>
      <c r="JJB11" s="495"/>
      <c r="JJC11" s="495"/>
      <c r="JJD11" s="495"/>
      <c r="JJE11" s="495"/>
      <c r="JJF11" s="495"/>
      <c r="JJG11" s="495"/>
      <c r="JJH11" s="495"/>
      <c r="JJI11" s="495"/>
      <c r="JJJ11" s="495"/>
      <c r="JJK11" s="495"/>
      <c r="JJL11" s="495"/>
      <c r="JJM11" s="495"/>
      <c r="JJN11" s="495"/>
      <c r="JJO11" s="495"/>
      <c r="JJP11" s="495"/>
      <c r="JJQ11" s="495"/>
      <c r="JJR11" s="495"/>
      <c r="JJS11" s="495"/>
      <c r="JJT11" s="495"/>
      <c r="JJU11" s="495"/>
      <c r="JJV11" s="495"/>
      <c r="JJW11" s="495"/>
      <c r="JJX11" s="495"/>
      <c r="JJY11" s="495"/>
      <c r="JJZ11" s="495"/>
      <c r="JKA11" s="495"/>
      <c r="JKB11" s="495"/>
      <c r="JKC11" s="495"/>
      <c r="JKD11" s="495"/>
      <c r="JKE11" s="495"/>
      <c r="JKF11" s="495"/>
      <c r="JKG11" s="495"/>
      <c r="JKH11" s="495"/>
      <c r="JKI11" s="495"/>
      <c r="JKJ11" s="495"/>
      <c r="JKK11" s="495"/>
      <c r="JKL11" s="495"/>
      <c r="JKM11" s="495"/>
      <c r="JKN11" s="495"/>
      <c r="JKO11" s="495"/>
      <c r="JKP11" s="495"/>
      <c r="JKQ11" s="495"/>
      <c r="JKR11" s="495"/>
      <c r="JKS11" s="495"/>
      <c r="JKT11" s="495"/>
      <c r="JKU11" s="495"/>
      <c r="JKV11" s="495"/>
      <c r="JKW11" s="495"/>
      <c r="JKX11" s="495"/>
      <c r="JKY11" s="495"/>
      <c r="JKZ11" s="495"/>
      <c r="JLA11" s="495"/>
      <c r="JLB11" s="495"/>
      <c r="JLC11" s="495"/>
      <c r="JLD11" s="495"/>
      <c r="JLE11" s="495"/>
      <c r="JLF11" s="495"/>
      <c r="JLG11" s="495"/>
      <c r="JLH11" s="495"/>
      <c r="JLI11" s="495"/>
      <c r="JLJ11" s="495"/>
      <c r="JLK11" s="495"/>
      <c r="JLL11" s="495"/>
      <c r="JLM11" s="495"/>
      <c r="JLN11" s="495"/>
      <c r="JLO11" s="495"/>
      <c r="JLP11" s="495"/>
      <c r="JLQ11" s="495"/>
      <c r="JLR11" s="495"/>
      <c r="JLS11" s="495"/>
      <c r="JLT11" s="495"/>
      <c r="JLU11" s="495"/>
      <c r="JLV11" s="495"/>
      <c r="JLW11" s="495"/>
      <c r="JLX11" s="495"/>
      <c r="JLY11" s="495"/>
      <c r="JLZ11" s="495"/>
      <c r="JMA11" s="495"/>
      <c r="JMB11" s="495"/>
      <c r="JMC11" s="495"/>
      <c r="JMD11" s="495"/>
      <c r="JME11" s="495"/>
      <c r="JMF11" s="495"/>
      <c r="JMG11" s="495"/>
      <c r="JMH11" s="495"/>
      <c r="JMI11" s="495"/>
      <c r="JMJ11" s="495"/>
      <c r="JMK11" s="495"/>
      <c r="JML11" s="495"/>
      <c r="JMM11" s="495"/>
      <c r="JMN11" s="495"/>
      <c r="JMO11" s="495"/>
      <c r="JMP11" s="495"/>
      <c r="JMQ11" s="495"/>
      <c r="JMR11" s="495"/>
      <c r="JMS11" s="495"/>
      <c r="JMT11" s="495"/>
      <c r="JMU11" s="495"/>
      <c r="JMV11" s="495"/>
      <c r="JMW11" s="495"/>
      <c r="JMX11" s="495"/>
      <c r="JMY11" s="495"/>
      <c r="JMZ11" s="495"/>
      <c r="JNA11" s="495"/>
      <c r="JNB11" s="495"/>
      <c r="JNC11" s="495"/>
      <c r="JND11" s="495"/>
      <c r="JNE11" s="495"/>
      <c r="JNF11" s="495"/>
      <c r="JNG11" s="495"/>
      <c r="JNH11" s="495"/>
      <c r="JNI11" s="495"/>
      <c r="JNJ11" s="495"/>
      <c r="JNK11" s="495"/>
      <c r="JNL11" s="495"/>
      <c r="JNM11" s="495"/>
      <c r="JNN11" s="495"/>
      <c r="JNO11" s="495"/>
      <c r="JNP11" s="495"/>
      <c r="JNQ11" s="495"/>
      <c r="JNR11" s="495"/>
      <c r="JNS11" s="495"/>
      <c r="JNT11" s="495"/>
      <c r="JNU11" s="495"/>
      <c r="JNV11" s="495"/>
      <c r="JNW11" s="495"/>
      <c r="JNX11" s="495"/>
      <c r="JNY11" s="495"/>
      <c r="JNZ11" s="495"/>
      <c r="JOA11" s="495"/>
      <c r="JOB11" s="495"/>
      <c r="JOC11" s="495"/>
      <c r="JOD11" s="495"/>
      <c r="JOE11" s="495"/>
      <c r="JOF11" s="495"/>
      <c r="JOG11" s="495"/>
      <c r="JOH11" s="495"/>
      <c r="JOI11" s="495"/>
      <c r="JOJ11" s="495"/>
      <c r="JOK11" s="495"/>
      <c r="JOL11" s="495"/>
      <c r="JOM11" s="495"/>
      <c r="JON11" s="495"/>
      <c r="JOO11" s="495"/>
      <c r="JOP11" s="495"/>
      <c r="JOQ11" s="495"/>
      <c r="JOR11" s="495"/>
      <c r="JOS11" s="495"/>
      <c r="JOT11" s="495"/>
      <c r="JOU11" s="495"/>
      <c r="JOV11" s="495"/>
      <c r="JOW11" s="495"/>
      <c r="JOX11" s="495"/>
      <c r="JOY11" s="495"/>
      <c r="JOZ11" s="495"/>
      <c r="JPA11" s="495"/>
      <c r="JPB11" s="495"/>
      <c r="JPC11" s="495"/>
      <c r="JPD11" s="495"/>
      <c r="JPE11" s="495"/>
      <c r="JPF11" s="495"/>
      <c r="JPG11" s="495"/>
      <c r="JPH11" s="495"/>
      <c r="JPI11" s="495"/>
      <c r="JPJ11" s="495"/>
      <c r="JPK11" s="495"/>
      <c r="JPL11" s="495"/>
      <c r="JPM11" s="495"/>
      <c r="JPN11" s="495"/>
      <c r="JPO11" s="495"/>
      <c r="JPP11" s="495"/>
      <c r="JPQ11" s="495"/>
      <c r="JPR11" s="495"/>
      <c r="JPS11" s="495"/>
      <c r="JPT11" s="495"/>
      <c r="JPU11" s="495"/>
      <c r="JPV11" s="495"/>
      <c r="JPW11" s="495"/>
      <c r="JPX11" s="495"/>
      <c r="JPY11" s="495"/>
      <c r="JPZ11" s="495"/>
      <c r="JQA11" s="495"/>
      <c r="JQB11" s="495"/>
      <c r="JQC11" s="495"/>
      <c r="JQD11" s="495"/>
      <c r="JQE11" s="495"/>
      <c r="JQF11" s="495"/>
      <c r="JQG11" s="495"/>
      <c r="JQH11" s="495"/>
      <c r="JQI11" s="495"/>
      <c r="JQJ11" s="495"/>
      <c r="JQK11" s="495"/>
      <c r="JQL11" s="495"/>
      <c r="JQM11" s="495"/>
      <c r="JQN11" s="495"/>
      <c r="JQO11" s="495"/>
      <c r="JQP11" s="495"/>
      <c r="JQQ11" s="495"/>
      <c r="JQR11" s="495"/>
      <c r="JQS11" s="495"/>
      <c r="JQT11" s="495"/>
      <c r="JQU11" s="495"/>
      <c r="JQV11" s="495"/>
      <c r="JQW11" s="495"/>
      <c r="JQX11" s="495"/>
      <c r="JQY11" s="495"/>
      <c r="JQZ11" s="495"/>
      <c r="JRA11" s="495"/>
      <c r="JRB11" s="495"/>
      <c r="JRC11" s="495"/>
      <c r="JRD11" s="495"/>
      <c r="JRE11" s="495"/>
      <c r="JRF11" s="495"/>
      <c r="JRG11" s="495"/>
      <c r="JRH11" s="495"/>
      <c r="JRI11" s="495"/>
      <c r="JRJ11" s="495"/>
      <c r="JRK11" s="495"/>
      <c r="JRL11" s="495"/>
      <c r="JRM11" s="495"/>
      <c r="JRN11" s="495"/>
      <c r="JRO11" s="495"/>
      <c r="JRP11" s="495"/>
      <c r="JRQ11" s="495"/>
      <c r="JRR11" s="495"/>
      <c r="JRS11" s="495"/>
      <c r="JRT11" s="495"/>
      <c r="JRU11" s="495"/>
      <c r="JRV11" s="495"/>
      <c r="JRW11" s="495"/>
      <c r="JRX11" s="495"/>
      <c r="JRY11" s="495"/>
      <c r="JRZ11" s="495"/>
      <c r="JSA11" s="495"/>
      <c r="JSB11" s="495"/>
      <c r="JSC11" s="495"/>
      <c r="JSD11" s="495"/>
      <c r="JSE11" s="495"/>
      <c r="JSF11" s="495"/>
      <c r="JSG11" s="495"/>
      <c r="JSH11" s="495"/>
      <c r="JSI11" s="495"/>
      <c r="JSJ11" s="495"/>
      <c r="JSK11" s="495"/>
      <c r="JSL11" s="495"/>
      <c r="JSM11" s="495"/>
      <c r="JSN11" s="495"/>
      <c r="JSO11" s="495"/>
      <c r="JSP11" s="495"/>
      <c r="JSQ11" s="495"/>
      <c r="JSR11" s="495"/>
      <c r="JSS11" s="495"/>
      <c r="JST11" s="495"/>
      <c r="JSU11" s="495"/>
      <c r="JSV11" s="495"/>
      <c r="JSW11" s="495"/>
      <c r="JSX11" s="495"/>
      <c r="JSY11" s="495"/>
      <c r="JSZ11" s="495"/>
      <c r="JTA11" s="495"/>
      <c r="JTB11" s="495"/>
      <c r="JTC11" s="495"/>
      <c r="JTD11" s="495"/>
      <c r="JTE11" s="495"/>
      <c r="JTF11" s="495"/>
      <c r="JTG11" s="495"/>
      <c r="JTH11" s="495"/>
      <c r="JTI11" s="495"/>
      <c r="JTJ11" s="495"/>
      <c r="JTK11" s="495"/>
      <c r="JTL11" s="495"/>
      <c r="JTM11" s="495"/>
      <c r="JTN11" s="495"/>
      <c r="JTO11" s="495"/>
      <c r="JTP11" s="495"/>
      <c r="JTQ11" s="495"/>
      <c r="JTR11" s="495"/>
      <c r="JTS11" s="495"/>
      <c r="JTT11" s="495"/>
      <c r="JTU11" s="495"/>
      <c r="JTV11" s="495"/>
      <c r="JTW11" s="495"/>
      <c r="JTX11" s="495"/>
      <c r="JTY11" s="495"/>
      <c r="JTZ11" s="495"/>
      <c r="JUA11" s="495"/>
      <c r="JUB11" s="495"/>
      <c r="JUC11" s="495"/>
      <c r="JUD11" s="495"/>
      <c r="JUE11" s="495"/>
      <c r="JUF11" s="495"/>
      <c r="JUG11" s="495"/>
      <c r="JUH11" s="495"/>
      <c r="JUI11" s="495"/>
      <c r="JUJ11" s="495"/>
      <c r="JUK11" s="495"/>
      <c r="JUL11" s="495"/>
      <c r="JUM11" s="495"/>
      <c r="JUN11" s="495"/>
      <c r="JUO11" s="495"/>
      <c r="JUP11" s="495"/>
      <c r="JUQ11" s="495"/>
      <c r="JUR11" s="495"/>
      <c r="JUS11" s="495"/>
      <c r="JUT11" s="495"/>
      <c r="JUU11" s="495"/>
      <c r="JUV11" s="495"/>
      <c r="JUW11" s="495"/>
      <c r="JUX11" s="495"/>
      <c r="JUY11" s="495"/>
      <c r="JUZ11" s="495"/>
      <c r="JVA11" s="495"/>
      <c r="JVB11" s="495"/>
      <c r="JVC11" s="495"/>
      <c r="JVD11" s="495"/>
      <c r="JVE11" s="495"/>
      <c r="JVF11" s="495"/>
      <c r="JVG11" s="495"/>
      <c r="JVH11" s="495"/>
      <c r="JVI11" s="495"/>
      <c r="JVJ11" s="495"/>
      <c r="JVK11" s="495"/>
      <c r="JVL11" s="495"/>
      <c r="JVM11" s="495"/>
      <c r="JVN11" s="495"/>
      <c r="JVO11" s="495"/>
      <c r="JVP11" s="495"/>
      <c r="JVQ11" s="495"/>
      <c r="JVR11" s="495"/>
      <c r="JVS11" s="495"/>
      <c r="JVT11" s="495"/>
      <c r="JVU11" s="495"/>
      <c r="JVV11" s="495"/>
      <c r="JVW11" s="495"/>
      <c r="JVX11" s="495"/>
      <c r="JVY11" s="495"/>
      <c r="JVZ11" s="495"/>
      <c r="JWA11" s="495"/>
      <c r="JWB11" s="495"/>
      <c r="JWC11" s="495"/>
      <c r="JWD11" s="495"/>
      <c r="JWE11" s="495"/>
      <c r="JWF11" s="495"/>
      <c r="JWG11" s="495"/>
      <c r="JWH11" s="495"/>
      <c r="JWI11" s="495"/>
      <c r="JWJ11" s="495"/>
      <c r="JWK11" s="495"/>
      <c r="JWL11" s="495"/>
      <c r="JWM11" s="495"/>
      <c r="JWN11" s="495"/>
      <c r="JWO11" s="495"/>
      <c r="JWP11" s="495"/>
      <c r="JWQ11" s="495"/>
      <c r="JWR11" s="495"/>
      <c r="JWS11" s="495"/>
      <c r="JWT11" s="495"/>
      <c r="JWU11" s="495"/>
      <c r="JWV11" s="495"/>
      <c r="JWW11" s="495"/>
      <c r="JWX11" s="495"/>
      <c r="JWY11" s="495"/>
      <c r="JWZ11" s="495"/>
      <c r="JXA11" s="495"/>
      <c r="JXB11" s="495"/>
      <c r="JXC11" s="495"/>
      <c r="JXD11" s="495"/>
      <c r="JXE11" s="495"/>
      <c r="JXF11" s="495"/>
      <c r="JXG11" s="495"/>
      <c r="JXH11" s="495"/>
      <c r="JXI11" s="495"/>
      <c r="JXJ11" s="495"/>
      <c r="JXK11" s="495"/>
      <c r="JXL11" s="495"/>
      <c r="JXM11" s="495"/>
      <c r="JXN11" s="495"/>
      <c r="JXO11" s="495"/>
      <c r="JXP11" s="495"/>
      <c r="JXQ11" s="495"/>
      <c r="JXR11" s="495"/>
      <c r="JXS11" s="495"/>
      <c r="JXT11" s="495"/>
      <c r="JXU11" s="495"/>
      <c r="JXV11" s="495"/>
      <c r="JXW11" s="495"/>
      <c r="JXX11" s="495"/>
      <c r="JXY11" s="495"/>
      <c r="JXZ11" s="495"/>
      <c r="JYA11" s="495"/>
      <c r="JYB11" s="495"/>
      <c r="JYC11" s="495"/>
      <c r="JYD11" s="495"/>
      <c r="JYE11" s="495"/>
      <c r="JYF11" s="495"/>
      <c r="JYG11" s="495"/>
      <c r="JYH11" s="495"/>
      <c r="JYI11" s="495"/>
      <c r="JYJ11" s="495"/>
      <c r="JYK11" s="495"/>
      <c r="JYL11" s="495"/>
      <c r="JYM11" s="495"/>
      <c r="JYN11" s="495"/>
      <c r="JYO11" s="495"/>
      <c r="JYP11" s="495"/>
      <c r="JYQ11" s="495"/>
      <c r="JYR11" s="495"/>
      <c r="JYS11" s="495"/>
      <c r="JYT11" s="495"/>
      <c r="JYU11" s="495"/>
      <c r="JYV11" s="495"/>
      <c r="JYW11" s="495"/>
      <c r="JYX11" s="495"/>
      <c r="JYY11" s="495"/>
      <c r="JYZ11" s="495"/>
      <c r="JZA11" s="495"/>
      <c r="JZB11" s="495"/>
      <c r="JZC11" s="495"/>
      <c r="JZD11" s="495"/>
      <c r="JZE11" s="495"/>
      <c r="JZF11" s="495"/>
      <c r="JZG11" s="495"/>
      <c r="JZH11" s="495"/>
      <c r="JZI11" s="495"/>
      <c r="JZJ11" s="495"/>
      <c r="JZK11" s="495"/>
      <c r="JZL11" s="495"/>
      <c r="JZM11" s="495"/>
      <c r="JZN11" s="495"/>
      <c r="JZO11" s="495"/>
      <c r="JZP11" s="495"/>
      <c r="JZQ11" s="495"/>
      <c r="JZR11" s="495"/>
      <c r="JZS11" s="495"/>
      <c r="JZT11" s="495"/>
      <c r="JZU11" s="495"/>
      <c r="JZV11" s="495"/>
      <c r="JZW11" s="495"/>
      <c r="JZX11" s="495"/>
      <c r="JZY11" s="495"/>
      <c r="JZZ11" s="495"/>
      <c r="KAA11" s="495"/>
      <c r="KAB11" s="495"/>
      <c r="KAC11" s="495"/>
      <c r="KAD11" s="495"/>
      <c r="KAE11" s="495"/>
      <c r="KAF11" s="495"/>
      <c r="KAG11" s="495"/>
      <c r="KAH11" s="495"/>
      <c r="KAI11" s="495"/>
      <c r="KAJ11" s="495"/>
      <c r="KAK11" s="495"/>
      <c r="KAL11" s="495"/>
      <c r="KAM11" s="495"/>
      <c r="KAN11" s="495"/>
      <c r="KAO11" s="495"/>
      <c r="KAP11" s="495"/>
      <c r="KAQ11" s="495"/>
      <c r="KAR11" s="495"/>
      <c r="KAS11" s="495"/>
      <c r="KAT11" s="495"/>
      <c r="KAU11" s="495"/>
      <c r="KAV11" s="495"/>
      <c r="KAW11" s="495"/>
      <c r="KAX11" s="495"/>
      <c r="KAY11" s="495"/>
      <c r="KAZ11" s="495"/>
      <c r="KBA11" s="495"/>
      <c r="KBB11" s="495"/>
      <c r="KBC11" s="495"/>
      <c r="KBD11" s="495"/>
      <c r="KBE11" s="495"/>
      <c r="KBF11" s="495"/>
      <c r="KBG11" s="495"/>
      <c r="KBH11" s="495"/>
      <c r="KBI11" s="495"/>
      <c r="KBJ11" s="495"/>
      <c r="KBK11" s="495"/>
      <c r="KBL11" s="495"/>
      <c r="KBM11" s="495"/>
      <c r="KBN11" s="495"/>
      <c r="KBO11" s="495"/>
      <c r="KBP11" s="495"/>
      <c r="KBQ11" s="495"/>
      <c r="KBR11" s="495"/>
      <c r="KBS11" s="495"/>
      <c r="KBT11" s="495"/>
      <c r="KBU11" s="495"/>
      <c r="KBV11" s="495"/>
      <c r="KBW11" s="495"/>
      <c r="KBX11" s="495"/>
      <c r="KBY11" s="495"/>
      <c r="KBZ11" s="495"/>
      <c r="KCA11" s="495"/>
      <c r="KCB11" s="495"/>
      <c r="KCC11" s="495"/>
      <c r="KCD11" s="495"/>
      <c r="KCE11" s="495"/>
      <c r="KCF11" s="495"/>
      <c r="KCG11" s="495"/>
      <c r="KCH11" s="495"/>
      <c r="KCI11" s="495"/>
      <c r="KCJ11" s="495"/>
      <c r="KCK11" s="495"/>
      <c r="KCL11" s="495"/>
      <c r="KCM11" s="495"/>
      <c r="KCN11" s="495"/>
      <c r="KCO11" s="495"/>
      <c r="KCP11" s="495"/>
      <c r="KCQ11" s="495"/>
      <c r="KCR11" s="495"/>
      <c r="KCS11" s="495"/>
      <c r="KCT11" s="495"/>
      <c r="KCU11" s="495"/>
      <c r="KCV11" s="495"/>
      <c r="KCW11" s="495"/>
      <c r="KCX11" s="495"/>
      <c r="KCY11" s="495"/>
      <c r="KCZ11" s="495"/>
      <c r="KDA11" s="495"/>
      <c r="KDB11" s="495"/>
      <c r="KDC11" s="495"/>
      <c r="KDD11" s="495"/>
      <c r="KDE11" s="495"/>
      <c r="KDF11" s="495"/>
      <c r="KDG11" s="495"/>
      <c r="KDH11" s="495"/>
      <c r="KDI11" s="495"/>
      <c r="KDJ11" s="495"/>
      <c r="KDK11" s="495"/>
      <c r="KDL11" s="495"/>
      <c r="KDM11" s="495"/>
      <c r="KDN11" s="495"/>
      <c r="KDO11" s="495"/>
      <c r="KDP11" s="495"/>
      <c r="KDQ11" s="495"/>
      <c r="KDR11" s="495"/>
      <c r="KDS11" s="495"/>
      <c r="KDT11" s="495"/>
      <c r="KDU11" s="495"/>
      <c r="KDV11" s="495"/>
      <c r="KDW11" s="495"/>
      <c r="KDX11" s="495"/>
      <c r="KDY11" s="495"/>
      <c r="KDZ11" s="495"/>
      <c r="KEA11" s="495"/>
      <c r="KEB11" s="495"/>
      <c r="KEC11" s="495"/>
      <c r="KED11" s="495"/>
      <c r="KEE11" s="495"/>
      <c r="KEF11" s="495"/>
      <c r="KEG11" s="495"/>
      <c r="KEH11" s="495"/>
      <c r="KEI11" s="495"/>
      <c r="KEJ11" s="495"/>
      <c r="KEK11" s="495"/>
      <c r="KEL11" s="495"/>
      <c r="KEM11" s="495"/>
      <c r="KEN11" s="495"/>
      <c r="KEO11" s="495"/>
      <c r="KEP11" s="495"/>
      <c r="KEQ11" s="495"/>
      <c r="KER11" s="495"/>
      <c r="KES11" s="495"/>
      <c r="KET11" s="495"/>
      <c r="KEU11" s="495"/>
      <c r="KEV11" s="495"/>
      <c r="KEW11" s="495"/>
      <c r="KEX11" s="495"/>
      <c r="KEY11" s="495"/>
      <c r="KEZ11" s="495"/>
      <c r="KFA11" s="495"/>
      <c r="KFB11" s="495"/>
      <c r="KFC11" s="495"/>
      <c r="KFD11" s="495"/>
      <c r="KFE11" s="495"/>
      <c r="KFF11" s="495"/>
      <c r="KFG11" s="495"/>
      <c r="KFH11" s="495"/>
      <c r="KFI11" s="495"/>
      <c r="KFJ11" s="495"/>
      <c r="KFK11" s="495"/>
      <c r="KFL11" s="495"/>
      <c r="KFM11" s="495"/>
      <c r="KFN11" s="495"/>
      <c r="KFO11" s="495"/>
      <c r="KFP11" s="495"/>
      <c r="KFQ11" s="495"/>
      <c r="KFR11" s="495"/>
      <c r="KFS11" s="495"/>
      <c r="KFT11" s="495"/>
      <c r="KFU11" s="495"/>
      <c r="KFV11" s="495"/>
      <c r="KFW11" s="495"/>
      <c r="KFX11" s="495"/>
      <c r="KFY11" s="495"/>
      <c r="KFZ11" s="495"/>
      <c r="KGA11" s="495"/>
      <c r="KGB11" s="495"/>
      <c r="KGC11" s="495"/>
      <c r="KGD11" s="495"/>
      <c r="KGE11" s="495"/>
      <c r="KGF11" s="495"/>
      <c r="KGG11" s="495"/>
      <c r="KGH11" s="495"/>
      <c r="KGI11" s="495"/>
      <c r="KGJ11" s="495"/>
      <c r="KGK11" s="495"/>
      <c r="KGL11" s="495"/>
      <c r="KGM11" s="495"/>
      <c r="KGN11" s="495"/>
      <c r="KGO11" s="495"/>
      <c r="KGP11" s="495"/>
      <c r="KGQ11" s="495"/>
      <c r="KGR11" s="495"/>
      <c r="KGS11" s="495"/>
      <c r="KGT11" s="495"/>
      <c r="KGU11" s="495"/>
      <c r="KGV11" s="495"/>
      <c r="KGW11" s="495"/>
      <c r="KGX11" s="495"/>
      <c r="KGY11" s="495"/>
      <c r="KGZ11" s="495"/>
      <c r="KHA11" s="495"/>
      <c r="KHB11" s="495"/>
      <c r="KHC11" s="495"/>
      <c r="KHD11" s="495"/>
      <c r="KHE11" s="495"/>
      <c r="KHF11" s="495"/>
      <c r="KHG11" s="495"/>
      <c r="KHH11" s="495"/>
      <c r="KHI11" s="495"/>
      <c r="KHJ11" s="495"/>
      <c r="KHK11" s="495"/>
      <c r="KHL11" s="495"/>
      <c r="KHM11" s="495"/>
      <c r="KHN11" s="495"/>
      <c r="KHO11" s="495"/>
      <c r="KHP11" s="495"/>
      <c r="KHQ11" s="495"/>
      <c r="KHR11" s="495"/>
      <c r="KHS11" s="495"/>
      <c r="KHT11" s="495"/>
      <c r="KHU11" s="495"/>
      <c r="KHV11" s="495"/>
      <c r="KHW11" s="495"/>
      <c r="KHX11" s="495"/>
      <c r="KHY11" s="495"/>
      <c r="KHZ11" s="495"/>
      <c r="KIA11" s="495"/>
      <c r="KIB11" s="495"/>
      <c r="KIC11" s="495"/>
      <c r="KID11" s="495"/>
      <c r="KIE11" s="495"/>
      <c r="KIF11" s="495"/>
      <c r="KIG11" s="495"/>
      <c r="KIH11" s="495"/>
      <c r="KII11" s="495"/>
      <c r="KIJ11" s="495"/>
      <c r="KIK11" s="495"/>
      <c r="KIL11" s="495"/>
      <c r="KIM11" s="495"/>
      <c r="KIN11" s="495"/>
      <c r="KIO11" s="495"/>
      <c r="KIP11" s="495"/>
      <c r="KIQ11" s="495"/>
      <c r="KIR11" s="495"/>
      <c r="KIS11" s="495"/>
      <c r="KIT11" s="495"/>
      <c r="KIU11" s="495"/>
      <c r="KIV11" s="495"/>
      <c r="KIW11" s="495"/>
      <c r="KIX11" s="495"/>
      <c r="KIY11" s="495"/>
      <c r="KIZ11" s="495"/>
      <c r="KJA11" s="495"/>
      <c r="KJB11" s="495"/>
      <c r="KJC11" s="495"/>
      <c r="KJD11" s="495"/>
      <c r="KJE11" s="495"/>
      <c r="KJF11" s="495"/>
      <c r="KJG11" s="495"/>
      <c r="KJH11" s="495"/>
      <c r="KJI11" s="495"/>
      <c r="KJJ11" s="495"/>
      <c r="KJK11" s="495"/>
      <c r="KJL11" s="495"/>
      <c r="KJM11" s="495"/>
      <c r="KJN11" s="495"/>
      <c r="KJO11" s="495"/>
      <c r="KJP11" s="495"/>
      <c r="KJQ11" s="495"/>
      <c r="KJR11" s="495"/>
      <c r="KJS11" s="495"/>
      <c r="KJT11" s="495"/>
      <c r="KJU11" s="495"/>
      <c r="KJV11" s="495"/>
      <c r="KJW11" s="495"/>
      <c r="KJX11" s="495"/>
      <c r="KJY11" s="495"/>
      <c r="KJZ11" s="495"/>
      <c r="KKA11" s="495"/>
      <c r="KKB11" s="495"/>
      <c r="KKC11" s="495"/>
      <c r="KKD11" s="495"/>
      <c r="KKE11" s="495"/>
      <c r="KKF11" s="495"/>
      <c r="KKG11" s="495"/>
      <c r="KKH11" s="495"/>
      <c r="KKI11" s="495"/>
      <c r="KKJ11" s="495"/>
      <c r="KKK11" s="495"/>
      <c r="KKL11" s="495"/>
      <c r="KKM11" s="495"/>
      <c r="KKN11" s="495"/>
      <c r="KKO11" s="495"/>
      <c r="KKP11" s="495"/>
      <c r="KKQ11" s="495"/>
      <c r="KKR11" s="495"/>
      <c r="KKS11" s="495"/>
      <c r="KKT11" s="495"/>
      <c r="KKU11" s="495"/>
      <c r="KKV11" s="495"/>
      <c r="KKW11" s="495"/>
      <c r="KKX11" s="495"/>
      <c r="KKY11" s="495"/>
      <c r="KKZ11" s="495"/>
      <c r="KLA11" s="495"/>
      <c r="KLB11" s="495"/>
      <c r="KLC11" s="495"/>
      <c r="KLD11" s="495"/>
      <c r="KLE11" s="495"/>
      <c r="KLF11" s="495"/>
      <c r="KLG11" s="495"/>
      <c r="KLH11" s="495"/>
      <c r="KLI11" s="495"/>
      <c r="KLJ11" s="495"/>
      <c r="KLK11" s="495"/>
      <c r="KLL11" s="495"/>
      <c r="KLM11" s="495"/>
      <c r="KLN11" s="495"/>
      <c r="KLO11" s="495"/>
      <c r="KLP11" s="495"/>
      <c r="KLQ11" s="495"/>
      <c r="KLR11" s="495"/>
      <c r="KLS11" s="495"/>
      <c r="KLT11" s="495"/>
      <c r="KLU11" s="495"/>
      <c r="KLV11" s="495"/>
      <c r="KLW11" s="495"/>
      <c r="KLX11" s="495"/>
      <c r="KLY11" s="495"/>
      <c r="KLZ11" s="495"/>
      <c r="KMA11" s="495"/>
      <c r="KMB11" s="495"/>
      <c r="KMC11" s="495"/>
      <c r="KMD11" s="495"/>
      <c r="KME11" s="495"/>
      <c r="KMF11" s="495"/>
      <c r="KMG11" s="495"/>
      <c r="KMH11" s="495"/>
      <c r="KMI11" s="495"/>
      <c r="KMJ11" s="495"/>
      <c r="KMK11" s="495"/>
      <c r="KML11" s="495"/>
      <c r="KMM11" s="495"/>
      <c r="KMN11" s="495"/>
      <c r="KMO11" s="495"/>
      <c r="KMP11" s="495"/>
      <c r="KMQ11" s="495"/>
      <c r="KMR11" s="495"/>
      <c r="KMS11" s="495"/>
      <c r="KMT11" s="495"/>
      <c r="KMU11" s="495"/>
      <c r="KMV11" s="495"/>
      <c r="KMW11" s="495"/>
      <c r="KMX11" s="495"/>
      <c r="KMY11" s="495"/>
      <c r="KMZ11" s="495"/>
      <c r="KNA11" s="495"/>
      <c r="KNB11" s="495"/>
      <c r="KNC11" s="495"/>
      <c r="KND11" s="495"/>
      <c r="KNE11" s="495"/>
      <c r="KNF11" s="495"/>
      <c r="KNG11" s="495"/>
      <c r="KNH11" s="495"/>
      <c r="KNI11" s="495"/>
      <c r="KNJ11" s="495"/>
      <c r="KNK11" s="495"/>
      <c r="KNL11" s="495"/>
      <c r="KNM11" s="495"/>
      <c r="KNN11" s="495"/>
      <c r="KNO11" s="495"/>
      <c r="KNP11" s="495"/>
      <c r="KNQ11" s="495"/>
      <c r="KNR11" s="495"/>
      <c r="KNS11" s="495"/>
      <c r="KNT11" s="495"/>
      <c r="KNU11" s="495"/>
      <c r="KNV11" s="495"/>
      <c r="KNW11" s="495"/>
      <c r="KNX11" s="495"/>
      <c r="KNY11" s="495"/>
      <c r="KNZ11" s="495"/>
      <c r="KOA11" s="495"/>
      <c r="KOB11" s="495"/>
      <c r="KOC11" s="495"/>
      <c r="KOD11" s="495"/>
      <c r="KOE11" s="495"/>
      <c r="KOF11" s="495"/>
      <c r="KOG11" s="495"/>
      <c r="KOH11" s="495"/>
      <c r="KOI11" s="495"/>
      <c r="KOJ11" s="495"/>
      <c r="KOK11" s="495"/>
      <c r="KOL11" s="495"/>
      <c r="KOM11" s="495"/>
      <c r="KON11" s="495"/>
      <c r="KOO11" s="495"/>
      <c r="KOP11" s="495"/>
      <c r="KOQ11" s="495"/>
      <c r="KOR11" s="495"/>
      <c r="KOS11" s="495"/>
      <c r="KOT11" s="495"/>
      <c r="KOU11" s="495"/>
      <c r="KOV11" s="495"/>
      <c r="KOW11" s="495"/>
      <c r="KOX11" s="495"/>
      <c r="KOY11" s="495"/>
      <c r="KOZ11" s="495"/>
      <c r="KPA11" s="495"/>
      <c r="KPB11" s="495"/>
      <c r="KPC11" s="495"/>
      <c r="KPD11" s="495"/>
      <c r="KPE11" s="495"/>
      <c r="KPF11" s="495"/>
      <c r="KPG11" s="495"/>
      <c r="KPH11" s="495"/>
      <c r="KPI11" s="495"/>
      <c r="KPJ11" s="495"/>
      <c r="KPK11" s="495"/>
      <c r="KPL11" s="495"/>
      <c r="KPM11" s="495"/>
      <c r="KPN11" s="495"/>
      <c r="KPO11" s="495"/>
      <c r="KPP11" s="495"/>
      <c r="KPQ11" s="495"/>
      <c r="KPR11" s="495"/>
      <c r="KPS11" s="495"/>
      <c r="KPT11" s="495"/>
      <c r="KPU11" s="495"/>
      <c r="KPV11" s="495"/>
      <c r="KPW11" s="495"/>
      <c r="KPX11" s="495"/>
      <c r="KPY11" s="495"/>
      <c r="KPZ11" s="495"/>
      <c r="KQA11" s="495"/>
      <c r="KQB11" s="495"/>
      <c r="KQC11" s="495"/>
      <c r="KQD11" s="495"/>
      <c r="KQE11" s="495"/>
      <c r="KQF11" s="495"/>
      <c r="KQG11" s="495"/>
      <c r="KQH11" s="495"/>
      <c r="KQI11" s="495"/>
      <c r="KQJ11" s="495"/>
      <c r="KQK11" s="495"/>
      <c r="KQL11" s="495"/>
      <c r="KQM11" s="495"/>
      <c r="KQN11" s="495"/>
      <c r="KQO11" s="495"/>
      <c r="KQP11" s="495"/>
      <c r="KQQ11" s="495"/>
      <c r="KQR11" s="495"/>
      <c r="KQS11" s="495"/>
      <c r="KQT11" s="495"/>
      <c r="KQU11" s="495"/>
      <c r="KQV11" s="495"/>
      <c r="KQW11" s="495"/>
      <c r="KQX11" s="495"/>
      <c r="KQY11" s="495"/>
      <c r="KQZ11" s="495"/>
      <c r="KRA11" s="495"/>
      <c r="KRB11" s="495"/>
      <c r="KRC11" s="495"/>
      <c r="KRD11" s="495"/>
      <c r="KRE11" s="495"/>
      <c r="KRF11" s="495"/>
      <c r="KRG11" s="495"/>
      <c r="KRH11" s="495"/>
      <c r="KRI11" s="495"/>
      <c r="KRJ11" s="495"/>
      <c r="KRK11" s="495"/>
      <c r="KRL11" s="495"/>
      <c r="KRM11" s="495"/>
      <c r="KRN11" s="495"/>
      <c r="KRO11" s="495"/>
      <c r="KRP11" s="495"/>
      <c r="KRQ11" s="495"/>
      <c r="KRR11" s="495"/>
      <c r="KRS11" s="495"/>
      <c r="KRT11" s="495"/>
      <c r="KRU11" s="495"/>
      <c r="KRV11" s="495"/>
      <c r="KRW11" s="495"/>
      <c r="KRX11" s="495"/>
      <c r="KRY11" s="495"/>
      <c r="KRZ11" s="495"/>
      <c r="KSA11" s="495"/>
      <c r="KSB11" s="495"/>
      <c r="KSC11" s="495"/>
      <c r="KSD11" s="495"/>
      <c r="KSE11" s="495"/>
      <c r="KSF11" s="495"/>
      <c r="KSG11" s="495"/>
      <c r="KSH11" s="495"/>
      <c r="KSI11" s="495"/>
      <c r="KSJ11" s="495"/>
      <c r="KSK11" s="495"/>
      <c r="KSL11" s="495"/>
      <c r="KSM11" s="495"/>
      <c r="KSN11" s="495"/>
      <c r="KSO11" s="495"/>
      <c r="KSP11" s="495"/>
      <c r="KSQ11" s="495"/>
      <c r="KSR11" s="495"/>
      <c r="KSS11" s="495"/>
      <c r="KST11" s="495"/>
      <c r="KSU11" s="495"/>
      <c r="KSV11" s="495"/>
      <c r="KSW11" s="495"/>
      <c r="KSX11" s="495"/>
      <c r="KSY11" s="495"/>
      <c r="KSZ11" s="495"/>
      <c r="KTA11" s="495"/>
      <c r="KTB11" s="495"/>
      <c r="KTC11" s="495"/>
      <c r="KTD11" s="495"/>
      <c r="KTE11" s="495"/>
      <c r="KTF11" s="495"/>
      <c r="KTG11" s="495"/>
      <c r="KTH11" s="495"/>
      <c r="KTI11" s="495"/>
      <c r="KTJ11" s="495"/>
      <c r="KTK11" s="495"/>
      <c r="KTL11" s="495"/>
      <c r="KTM11" s="495"/>
      <c r="KTN11" s="495"/>
      <c r="KTO11" s="495"/>
      <c r="KTP11" s="495"/>
      <c r="KTQ11" s="495"/>
      <c r="KTR11" s="495"/>
      <c r="KTS11" s="495"/>
      <c r="KTT11" s="495"/>
      <c r="KTU11" s="495"/>
      <c r="KTV11" s="495"/>
      <c r="KTW11" s="495"/>
      <c r="KTX11" s="495"/>
      <c r="KTY11" s="495"/>
      <c r="KTZ11" s="495"/>
      <c r="KUA11" s="495"/>
      <c r="KUB11" s="495"/>
      <c r="KUC11" s="495"/>
      <c r="KUD11" s="495"/>
      <c r="KUE11" s="495"/>
      <c r="KUF11" s="495"/>
      <c r="KUG11" s="495"/>
      <c r="KUH11" s="495"/>
      <c r="KUI11" s="495"/>
      <c r="KUJ11" s="495"/>
      <c r="KUK11" s="495"/>
      <c r="KUL11" s="495"/>
      <c r="KUM11" s="495"/>
      <c r="KUN11" s="495"/>
      <c r="KUO11" s="495"/>
      <c r="KUP11" s="495"/>
      <c r="KUQ11" s="495"/>
      <c r="KUR11" s="495"/>
      <c r="KUS11" s="495"/>
      <c r="KUT11" s="495"/>
      <c r="KUU11" s="495"/>
      <c r="KUV11" s="495"/>
      <c r="KUW11" s="495"/>
      <c r="KUX11" s="495"/>
      <c r="KUY11" s="495"/>
      <c r="KUZ11" s="495"/>
      <c r="KVA11" s="495"/>
      <c r="KVB11" s="495"/>
      <c r="KVC11" s="495"/>
      <c r="KVD11" s="495"/>
      <c r="KVE11" s="495"/>
      <c r="KVF11" s="495"/>
      <c r="KVG11" s="495"/>
      <c r="KVH11" s="495"/>
      <c r="KVI11" s="495"/>
      <c r="KVJ11" s="495"/>
      <c r="KVK11" s="495"/>
      <c r="KVL11" s="495"/>
      <c r="KVM11" s="495"/>
      <c r="KVN11" s="495"/>
      <c r="KVO11" s="495"/>
      <c r="KVP11" s="495"/>
      <c r="KVQ11" s="495"/>
      <c r="KVR11" s="495"/>
      <c r="KVS11" s="495"/>
      <c r="KVT11" s="495"/>
      <c r="KVU11" s="495"/>
      <c r="KVV11" s="495"/>
      <c r="KVW11" s="495"/>
      <c r="KVX11" s="495"/>
      <c r="KVY11" s="495"/>
      <c r="KVZ11" s="495"/>
      <c r="KWA11" s="495"/>
      <c r="KWB11" s="495"/>
      <c r="KWC11" s="495"/>
      <c r="KWD11" s="495"/>
      <c r="KWE11" s="495"/>
      <c r="KWF11" s="495"/>
      <c r="KWG11" s="495"/>
      <c r="KWH11" s="495"/>
      <c r="KWI11" s="495"/>
      <c r="KWJ11" s="495"/>
      <c r="KWK11" s="495"/>
      <c r="KWL11" s="495"/>
      <c r="KWM11" s="495"/>
      <c r="KWN11" s="495"/>
      <c r="KWO11" s="495"/>
      <c r="KWP11" s="495"/>
      <c r="KWQ11" s="495"/>
      <c r="KWR11" s="495"/>
      <c r="KWS11" s="495"/>
      <c r="KWT11" s="495"/>
      <c r="KWU11" s="495"/>
      <c r="KWV11" s="495"/>
      <c r="KWW11" s="495"/>
      <c r="KWX11" s="495"/>
      <c r="KWY11" s="495"/>
      <c r="KWZ11" s="495"/>
      <c r="KXA11" s="495"/>
      <c r="KXB11" s="495"/>
      <c r="KXC11" s="495"/>
      <c r="KXD11" s="495"/>
      <c r="KXE11" s="495"/>
      <c r="KXF11" s="495"/>
      <c r="KXG11" s="495"/>
      <c r="KXH11" s="495"/>
      <c r="KXI11" s="495"/>
      <c r="KXJ11" s="495"/>
      <c r="KXK11" s="495"/>
      <c r="KXL11" s="495"/>
      <c r="KXM11" s="495"/>
      <c r="KXN11" s="495"/>
      <c r="KXO11" s="495"/>
      <c r="KXP11" s="495"/>
      <c r="KXQ11" s="495"/>
      <c r="KXR11" s="495"/>
      <c r="KXS11" s="495"/>
      <c r="KXT11" s="495"/>
      <c r="KXU11" s="495"/>
      <c r="KXV11" s="495"/>
      <c r="KXW11" s="495"/>
      <c r="KXX11" s="495"/>
      <c r="KXY11" s="495"/>
      <c r="KXZ11" s="495"/>
      <c r="KYA11" s="495"/>
      <c r="KYB11" s="495"/>
      <c r="KYC11" s="495"/>
      <c r="KYD11" s="495"/>
      <c r="KYE11" s="495"/>
      <c r="KYF11" s="495"/>
      <c r="KYG11" s="495"/>
      <c r="KYH11" s="495"/>
      <c r="KYI11" s="495"/>
      <c r="KYJ11" s="495"/>
      <c r="KYK11" s="495"/>
      <c r="KYL11" s="495"/>
      <c r="KYM11" s="495"/>
      <c r="KYN11" s="495"/>
      <c r="KYO11" s="495"/>
      <c r="KYP11" s="495"/>
      <c r="KYQ11" s="495"/>
      <c r="KYR11" s="495"/>
      <c r="KYS11" s="495"/>
      <c r="KYT11" s="495"/>
      <c r="KYU11" s="495"/>
      <c r="KYV11" s="495"/>
      <c r="KYW11" s="495"/>
      <c r="KYX11" s="495"/>
      <c r="KYY11" s="495"/>
      <c r="KYZ11" s="495"/>
      <c r="KZA11" s="495"/>
      <c r="KZB11" s="495"/>
      <c r="KZC11" s="495"/>
      <c r="KZD11" s="495"/>
      <c r="KZE11" s="495"/>
      <c r="KZF11" s="495"/>
      <c r="KZG11" s="495"/>
      <c r="KZH11" s="495"/>
      <c r="KZI11" s="495"/>
      <c r="KZJ11" s="495"/>
      <c r="KZK11" s="495"/>
      <c r="KZL11" s="495"/>
      <c r="KZM11" s="495"/>
      <c r="KZN11" s="495"/>
      <c r="KZO11" s="495"/>
      <c r="KZP11" s="495"/>
      <c r="KZQ11" s="495"/>
      <c r="KZR11" s="495"/>
      <c r="KZS11" s="495"/>
      <c r="KZT11" s="495"/>
      <c r="KZU11" s="495"/>
      <c r="KZV11" s="495"/>
      <c r="KZW11" s="495"/>
      <c r="KZX11" s="495"/>
      <c r="KZY11" s="495"/>
      <c r="KZZ11" s="495"/>
      <c r="LAA11" s="495"/>
      <c r="LAB11" s="495"/>
      <c r="LAC11" s="495"/>
      <c r="LAD11" s="495"/>
      <c r="LAE11" s="495"/>
      <c r="LAF11" s="495"/>
      <c r="LAG11" s="495"/>
      <c r="LAH11" s="495"/>
      <c r="LAI11" s="495"/>
      <c r="LAJ11" s="495"/>
      <c r="LAK11" s="495"/>
      <c r="LAL11" s="495"/>
      <c r="LAM11" s="495"/>
      <c r="LAN11" s="495"/>
      <c r="LAO11" s="495"/>
      <c r="LAP11" s="495"/>
      <c r="LAQ11" s="495"/>
      <c r="LAR11" s="495"/>
      <c r="LAS11" s="495"/>
      <c r="LAT11" s="495"/>
      <c r="LAU11" s="495"/>
      <c r="LAV11" s="495"/>
      <c r="LAW11" s="495"/>
      <c r="LAX11" s="495"/>
      <c r="LAY11" s="495"/>
      <c r="LAZ11" s="495"/>
      <c r="LBA11" s="495"/>
      <c r="LBB11" s="495"/>
      <c r="LBC11" s="495"/>
      <c r="LBD11" s="495"/>
      <c r="LBE11" s="495"/>
      <c r="LBF11" s="495"/>
      <c r="LBG11" s="495"/>
      <c r="LBH11" s="495"/>
      <c r="LBI11" s="495"/>
      <c r="LBJ11" s="495"/>
      <c r="LBK11" s="495"/>
      <c r="LBL11" s="495"/>
      <c r="LBM11" s="495"/>
      <c r="LBN11" s="495"/>
      <c r="LBO11" s="495"/>
      <c r="LBP11" s="495"/>
      <c r="LBQ11" s="495"/>
      <c r="LBR11" s="495"/>
      <c r="LBS11" s="495"/>
      <c r="LBT11" s="495"/>
      <c r="LBU11" s="495"/>
      <c r="LBV11" s="495"/>
      <c r="LBW11" s="495"/>
      <c r="LBX11" s="495"/>
      <c r="LBY11" s="495"/>
      <c r="LBZ11" s="495"/>
      <c r="LCA11" s="495"/>
      <c r="LCB11" s="495"/>
      <c r="LCC11" s="495"/>
      <c r="LCD11" s="495"/>
      <c r="LCE11" s="495"/>
      <c r="LCF11" s="495"/>
      <c r="LCG11" s="495"/>
      <c r="LCH11" s="495"/>
      <c r="LCI11" s="495"/>
      <c r="LCJ11" s="495"/>
      <c r="LCK11" s="495"/>
      <c r="LCL11" s="495"/>
      <c r="LCM11" s="495"/>
      <c r="LCN11" s="495"/>
      <c r="LCO11" s="495"/>
      <c r="LCP11" s="495"/>
      <c r="LCQ11" s="495"/>
      <c r="LCR11" s="495"/>
      <c r="LCS11" s="495"/>
      <c r="LCT11" s="495"/>
      <c r="LCU11" s="495"/>
      <c r="LCV11" s="495"/>
      <c r="LCW11" s="495"/>
      <c r="LCX11" s="495"/>
      <c r="LCY11" s="495"/>
      <c r="LCZ11" s="495"/>
      <c r="LDA11" s="495"/>
      <c r="LDB11" s="495"/>
      <c r="LDC11" s="495"/>
      <c r="LDD11" s="495"/>
      <c r="LDE11" s="495"/>
      <c r="LDF11" s="495"/>
      <c r="LDG11" s="495"/>
      <c r="LDH11" s="495"/>
      <c r="LDI11" s="495"/>
      <c r="LDJ11" s="495"/>
      <c r="LDK11" s="495"/>
      <c r="LDL11" s="495"/>
      <c r="LDM11" s="495"/>
      <c r="LDN11" s="495"/>
      <c r="LDO11" s="495"/>
      <c r="LDP11" s="495"/>
      <c r="LDQ11" s="495"/>
      <c r="LDR11" s="495"/>
      <c r="LDS11" s="495"/>
      <c r="LDT11" s="495"/>
      <c r="LDU11" s="495"/>
      <c r="LDV11" s="495"/>
      <c r="LDW11" s="495"/>
      <c r="LDX11" s="495"/>
      <c r="LDY11" s="495"/>
      <c r="LDZ11" s="495"/>
      <c r="LEA11" s="495"/>
      <c r="LEB11" s="495"/>
      <c r="LEC11" s="495"/>
      <c r="LED11" s="495"/>
      <c r="LEE11" s="495"/>
      <c r="LEF11" s="495"/>
      <c r="LEG11" s="495"/>
      <c r="LEH11" s="495"/>
      <c r="LEI11" s="495"/>
      <c r="LEJ11" s="495"/>
      <c r="LEK11" s="495"/>
      <c r="LEL11" s="495"/>
      <c r="LEM11" s="495"/>
      <c r="LEN11" s="495"/>
      <c r="LEO11" s="495"/>
      <c r="LEP11" s="495"/>
      <c r="LEQ11" s="495"/>
      <c r="LER11" s="495"/>
      <c r="LES11" s="495"/>
      <c r="LET11" s="495"/>
      <c r="LEU11" s="495"/>
      <c r="LEV11" s="495"/>
      <c r="LEW11" s="495"/>
      <c r="LEX11" s="495"/>
      <c r="LEY11" s="495"/>
      <c r="LEZ11" s="495"/>
      <c r="LFA11" s="495"/>
      <c r="LFB11" s="495"/>
      <c r="LFC11" s="495"/>
      <c r="LFD11" s="495"/>
      <c r="LFE11" s="495"/>
      <c r="LFF11" s="495"/>
      <c r="LFG11" s="495"/>
      <c r="LFH11" s="495"/>
      <c r="LFI11" s="495"/>
      <c r="LFJ11" s="495"/>
      <c r="LFK11" s="495"/>
      <c r="LFL11" s="495"/>
      <c r="LFM11" s="495"/>
      <c r="LFN11" s="495"/>
      <c r="LFO11" s="495"/>
      <c r="LFP11" s="495"/>
      <c r="LFQ11" s="495"/>
      <c r="LFR11" s="495"/>
      <c r="LFS11" s="495"/>
      <c r="LFT11" s="495"/>
      <c r="LFU11" s="495"/>
      <c r="LFV11" s="495"/>
      <c r="LFW11" s="495"/>
      <c r="LFX11" s="495"/>
      <c r="LFY11" s="495"/>
      <c r="LFZ11" s="495"/>
      <c r="LGA11" s="495"/>
      <c r="LGB11" s="495"/>
      <c r="LGC11" s="495"/>
      <c r="LGD11" s="495"/>
      <c r="LGE11" s="495"/>
      <c r="LGF11" s="495"/>
      <c r="LGG11" s="495"/>
      <c r="LGH11" s="495"/>
      <c r="LGI11" s="495"/>
      <c r="LGJ11" s="495"/>
      <c r="LGK11" s="495"/>
      <c r="LGL11" s="495"/>
      <c r="LGM11" s="495"/>
      <c r="LGN11" s="495"/>
      <c r="LGO11" s="495"/>
      <c r="LGP11" s="495"/>
      <c r="LGQ11" s="495"/>
      <c r="LGR11" s="495"/>
      <c r="LGS11" s="495"/>
      <c r="LGT11" s="495"/>
      <c r="LGU11" s="495"/>
      <c r="LGV11" s="495"/>
      <c r="LGW11" s="495"/>
      <c r="LGX11" s="495"/>
      <c r="LGY11" s="495"/>
      <c r="LGZ11" s="495"/>
      <c r="LHA11" s="495"/>
      <c r="LHB11" s="495"/>
      <c r="LHC11" s="495"/>
      <c r="LHD11" s="495"/>
      <c r="LHE11" s="495"/>
      <c r="LHF11" s="495"/>
      <c r="LHG11" s="495"/>
      <c r="LHH11" s="495"/>
      <c r="LHI11" s="495"/>
      <c r="LHJ11" s="495"/>
      <c r="LHK11" s="495"/>
      <c r="LHL11" s="495"/>
      <c r="LHM11" s="495"/>
      <c r="LHN11" s="495"/>
      <c r="LHO11" s="495"/>
      <c r="LHP11" s="495"/>
      <c r="LHQ11" s="495"/>
      <c r="LHR11" s="495"/>
      <c r="LHS11" s="495"/>
      <c r="LHT11" s="495"/>
      <c r="LHU11" s="495"/>
      <c r="LHV11" s="495"/>
      <c r="LHW11" s="495"/>
      <c r="LHX11" s="495"/>
      <c r="LHY11" s="495"/>
      <c r="LHZ11" s="495"/>
      <c r="LIA11" s="495"/>
      <c r="LIB11" s="495"/>
      <c r="LIC11" s="495"/>
      <c r="LID11" s="495"/>
      <c r="LIE11" s="495"/>
      <c r="LIF11" s="495"/>
      <c r="LIG11" s="495"/>
      <c r="LIH11" s="495"/>
      <c r="LII11" s="495"/>
      <c r="LIJ11" s="495"/>
      <c r="LIK11" s="495"/>
      <c r="LIL11" s="495"/>
      <c r="LIM11" s="495"/>
      <c r="LIN11" s="495"/>
      <c r="LIO11" s="495"/>
      <c r="LIP11" s="495"/>
      <c r="LIQ11" s="495"/>
      <c r="LIR11" s="495"/>
      <c r="LIS11" s="495"/>
      <c r="LIT11" s="495"/>
      <c r="LIU11" s="495"/>
      <c r="LIV11" s="495"/>
      <c r="LIW11" s="495"/>
      <c r="LIX11" s="495"/>
      <c r="LIY11" s="495"/>
      <c r="LIZ11" s="495"/>
      <c r="LJA11" s="495"/>
      <c r="LJB11" s="495"/>
      <c r="LJC11" s="495"/>
      <c r="LJD11" s="495"/>
      <c r="LJE11" s="495"/>
      <c r="LJF11" s="495"/>
      <c r="LJG11" s="495"/>
      <c r="LJH11" s="495"/>
      <c r="LJI11" s="495"/>
      <c r="LJJ11" s="495"/>
      <c r="LJK11" s="495"/>
      <c r="LJL11" s="495"/>
      <c r="LJM11" s="495"/>
      <c r="LJN11" s="495"/>
      <c r="LJO11" s="495"/>
      <c r="LJP11" s="495"/>
      <c r="LJQ11" s="495"/>
      <c r="LJR11" s="495"/>
      <c r="LJS11" s="495"/>
      <c r="LJT11" s="495"/>
      <c r="LJU11" s="495"/>
      <c r="LJV11" s="495"/>
      <c r="LJW11" s="495"/>
      <c r="LJX11" s="495"/>
      <c r="LJY11" s="495"/>
      <c r="LJZ11" s="495"/>
      <c r="LKA11" s="495"/>
      <c r="LKB11" s="495"/>
      <c r="LKC11" s="495"/>
      <c r="LKD11" s="495"/>
      <c r="LKE11" s="495"/>
      <c r="LKF11" s="495"/>
      <c r="LKG11" s="495"/>
      <c r="LKH11" s="495"/>
      <c r="LKI11" s="495"/>
      <c r="LKJ11" s="495"/>
      <c r="LKK11" s="495"/>
      <c r="LKL11" s="495"/>
      <c r="LKM11" s="495"/>
      <c r="LKN11" s="495"/>
      <c r="LKO11" s="495"/>
      <c r="LKP11" s="495"/>
      <c r="LKQ11" s="495"/>
      <c r="LKR11" s="495"/>
      <c r="LKS11" s="495"/>
      <c r="LKT11" s="495"/>
      <c r="LKU11" s="495"/>
      <c r="LKV11" s="495"/>
      <c r="LKW11" s="495"/>
      <c r="LKX11" s="495"/>
      <c r="LKY11" s="495"/>
      <c r="LKZ11" s="495"/>
      <c r="LLA11" s="495"/>
      <c r="LLB11" s="495"/>
      <c r="LLC11" s="495"/>
      <c r="LLD11" s="495"/>
      <c r="LLE11" s="495"/>
      <c r="LLF11" s="495"/>
      <c r="LLG11" s="495"/>
      <c r="LLH11" s="495"/>
      <c r="LLI11" s="495"/>
      <c r="LLJ11" s="495"/>
      <c r="LLK11" s="495"/>
      <c r="LLL11" s="495"/>
      <c r="LLM11" s="495"/>
      <c r="LLN11" s="495"/>
      <c r="LLO11" s="495"/>
      <c r="LLP11" s="495"/>
      <c r="LLQ11" s="495"/>
      <c r="LLR11" s="495"/>
      <c r="LLS11" s="495"/>
      <c r="LLT11" s="495"/>
      <c r="LLU11" s="495"/>
      <c r="LLV11" s="495"/>
      <c r="LLW11" s="495"/>
      <c r="LLX11" s="495"/>
      <c r="LLY11" s="495"/>
      <c r="LLZ11" s="495"/>
      <c r="LMA11" s="495"/>
      <c r="LMB11" s="495"/>
      <c r="LMC11" s="495"/>
      <c r="LMD11" s="495"/>
      <c r="LME11" s="495"/>
      <c r="LMF11" s="495"/>
      <c r="LMG11" s="495"/>
      <c r="LMH11" s="495"/>
      <c r="LMI11" s="495"/>
      <c r="LMJ11" s="495"/>
      <c r="LMK11" s="495"/>
      <c r="LML11" s="495"/>
      <c r="LMM11" s="495"/>
      <c r="LMN11" s="495"/>
      <c r="LMO11" s="495"/>
      <c r="LMP11" s="495"/>
      <c r="LMQ11" s="495"/>
      <c r="LMR11" s="495"/>
      <c r="LMS11" s="495"/>
      <c r="LMT11" s="495"/>
      <c r="LMU11" s="495"/>
      <c r="LMV11" s="495"/>
      <c r="LMW11" s="495"/>
      <c r="LMX11" s="495"/>
      <c r="LMY11" s="495"/>
      <c r="LMZ11" s="495"/>
      <c r="LNA11" s="495"/>
      <c r="LNB11" s="495"/>
      <c r="LNC11" s="495"/>
      <c r="LND11" s="495"/>
      <c r="LNE11" s="495"/>
      <c r="LNF11" s="495"/>
      <c r="LNG11" s="495"/>
      <c r="LNH11" s="495"/>
      <c r="LNI11" s="495"/>
      <c r="LNJ11" s="495"/>
      <c r="LNK11" s="495"/>
      <c r="LNL11" s="495"/>
      <c r="LNM11" s="495"/>
      <c r="LNN11" s="495"/>
      <c r="LNO11" s="495"/>
      <c r="LNP11" s="495"/>
      <c r="LNQ11" s="495"/>
      <c r="LNR11" s="495"/>
      <c r="LNS11" s="495"/>
      <c r="LNT11" s="495"/>
      <c r="LNU11" s="495"/>
      <c r="LNV11" s="495"/>
      <c r="LNW11" s="495"/>
      <c r="LNX11" s="495"/>
      <c r="LNY11" s="495"/>
      <c r="LNZ11" s="495"/>
      <c r="LOA11" s="495"/>
      <c r="LOB11" s="495"/>
      <c r="LOC11" s="495"/>
      <c r="LOD11" s="495"/>
      <c r="LOE11" s="495"/>
      <c r="LOF11" s="495"/>
      <c r="LOG11" s="495"/>
      <c r="LOH11" s="495"/>
      <c r="LOI11" s="495"/>
      <c r="LOJ11" s="495"/>
      <c r="LOK11" s="495"/>
      <c r="LOL11" s="495"/>
      <c r="LOM11" s="495"/>
      <c r="LON11" s="495"/>
      <c r="LOO11" s="495"/>
      <c r="LOP11" s="495"/>
      <c r="LOQ11" s="495"/>
      <c r="LOR11" s="495"/>
      <c r="LOS11" s="495"/>
      <c r="LOT11" s="495"/>
      <c r="LOU11" s="495"/>
      <c r="LOV11" s="495"/>
      <c r="LOW11" s="495"/>
      <c r="LOX11" s="495"/>
      <c r="LOY11" s="495"/>
      <c r="LOZ11" s="495"/>
      <c r="LPA11" s="495"/>
      <c r="LPB11" s="495"/>
      <c r="LPC11" s="495"/>
      <c r="LPD11" s="495"/>
      <c r="LPE11" s="495"/>
      <c r="LPF11" s="495"/>
      <c r="LPG11" s="495"/>
      <c r="LPH11" s="495"/>
      <c r="LPI11" s="495"/>
      <c r="LPJ11" s="495"/>
      <c r="LPK11" s="495"/>
      <c r="LPL11" s="495"/>
      <c r="LPM11" s="495"/>
      <c r="LPN11" s="495"/>
      <c r="LPO11" s="495"/>
      <c r="LPP11" s="495"/>
      <c r="LPQ11" s="495"/>
      <c r="LPR11" s="495"/>
      <c r="LPS11" s="495"/>
      <c r="LPT11" s="495"/>
      <c r="LPU11" s="495"/>
      <c r="LPV11" s="495"/>
      <c r="LPW11" s="495"/>
      <c r="LPX11" s="495"/>
      <c r="LPY11" s="495"/>
      <c r="LPZ11" s="495"/>
      <c r="LQA11" s="495"/>
      <c r="LQB11" s="495"/>
      <c r="LQC11" s="495"/>
      <c r="LQD11" s="495"/>
      <c r="LQE11" s="495"/>
      <c r="LQF11" s="495"/>
      <c r="LQG11" s="495"/>
      <c r="LQH11" s="495"/>
      <c r="LQI11" s="495"/>
      <c r="LQJ11" s="495"/>
      <c r="LQK11" s="495"/>
      <c r="LQL11" s="495"/>
      <c r="LQM11" s="495"/>
      <c r="LQN11" s="495"/>
      <c r="LQO11" s="495"/>
      <c r="LQP11" s="495"/>
      <c r="LQQ11" s="495"/>
      <c r="LQR11" s="495"/>
      <c r="LQS11" s="495"/>
      <c r="LQT11" s="495"/>
      <c r="LQU11" s="495"/>
      <c r="LQV11" s="495"/>
      <c r="LQW11" s="495"/>
      <c r="LQX11" s="495"/>
      <c r="LQY11" s="495"/>
      <c r="LQZ11" s="495"/>
      <c r="LRA11" s="495"/>
      <c r="LRB11" s="495"/>
      <c r="LRC11" s="495"/>
      <c r="LRD11" s="495"/>
      <c r="LRE11" s="495"/>
      <c r="LRF11" s="495"/>
      <c r="LRG11" s="495"/>
      <c r="LRH11" s="495"/>
      <c r="LRI11" s="495"/>
      <c r="LRJ11" s="495"/>
      <c r="LRK11" s="495"/>
      <c r="LRL11" s="495"/>
      <c r="LRM11" s="495"/>
      <c r="LRN11" s="495"/>
      <c r="LRO11" s="495"/>
      <c r="LRP11" s="495"/>
      <c r="LRQ11" s="495"/>
      <c r="LRR11" s="495"/>
      <c r="LRS11" s="495"/>
      <c r="LRT11" s="495"/>
      <c r="LRU11" s="495"/>
      <c r="LRV11" s="495"/>
      <c r="LRW11" s="495"/>
      <c r="LRX11" s="495"/>
      <c r="LRY11" s="495"/>
      <c r="LRZ11" s="495"/>
      <c r="LSA11" s="495"/>
      <c r="LSB11" s="495"/>
      <c r="LSC11" s="495"/>
      <c r="LSD11" s="495"/>
      <c r="LSE11" s="495"/>
      <c r="LSF11" s="495"/>
      <c r="LSG11" s="495"/>
      <c r="LSH11" s="495"/>
      <c r="LSI11" s="495"/>
      <c r="LSJ11" s="495"/>
      <c r="LSK11" s="495"/>
      <c r="LSL11" s="495"/>
      <c r="LSM11" s="495"/>
      <c r="LSN11" s="495"/>
      <c r="LSO11" s="495"/>
      <c r="LSP11" s="495"/>
      <c r="LSQ11" s="495"/>
      <c r="LSR11" s="495"/>
      <c r="LSS11" s="495"/>
      <c r="LST11" s="495"/>
      <c r="LSU11" s="495"/>
      <c r="LSV11" s="495"/>
      <c r="LSW11" s="495"/>
      <c r="LSX11" s="495"/>
      <c r="LSY11" s="495"/>
      <c r="LSZ11" s="495"/>
      <c r="LTA11" s="495"/>
      <c r="LTB11" s="495"/>
      <c r="LTC11" s="495"/>
      <c r="LTD11" s="495"/>
      <c r="LTE11" s="495"/>
      <c r="LTF11" s="495"/>
      <c r="LTG11" s="495"/>
      <c r="LTH11" s="495"/>
      <c r="LTI11" s="495"/>
      <c r="LTJ11" s="495"/>
      <c r="LTK11" s="495"/>
      <c r="LTL11" s="495"/>
      <c r="LTM11" s="495"/>
      <c r="LTN11" s="495"/>
      <c r="LTO11" s="495"/>
      <c r="LTP11" s="495"/>
      <c r="LTQ11" s="495"/>
      <c r="LTR11" s="495"/>
      <c r="LTS11" s="495"/>
      <c r="LTT11" s="495"/>
      <c r="LTU11" s="495"/>
      <c r="LTV11" s="495"/>
      <c r="LTW11" s="495"/>
      <c r="LTX11" s="495"/>
      <c r="LTY11" s="495"/>
      <c r="LTZ11" s="495"/>
      <c r="LUA11" s="495"/>
      <c r="LUB11" s="495"/>
      <c r="LUC11" s="495"/>
      <c r="LUD11" s="495"/>
      <c r="LUE11" s="495"/>
      <c r="LUF11" s="495"/>
      <c r="LUG11" s="495"/>
      <c r="LUH11" s="495"/>
      <c r="LUI11" s="495"/>
      <c r="LUJ11" s="495"/>
      <c r="LUK11" s="495"/>
      <c r="LUL11" s="495"/>
      <c r="LUM11" s="495"/>
      <c r="LUN11" s="495"/>
      <c r="LUO11" s="495"/>
      <c r="LUP11" s="495"/>
      <c r="LUQ11" s="495"/>
      <c r="LUR11" s="495"/>
      <c r="LUS11" s="495"/>
      <c r="LUT11" s="495"/>
      <c r="LUU11" s="495"/>
      <c r="LUV11" s="495"/>
      <c r="LUW11" s="495"/>
      <c r="LUX11" s="495"/>
      <c r="LUY11" s="495"/>
      <c r="LUZ11" s="495"/>
      <c r="LVA11" s="495"/>
      <c r="LVB11" s="495"/>
      <c r="LVC11" s="495"/>
      <c r="LVD11" s="495"/>
      <c r="LVE11" s="495"/>
      <c r="LVF11" s="495"/>
      <c r="LVG11" s="495"/>
      <c r="LVH11" s="495"/>
      <c r="LVI11" s="495"/>
      <c r="LVJ11" s="495"/>
      <c r="LVK11" s="495"/>
      <c r="LVL11" s="495"/>
      <c r="LVM11" s="495"/>
      <c r="LVN11" s="495"/>
      <c r="LVO11" s="495"/>
      <c r="LVP11" s="495"/>
      <c r="LVQ11" s="495"/>
      <c r="LVR11" s="495"/>
      <c r="LVS11" s="495"/>
      <c r="LVT11" s="495"/>
      <c r="LVU11" s="495"/>
      <c r="LVV11" s="495"/>
      <c r="LVW11" s="495"/>
      <c r="LVX11" s="495"/>
      <c r="LVY11" s="495"/>
      <c r="LVZ11" s="495"/>
      <c r="LWA11" s="495"/>
      <c r="LWB11" s="495"/>
      <c r="LWC11" s="495"/>
      <c r="LWD11" s="495"/>
      <c r="LWE11" s="495"/>
      <c r="LWF11" s="495"/>
      <c r="LWG11" s="495"/>
      <c r="LWH11" s="495"/>
      <c r="LWI11" s="495"/>
      <c r="LWJ11" s="495"/>
      <c r="LWK11" s="495"/>
      <c r="LWL11" s="495"/>
      <c r="LWM11" s="495"/>
      <c r="LWN11" s="495"/>
      <c r="LWO11" s="495"/>
      <c r="LWP11" s="495"/>
      <c r="LWQ11" s="495"/>
      <c r="LWR11" s="495"/>
      <c r="LWS11" s="495"/>
      <c r="LWT11" s="495"/>
      <c r="LWU11" s="495"/>
      <c r="LWV11" s="495"/>
      <c r="LWW11" s="495"/>
      <c r="LWX11" s="495"/>
      <c r="LWY11" s="495"/>
      <c r="LWZ11" s="495"/>
      <c r="LXA11" s="495"/>
      <c r="LXB11" s="495"/>
      <c r="LXC11" s="495"/>
      <c r="LXD11" s="495"/>
      <c r="LXE11" s="495"/>
      <c r="LXF11" s="495"/>
      <c r="LXG11" s="495"/>
      <c r="LXH11" s="495"/>
      <c r="LXI11" s="495"/>
      <c r="LXJ11" s="495"/>
      <c r="LXK11" s="495"/>
      <c r="LXL11" s="495"/>
      <c r="LXM11" s="495"/>
      <c r="LXN11" s="495"/>
      <c r="LXO11" s="495"/>
      <c r="LXP11" s="495"/>
      <c r="LXQ11" s="495"/>
      <c r="LXR11" s="495"/>
      <c r="LXS11" s="495"/>
      <c r="LXT11" s="495"/>
      <c r="LXU11" s="495"/>
      <c r="LXV11" s="495"/>
      <c r="LXW11" s="495"/>
      <c r="LXX11" s="495"/>
      <c r="LXY11" s="495"/>
      <c r="LXZ11" s="495"/>
      <c r="LYA11" s="495"/>
      <c r="LYB11" s="495"/>
      <c r="LYC11" s="495"/>
      <c r="LYD11" s="495"/>
      <c r="LYE11" s="495"/>
      <c r="LYF11" s="495"/>
      <c r="LYG11" s="495"/>
      <c r="LYH11" s="495"/>
      <c r="LYI11" s="495"/>
      <c r="LYJ11" s="495"/>
      <c r="LYK11" s="495"/>
      <c r="LYL11" s="495"/>
      <c r="LYM11" s="495"/>
      <c r="LYN11" s="495"/>
      <c r="LYO11" s="495"/>
      <c r="LYP11" s="495"/>
      <c r="LYQ11" s="495"/>
      <c r="LYR11" s="495"/>
      <c r="LYS11" s="495"/>
      <c r="LYT11" s="495"/>
      <c r="LYU11" s="495"/>
      <c r="LYV11" s="495"/>
      <c r="LYW11" s="495"/>
      <c r="LYX11" s="495"/>
      <c r="LYY11" s="495"/>
      <c r="LYZ11" s="495"/>
      <c r="LZA11" s="495"/>
      <c r="LZB11" s="495"/>
      <c r="LZC11" s="495"/>
      <c r="LZD11" s="495"/>
      <c r="LZE11" s="495"/>
      <c r="LZF11" s="495"/>
      <c r="LZG11" s="495"/>
      <c r="LZH11" s="495"/>
      <c r="LZI11" s="495"/>
      <c r="LZJ11" s="495"/>
      <c r="LZK11" s="495"/>
      <c r="LZL11" s="495"/>
      <c r="LZM11" s="495"/>
      <c r="LZN11" s="495"/>
      <c r="LZO11" s="495"/>
      <c r="LZP11" s="495"/>
      <c r="LZQ11" s="495"/>
      <c r="LZR11" s="495"/>
      <c r="LZS11" s="495"/>
      <c r="LZT11" s="495"/>
      <c r="LZU11" s="495"/>
      <c r="LZV11" s="495"/>
      <c r="LZW11" s="495"/>
      <c r="LZX11" s="495"/>
      <c r="LZY11" s="495"/>
      <c r="LZZ11" s="495"/>
      <c r="MAA11" s="495"/>
      <c r="MAB11" s="495"/>
      <c r="MAC11" s="495"/>
      <c r="MAD11" s="495"/>
      <c r="MAE11" s="495"/>
      <c r="MAF11" s="495"/>
      <c r="MAG11" s="495"/>
      <c r="MAH11" s="495"/>
      <c r="MAI11" s="495"/>
      <c r="MAJ11" s="495"/>
      <c r="MAK11" s="495"/>
      <c r="MAL11" s="495"/>
      <c r="MAM11" s="495"/>
      <c r="MAN11" s="495"/>
      <c r="MAO11" s="495"/>
      <c r="MAP11" s="495"/>
      <c r="MAQ11" s="495"/>
      <c r="MAR11" s="495"/>
      <c r="MAS11" s="495"/>
      <c r="MAT11" s="495"/>
      <c r="MAU11" s="495"/>
      <c r="MAV11" s="495"/>
      <c r="MAW11" s="495"/>
      <c r="MAX11" s="495"/>
      <c r="MAY11" s="495"/>
      <c r="MAZ11" s="495"/>
      <c r="MBA11" s="495"/>
      <c r="MBB11" s="495"/>
      <c r="MBC11" s="495"/>
      <c r="MBD11" s="495"/>
      <c r="MBE11" s="495"/>
      <c r="MBF11" s="495"/>
      <c r="MBG11" s="495"/>
      <c r="MBH11" s="495"/>
      <c r="MBI11" s="495"/>
      <c r="MBJ11" s="495"/>
      <c r="MBK11" s="495"/>
      <c r="MBL11" s="495"/>
      <c r="MBM11" s="495"/>
      <c r="MBN11" s="495"/>
      <c r="MBO11" s="495"/>
      <c r="MBP11" s="495"/>
      <c r="MBQ11" s="495"/>
      <c r="MBR11" s="495"/>
      <c r="MBS11" s="495"/>
      <c r="MBT11" s="495"/>
      <c r="MBU11" s="495"/>
      <c r="MBV11" s="495"/>
      <c r="MBW11" s="495"/>
      <c r="MBX11" s="495"/>
      <c r="MBY11" s="495"/>
      <c r="MBZ11" s="495"/>
      <c r="MCA11" s="495"/>
      <c r="MCB11" s="495"/>
      <c r="MCC11" s="495"/>
      <c r="MCD11" s="495"/>
      <c r="MCE11" s="495"/>
      <c r="MCF11" s="495"/>
      <c r="MCG11" s="495"/>
      <c r="MCH11" s="495"/>
      <c r="MCI11" s="495"/>
      <c r="MCJ11" s="495"/>
      <c r="MCK11" s="495"/>
      <c r="MCL11" s="495"/>
      <c r="MCM11" s="495"/>
      <c r="MCN11" s="495"/>
      <c r="MCO11" s="495"/>
      <c r="MCP11" s="495"/>
      <c r="MCQ11" s="495"/>
      <c r="MCR11" s="495"/>
      <c r="MCS11" s="495"/>
      <c r="MCT11" s="495"/>
      <c r="MCU11" s="495"/>
      <c r="MCV11" s="495"/>
      <c r="MCW11" s="495"/>
      <c r="MCX11" s="495"/>
      <c r="MCY11" s="495"/>
      <c r="MCZ11" s="495"/>
      <c r="MDA11" s="495"/>
      <c r="MDB11" s="495"/>
      <c r="MDC11" s="495"/>
      <c r="MDD11" s="495"/>
      <c r="MDE11" s="495"/>
      <c r="MDF11" s="495"/>
      <c r="MDG11" s="495"/>
      <c r="MDH11" s="495"/>
      <c r="MDI11" s="495"/>
      <c r="MDJ11" s="495"/>
      <c r="MDK11" s="495"/>
      <c r="MDL11" s="495"/>
      <c r="MDM11" s="495"/>
      <c r="MDN11" s="495"/>
      <c r="MDO11" s="495"/>
      <c r="MDP11" s="495"/>
      <c r="MDQ11" s="495"/>
      <c r="MDR11" s="495"/>
      <c r="MDS11" s="495"/>
      <c r="MDT11" s="495"/>
      <c r="MDU11" s="495"/>
      <c r="MDV11" s="495"/>
      <c r="MDW11" s="495"/>
      <c r="MDX11" s="495"/>
      <c r="MDY11" s="495"/>
      <c r="MDZ11" s="495"/>
      <c r="MEA11" s="495"/>
      <c r="MEB11" s="495"/>
      <c r="MEC11" s="495"/>
      <c r="MED11" s="495"/>
      <c r="MEE11" s="495"/>
      <c r="MEF11" s="495"/>
      <c r="MEG11" s="495"/>
      <c r="MEH11" s="495"/>
      <c r="MEI11" s="495"/>
      <c r="MEJ11" s="495"/>
      <c r="MEK11" s="495"/>
      <c r="MEL11" s="495"/>
      <c r="MEM11" s="495"/>
      <c r="MEN11" s="495"/>
      <c r="MEO11" s="495"/>
      <c r="MEP11" s="495"/>
      <c r="MEQ11" s="495"/>
      <c r="MER11" s="495"/>
      <c r="MES11" s="495"/>
      <c r="MET11" s="495"/>
      <c r="MEU11" s="495"/>
      <c r="MEV11" s="495"/>
      <c r="MEW11" s="495"/>
      <c r="MEX11" s="495"/>
      <c r="MEY11" s="495"/>
      <c r="MEZ11" s="495"/>
      <c r="MFA11" s="495"/>
      <c r="MFB11" s="495"/>
      <c r="MFC11" s="495"/>
      <c r="MFD11" s="495"/>
      <c r="MFE11" s="495"/>
      <c r="MFF11" s="495"/>
      <c r="MFG11" s="495"/>
      <c r="MFH11" s="495"/>
      <c r="MFI11" s="495"/>
      <c r="MFJ11" s="495"/>
      <c r="MFK11" s="495"/>
      <c r="MFL11" s="495"/>
      <c r="MFM11" s="495"/>
      <c r="MFN11" s="495"/>
      <c r="MFO11" s="495"/>
      <c r="MFP11" s="495"/>
      <c r="MFQ11" s="495"/>
      <c r="MFR11" s="495"/>
      <c r="MFS11" s="495"/>
      <c r="MFT11" s="495"/>
      <c r="MFU11" s="495"/>
      <c r="MFV11" s="495"/>
      <c r="MFW11" s="495"/>
      <c r="MFX11" s="495"/>
      <c r="MFY11" s="495"/>
      <c r="MFZ11" s="495"/>
      <c r="MGA11" s="495"/>
      <c r="MGB11" s="495"/>
      <c r="MGC11" s="495"/>
      <c r="MGD11" s="495"/>
      <c r="MGE11" s="495"/>
      <c r="MGF11" s="495"/>
      <c r="MGG11" s="495"/>
      <c r="MGH11" s="495"/>
      <c r="MGI11" s="495"/>
      <c r="MGJ11" s="495"/>
      <c r="MGK11" s="495"/>
      <c r="MGL11" s="495"/>
      <c r="MGM11" s="495"/>
      <c r="MGN11" s="495"/>
      <c r="MGO11" s="495"/>
      <c r="MGP11" s="495"/>
      <c r="MGQ11" s="495"/>
      <c r="MGR11" s="495"/>
      <c r="MGS11" s="495"/>
      <c r="MGT11" s="495"/>
      <c r="MGU11" s="495"/>
      <c r="MGV11" s="495"/>
      <c r="MGW11" s="495"/>
      <c r="MGX11" s="495"/>
      <c r="MGY11" s="495"/>
      <c r="MGZ11" s="495"/>
      <c r="MHA11" s="495"/>
      <c r="MHB11" s="495"/>
      <c r="MHC11" s="495"/>
      <c r="MHD11" s="495"/>
      <c r="MHE11" s="495"/>
      <c r="MHF11" s="495"/>
      <c r="MHG11" s="495"/>
      <c r="MHH11" s="495"/>
      <c r="MHI11" s="495"/>
      <c r="MHJ11" s="495"/>
      <c r="MHK11" s="495"/>
      <c r="MHL11" s="495"/>
      <c r="MHM11" s="495"/>
      <c r="MHN11" s="495"/>
      <c r="MHO11" s="495"/>
      <c r="MHP11" s="495"/>
      <c r="MHQ11" s="495"/>
      <c r="MHR11" s="495"/>
      <c r="MHS11" s="495"/>
      <c r="MHT11" s="495"/>
      <c r="MHU11" s="495"/>
      <c r="MHV11" s="495"/>
      <c r="MHW11" s="495"/>
      <c r="MHX11" s="495"/>
      <c r="MHY11" s="495"/>
      <c r="MHZ11" s="495"/>
      <c r="MIA11" s="495"/>
      <c r="MIB11" s="495"/>
      <c r="MIC11" s="495"/>
      <c r="MID11" s="495"/>
      <c r="MIE11" s="495"/>
      <c r="MIF11" s="495"/>
      <c r="MIG11" s="495"/>
      <c r="MIH11" s="495"/>
      <c r="MII11" s="495"/>
      <c r="MIJ11" s="495"/>
      <c r="MIK11" s="495"/>
      <c r="MIL11" s="495"/>
      <c r="MIM11" s="495"/>
      <c r="MIN11" s="495"/>
      <c r="MIO11" s="495"/>
      <c r="MIP11" s="495"/>
      <c r="MIQ11" s="495"/>
      <c r="MIR11" s="495"/>
      <c r="MIS11" s="495"/>
      <c r="MIT11" s="495"/>
      <c r="MIU11" s="495"/>
      <c r="MIV11" s="495"/>
      <c r="MIW11" s="495"/>
      <c r="MIX11" s="495"/>
      <c r="MIY11" s="495"/>
      <c r="MIZ11" s="495"/>
      <c r="MJA11" s="495"/>
      <c r="MJB11" s="495"/>
      <c r="MJC11" s="495"/>
      <c r="MJD11" s="495"/>
      <c r="MJE11" s="495"/>
      <c r="MJF11" s="495"/>
      <c r="MJG11" s="495"/>
      <c r="MJH11" s="495"/>
      <c r="MJI11" s="495"/>
      <c r="MJJ11" s="495"/>
      <c r="MJK11" s="495"/>
      <c r="MJL11" s="495"/>
      <c r="MJM11" s="495"/>
      <c r="MJN11" s="495"/>
      <c r="MJO11" s="495"/>
      <c r="MJP11" s="495"/>
      <c r="MJQ11" s="495"/>
      <c r="MJR11" s="495"/>
      <c r="MJS11" s="495"/>
      <c r="MJT11" s="495"/>
      <c r="MJU11" s="495"/>
      <c r="MJV11" s="495"/>
      <c r="MJW11" s="495"/>
      <c r="MJX11" s="495"/>
      <c r="MJY11" s="495"/>
      <c r="MJZ11" s="495"/>
      <c r="MKA11" s="495"/>
      <c r="MKB11" s="495"/>
      <c r="MKC11" s="495"/>
      <c r="MKD11" s="495"/>
      <c r="MKE11" s="495"/>
      <c r="MKF11" s="495"/>
      <c r="MKG11" s="495"/>
      <c r="MKH11" s="495"/>
      <c r="MKI11" s="495"/>
      <c r="MKJ11" s="495"/>
      <c r="MKK11" s="495"/>
      <c r="MKL11" s="495"/>
      <c r="MKM11" s="495"/>
      <c r="MKN11" s="495"/>
      <c r="MKO11" s="495"/>
      <c r="MKP11" s="495"/>
      <c r="MKQ11" s="495"/>
      <c r="MKR11" s="495"/>
      <c r="MKS11" s="495"/>
      <c r="MKT11" s="495"/>
      <c r="MKU11" s="495"/>
      <c r="MKV11" s="495"/>
      <c r="MKW11" s="495"/>
      <c r="MKX11" s="495"/>
      <c r="MKY11" s="495"/>
      <c r="MKZ11" s="495"/>
      <c r="MLA11" s="495"/>
      <c r="MLB11" s="495"/>
      <c r="MLC11" s="495"/>
      <c r="MLD11" s="495"/>
      <c r="MLE11" s="495"/>
      <c r="MLF11" s="495"/>
      <c r="MLG11" s="495"/>
      <c r="MLH11" s="495"/>
      <c r="MLI11" s="495"/>
      <c r="MLJ11" s="495"/>
      <c r="MLK11" s="495"/>
      <c r="MLL11" s="495"/>
      <c r="MLM11" s="495"/>
      <c r="MLN11" s="495"/>
      <c r="MLO11" s="495"/>
      <c r="MLP11" s="495"/>
      <c r="MLQ11" s="495"/>
      <c r="MLR11" s="495"/>
      <c r="MLS11" s="495"/>
      <c r="MLT11" s="495"/>
      <c r="MLU11" s="495"/>
      <c r="MLV11" s="495"/>
      <c r="MLW11" s="495"/>
      <c r="MLX11" s="495"/>
      <c r="MLY11" s="495"/>
      <c r="MLZ11" s="495"/>
      <c r="MMA11" s="495"/>
      <c r="MMB11" s="495"/>
      <c r="MMC11" s="495"/>
      <c r="MMD11" s="495"/>
      <c r="MME11" s="495"/>
      <c r="MMF11" s="495"/>
      <c r="MMG11" s="495"/>
      <c r="MMH11" s="495"/>
      <c r="MMI11" s="495"/>
      <c r="MMJ11" s="495"/>
      <c r="MMK11" s="495"/>
      <c r="MML11" s="495"/>
      <c r="MMM11" s="495"/>
      <c r="MMN11" s="495"/>
      <c r="MMO11" s="495"/>
      <c r="MMP11" s="495"/>
      <c r="MMQ11" s="495"/>
      <c r="MMR11" s="495"/>
      <c r="MMS11" s="495"/>
      <c r="MMT11" s="495"/>
      <c r="MMU11" s="495"/>
      <c r="MMV11" s="495"/>
      <c r="MMW11" s="495"/>
      <c r="MMX11" s="495"/>
      <c r="MMY11" s="495"/>
      <c r="MMZ11" s="495"/>
      <c r="MNA11" s="495"/>
      <c r="MNB11" s="495"/>
      <c r="MNC11" s="495"/>
      <c r="MND11" s="495"/>
      <c r="MNE11" s="495"/>
      <c r="MNF11" s="495"/>
      <c r="MNG11" s="495"/>
      <c r="MNH11" s="495"/>
      <c r="MNI11" s="495"/>
      <c r="MNJ11" s="495"/>
      <c r="MNK11" s="495"/>
      <c r="MNL11" s="495"/>
      <c r="MNM11" s="495"/>
      <c r="MNN11" s="495"/>
      <c r="MNO11" s="495"/>
      <c r="MNP11" s="495"/>
      <c r="MNQ11" s="495"/>
      <c r="MNR11" s="495"/>
      <c r="MNS11" s="495"/>
      <c r="MNT11" s="495"/>
      <c r="MNU11" s="495"/>
      <c r="MNV11" s="495"/>
      <c r="MNW11" s="495"/>
      <c r="MNX11" s="495"/>
      <c r="MNY11" s="495"/>
      <c r="MNZ11" s="495"/>
      <c r="MOA11" s="495"/>
      <c r="MOB11" s="495"/>
      <c r="MOC11" s="495"/>
      <c r="MOD11" s="495"/>
      <c r="MOE11" s="495"/>
      <c r="MOF11" s="495"/>
      <c r="MOG11" s="495"/>
      <c r="MOH11" s="495"/>
      <c r="MOI11" s="495"/>
      <c r="MOJ11" s="495"/>
      <c r="MOK11" s="495"/>
      <c r="MOL11" s="495"/>
      <c r="MOM11" s="495"/>
      <c r="MON11" s="495"/>
      <c r="MOO11" s="495"/>
      <c r="MOP11" s="495"/>
      <c r="MOQ11" s="495"/>
      <c r="MOR11" s="495"/>
      <c r="MOS11" s="495"/>
      <c r="MOT11" s="495"/>
      <c r="MOU11" s="495"/>
      <c r="MOV11" s="495"/>
      <c r="MOW11" s="495"/>
      <c r="MOX11" s="495"/>
      <c r="MOY11" s="495"/>
      <c r="MOZ11" s="495"/>
      <c r="MPA11" s="495"/>
      <c r="MPB11" s="495"/>
      <c r="MPC11" s="495"/>
      <c r="MPD11" s="495"/>
      <c r="MPE11" s="495"/>
      <c r="MPF11" s="495"/>
      <c r="MPG11" s="495"/>
      <c r="MPH11" s="495"/>
      <c r="MPI11" s="495"/>
      <c r="MPJ11" s="495"/>
      <c r="MPK11" s="495"/>
      <c r="MPL11" s="495"/>
      <c r="MPM11" s="495"/>
      <c r="MPN11" s="495"/>
      <c r="MPO11" s="495"/>
      <c r="MPP11" s="495"/>
      <c r="MPQ11" s="495"/>
      <c r="MPR11" s="495"/>
      <c r="MPS11" s="495"/>
      <c r="MPT11" s="495"/>
      <c r="MPU11" s="495"/>
      <c r="MPV11" s="495"/>
      <c r="MPW11" s="495"/>
      <c r="MPX11" s="495"/>
      <c r="MPY11" s="495"/>
      <c r="MPZ11" s="495"/>
      <c r="MQA11" s="495"/>
      <c r="MQB11" s="495"/>
      <c r="MQC11" s="495"/>
      <c r="MQD11" s="495"/>
      <c r="MQE11" s="495"/>
      <c r="MQF11" s="495"/>
      <c r="MQG11" s="495"/>
      <c r="MQH11" s="495"/>
      <c r="MQI11" s="495"/>
      <c r="MQJ11" s="495"/>
      <c r="MQK11" s="495"/>
      <c r="MQL11" s="495"/>
      <c r="MQM11" s="495"/>
      <c r="MQN11" s="495"/>
      <c r="MQO11" s="495"/>
      <c r="MQP11" s="495"/>
      <c r="MQQ11" s="495"/>
      <c r="MQR11" s="495"/>
      <c r="MQS11" s="495"/>
      <c r="MQT11" s="495"/>
      <c r="MQU11" s="495"/>
      <c r="MQV11" s="495"/>
      <c r="MQW11" s="495"/>
      <c r="MQX11" s="495"/>
      <c r="MQY11" s="495"/>
      <c r="MQZ11" s="495"/>
      <c r="MRA11" s="495"/>
      <c r="MRB11" s="495"/>
      <c r="MRC11" s="495"/>
      <c r="MRD11" s="495"/>
      <c r="MRE11" s="495"/>
      <c r="MRF11" s="495"/>
      <c r="MRG11" s="495"/>
      <c r="MRH11" s="495"/>
      <c r="MRI11" s="495"/>
      <c r="MRJ11" s="495"/>
      <c r="MRK11" s="495"/>
      <c r="MRL11" s="495"/>
      <c r="MRM11" s="495"/>
      <c r="MRN11" s="495"/>
      <c r="MRO11" s="495"/>
      <c r="MRP11" s="495"/>
      <c r="MRQ11" s="495"/>
      <c r="MRR11" s="495"/>
      <c r="MRS11" s="495"/>
      <c r="MRT11" s="495"/>
      <c r="MRU11" s="495"/>
      <c r="MRV11" s="495"/>
      <c r="MRW11" s="495"/>
      <c r="MRX11" s="495"/>
      <c r="MRY11" s="495"/>
      <c r="MRZ11" s="495"/>
      <c r="MSA11" s="495"/>
      <c r="MSB11" s="495"/>
      <c r="MSC11" s="495"/>
      <c r="MSD11" s="495"/>
      <c r="MSE11" s="495"/>
      <c r="MSF11" s="495"/>
      <c r="MSG11" s="495"/>
      <c r="MSH11" s="495"/>
      <c r="MSI11" s="495"/>
      <c r="MSJ11" s="495"/>
      <c r="MSK11" s="495"/>
      <c r="MSL11" s="495"/>
      <c r="MSM11" s="495"/>
      <c r="MSN11" s="495"/>
      <c r="MSO11" s="495"/>
      <c r="MSP11" s="495"/>
      <c r="MSQ11" s="495"/>
      <c r="MSR11" s="495"/>
      <c r="MSS11" s="495"/>
      <c r="MST11" s="495"/>
      <c r="MSU11" s="495"/>
      <c r="MSV11" s="495"/>
      <c r="MSW11" s="495"/>
      <c r="MSX11" s="495"/>
      <c r="MSY11" s="495"/>
      <c r="MSZ11" s="495"/>
      <c r="MTA11" s="495"/>
      <c r="MTB11" s="495"/>
      <c r="MTC11" s="495"/>
      <c r="MTD11" s="495"/>
      <c r="MTE11" s="495"/>
      <c r="MTF11" s="495"/>
      <c r="MTG11" s="495"/>
      <c r="MTH11" s="495"/>
      <c r="MTI11" s="495"/>
      <c r="MTJ11" s="495"/>
      <c r="MTK11" s="495"/>
      <c r="MTL11" s="495"/>
      <c r="MTM11" s="495"/>
      <c r="MTN11" s="495"/>
      <c r="MTO11" s="495"/>
      <c r="MTP11" s="495"/>
      <c r="MTQ11" s="495"/>
      <c r="MTR11" s="495"/>
      <c r="MTS11" s="495"/>
      <c r="MTT11" s="495"/>
      <c r="MTU11" s="495"/>
      <c r="MTV11" s="495"/>
      <c r="MTW11" s="495"/>
      <c r="MTX11" s="495"/>
      <c r="MTY11" s="495"/>
      <c r="MTZ11" s="495"/>
      <c r="MUA11" s="495"/>
      <c r="MUB11" s="495"/>
      <c r="MUC11" s="495"/>
      <c r="MUD11" s="495"/>
      <c r="MUE11" s="495"/>
      <c r="MUF11" s="495"/>
      <c r="MUG11" s="495"/>
      <c r="MUH11" s="495"/>
      <c r="MUI11" s="495"/>
      <c r="MUJ11" s="495"/>
      <c r="MUK11" s="495"/>
      <c r="MUL11" s="495"/>
      <c r="MUM11" s="495"/>
      <c r="MUN11" s="495"/>
      <c r="MUO11" s="495"/>
      <c r="MUP11" s="495"/>
      <c r="MUQ11" s="495"/>
      <c r="MUR11" s="495"/>
      <c r="MUS11" s="495"/>
      <c r="MUT11" s="495"/>
      <c r="MUU11" s="495"/>
      <c r="MUV11" s="495"/>
      <c r="MUW11" s="495"/>
      <c r="MUX11" s="495"/>
      <c r="MUY11" s="495"/>
      <c r="MUZ11" s="495"/>
      <c r="MVA11" s="495"/>
      <c r="MVB11" s="495"/>
      <c r="MVC11" s="495"/>
      <c r="MVD11" s="495"/>
      <c r="MVE11" s="495"/>
      <c r="MVF11" s="495"/>
      <c r="MVG11" s="495"/>
      <c r="MVH11" s="495"/>
      <c r="MVI11" s="495"/>
      <c r="MVJ11" s="495"/>
      <c r="MVK11" s="495"/>
      <c r="MVL11" s="495"/>
      <c r="MVM11" s="495"/>
      <c r="MVN11" s="495"/>
      <c r="MVO11" s="495"/>
      <c r="MVP11" s="495"/>
      <c r="MVQ11" s="495"/>
      <c r="MVR11" s="495"/>
      <c r="MVS11" s="495"/>
      <c r="MVT11" s="495"/>
      <c r="MVU11" s="495"/>
      <c r="MVV11" s="495"/>
      <c r="MVW11" s="495"/>
      <c r="MVX11" s="495"/>
      <c r="MVY11" s="495"/>
      <c r="MVZ11" s="495"/>
      <c r="MWA11" s="495"/>
      <c r="MWB11" s="495"/>
      <c r="MWC11" s="495"/>
      <c r="MWD11" s="495"/>
      <c r="MWE11" s="495"/>
      <c r="MWF11" s="495"/>
      <c r="MWG11" s="495"/>
      <c r="MWH11" s="495"/>
      <c r="MWI11" s="495"/>
      <c r="MWJ11" s="495"/>
      <c r="MWK11" s="495"/>
      <c r="MWL11" s="495"/>
      <c r="MWM11" s="495"/>
      <c r="MWN11" s="495"/>
      <c r="MWO11" s="495"/>
      <c r="MWP11" s="495"/>
      <c r="MWQ11" s="495"/>
      <c r="MWR11" s="495"/>
      <c r="MWS11" s="495"/>
      <c r="MWT11" s="495"/>
      <c r="MWU11" s="495"/>
      <c r="MWV11" s="495"/>
      <c r="MWW11" s="495"/>
      <c r="MWX11" s="495"/>
      <c r="MWY11" s="495"/>
      <c r="MWZ11" s="495"/>
      <c r="MXA11" s="495"/>
      <c r="MXB11" s="495"/>
      <c r="MXC11" s="495"/>
      <c r="MXD11" s="495"/>
      <c r="MXE11" s="495"/>
      <c r="MXF11" s="495"/>
      <c r="MXG11" s="495"/>
      <c r="MXH11" s="495"/>
      <c r="MXI11" s="495"/>
      <c r="MXJ11" s="495"/>
      <c r="MXK11" s="495"/>
      <c r="MXL11" s="495"/>
      <c r="MXM11" s="495"/>
      <c r="MXN11" s="495"/>
      <c r="MXO11" s="495"/>
      <c r="MXP11" s="495"/>
      <c r="MXQ11" s="495"/>
      <c r="MXR11" s="495"/>
      <c r="MXS11" s="495"/>
      <c r="MXT11" s="495"/>
      <c r="MXU11" s="495"/>
      <c r="MXV11" s="495"/>
      <c r="MXW11" s="495"/>
      <c r="MXX11" s="495"/>
      <c r="MXY11" s="495"/>
      <c r="MXZ11" s="495"/>
      <c r="MYA11" s="495"/>
      <c r="MYB11" s="495"/>
      <c r="MYC11" s="495"/>
      <c r="MYD11" s="495"/>
      <c r="MYE11" s="495"/>
      <c r="MYF11" s="495"/>
      <c r="MYG11" s="495"/>
      <c r="MYH11" s="495"/>
      <c r="MYI11" s="495"/>
      <c r="MYJ11" s="495"/>
      <c r="MYK11" s="495"/>
      <c r="MYL11" s="495"/>
      <c r="MYM11" s="495"/>
      <c r="MYN11" s="495"/>
      <c r="MYO11" s="495"/>
      <c r="MYP11" s="495"/>
      <c r="MYQ11" s="495"/>
      <c r="MYR11" s="495"/>
      <c r="MYS11" s="495"/>
      <c r="MYT11" s="495"/>
      <c r="MYU11" s="495"/>
      <c r="MYV11" s="495"/>
      <c r="MYW11" s="495"/>
      <c r="MYX11" s="495"/>
      <c r="MYY11" s="495"/>
      <c r="MYZ11" s="495"/>
      <c r="MZA11" s="495"/>
      <c r="MZB11" s="495"/>
      <c r="MZC11" s="495"/>
      <c r="MZD11" s="495"/>
      <c r="MZE11" s="495"/>
      <c r="MZF11" s="495"/>
      <c r="MZG11" s="495"/>
      <c r="MZH11" s="495"/>
      <c r="MZI11" s="495"/>
      <c r="MZJ11" s="495"/>
      <c r="MZK11" s="495"/>
      <c r="MZL11" s="495"/>
      <c r="MZM11" s="495"/>
      <c r="MZN11" s="495"/>
      <c r="MZO11" s="495"/>
      <c r="MZP11" s="495"/>
      <c r="MZQ11" s="495"/>
      <c r="MZR11" s="495"/>
      <c r="MZS11" s="495"/>
      <c r="MZT11" s="495"/>
      <c r="MZU11" s="495"/>
      <c r="MZV11" s="495"/>
      <c r="MZW11" s="495"/>
      <c r="MZX11" s="495"/>
      <c r="MZY11" s="495"/>
      <c r="MZZ11" s="495"/>
      <c r="NAA11" s="495"/>
      <c r="NAB11" s="495"/>
      <c r="NAC11" s="495"/>
      <c r="NAD11" s="495"/>
      <c r="NAE11" s="495"/>
      <c r="NAF11" s="495"/>
      <c r="NAG11" s="495"/>
      <c r="NAH11" s="495"/>
      <c r="NAI11" s="495"/>
      <c r="NAJ11" s="495"/>
      <c r="NAK11" s="495"/>
      <c r="NAL11" s="495"/>
      <c r="NAM11" s="495"/>
      <c r="NAN11" s="495"/>
      <c r="NAO11" s="495"/>
      <c r="NAP11" s="495"/>
      <c r="NAQ11" s="495"/>
      <c r="NAR11" s="495"/>
      <c r="NAS11" s="495"/>
      <c r="NAT11" s="495"/>
      <c r="NAU11" s="495"/>
      <c r="NAV11" s="495"/>
      <c r="NAW11" s="495"/>
      <c r="NAX11" s="495"/>
      <c r="NAY11" s="495"/>
      <c r="NAZ11" s="495"/>
      <c r="NBA11" s="495"/>
      <c r="NBB11" s="495"/>
      <c r="NBC11" s="495"/>
      <c r="NBD11" s="495"/>
      <c r="NBE11" s="495"/>
      <c r="NBF11" s="495"/>
      <c r="NBG11" s="495"/>
      <c r="NBH11" s="495"/>
      <c r="NBI11" s="495"/>
      <c r="NBJ11" s="495"/>
      <c r="NBK11" s="495"/>
      <c r="NBL11" s="495"/>
      <c r="NBM11" s="495"/>
      <c r="NBN11" s="495"/>
      <c r="NBO11" s="495"/>
      <c r="NBP11" s="495"/>
      <c r="NBQ11" s="495"/>
      <c r="NBR11" s="495"/>
      <c r="NBS11" s="495"/>
      <c r="NBT11" s="495"/>
      <c r="NBU11" s="495"/>
      <c r="NBV11" s="495"/>
      <c r="NBW11" s="495"/>
      <c r="NBX11" s="495"/>
      <c r="NBY11" s="495"/>
      <c r="NBZ11" s="495"/>
      <c r="NCA11" s="495"/>
      <c r="NCB11" s="495"/>
      <c r="NCC11" s="495"/>
      <c r="NCD11" s="495"/>
      <c r="NCE11" s="495"/>
      <c r="NCF11" s="495"/>
      <c r="NCG11" s="495"/>
      <c r="NCH11" s="495"/>
      <c r="NCI11" s="495"/>
      <c r="NCJ11" s="495"/>
      <c r="NCK11" s="495"/>
      <c r="NCL11" s="495"/>
      <c r="NCM11" s="495"/>
      <c r="NCN11" s="495"/>
      <c r="NCO11" s="495"/>
      <c r="NCP11" s="495"/>
      <c r="NCQ11" s="495"/>
      <c r="NCR11" s="495"/>
      <c r="NCS11" s="495"/>
      <c r="NCT11" s="495"/>
      <c r="NCU11" s="495"/>
      <c r="NCV11" s="495"/>
      <c r="NCW11" s="495"/>
      <c r="NCX11" s="495"/>
      <c r="NCY11" s="495"/>
      <c r="NCZ11" s="495"/>
      <c r="NDA11" s="495"/>
      <c r="NDB11" s="495"/>
      <c r="NDC11" s="495"/>
      <c r="NDD11" s="495"/>
      <c r="NDE11" s="495"/>
      <c r="NDF11" s="495"/>
      <c r="NDG11" s="495"/>
      <c r="NDH11" s="495"/>
      <c r="NDI11" s="495"/>
      <c r="NDJ11" s="495"/>
      <c r="NDK11" s="495"/>
      <c r="NDL11" s="495"/>
      <c r="NDM11" s="495"/>
      <c r="NDN11" s="495"/>
      <c r="NDO11" s="495"/>
      <c r="NDP11" s="495"/>
      <c r="NDQ11" s="495"/>
      <c r="NDR11" s="495"/>
      <c r="NDS11" s="495"/>
      <c r="NDT11" s="495"/>
      <c r="NDU11" s="495"/>
      <c r="NDV11" s="495"/>
      <c r="NDW11" s="495"/>
      <c r="NDX11" s="495"/>
      <c r="NDY11" s="495"/>
      <c r="NDZ11" s="495"/>
      <c r="NEA11" s="495"/>
      <c r="NEB11" s="495"/>
      <c r="NEC11" s="495"/>
      <c r="NED11" s="495"/>
      <c r="NEE11" s="495"/>
      <c r="NEF11" s="495"/>
      <c r="NEG11" s="495"/>
      <c r="NEH11" s="495"/>
      <c r="NEI11" s="495"/>
      <c r="NEJ11" s="495"/>
      <c r="NEK11" s="495"/>
      <c r="NEL11" s="495"/>
      <c r="NEM11" s="495"/>
      <c r="NEN11" s="495"/>
      <c r="NEO11" s="495"/>
      <c r="NEP11" s="495"/>
      <c r="NEQ11" s="495"/>
      <c r="NER11" s="495"/>
      <c r="NES11" s="495"/>
      <c r="NET11" s="495"/>
      <c r="NEU11" s="495"/>
      <c r="NEV11" s="495"/>
      <c r="NEW11" s="495"/>
      <c r="NEX11" s="495"/>
      <c r="NEY11" s="495"/>
      <c r="NEZ11" s="495"/>
      <c r="NFA11" s="495"/>
      <c r="NFB11" s="495"/>
      <c r="NFC11" s="495"/>
      <c r="NFD11" s="495"/>
      <c r="NFE11" s="495"/>
      <c r="NFF11" s="495"/>
      <c r="NFG11" s="495"/>
      <c r="NFH11" s="495"/>
      <c r="NFI11" s="495"/>
      <c r="NFJ11" s="495"/>
      <c r="NFK11" s="495"/>
      <c r="NFL11" s="495"/>
      <c r="NFM11" s="495"/>
      <c r="NFN11" s="495"/>
      <c r="NFO11" s="495"/>
      <c r="NFP11" s="495"/>
      <c r="NFQ11" s="495"/>
      <c r="NFR11" s="495"/>
      <c r="NFS11" s="495"/>
      <c r="NFT11" s="495"/>
      <c r="NFU11" s="495"/>
      <c r="NFV11" s="495"/>
      <c r="NFW11" s="495"/>
      <c r="NFX11" s="495"/>
      <c r="NFY11" s="495"/>
      <c r="NFZ11" s="495"/>
      <c r="NGA11" s="495"/>
      <c r="NGB11" s="495"/>
      <c r="NGC11" s="495"/>
      <c r="NGD11" s="495"/>
      <c r="NGE11" s="495"/>
      <c r="NGF11" s="495"/>
      <c r="NGG11" s="495"/>
      <c r="NGH11" s="495"/>
      <c r="NGI11" s="495"/>
      <c r="NGJ11" s="495"/>
      <c r="NGK11" s="495"/>
      <c r="NGL11" s="495"/>
      <c r="NGM11" s="495"/>
      <c r="NGN11" s="495"/>
      <c r="NGO11" s="495"/>
      <c r="NGP11" s="495"/>
      <c r="NGQ11" s="495"/>
      <c r="NGR11" s="495"/>
      <c r="NGS11" s="495"/>
      <c r="NGT11" s="495"/>
      <c r="NGU11" s="495"/>
      <c r="NGV11" s="495"/>
      <c r="NGW11" s="495"/>
      <c r="NGX11" s="495"/>
      <c r="NGY11" s="495"/>
      <c r="NGZ11" s="495"/>
      <c r="NHA11" s="495"/>
      <c r="NHB11" s="495"/>
      <c r="NHC11" s="495"/>
      <c r="NHD11" s="495"/>
      <c r="NHE11" s="495"/>
      <c r="NHF11" s="495"/>
      <c r="NHG11" s="495"/>
      <c r="NHH11" s="495"/>
      <c r="NHI11" s="495"/>
      <c r="NHJ11" s="495"/>
      <c r="NHK11" s="495"/>
      <c r="NHL11" s="495"/>
      <c r="NHM11" s="495"/>
      <c r="NHN11" s="495"/>
      <c r="NHO11" s="495"/>
      <c r="NHP11" s="495"/>
      <c r="NHQ11" s="495"/>
      <c r="NHR11" s="495"/>
      <c r="NHS11" s="495"/>
      <c r="NHT11" s="495"/>
      <c r="NHU11" s="495"/>
      <c r="NHV11" s="495"/>
      <c r="NHW11" s="495"/>
      <c r="NHX11" s="495"/>
      <c r="NHY11" s="495"/>
      <c r="NHZ11" s="495"/>
      <c r="NIA11" s="495"/>
      <c r="NIB11" s="495"/>
      <c r="NIC11" s="495"/>
      <c r="NID11" s="495"/>
      <c r="NIE11" s="495"/>
      <c r="NIF11" s="495"/>
      <c r="NIG11" s="495"/>
      <c r="NIH11" s="495"/>
      <c r="NII11" s="495"/>
      <c r="NIJ11" s="495"/>
      <c r="NIK11" s="495"/>
      <c r="NIL11" s="495"/>
      <c r="NIM11" s="495"/>
      <c r="NIN11" s="495"/>
      <c r="NIO11" s="495"/>
      <c r="NIP11" s="495"/>
      <c r="NIQ11" s="495"/>
      <c r="NIR11" s="495"/>
      <c r="NIS11" s="495"/>
      <c r="NIT11" s="495"/>
      <c r="NIU11" s="495"/>
      <c r="NIV11" s="495"/>
      <c r="NIW11" s="495"/>
      <c r="NIX11" s="495"/>
      <c r="NIY11" s="495"/>
      <c r="NIZ11" s="495"/>
      <c r="NJA11" s="495"/>
      <c r="NJB11" s="495"/>
      <c r="NJC11" s="495"/>
      <c r="NJD11" s="495"/>
      <c r="NJE11" s="495"/>
      <c r="NJF11" s="495"/>
      <c r="NJG11" s="495"/>
      <c r="NJH11" s="495"/>
      <c r="NJI11" s="495"/>
      <c r="NJJ11" s="495"/>
      <c r="NJK11" s="495"/>
      <c r="NJL11" s="495"/>
      <c r="NJM11" s="495"/>
      <c r="NJN11" s="495"/>
      <c r="NJO11" s="495"/>
      <c r="NJP11" s="495"/>
      <c r="NJQ11" s="495"/>
      <c r="NJR11" s="495"/>
      <c r="NJS11" s="495"/>
      <c r="NJT11" s="495"/>
      <c r="NJU11" s="495"/>
      <c r="NJV11" s="495"/>
      <c r="NJW11" s="495"/>
      <c r="NJX11" s="495"/>
      <c r="NJY11" s="495"/>
      <c r="NJZ11" s="495"/>
      <c r="NKA11" s="495"/>
      <c r="NKB11" s="495"/>
      <c r="NKC11" s="495"/>
      <c r="NKD11" s="495"/>
      <c r="NKE11" s="495"/>
      <c r="NKF11" s="495"/>
      <c r="NKG11" s="495"/>
      <c r="NKH11" s="495"/>
      <c r="NKI11" s="495"/>
      <c r="NKJ11" s="495"/>
      <c r="NKK11" s="495"/>
      <c r="NKL11" s="495"/>
      <c r="NKM11" s="495"/>
      <c r="NKN11" s="495"/>
      <c r="NKO11" s="495"/>
      <c r="NKP11" s="495"/>
      <c r="NKQ11" s="495"/>
      <c r="NKR11" s="495"/>
      <c r="NKS11" s="495"/>
      <c r="NKT11" s="495"/>
      <c r="NKU11" s="495"/>
      <c r="NKV11" s="495"/>
      <c r="NKW11" s="495"/>
      <c r="NKX11" s="495"/>
      <c r="NKY11" s="495"/>
      <c r="NKZ11" s="495"/>
      <c r="NLA11" s="495"/>
      <c r="NLB11" s="495"/>
      <c r="NLC11" s="495"/>
      <c r="NLD11" s="495"/>
      <c r="NLE11" s="495"/>
      <c r="NLF11" s="495"/>
      <c r="NLG11" s="495"/>
      <c r="NLH11" s="495"/>
      <c r="NLI11" s="495"/>
      <c r="NLJ11" s="495"/>
      <c r="NLK11" s="495"/>
      <c r="NLL11" s="495"/>
      <c r="NLM11" s="495"/>
      <c r="NLN11" s="495"/>
      <c r="NLO11" s="495"/>
      <c r="NLP11" s="495"/>
      <c r="NLQ11" s="495"/>
      <c r="NLR11" s="495"/>
      <c r="NLS11" s="495"/>
      <c r="NLT11" s="495"/>
      <c r="NLU11" s="495"/>
      <c r="NLV11" s="495"/>
      <c r="NLW11" s="495"/>
      <c r="NLX11" s="495"/>
      <c r="NLY11" s="495"/>
      <c r="NLZ11" s="495"/>
      <c r="NMA11" s="495"/>
      <c r="NMB11" s="495"/>
      <c r="NMC11" s="495"/>
      <c r="NMD11" s="495"/>
      <c r="NME11" s="495"/>
      <c r="NMF11" s="495"/>
      <c r="NMG11" s="495"/>
      <c r="NMH11" s="495"/>
      <c r="NMI11" s="495"/>
      <c r="NMJ11" s="495"/>
      <c r="NMK11" s="495"/>
      <c r="NML11" s="495"/>
      <c r="NMM11" s="495"/>
      <c r="NMN11" s="495"/>
      <c r="NMO11" s="495"/>
      <c r="NMP11" s="495"/>
      <c r="NMQ11" s="495"/>
      <c r="NMR11" s="495"/>
      <c r="NMS11" s="495"/>
      <c r="NMT11" s="495"/>
      <c r="NMU11" s="495"/>
      <c r="NMV11" s="495"/>
      <c r="NMW11" s="495"/>
      <c r="NMX11" s="495"/>
      <c r="NMY11" s="495"/>
      <c r="NMZ11" s="495"/>
      <c r="NNA11" s="495"/>
      <c r="NNB11" s="495"/>
      <c r="NNC11" s="495"/>
      <c r="NND11" s="495"/>
      <c r="NNE11" s="495"/>
      <c r="NNF11" s="495"/>
      <c r="NNG11" s="495"/>
      <c r="NNH11" s="495"/>
      <c r="NNI11" s="495"/>
      <c r="NNJ11" s="495"/>
      <c r="NNK11" s="495"/>
      <c r="NNL11" s="495"/>
      <c r="NNM11" s="495"/>
      <c r="NNN11" s="495"/>
      <c r="NNO11" s="495"/>
      <c r="NNP11" s="495"/>
      <c r="NNQ11" s="495"/>
      <c r="NNR11" s="495"/>
      <c r="NNS11" s="495"/>
      <c r="NNT11" s="495"/>
      <c r="NNU11" s="495"/>
      <c r="NNV11" s="495"/>
      <c r="NNW11" s="495"/>
      <c r="NNX11" s="495"/>
      <c r="NNY11" s="495"/>
      <c r="NNZ11" s="495"/>
      <c r="NOA11" s="495"/>
      <c r="NOB11" s="495"/>
      <c r="NOC11" s="495"/>
      <c r="NOD11" s="495"/>
      <c r="NOE11" s="495"/>
      <c r="NOF11" s="495"/>
      <c r="NOG11" s="495"/>
      <c r="NOH11" s="495"/>
      <c r="NOI11" s="495"/>
      <c r="NOJ11" s="495"/>
      <c r="NOK11" s="495"/>
      <c r="NOL11" s="495"/>
      <c r="NOM11" s="495"/>
      <c r="NON11" s="495"/>
      <c r="NOO11" s="495"/>
      <c r="NOP11" s="495"/>
      <c r="NOQ11" s="495"/>
      <c r="NOR11" s="495"/>
      <c r="NOS11" s="495"/>
      <c r="NOT11" s="495"/>
      <c r="NOU11" s="495"/>
      <c r="NOV11" s="495"/>
      <c r="NOW11" s="495"/>
      <c r="NOX11" s="495"/>
      <c r="NOY11" s="495"/>
      <c r="NOZ11" s="495"/>
      <c r="NPA11" s="495"/>
      <c r="NPB11" s="495"/>
      <c r="NPC11" s="495"/>
      <c r="NPD11" s="495"/>
      <c r="NPE11" s="495"/>
      <c r="NPF11" s="495"/>
      <c r="NPG11" s="495"/>
      <c r="NPH11" s="495"/>
      <c r="NPI11" s="495"/>
      <c r="NPJ11" s="495"/>
      <c r="NPK11" s="495"/>
      <c r="NPL11" s="495"/>
      <c r="NPM11" s="495"/>
      <c r="NPN11" s="495"/>
      <c r="NPO11" s="495"/>
      <c r="NPP11" s="495"/>
      <c r="NPQ11" s="495"/>
      <c r="NPR11" s="495"/>
      <c r="NPS11" s="495"/>
      <c r="NPT11" s="495"/>
      <c r="NPU11" s="495"/>
      <c r="NPV11" s="495"/>
      <c r="NPW11" s="495"/>
      <c r="NPX11" s="495"/>
      <c r="NPY11" s="495"/>
      <c r="NPZ11" s="495"/>
      <c r="NQA11" s="495"/>
      <c r="NQB11" s="495"/>
      <c r="NQC11" s="495"/>
      <c r="NQD11" s="495"/>
      <c r="NQE11" s="495"/>
      <c r="NQF11" s="495"/>
      <c r="NQG11" s="495"/>
      <c r="NQH11" s="495"/>
      <c r="NQI11" s="495"/>
      <c r="NQJ11" s="495"/>
      <c r="NQK11" s="495"/>
      <c r="NQL11" s="495"/>
      <c r="NQM11" s="495"/>
      <c r="NQN11" s="495"/>
      <c r="NQO11" s="495"/>
      <c r="NQP11" s="495"/>
      <c r="NQQ11" s="495"/>
      <c r="NQR11" s="495"/>
      <c r="NQS11" s="495"/>
      <c r="NQT11" s="495"/>
      <c r="NQU11" s="495"/>
      <c r="NQV11" s="495"/>
      <c r="NQW11" s="495"/>
      <c r="NQX11" s="495"/>
      <c r="NQY11" s="495"/>
      <c r="NQZ11" s="495"/>
      <c r="NRA11" s="495"/>
      <c r="NRB11" s="495"/>
      <c r="NRC11" s="495"/>
      <c r="NRD11" s="495"/>
      <c r="NRE11" s="495"/>
      <c r="NRF11" s="495"/>
      <c r="NRG11" s="495"/>
      <c r="NRH11" s="495"/>
      <c r="NRI11" s="495"/>
      <c r="NRJ11" s="495"/>
      <c r="NRK11" s="495"/>
      <c r="NRL11" s="495"/>
      <c r="NRM11" s="495"/>
      <c r="NRN11" s="495"/>
      <c r="NRO11" s="495"/>
      <c r="NRP11" s="495"/>
      <c r="NRQ11" s="495"/>
      <c r="NRR11" s="495"/>
      <c r="NRS11" s="495"/>
      <c r="NRT11" s="495"/>
      <c r="NRU11" s="495"/>
      <c r="NRV11" s="495"/>
      <c r="NRW11" s="495"/>
      <c r="NRX11" s="495"/>
      <c r="NRY11" s="495"/>
      <c r="NRZ11" s="495"/>
      <c r="NSA11" s="495"/>
      <c r="NSB11" s="495"/>
      <c r="NSC11" s="495"/>
      <c r="NSD11" s="495"/>
      <c r="NSE11" s="495"/>
      <c r="NSF11" s="495"/>
      <c r="NSG11" s="495"/>
      <c r="NSH11" s="495"/>
      <c r="NSI11" s="495"/>
      <c r="NSJ11" s="495"/>
      <c r="NSK11" s="495"/>
      <c r="NSL11" s="495"/>
      <c r="NSM11" s="495"/>
      <c r="NSN11" s="495"/>
      <c r="NSO11" s="495"/>
      <c r="NSP11" s="495"/>
      <c r="NSQ11" s="495"/>
      <c r="NSR11" s="495"/>
      <c r="NSS11" s="495"/>
      <c r="NST11" s="495"/>
      <c r="NSU11" s="495"/>
      <c r="NSV11" s="495"/>
      <c r="NSW11" s="495"/>
      <c r="NSX11" s="495"/>
      <c r="NSY11" s="495"/>
      <c r="NSZ11" s="495"/>
      <c r="NTA11" s="495"/>
      <c r="NTB11" s="495"/>
      <c r="NTC11" s="495"/>
      <c r="NTD11" s="495"/>
      <c r="NTE11" s="495"/>
      <c r="NTF11" s="495"/>
      <c r="NTG11" s="495"/>
      <c r="NTH11" s="495"/>
      <c r="NTI11" s="495"/>
      <c r="NTJ11" s="495"/>
      <c r="NTK11" s="495"/>
      <c r="NTL11" s="495"/>
      <c r="NTM11" s="495"/>
      <c r="NTN11" s="495"/>
      <c r="NTO11" s="495"/>
      <c r="NTP11" s="495"/>
      <c r="NTQ11" s="495"/>
      <c r="NTR11" s="495"/>
      <c r="NTS11" s="495"/>
      <c r="NTT11" s="495"/>
      <c r="NTU11" s="495"/>
      <c r="NTV11" s="495"/>
      <c r="NTW11" s="495"/>
      <c r="NTX11" s="495"/>
      <c r="NTY11" s="495"/>
      <c r="NTZ11" s="495"/>
      <c r="NUA11" s="495"/>
      <c r="NUB11" s="495"/>
      <c r="NUC11" s="495"/>
      <c r="NUD11" s="495"/>
      <c r="NUE11" s="495"/>
      <c r="NUF11" s="495"/>
      <c r="NUG11" s="495"/>
      <c r="NUH11" s="495"/>
      <c r="NUI11" s="495"/>
      <c r="NUJ11" s="495"/>
      <c r="NUK11" s="495"/>
      <c r="NUL11" s="495"/>
      <c r="NUM11" s="495"/>
      <c r="NUN11" s="495"/>
      <c r="NUO11" s="495"/>
      <c r="NUP11" s="495"/>
      <c r="NUQ11" s="495"/>
      <c r="NUR11" s="495"/>
      <c r="NUS11" s="495"/>
      <c r="NUT11" s="495"/>
      <c r="NUU11" s="495"/>
      <c r="NUV11" s="495"/>
      <c r="NUW11" s="495"/>
      <c r="NUX11" s="495"/>
      <c r="NUY11" s="495"/>
      <c r="NUZ11" s="495"/>
      <c r="NVA11" s="495"/>
      <c r="NVB11" s="495"/>
      <c r="NVC11" s="495"/>
      <c r="NVD11" s="495"/>
      <c r="NVE11" s="495"/>
      <c r="NVF11" s="495"/>
      <c r="NVG11" s="495"/>
      <c r="NVH11" s="495"/>
      <c r="NVI11" s="495"/>
      <c r="NVJ11" s="495"/>
      <c r="NVK11" s="495"/>
      <c r="NVL11" s="495"/>
      <c r="NVM11" s="495"/>
      <c r="NVN11" s="495"/>
      <c r="NVO11" s="495"/>
      <c r="NVP11" s="495"/>
      <c r="NVQ11" s="495"/>
      <c r="NVR11" s="495"/>
      <c r="NVS11" s="495"/>
      <c r="NVT11" s="495"/>
      <c r="NVU11" s="495"/>
      <c r="NVV11" s="495"/>
      <c r="NVW11" s="495"/>
      <c r="NVX11" s="495"/>
      <c r="NVY11" s="495"/>
      <c r="NVZ11" s="495"/>
      <c r="NWA11" s="495"/>
      <c r="NWB11" s="495"/>
      <c r="NWC11" s="495"/>
      <c r="NWD11" s="495"/>
      <c r="NWE11" s="495"/>
      <c r="NWF11" s="495"/>
      <c r="NWG11" s="495"/>
      <c r="NWH11" s="495"/>
      <c r="NWI11" s="495"/>
      <c r="NWJ11" s="495"/>
      <c r="NWK11" s="495"/>
      <c r="NWL11" s="495"/>
      <c r="NWM11" s="495"/>
      <c r="NWN11" s="495"/>
      <c r="NWO11" s="495"/>
      <c r="NWP11" s="495"/>
      <c r="NWQ11" s="495"/>
      <c r="NWR11" s="495"/>
      <c r="NWS11" s="495"/>
      <c r="NWT11" s="495"/>
      <c r="NWU11" s="495"/>
      <c r="NWV11" s="495"/>
      <c r="NWW11" s="495"/>
      <c r="NWX11" s="495"/>
      <c r="NWY11" s="495"/>
      <c r="NWZ11" s="495"/>
      <c r="NXA11" s="495"/>
      <c r="NXB11" s="495"/>
      <c r="NXC11" s="495"/>
      <c r="NXD11" s="495"/>
      <c r="NXE11" s="495"/>
      <c r="NXF11" s="495"/>
      <c r="NXG11" s="495"/>
      <c r="NXH11" s="495"/>
      <c r="NXI11" s="495"/>
      <c r="NXJ11" s="495"/>
      <c r="NXK11" s="495"/>
      <c r="NXL11" s="495"/>
      <c r="NXM11" s="495"/>
      <c r="NXN11" s="495"/>
      <c r="NXO11" s="495"/>
      <c r="NXP11" s="495"/>
      <c r="NXQ11" s="495"/>
      <c r="NXR11" s="495"/>
      <c r="NXS11" s="495"/>
      <c r="NXT11" s="495"/>
      <c r="NXU11" s="495"/>
      <c r="NXV11" s="495"/>
      <c r="NXW11" s="495"/>
      <c r="NXX11" s="495"/>
      <c r="NXY11" s="495"/>
      <c r="NXZ11" s="495"/>
      <c r="NYA11" s="495"/>
      <c r="NYB11" s="495"/>
      <c r="NYC11" s="495"/>
      <c r="NYD11" s="495"/>
      <c r="NYE11" s="495"/>
      <c r="NYF11" s="495"/>
      <c r="NYG11" s="495"/>
      <c r="NYH11" s="495"/>
      <c r="NYI11" s="495"/>
      <c r="NYJ11" s="495"/>
      <c r="NYK11" s="495"/>
      <c r="NYL11" s="495"/>
      <c r="NYM11" s="495"/>
      <c r="NYN11" s="495"/>
      <c r="NYO11" s="495"/>
      <c r="NYP11" s="495"/>
      <c r="NYQ11" s="495"/>
      <c r="NYR11" s="495"/>
      <c r="NYS11" s="495"/>
      <c r="NYT11" s="495"/>
      <c r="NYU11" s="495"/>
      <c r="NYV11" s="495"/>
      <c r="NYW11" s="495"/>
      <c r="NYX11" s="495"/>
      <c r="NYY11" s="495"/>
      <c r="NYZ11" s="495"/>
      <c r="NZA11" s="495"/>
      <c r="NZB11" s="495"/>
      <c r="NZC11" s="495"/>
      <c r="NZD11" s="495"/>
      <c r="NZE11" s="495"/>
      <c r="NZF11" s="495"/>
      <c r="NZG11" s="495"/>
      <c r="NZH11" s="495"/>
      <c r="NZI11" s="495"/>
      <c r="NZJ11" s="495"/>
      <c r="NZK11" s="495"/>
      <c r="NZL11" s="495"/>
      <c r="NZM11" s="495"/>
      <c r="NZN11" s="495"/>
      <c r="NZO11" s="495"/>
      <c r="NZP11" s="495"/>
      <c r="NZQ11" s="495"/>
      <c r="NZR11" s="495"/>
      <c r="NZS11" s="495"/>
      <c r="NZT11" s="495"/>
      <c r="NZU11" s="495"/>
      <c r="NZV11" s="495"/>
      <c r="NZW11" s="495"/>
      <c r="NZX11" s="495"/>
      <c r="NZY11" s="495"/>
      <c r="NZZ11" s="495"/>
      <c r="OAA11" s="495"/>
      <c r="OAB11" s="495"/>
      <c r="OAC11" s="495"/>
      <c r="OAD11" s="495"/>
      <c r="OAE11" s="495"/>
      <c r="OAF11" s="495"/>
      <c r="OAG11" s="495"/>
      <c r="OAH11" s="495"/>
      <c r="OAI11" s="495"/>
      <c r="OAJ11" s="495"/>
      <c r="OAK11" s="495"/>
      <c r="OAL11" s="495"/>
      <c r="OAM11" s="495"/>
      <c r="OAN11" s="495"/>
      <c r="OAO11" s="495"/>
      <c r="OAP11" s="495"/>
      <c r="OAQ11" s="495"/>
      <c r="OAR11" s="495"/>
      <c r="OAS11" s="495"/>
      <c r="OAT11" s="495"/>
      <c r="OAU11" s="495"/>
      <c r="OAV11" s="495"/>
      <c r="OAW11" s="495"/>
      <c r="OAX11" s="495"/>
      <c r="OAY11" s="495"/>
      <c r="OAZ11" s="495"/>
      <c r="OBA11" s="495"/>
      <c r="OBB11" s="495"/>
      <c r="OBC11" s="495"/>
      <c r="OBD11" s="495"/>
      <c r="OBE11" s="495"/>
      <c r="OBF11" s="495"/>
      <c r="OBG11" s="495"/>
      <c r="OBH11" s="495"/>
      <c r="OBI11" s="495"/>
      <c r="OBJ11" s="495"/>
      <c r="OBK11" s="495"/>
      <c r="OBL11" s="495"/>
      <c r="OBM11" s="495"/>
      <c r="OBN11" s="495"/>
      <c r="OBO11" s="495"/>
      <c r="OBP11" s="495"/>
      <c r="OBQ11" s="495"/>
      <c r="OBR11" s="495"/>
      <c r="OBS11" s="495"/>
      <c r="OBT11" s="495"/>
      <c r="OBU11" s="495"/>
      <c r="OBV11" s="495"/>
      <c r="OBW11" s="495"/>
      <c r="OBX11" s="495"/>
      <c r="OBY11" s="495"/>
      <c r="OBZ11" s="495"/>
      <c r="OCA11" s="495"/>
      <c r="OCB11" s="495"/>
      <c r="OCC11" s="495"/>
      <c r="OCD11" s="495"/>
      <c r="OCE11" s="495"/>
      <c r="OCF11" s="495"/>
      <c r="OCG11" s="495"/>
      <c r="OCH11" s="495"/>
      <c r="OCI11" s="495"/>
      <c r="OCJ11" s="495"/>
      <c r="OCK11" s="495"/>
      <c r="OCL11" s="495"/>
      <c r="OCM11" s="495"/>
      <c r="OCN11" s="495"/>
      <c r="OCO11" s="495"/>
      <c r="OCP11" s="495"/>
      <c r="OCQ11" s="495"/>
      <c r="OCR11" s="495"/>
      <c r="OCS11" s="495"/>
      <c r="OCT11" s="495"/>
      <c r="OCU11" s="495"/>
      <c r="OCV11" s="495"/>
      <c r="OCW11" s="495"/>
      <c r="OCX11" s="495"/>
      <c r="OCY11" s="495"/>
      <c r="OCZ11" s="495"/>
      <c r="ODA11" s="495"/>
      <c r="ODB11" s="495"/>
      <c r="ODC11" s="495"/>
      <c r="ODD11" s="495"/>
      <c r="ODE11" s="495"/>
      <c r="ODF11" s="495"/>
      <c r="ODG11" s="495"/>
      <c r="ODH11" s="495"/>
      <c r="ODI11" s="495"/>
      <c r="ODJ11" s="495"/>
      <c r="ODK11" s="495"/>
      <c r="ODL11" s="495"/>
      <c r="ODM11" s="495"/>
      <c r="ODN11" s="495"/>
      <c r="ODO11" s="495"/>
      <c r="ODP11" s="495"/>
      <c r="ODQ11" s="495"/>
      <c r="ODR11" s="495"/>
      <c r="ODS11" s="495"/>
      <c r="ODT11" s="495"/>
      <c r="ODU11" s="495"/>
      <c r="ODV11" s="495"/>
      <c r="ODW11" s="495"/>
      <c r="ODX11" s="495"/>
      <c r="ODY11" s="495"/>
      <c r="ODZ11" s="495"/>
      <c r="OEA11" s="495"/>
      <c r="OEB11" s="495"/>
      <c r="OEC11" s="495"/>
      <c r="OED11" s="495"/>
      <c r="OEE11" s="495"/>
      <c r="OEF11" s="495"/>
      <c r="OEG11" s="495"/>
      <c r="OEH11" s="495"/>
      <c r="OEI11" s="495"/>
      <c r="OEJ11" s="495"/>
      <c r="OEK11" s="495"/>
      <c r="OEL11" s="495"/>
      <c r="OEM11" s="495"/>
      <c r="OEN11" s="495"/>
      <c r="OEO11" s="495"/>
      <c r="OEP11" s="495"/>
      <c r="OEQ11" s="495"/>
      <c r="OER11" s="495"/>
      <c r="OES11" s="495"/>
      <c r="OET11" s="495"/>
      <c r="OEU11" s="495"/>
      <c r="OEV11" s="495"/>
      <c r="OEW11" s="495"/>
      <c r="OEX11" s="495"/>
      <c r="OEY11" s="495"/>
      <c r="OEZ11" s="495"/>
      <c r="OFA11" s="495"/>
      <c r="OFB11" s="495"/>
      <c r="OFC11" s="495"/>
      <c r="OFD11" s="495"/>
      <c r="OFE11" s="495"/>
      <c r="OFF11" s="495"/>
      <c r="OFG11" s="495"/>
      <c r="OFH11" s="495"/>
      <c r="OFI11" s="495"/>
      <c r="OFJ11" s="495"/>
      <c r="OFK11" s="495"/>
      <c r="OFL11" s="495"/>
      <c r="OFM11" s="495"/>
      <c r="OFN11" s="495"/>
      <c r="OFO11" s="495"/>
      <c r="OFP11" s="495"/>
      <c r="OFQ11" s="495"/>
      <c r="OFR11" s="495"/>
      <c r="OFS11" s="495"/>
      <c r="OFT11" s="495"/>
      <c r="OFU11" s="495"/>
      <c r="OFV11" s="495"/>
      <c r="OFW11" s="495"/>
      <c r="OFX11" s="495"/>
      <c r="OFY11" s="495"/>
      <c r="OFZ11" s="495"/>
      <c r="OGA11" s="495"/>
      <c r="OGB11" s="495"/>
      <c r="OGC11" s="495"/>
      <c r="OGD11" s="495"/>
      <c r="OGE11" s="495"/>
      <c r="OGF11" s="495"/>
      <c r="OGG11" s="495"/>
      <c r="OGH11" s="495"/>
      <c r="OGI11" s="495"/>
      <c r="OGJ11" s="495"/>
      <c r="OGK11" s="495"/>
      <c r="OGL11" s="495"/>
      <c r="OGM11" s="495"/>
      <c r="OGN11" s="495"/>
      <c r="OGO11" s="495"/>
      <c r="OGP11" s="495"/>
      <c r="OGQ11" s="495"/>
      <c r="OGR11" s="495"/>
      <c r="OGS11" s="495"/>
      <c r="OGT11" s="495"/>
      <c r="OGU11" s="495"/>
      <c r="OGV11" s="495"/>
      <c r="OGW11" s="495"/>
      <c r="OGX11" s="495"/>
      <c r="OGY11" s="495"/>
      <c r="OGZ11" s="495"/>
      <c r="OHA11" s="495"/>
      <c r="OHB11" s="495"/>
      <c r="OHC11" s="495"/>
      <c r="OHD11" s="495"/>
      <c r="OHE11" s="495"/>
      <c r="OHF11" s="495"/>
      <c r="OHG11" s="495"/>
      <c r="OHH11" s="495"/>
      <c r="OHI11" s="495"/>
      <c r="OHJ11" s="495"/>
      <c r="OHK11" s="495"/>
      <c r="OHL11" s="495"/>
      <c r="OHM11" s="495"/>
      <c r="OHN11" s="495"/>
      <c r="OHO11" s="495"/>
      <c r="OHP11" s="495"/>
      <c r="OHQ11" s="495"/>
      <c r="OHR11" s="495"/>
      <c r="OHS11" s="495"/>
      <c r="OHT11" s="495"/>
      <c r="OHU11" s="495"/>
      <c r="OHV11" s="495"/>
      <c r="OHW11" s="495"/>
      <c r="OHX11" s="495"/>
      <c r="OHY11" s="495"/>
      <c r="OHZ11" s="495"/>
      <c r="OIA11" s="495"/>
      <c r="OIB11" s="495"/>
      <c r="OIC11" s="495"/>
      <c r="OID11" s="495"/>
      <c r="OIE11" s="495"/>
      <c r="OIF11" s="495"/>
      <c r="OIG11" s="495"/>
      <c r="OIH11" s="495"/>
      <c r="OII11" s="495"/>
      <c r="OIJ11" s="495"/>
      <c r="OIK11" s="495"/>
      <c r="OIL11" s="495"/>
      <c r="OIM11" s="495"/>
      <c r="OIN11" s="495"/>
      <c r="OIO11" s="495"/>
      <c r="OIP11" s="495"/>
      <c r="OIQ11" s="495"/>
      <c r="OIR11" s="495"/>
      <c r="OIS11" s="495"/>
      <c r="OIT11" s="495"/>
      <c r="OIU11" s="495"/>
      <c r="OIV11" s="495"/>
      <c r="OIW11" s="495"/>
      <c r="OIX11" s="495"/>
      <c r="OIY11" s="495"/>
      <c r="OIZ11" s="495"/>
      <c r="OJA11" s="495"/>
      <c r="OJB11" s="495"/>
      <c r="OJC11" s="495"/>
      <c r="OJD11" s="495"/>
      <c r="OJE11" s="495"/>
      <c r="OJF11" s="495"/>
      <c r="OJG11" s="495"/>
      <c r="OJH11" s="495"/>
      <c r="OJI11" s="495"/>
      <c r="OJJ11" s="495"/>
      <c r="OJK11" s="495"/>
      <c r="OJL11" s="495"/>
      <c r="OJM11" s="495"/>
      <c r="OJN11" s="495"/>
      <c r="OJO11" s="495"/>
      <c r="OJP11" s="495"/>
      <c r="OJQ11" s="495"/>
      <c r="OJR11" s="495"/>
      <c r="OJS11" s="495"/>
      <c r="OJT11" s="495"/>
      <c r="OJU11" s="495"/>
      <c r="OJV11" s="495"/>
      <c r="OJW11" s="495"/>
      <c r="OJX11" s="495"/>
      <c r="OJY11" s="495"/>
      <c r="OJZ11" s="495"/>
      <c r="OKA11" s="495"/>
      <c r="OKB11" s="495"/>
      <c r="OKC11" s="495"/>
      <c r="OKD11" s="495"/>
      <c r="OKE11" s="495"/>
      <c r="OKF11" s="495"/>
      <c r="OKG11" s="495"/>
      <c r="OKH11" s="495"/>
      <c r="OKI11" s="495"/>
      <c r="OKJ11" s="495"/>
      <c r="OKK11" s="495"/>
      <c r="OKL11" s="495"/>
      <c r="OKM11" s="495"/>
      <c r="OKN11" s="495"/>
      <c r="OKO11" s="495"/>
      <c r="OKP11" s="495"/>
      <c r="OKQ11" s="495"/>
      <c r="OKR11" s="495"/>
      <c r="OKS11" s="495"/>
      <c r="OKT11" s="495"/>
      <c r="OKU11" s="495"/>
      <c r="OKV11" s="495"/>
      <c r="OKW11" s="495"/>
      <c r="OKX11" s="495"/>
      <c r="OKY11" s="495"/>
      <c r="OKZ11" s="495"/>
      <c r="OLA11" s="495"/>
      <c r="OLB11" s="495"/>
      <c r="OLC11" s="495"/>
      <c r="OLD11" s="495"/>
      <c r="OLE11" s="495"/>
      <c r="OLF11" s="495"/>
      <c r="OLG11" s="495"/>
      <c r="OLH11" s="495"/>
      <c r="OLI11" s="495"/>
      <c r="OLJ11" s="495"/>
      <c r="OLK11" s="495"/>
      <c r="OLL11" s="495"/>
      <c r="OLM11" s="495"/>
      <c r="OLN11" s="495"/>
      <c r="OLO11" s="495"/>
      <c r="OLP11" s="495"/>
      <c r="OLQ11" s="495"/>
      <c r="OLR11" s="495"/>
      <c r="OLS11" s="495"/>
      <c r="OLT11" s="495"/>
      <c r="OLU11" s="495"/>
      <c r="OLV11" s="495"/>
      <c r="OLW11" s="495"/>
      <c r="OLX11" s="495"/>
      <c r="OLY11" s="495"/>
      <c r="OLZ11" s="495"/>
      <c r="OMA11" s="495"/>
      <c r="OMB11" s="495"/>
      <c r="OMC11" s="495"/>
      <c r="OMD11" s="495"/>
      <c r="OME11" s="495"/>
      <c r="OMF11" s="495"/>
      <c r="OMG11" s="495"/>
      <c r="OMH11" s="495"/>
      <c r="OMI11" s="495"/>
      <c r="OMJ11" s="495"/>
      <c r="OMK11" s="495"/>
      <c r="OML11" s="495"/>
      <c r="OMM11" s="495"/>
      <c r="OMN11" s="495"/>
      <c r="OMO11" s="495"/>
      <c r="OMP11" s="495"/>
      <c r="OMQ11" s="495"/>
      <c r="OMR11" s="495"/>
      <c r="OMS11" s="495"/>
      <c r="OMT11" s="495"/>
      <c r="OMU11" s="495"/>
      <c r="OMV11" s="495"/>
      <c r="OMW11" s="495"/>
      <c r="OMX11" s="495"/>
      <c r="OMY11" s="495"/>
      <c r="OMZ11" s="495"/>
      <c r="ONA11" s="495"/>
      <c r="ONB11" s="495"/>
      <c r="ONC11" s="495"/>
      <c r="OND11" s="495"/>
      <c r="ONE11" s="495"/>
      <c r="ONF11" s="495"/>
      <c r="ONG11" s="495"/>
      <c r="ONH11" s="495"/>
      <c r="ONI11" s="495"/>
      <c r="ONJ11" s="495"/>
      <c r="ONK11" s="495"/>
      <c r="ONL11" s="495"/>
      <c r="ONM11" s="495"/>
      <c r="ONN11" s="495"/>
      <c r="ONO11" s="495"/>
      <c r="ONP11" s="495"/>
      <c r="ONQ11" s="495"/>
      <c r="ONR11" s="495"/>
      <c r="ONS11" s="495"/>
      <c r="ONT11" s="495"/>
      <c r="ONU11" s="495"/>
      <c r="ONV11" s="495"/>
      <c r="ONW11" s="495"/>
      <c r="ONX11" s="495"/>
      <c r="ONY11" s="495"/>
      <c r="ONZ11" s="495"/>
      <c r="OOA11" s="495"/>
      <c r="OOB11" s="495"/>
      <c r="OOC11" s="495"/>
      <c r="OOD11" s="495"/>
      <c r="OOE11" s="495"/>
      <c r="OOF11" s="495"/>
      <c r="OOG11" s="495"/>
      <c r="OOH11" s="495"/>
      <c r="OOI11" s="495"/>
      <c r="OOJ11" s="495"/>
      <c r="OOK11" s="495"/>
      <c r="OOL11" s="495"/>
      <c r="OOM11" s="495"/>
      <c r="OON11" s="495"/>
      <c r="OOO11" s="495"/>
      <c r="OOP11" s="495"/>
      <c r="OOQ11" s="495"/>
      <c r="OOR11" s="495"/>
      <c r="OOS11" s="495"/>
      <c r="OOT11" s="495"/>
      <c r="OOU11" s="495"/>
      <c r="OOV11" s="495"/>
      <c r="OOW11" s="495"/>
      <c r="OOX11" s="495"/>
      <c r="OOY11" s="495"/>
      <c r="OOZ11" s="495"/>
      <c r="OPA11" s="495"/>
      <c r="OPB11" s="495"/>
      <c r="OPC11" s="495"/>
      <c r="OPD11" s="495"/>
      <c r="OPE11" s="495"/>
      <c r="OPF11" s="495"/>
      <c r="OPG11" s="495"/>
      <c r="OPH11" s="495"/>
      <c r="OPI11" s="495"/>
      <c r="OPJ11" s="495"/>
      <c r="OPK11" s="495"/>
      <c r="OPL11" s="495"/>
      <c r="OPM11" s="495"/>
      <c r="OPN11" s="495"/>
      <c r="OPO11" s="495"/>
      <c r="OPP11" s="495"/>
      <c r="OPQ11" s="495"/>
      <c r="OPR11" s="495"/>
      <c r="OPS11" s="495"/>
      <c r="OPT11" s="495"/>
      <c r="OPU11" s="495"/>
      <c r="OPV11" s="495"/>
      <c r="OPW11" s="495"/>
      <c r="OPX11" s="495"/>
      <c r="OPY11" s="495"/>
      <c r="OPZ11" s="495"/>
      <c r="OQA11" s="495"/>
      <c r="OQB11" s="495"/>
      <c r="OQC11" s="495"/>
      <c r="OQD11" s="495"/>
      <c r="OQE11" s="495"/>
      <c r="OQF11" s="495"/>
      <c r="OQG11" s="495"/>
      <c r="OQH11" s="495"/>
      <c r="OQI11" s="495"/>
      <c r="OQJ11" s="495"/>
      <c r="OQK11" s="495"/>
      <c r="OQL11" s="495"/>
      <c r="OQM11" s="495"/>
      <c r="OQN11" s="495"/>
      <c r="OQO11" s="495"/>
      <c r="OQP11" s="495"/>
      <c r="OQQ11" s="495"/>
      <c r="OQR11" s="495"/>
      <c r="OQS11" s="495"/>
      <c r="OQT11" s="495"/>
      <c r="OQU11" s="495"/>
      <c r="OQV11" s="495"/>
      <c r="OQW11" s="495"/>
      <c r="OQX11" s="495"/>
      <c r="OQY11" s="495"/>
      <c r="OQZ11" s="495"/>
      <c r="ORA11" s="495"/>
      <c r="ORB11" s="495"/>
      <c r="ORC11" s="495"/>
      <c r="ORD11" s="495"/>
      <c r="ORE11" s="495"/>
      <c r="ORF11" s="495"/>
      <c r="ORG11" s="495"/>
      <c r="ORH11" s="495"/>
      <c r="ORI11" s="495"/>
      <c r="ORJ11" s="495"/>
      <c r="ORK11" s="495"/>
      <c r="ORL11" s="495"/>
      <c r="ORM11" s="495"/>
      <c r="ORN11" s="495"/>
      <c r="ORO11" s="495"/>
      <c r="ORP11" s="495"/>
      <c r="ORQ11" s="495"/>
      <c r="ORR11" s="495"/>
      <c r="ORS11" s="495"/>
      <c r="ORT11" s="495"/>
      <c r="ORU11" s="495"/>
      <c r="ORV11" s="495"/>
      <c r="ORW11" s="495"/>
      <c r="ORX11" s="495"/>
      <c r="ORY11" s="495"/>
      <c r="ORZ11" s="495"/>
      <c r="OSA11" s="495"/>
      <c r="OSB11" s="495"/>
      <c r="OSC11" s="495"/>
      <c r="OSD11" s="495"/>
      <c r="OSE11" s="495"/>
      <c r="OSF11" s="495"/>
      <c r="OSG11" s="495"/>
      <c r="OSH11" s="495"/>
      <c r="OSI11" s="495"/>
      <c r="OSJ11" s="495"/>
      <c r="OSK11" s="495"/>
      <c r="OSL11" s="495"/>
      <c r="OSM11" s="495"/>
      <c r="OSN11" s="495"/>
      <c r="OSO11" s="495"/>
      <c r="OSP11" s="495"/>
      <c r="OSQ11" s="495"/>
      <c r="OSR11" s="495"/>
      <c r="OSS11" s="495"/>
      <c r="OST11" s="495"/>
      <c r="OSU11" s="495"/>
      <c r="OSV11" s="495"/>
      <c r="OSW11" s="495"/>
      <c r="OSX11" s="495"/>
      <c r="OSY11" s="495"/>
      <c r="OSZ11" s="495"/>
      <c r="OTA11" s="495"/>
      <c r="OTB11" s="495"/>
      <c r="OTC11" s="495"/>
      <c r="OTD11" s="495"/>
      <c r="OTE11" s="495"/>
      <c r="OTF11" s="495"/>
      <c r="OTG11" s="495"/>
      <c r="OTH11" s="495"/>
      <c r="OTI11" s="495"/>
      <c r="OTJ11" s="495"/>
      <c r="OTK11" s="495"/>
      <c r="OTL11" s="495"/>
      <c r="OTM11" s="495"/>
      <c r="OTN11" s="495"/>
      <c r="OTO11" s="495"/>
      <c r="OTP11" s="495"/>
      <c r="OTQ11" s="495"/>
      <c r="OTR11" s="495"/>
      <c r="OTS11" s="495"/>
      <c r="OTT11" s="495"/>
      <c r="OTU11" s="495"/>
      <c r="OTV11" s="495"/>
      <c r="OTW11" s="495"/>
      <c r="OTX11" s="495"/>
      <c r="OTY11" s="495"/>
      <c r="OTZ11" s="495"/>
      <c r="OUA11" s="495"/>
      <c r="OUB11" s="495"/>
      <c r="OUC11" s="495"/>
      <c r="OUD11" s="495"/>
      <c r="OUE11" s="495"/>
      <c r="OUF11" s="495"/>
      <c r="OUG11" s="495"/>
      <c r="OUH11" s="495"/>
      <c r="OUI11" s="495"/>
      <c r="OUJ11" s="495"/>
      <c r="OUK11" s="495"/>
      <c r="OUL11" s="495"/>
      <c r="OUM11" s="495"/>
      <c r="OUN11" s="495"/>
      <c r="OUO11" s="495"/>
      <c r="OUP11" s="495"/>
      <c r="OUQ11" s="495"/>
      <c r="OUR11" s="495"/>
      <c r="OUS11" s="495"/>
      <c r="OUT11" s="495"/>
      <c r="OUU11" s="495"/>
      <c r="OUV11" s="495"/>
      <c r="OUW11" s="495"/>
      <c r="OUX11" s="495"/>
      <c r="OUY11" s="495"/>
      <c r="OUZ11" s="495"/>
      <c r="OVA11" s="495"/>
      <c r="OVB11" s="495"/>
      <c r="OVC11" s="495"/>
      <c r="OVD11" s="495"/>
      <c r="OVE11" s="495"/>
      <c r="OVF11" s="495"/>
      <c r="OVG11" s="495"/>
      <c r="OVH11" s="495"/>
      <c r="OVI11" s="495"/>
      <c r="OVJ11" s="495"/>
      <c r="OVK11" s="495"/>
      <c r="OVL11" s="495"/>
      <c r="OVM11" s="495"/>
      <c r="OVN11" s="495"/>
      <c r="OVO11" s="495"/>
      <c r="OVP11" s="495"/>
      <c r="OVQ11" s="495"/>
      <c r="OVR11" s="495"/>
      <c r="OVS11" s="495"/>
      <c r="OVT11" s="495"/>
      <c r="OVU11" s="495"/>
      <c r="OVV11" s="495"/>
      <c r="OVW11" s="495"/>
      <c r="OVX11" s="495"/>
      <c r="OVY11" s="495"/>
      <c r="OVZ11" s="495"/>
      <c r="OWA11" s="495"/>
      <c r="OWB11" s="495"/>
      <c r="OWC11" s="495"/>
      <c r="OWD11" s="495"/>
      <c r="OWE11" s="495"/>
      <c r="OWF11" s="495"/>
      <c r="OWG11" s="495"/>
      <c r="OWH11" s="495"/>
      <c r="OWI11" s="495"/>
      <c r="OWJ11" s="495"/>
      <c r="OWK11" s="495"/>
      <c r="OWL11" s="495"/>
      <c r="OWM11" s="495"/>
      <c r="OWN11" s="495"/>
      <c r="OWO11" s="495"/>
      <c r="OWP11" s="495"/>
      <c r="OWQ11" s="495"/>
      <c r="OWR11" s="495"/>
      <c r="OWS11" s="495"/>
      <c r="OWT11" s="495"/>
      <c r="OWU11" s="495"/>
      <c r="OWV11" s="495"/>
      <c r="OWW11" s="495"/>
      <c r="OWX11" s="495"/>
      <c r="OWY11" s="495"/>
      <c r="OWZ11" s="495"/>
      <c r="OXA11" s="495"/>
      <c r="OXB11" s="495"/>
      <c r="OXC11" s="495"/>
      <c r="OXD11" s="495"/>
      <c r="OXE11" s="495"/>
      <c r="OXF11" s="495"/>
      <c r="OXG11" s="495"/>
      <c r="OXH11" s="495"/>
      <c r="OXI11" s="495"/>
      <c r="OXJ11" s="495"/>
      <c r="OXK11" s="495"/>
      <c r="OXL11" s="495"/>
      <c r="OXM11" s="495"/>
      <c r="OXN11" s="495"/>
      <c r="OXO11" s="495"/>
      <c r="OXP11" s="495"/>
      <c r="OXQ11" s="495"/>
      <c r="OXR11" s="495"/>
      <c r="OXS11" s="495"/>
      <c r="OXT11" s="495"/>
      <c r="OXU11" s="495"/>
      <c r="OXV11" s="495"/>
      <c r="OXW11" s="495"/>
      <c r="OXX11" s="495"/>
      <c r="OXY11" s="495"/>
      <c r="OXZ11" s="495"/>
      <c r="OYA11" s="495"/>
      <c r="OYB11" s="495"/>
      <c r="OYC11" s="495"/>
      <c r="OYD11" s="495"/>
      <c r="OYE11" s="495"/>
      <c r="OYF11" s="495"/>
      <c r="OYG11" s="495"/>
      <c r="OYH11" s="495"/>
      <c r="OYI11" s="495"/>
      <c r="OYJ11" s="495"/>
      <c r="OYK11" s="495"/>
      <c r="OYL11" s="495"/>
      <c r="OYM11" s="495"/>
      <c r="OYN11" s="495"/>
      <c r="OYO11" s="495"/>
      <c r="OYP11" s="495"/>
      <c r="OYQ11" s="495"/>
      <c r="OYR11" s="495"/>
      <c r="OYS11" s="495"/>
      <c r="OYT11" s="495"/>
      <c r="OYU11" s="495"/>
      <c r="OYV11" s="495"/>
      <c r="OYW11" s="495"/>
      <c r="OYX11" s="495"/>
      <c r="OYY11" s="495"/>
      <c r="OYZ11" s="495"/>
      <c r="OZA11" s="495"/>
      <c r="OZB11" s="495"/>
      <c r="OZC11" s="495"/>
      <c r="OZD11" s="495"/>
      <c r="OZE11" s="495"/>
      <c r="OZF11" s="495"/>
      <c r="OZG11" s="495"/>
      <c r="OZH11" s="495"/>
      <c r="OZI11" s="495"/>
      <c r="OZJ11" s="495"/>
      <c r="OZK11" s="495"/>
      <c r="OZL11" s="495"/>
      <c r="OZM11" s="495"/>
      <c r="OZN11" s="495"/>
      <c r="OZO11" s="495"/>
      <c r="OZP11" s="495"/>
      <c r="OZQ11" s="495"/>
      <c r="OZR11" s="495"/>
      <c r="OZS11" s="495"/>
      <c r="OZT11" s="495"/>
      <c r="OZU11" s="495"/>
      <c r="OZV11" s="495"/>
      <c r="OZW11" s="495"/>
      <c r="OZX11" s="495"/>
      <c r="OZY11" s="495"/>
      <c r="OZZ11" s="495"/>
      <c r="PAA11" s="495"/>
      <c r="PAB11" s="495"/>
      <c r="PAC11" s="495"/>
      <c r="PAD11" s="495"/>
      <c r="PAE11" s="495"/>
      <c r="PAF11" s="495"/>
      <c r="PAG11" s="495"/>
      <c r="PAH11" s="495"/>
      <c r="PAI11" s="495"/>
      <c r="PAJ11" s="495"/>
      <c r="PAK11" s="495"/>
      <c r="PAL11" s="495"/>
      <c r="PAM11" s="495"/>
      <c r="PAN11" s="495"/>
      <c r="PAO11" s="495"/>
      <c r="PAP11" s="495"/>
      <c r="PAQ11" s="495"/>
      <c r="PAR11" s="495"/>
      <c r="PAS11" s="495"/>
      <c r="PAT11" s="495"/>
      <c r="PAU11" s="495"/>
      <c r="PAV11" s="495"/>
      <c r="PAW11" s="495"/>
      <c r="PAX11" s="495"/>
      <c r="PAY11" s="495"/>
      <c r="PAZ11" s="495"/>
      <c r="PBA11" s="495"/>
      <c r="PBB11" s="495"/>
      <c r="PBC11" s="495"/>
      <c r="PBD11" s="495"/>
      <c r="PBE11" s="495"/>
      <c r="PBF11" s="495"/>
      <c r="PBG11" s="495"/>
      <c r="PBH11" s="495"/>
      <c r="PBI11" s="495"/>
      <c r="PBJ11" s="495"/>
      <c r="PBK11" s="495"/>
      <c r="PBL11" s="495"/>
      <c r="PBM11" s="495"/>
      <c r="PBN11" s="495"/>
      <c r="PBO11" s="495"/>
      <c r="PBP11" s="495"/>
      <c r="PBQ11" s="495"/>
      <c r="PBR11" s="495"/>
      <c r="PBS11" s="495"/>
      <c r="PBT11" s="495"/>
      <c r="PBU11" s="495"/>
      <c r="PBV11" s="495"/>
      <c r="PBW11" s="495"/>
      <c r="PBX11" s="495"/>
      <c r="PBY11" s="495"/>
      <c r="PBZ11" s="495"/>
      <c r="PCA11" s="495"/>
      <c r="PCB11" s="495"/>
      <c r="PCC11" s="495"/>
      <c r="PCD11" s="495"/>
      <c r="PCE11" s="495"/>
      <c r="PCF11" s="495"/>
      <c r="PCG11" s="495"/>
      <c r="PCH11" s="495"/>
      <c r="PCI11" s="495"/>
      <c r="PCJ11" s="495"/>
      <c r="PCK11" s="495"/>
      <c r="PCL11" s="495"/>
      <c r="PCM11" s="495"/>
      <c r="PCN11" s="495"/>
      <c r="PCO11" s="495"/>
      <c r="PCP11" s="495"/>
      <c r="PCQ11" s="495"/>
      <c r="PCR11" s="495"/>
      <c r="PCS11" s="495"/>
      <c r="PCT11" s="495"/>
      <c r="PCU11" s="495"/>
      <c r="PCV11" s="495"/>
      <c r="PCW11" s="495"/>
      <c r="PCX11" s="495"/>
      <c r="PCY11" s="495"/>
      <c r="PCZ11" s="495"/>
      <c r="PDA11" s="495"/>
      <c r="PDB11" s="495"/>
      <c r="PDC11" s="495"/>
      <c r="PDD11" s="495"/>
      <c r="PDE11" s="495"/>
      <c r="PDF11" s="495"/>
      <c r="PDG11" s="495"/>
      <c r="PDH11" s="495"/>
      <c r="PDI11" s="495"/>
      <c r="PDJ11" s="495"/>
      <c r="PDK11" s="495"/>
      <c r="PDL11" s="495"/>
      <c r="PDM11" s="495"/>
      <c r="PDN11" s="495"/>
      <c r="PDO11" s="495"/>
      <c r="PDP11" s="495"/>
      <c r="PDQ11" s="495"/>
      <c r="PDR11" s="495"/>
      <c r="PDS11" s="495"/>
      <c r="PDT11" s="495"/>
      <c r="PDU11" s="495"/>
      <c r="PDV11" s="495"/>
      <c r="PDW11" s="495"/>
      <c r="PDX11" s="495"/>
      <c r="PDY11" s="495"/>
      <c r="PDZ11" s="495"/>
      <c r="PEA11" s="495"/>
      <c r="PEB11" s="495"/>
      <c r="PEC11" s="495"/>
      <c r="PED11" s="495"/>
      <c r="PEE11" s="495"/>
      <c r="PEF11" s="495"/>
      <c r="PEG11" s="495"/>
      <c r="PEH11" s="495"/>
      <c r="PEI11" s="495"/>
      <c r="PEJ11" s="495"/>
      <c r="PEK11" s="495"/>
      <c r="PEL11" s="495"/>
      <c r="PEM11" s="495"/>
      <c r="PEN11" s="495"/>
      <c r="PEO11" s="495"/>
      <c r="PEP11" s="495"/>
      <c r="PEQ11" s="495"/>
      <c r="PER11" s="495"/>
      <c r="PES11" s="495"/>
      <c r="PET11" s="495"/>
      <c r="PEU11" s="495"/>
      <c r="PEV11" s="495"/>
      <c r="PEW11" s="495"/>
      <c r="PEX11" s="495"/>
      <c r="PEY11" s="495"/>
      <c r="PEZ11" s="495"/>
      <c r="PFA11" s="495"/>
      <c r="PFB11" s="495"/>
      <c r="PFC11" s="495"/>
      <c r="PFD11" s="495"/>
      <c r="PFE11" s="495"/>
      <c r="PFF11" s="495"/>
      <c r="PFG11" s="495"/>
      <c r="PFH11" s="495"/>
      <c r="PFI11" s="495"/>
      <c r="PFJ11" s="495"/>
      <c r="PFK11" s="495"/>
      <c r="PFL11" s="495"/>
      <c r="PFM11" s="495"/>
      <c r="PFN11" s="495"/>
      <c r="PFO11" s="495"/>
      <c r="PFP11" s="495"/>
      <c r="PFQ11" s="495"/>
      <c r="PFR11" s="495"/>
      <c r="PFS11" s="495"/>
      <c r="PFT11" s="495"/>
      <c r="PFU11" s="495"/>
      <c r="PFV11" s="495"/>
      <c r="PFW11" s="495"/>
      <c r="PFX11" s="495"/>
      <c r="PFY11" s="495"/>
      <c r="PFZ11" s="495"/>
      <c r="PGA11" s="495"/>
      <c r="PGB11" s="495"/>
      <c r="PGC11" s="495"/>
      <c r="PGD11" s="495"/>
      <c r="PGE11" s="495"/>
      <c r="PGF11" s="495"/>
      <c r="PGG11" s="495"/>
      <c r="PGH11" s="495"/>
      <c r="PGI11" s="495"/>
      <c r="PGJ11" s="495"/>
      <c r="PGK11" s="495"/>
      <c r="PGL11" s="495"/>
      <c r="PGM11" s="495"/>
      <c r="PGN11" s="495"/>
      <c r="PGO11" s="495"/>
      <c r="PGP11" s="495"/>
      <c r="PGQ11" s="495"/>
      <c r="PGR11" s="495"/>
      <c r="PGS11" s="495"/>
      <c r="PGT11" s="495"/>
      <c r="PGU11" s="495"/>
      <c r="PGV11" s="495"/>
      <c r="PGW11" s="495"/>
      <c r="PGX11" s="495"/>
      <c r="PGY11" s="495"/>
      <c r="PGZ11" s="495"/>
      <c r="PHA11" s="495"/>
      <c r="PHB11" s="495"/>
      <c r="PHC11" s="495"/>
      <c r="PHD11" s="495"/>
      <c r="PHE11" s="495"/>
      <c r="PHF11" s="495"/>
      <c r="PHG11" s="495"/>
      <c r="PHH11" s="495"/>
      <c r="PHI11" s="495"/>
      <c r="PHJ11" s="495"/>
      <c r="PHK11" s="495"/>
      <c r="PHL11" s="495"/>
      <c r="PHM11" s="495"/>
      <c r="PHN11" s="495"/>
      <c r="PHO11" s="495"/>
      <c r="PHP11" s="495"/>
      <c r="PHQ11" s="495"/>
      <c r="PHR11" s="495"/>
      <c r="PHS11" s="495"/>
      <c r="PHT11" s="495"/>
      <c r="PHU11" s="495"/>
      <c r="PHV11" s="495"/>
      <c r="PHW11" s="495"/>
      <c r="PHX11" s="495"/>
      <c r="PHY11" s="495"/>
      <c r="PHZ11" s="495"/>
      <c r="PIA11" s="495"/>
      <c r="PIB11" s="495"/>
      <c r="PIC11" s="495"/>
      <c r="PID11" s="495"/>
      <c r="PIE11" s="495"/>
      <c r="PIF11" s="495"/>
      <c r="PIG11" s="495"/>
      <c r="PIH11" s="495"/>
      <c r="PII11" s="495"/>
      <c r="PIJ11" s="495"/>
      <c r="PIK11" s="495"/>
      <c r="PIL11" s="495"/>
      <c r="PIM11" s="495"/>
      <c r="PIN11" s="495"/>
      <c r="PIO11" s="495"/>
      <c r="PIP11" s="495"/>
      <c r="PIQ11" s="495"/>
      <c r="PIR11" s="495"/>
      <c r="PIS11" s="495"/>
      <c r="PIT11" s="495"/>
      <c r="PIU11" s="495"/>
      <c r="PIV11" s="495"/>
      <c r="PIW11" s="495"/>
      <c r="PIX11" s="495"/>
      <c r="PIY11" s="495"/>
      <c r="PIZ11" s="495"/>
      <c r="PJA11" s="495"/>
      <c r="PJB11" s="495"/>
      <c r="PJC11" s="495"/>
      <c r="PJD11" s="495"/>
      <c r="PJE11" s="495"/>
      <c r="PJF11" s="495"/>
      <c r="PJG11" s="495"/>
      <c r="PJH11" s="495"/>
      <c r="PJI11" s="495"/>
      <c r="PJJ11" s="495"/>
      <c r="PJK11" s="495"/>
      <c r="PJL11" s="495"/>
      <c r="PJM11" s="495"/>
      <c r="PJN11" s="495"/>
      <c r="PJO11" s="495"/>
      <c r="PJP11" s="495"/>
      <c r="PJQ11" s="495"/>
      <c r="PJR11" s="495"/>
      <c r="PJS11" s="495"/>
      <c r="PJT11" s="495"/>
      <c r="PJU11" s="495"/>
      <c r="PJV11" s="495"/>
      <c r="PJW11" s="495"/>
      <c r="PJX11" s="495"/>
      <c r="PJY11" s="495"/>
      <c r="PJZ11" s="495"/>
      <c r="PKA11" s="495"/>
      <c r="PKB11" s="495"/>
      <c r="PKC11" s="495"/>
      <c r="PKD11" s="495"/>
      <c r="PKE11" s="495"/>
      <c r="PKF11" s="495"/>
      <c r="PKG11" s="495"/>
      <c r="PKH11" s="495"/>
      <c r="PKI11" s="495"/>
      <c r="PKJ11" s="495"/>
      <c r="PKK11" s="495"/>
      <c r="PKL11" s="495"/>
      <c r="PKM11" s="495"/>
      <c r="PKN11" s="495"/>
      <c r="PKO11" s="495"/>
      <c r="PKP11" s="495"/>
      <c r="PKQ11" s="495"/>
      <c r="PKR11" s="495"/>
      <c r="PKS11" s="495"/>
      <c r="PKT11" s="495"/>
      <c r="PKU11" s="495"/>
      <c r="PKV11" s="495"/>
      <c r="PKW11" s="495"/>
      <c r="PKX11" s="495"/>
      <c r="PKY11" s="495"/>
      <c r="PKZ11" s="495"/>
      <c r="PLA11" s="495"/>
      <c r="PLB11" s="495"/>
      <c r="PLC11" s="495"/>
      <c r="PLD11" s="495"/>
      <c r="PLE11" s="495"/>
      <c r="PLF11" s="495"/>
      <c r="PLG11" s="495"/>
      <c r="PLH11" s="495"/>
      <c r="PLI11" s="495"/>
      <c r="PLJ11" s="495"/>
      <c r="PLK11" s="495"/>
      <c r="PLL11" s="495"/>
      <c r="PLM11" s="495"/>
      <c r="PLN11" s="495"/>
      <c r="PLO11" s="495"/>
      <c r="PLP11" s="495"/>
      <c r="PLQ11" s="495"/>
      <c r="PLR11" s="495"/>
      <c r="PLS11" s="495"/>
      <c r="PLT11" s="495"/>
      <c r="PLU11" s="495"/>
      <c r="PLV11" s="495"/>
      <c r="PLW11" s="495"/>
      <c r="PLX11" s="495"/>
      <c r="PLY11" s="495"/>
      <c r="PLZ11" s="495"/>
      <c r="PMA11" s="495"/>
      <c r="PMB11" s="495"/>
      <c r="PMC11" s="495"/>
      <c r="PMD11" s="495"/>
      <c r="PME11" s="495"/>
      <c r="PMF11" s="495"/>
      <c r="PMG11" s="495"/>
      <c r="PMH11" s="495"/>
      <c r="PMI11" s="495"/>
      <c r="PMJ11" s="495"/>
      <c r="PMK11" s="495"/>
      <c r="PML11" s="495"/>
      <c r="PMM11" s="495"/>
      <c r="PMN11" s="495"/>
      <c r="PMO11" s="495"/>
      <c r="PMP11" s="495"/>
      <c r="PMQ11" s="495"/>
      <c r="PMR11" s="495"/>
      <c r="PMS11" s="495"/>
      <c r="PMT11" s="495"/>
      <c r="PMU11" s="495"/>
      <c r="PMV11" s="495"/>
      <c r="PMW11" s="495"/>
      <c r="PMX11" s="495"/>
      <c r="PMY11" s="495"/>
      <c r="PMZ11" s="495"/>
      <c r="PNA11" s="495"/>
      <c r="PNB11" s="495"/>
      <c r="PNC11" s="495"/>
      <c r="PND11" s="495"/>
      <c r="PNE11" s="495"/>
      <c r="PNF11" s="495"/>
      <c r="PNG11" s="495"/>
      <c r="PNH11" s="495"/>
      <c r="PNI11" s="495"/>
      <c r="PNJ11" s="495"/>
      <c r="PNK11" s="495"/>
      <c r="PNL11" s="495"/>
      <c r="PNM11" s="495"/>
      <c r="PNN11" s="495"/>
      <c r="PNO11" s="495"/>
      <c r="PNP11" s="495"/>
      <c r="PNQ11" s="495"/>
      <c r="PNR11" s="495"/>
      <c r="PNS11" s="495"/>
      <c r="PNT11" s="495"/>
      <c r="PNU11" s="495"/>
      <c r="PNV11" s="495"/>
      <c r="PNW11" s="495"/>
      <c r="PNX11" s="495"/>
      <c r="PNY11" s="495"/>
      <c r="PNZ11" s="495"/>
      <c r="POA11" s="495"/>
      <c r="POB11" s="495"/>
      <c r="POC11" s="495"/>
      <c r="POD11" s="495"/>
      <c r="POE11" s="495"/>
      <c r="POF11" s="495"/>
      <c r="POG11" s="495"/>
      <c r="POH11" s="495"/>
      <c r="POI11" s="495"/>
      <c r="POJ11" s="495"/>
      <c r="POK11" s="495"/>
      <c r="POL11" s="495"/>
      <c r="POM11" s="495"/>
      <c r="PON11" s="495"/>
      <c r="POO11" s="495"/>
      <c r="POP11" s="495"/>
      <c r="POQ11" s="495"/>
      <c r="POR11" s="495"/>
      <c r="POS11" s="495"/>
      <c r="POT11" s="495"/>
      <c r="POU11" s="495"/>
      <c r="POV11" s="495"/>
      <c r="POW11" s="495"/>
      <c r="POX11" s="495"/>
      <c r="POY11" s="495"/>
      <c r="POZ11" s="495"/>
      <c r="PPA11" s="495"/>
      <c r="PPB11" s="495"/>
      <c r="PPC11" s="495"/>
      <c r="PPD11" s="495"/>
      <c r="PPE11" s="495"/>
      <c r="PPF11" s="495"/>
      <c r="PPG11" s="495"/>
      <c r="PPH11" s="495"/>
      <c r="PPI11" s="495"/>
      <c r="PPJ11" s="495"/>
      <c r="PPK11" s="495"/>
      <c r="PPL11" s="495"/>
      <c r="PPM11" s="495"/>
      <c r="PPN11" s="495"/>
      <c r="PPO11" s="495"/>
      <c r="PPP11" s="495"/>
      <c r="PPQ11" s="495"/>
      <c r="PPR11" s="495"/>
      <c r="PPS11" s="495"/>
      <c r="PPT11" s="495"/>
      <c r="PPU11" s="495"/>
      <c r="PPV11" s="495"/>
      <c r="PPW11" s="495"/>
      <c r="PPX11" s="495"/>
      <c r="PPY11" s="495"/>
      <c r="PPZ11" s="495"/>
      <c r="PQA11" s="495"/>
      <c r="PQB11" s="495"/>
      <c r="PQC11" s="495"/>
      <c r="PQD11" s="495"/>
      <c r="PQE11" s="495"/>
      <c r="PQF11" s="495"/>
      <c r="PQG11" s="495"/>
      <c r="PQH11" s="495"/>
      <c r="PQI11" s="495"/>
      <c r="PQJ11" s="495"/>
      <c r="PQK11" s="495"/>
      <c r="PQL11" s="495"/>
      <c r="PQM11" s="495"/>
      <c r="PQN11" s="495"/>
      <c r="PQO11" s="495"/>
      <c r="PQP11" s="495"/>
      <c r="PQQ11" s="495"/>
      <c r="PQR11" s="495"/>
      <c r="PQS11" s="495"/>
      <c r="PQT11" s="495"/>
      <c r="PQU11" s="495"/>
      <c r="PQV11" s="495"/>
      <c r="PQW11" s="495"/>
      <c r="PQX11" s="495"/>
      <c r="PQY11" s="495"/>
      <c r="PQZ11" s="495"/>
      <c r="PRA11" s="495"/>
      <c r="PRB11" s="495"/>
      <c r="PRC11" s="495"/>
      <c r="PRD11" s="495"/>
      <c r="PRE11" s="495"/>
      <c r="PRF11" s="495"/>
      <c r="PRG11" s="495"/>
      <c r="PRH11" s="495"/>
      <c r="PRI11" s="495"/>
      <c r="PRJ11" s="495"/>
      <c r="PRK11" s="495"/>
      <c r="PRL11" s="495"/>
      <c r="PRM11" s="495"/>
      <c r="PRN11" s="495"/>
      <c r="PRO11" s="495"/>
      <c r="PRP11" s="495"/>
      <c r="PRQ11" s="495"/>
      <c r="PRR11" s="495"/>
      <c r="PRS11" s="495"/>
      <c r="PRT11" s="495"/>
      <c r="PRU11" s="495"/>
      <c r="PRV11" s="495"/>
      <c r="PRW11" s="495"/>
      <c r="PRX11" s="495"/>
      <c r="PRY11" s="495"/>
      <c r="PRZ11" s="495"/>
      <c r="PSA11" s="495"/>
      <c r="PSB11" s="495"/>
      <c r="PSC11" s="495"/>
      <c r="PSD11" s="495"/>
      <c r="PSE11" s="495"/>
      <c r="PSF11" s="495"/>
      <c r="PSG11" s="495"/>
      <c r="PSH11" s="495"/>
      <c r="PSI11" s="495"/>
      <c r="PSJ11" s="495"/>
      <c r="PSK11" s="495"/>
      <c r="PSL11" s="495"/>
      <c r="PSM11" s="495"/>
      <c r="PSN11" s="495"/>
      <c r="PSO11" s="495"/>
      <c r="PSP11" s="495"/>
      <c r="PSQ11" s="495"/>
      <c r="PSR11" s="495"/>
      <c r="PSS11" s="495"/>
      <c r="PST11" s="495"/>
      <c r="PSU11" s="495"/>
      <c r="PSV11" s="495"/>
      <c r="PSW11" s="495"/>
      <c r="PSX11" s="495"/>
      <c r="PSY11" s="495"/>
      <c r="PSZ11" s="495"/>
      <c r="PTA11" s="495"/>
      <c r="PTB11" s="495"/>
      <c r="PTC11" s="495"/>
      <c r="PTD11" s="495"/>
      <c r="PTE11" s="495"/>
      <c r="PTF11" s="495"/>
      <c r="PTG11" s="495"/>
      <c r="PTH11" s="495"/>
      <c r="PTI11" s="495"/>
      <c r="PTJ11" s="495"/>
      <c r="PTK11" s="495"/>
      <c r="PTL11" s="495"/>
      <c r="PTM11" s="495"/>
      <c r="PTN11" s="495"/>
      <c r="PTO11" s="495"/>
      <c r="PTP11" s="495"/>
      <c r="PTQ11" s="495"/>
      <c r="PTR11" s="495"/>
      <c r="PTS11" s="495"/>
      <c r="PTT11" s="495"/>
      <c r="PTU11" s="495"/>
      <c r="PTV11" s="495"/>
      <c r="PTW11" s="495"/>
      <c r="PTX11" s="495"/>
      <c r="PTY11" s="495"/>
      <c r="PTZ11" s="495"/>
      <c r="PUA11" s="495"/>
      <c r="PUB11" s="495"/>
      <c r="PUC11" s="495"/>
      <c r="PUD11" s="495"/>
      <c r="PUE11" s="495"/>
      <c r="PUF11" s="495"/>
      <c r="PUG11" s="495"/>
      <c r="PUH11" s="495"/>
      <c r="PUI11" s="495"/>
      <c r="PUJ11" s="495"/>
      <c r="PUK11" s="495"/>
      <c r="PUL11" s="495"/>
      <c r="PUM11" s="495"/>
      <c r="PUN11" s="495"/>
      <c r="PUO11" s="495"/>
      <c r="PUP11" s="495"/>
      <c r="PUQ11" s="495"/>
      <c r="PUR11" s="495"/>
      <c r="PUS11" s="495"/>
      <c r="PUT11" s="495"/>
      <c r="PUU11" s="495"/>
      <c r="PUV11" s="495"/>
      <c r="PUW11" s="495"/>
      <c r="PUX11" s="495"/>
      <c r="PUY11" s="495"/>
      <c r="PUZ11" s="495"/>
      <c r="PVA11" s="495"/>
      <c r="PVB11" s="495"/>
      <c r="PVC11" s="495"/>
      <c r="PVD11" s="495"/>
      <c r="PVE11" s="495"/>
      <c r="PVF11" s="495"/>
      <c r="PVG11" s="495"/>
      <c r="PVH11" s="495"/>
      <c r="PVI11" s="495"/>
      <c r="PVJ11" s="495"/>
      <c r="PVK11" s="495"/>
      <c r="PVL11" s="495"/>
      <c r="PVM11" s="495"/>
      <c r="PVN11" s="495"/>
      <c r="PVO11" s="495"/>
      <c r="PVP11" s="495"/>
      <c r="PVQ11" s="495"/>
      <c r="PVR11" s="495"/>
      <c r="PVS11" s="495"/>
      <c r="PVT11" s="495"/>
      <c r="PVU11" s="495"/>
      <c r="PVV11" s="495"/>
      <c r="PVW11" s="495"/>
      <c r="PVX11" s="495"/>
      <c r="PVY11" s="495"/>
      <c r="PVZ11" s="495"/>
      <c r="PWA11" s="495"/>
      <c r="PWB11" s="495"/>
      <c r="PWC11" s="495"/>
      <c r="PWD11" s="495"/>
      <c r="PWE11" s="495"/>
      <c r="PWF11" s="495"/>
      <c r="PWG11" s="495"/>
      <c r="PWH11" s="495"/>
      <c r="PWI11" s="495"/>
      <c r="PWJ11" s="495"/>
      <c r="PWK11" s="495"/>
      <c r="PWL11" s="495"/>
      <c r="PWM11" s="495"/>
      <c r="PWN11" s="495"/>
      <c r="PWO11" s="495"/>
      <c r="PWP11" s="495"/>
      <c r="PWQ11" s="495"/>
      <c r="PWR11" s="495"/>
      <c r="PWS11" s="495"/>
      <c r="PWT11" s="495"/>
      <c r="PWU11" s="495"/>
      <c r="PWV11" s="495"/>
      <c r="PWW11" s="495"/>
      <c r="PWX11" s="495"/>
      <c r="PWY11" s="495"/>
      <c r="PWZ11" s="495"/>
      <c r="PXA11" s="495"/>
      <c r="PXB11" s="495"/>
      <c r="PXC11" s="495"/>
      <c r="PXD11" s="495"/>
      <c r="PXE11" s="495"/>
      <c r="PXF11" s="495"/>
      <c r="PXG11" s="495"/>
      <c r="PXH11" s="495"/>
      <c r="PXI11" s="495"/>
      <c r="PXJ11" s="495"/>
      <c r="PXK11" s="495"/>
      <c r="PXL11" s="495"/>
      <c r="PXM11" s="495"/>
      <c r="PXN11" s="495"/>
      <c r="PXO11" s="495"/>
      <c r="PXP11" s="495"/>
      <c r="PXQ11" s="495"/>
      <c r="PXR11" s="495"/>
      <c r="PXS11" s="495"/>
      <c r="PXT11" s="495"/>
      <c r="PXU11" s="495"/>
      <c r="PXV11" s="495"/>
      <c r="PXW11" s="495"/>
      <c r="PXX11" s="495"/>
      <c r="PXY11" s="495"/>
      <c r="PXZ11" s="495"/>
      <c r="PYA11" s="495"/>
      <c r="PYB11" s="495"/>
      <c r="PYC11" s="495"/>
      <c r="PYD11" s="495"/>
      <c r="PYE11" s="495"/>
      <c r="PYF11" s="495"/>
      <c r="PYG11" s="495"/>
      <c r="PYH11" s="495"/>
      <c r="PYI11" s="495"/>
      <c r="PYJ11" s="495"/>
      <c r="PYK11" s="495"/>
      <c r="PYL11" s="495"/>
      <c r="PYM11" s="495"/>
      <c r="PYN11" s="495"/>
      <c r="PYO11" s="495"/>
      <c r="PYP11" s="495"/>
      <c r="PYQ11" s="495"/>
      <c r="PYR11" s="495"/>
      <c r="PYS11" s="495"/>
      <c r="PYT11" s="495"/>
      <c r="PYU11" s="495"/>
      <c r="PYV11" s="495"/>
      <c r="PYW11" s="495"/>
      <c r="PYX11" s="495"/>
      <c r="PYY11" s="495"/>
      <c r="PYZ11" s="495"/>
      <c r="PZA11" s="495"/>
      <c r="PZB11" s="495"/>
      <c r="PZC11" s="495"/>
      <c r="PZD11" s="495"/>
      <c r="PZE11" s="495"/>
      <c r="PZF11" s="495"/>
      <c r="PZG11" s="495"/>
      <c r="PZH11" s="495"/>
      <c r="PZI11" s="495"/>
      <c r="PZJ11" s="495"/>
      <c r="PZK11" s="495"/>
      <c r="PZL11" s="495"/>
      <c r="PZM11" s="495"/>
      <c r="PZN11" s="495"/>
      <c r="PZO11" s="495"/>
      <c r="PZP11" s="495"/>
      <c r="PZQ11" s="495"/>
      <c r="PZR11" s="495"/>
      <c r="PZS11" s="495"/>
      <c r="PZT11" s="495"/>
      <c r="PZU11" s="495"/>
      <c r="PZV11" s="495"/>
      <c r="PZW11" s="495"/>
      <c r="PZX11" s="495"/>
      <c r="PZY11" s="495"/>
      <c r="PZZ11" s="495"/>
      <c r="QAA11" s="495"/>
      <c r="QAB11" s="495"/>
      <c r="QAC11" s="495"/>
      <c r="QAD11" s="495"/>
      <c r="QAE11" s="495"/>
      <c r="QAF11" s="495"/>
      <c r="QAG11" s="495"/>
      <c r="QAH11" s="495"/>
      <c r="QAI11" s="495"/>
      <c r="QAJ11" s="495"/>
      <c r="QAK11" s="495"/>
      <c r="QAL11" s="495"/>
      <c r="QAM11" s="495"/>
      <c r="QAN11" s="495"/>
      <c r="QAO11" s="495"/>
      <c r="QAP11" s="495"/>
      <c r="QAQ11" s="495"/>
      <c r="QAR11" s="495"/>
      <c r="QAS11" s="495"/>
      <c r="QAT11" s="495"/>
      <c r="QAU11" s="495"/>
      <c r="QAV11" s="495"/>
      <c r="QAW11" s="495"/>
      <c r="QAX11" s="495"/>
      <c r="QAY11" s="495"/>
      <c r="QAZ11" s="495"/>
      <c r="QBA11" s="495"/>
      <c r="QBB11" s="495"/>
      <c r="QBC11" s="495"/>
      <c r="QBD11" s="495"/>
      <c r="QBE11" s="495"/>
      <c r="QBF11" s="495"/>
      <c r="QBG11" s="495"/>
      <c r="QBH11" s="495"/>
      <c r="QBI11" s="495"/>
      <c r="QBJ11" s="495"/>
      <c r="QBK11" s="495"/>
      <c r="QBL11" s="495"/>
      <c r="QBM11" s="495"/>
      <c r="QBN11" s="495"/>
      <c r="QBO11" s="495"/>
      <c r="QBP11" s="495"/>
      <c r="QBQ11" s="495"/>
      <c r="QBR11" s="495"/>
      <c r="QBS11" s="495"/>
      <c r="QBT11" s="495"/>
      <c r="QBU11" s="495"/>
      <c r="QBV11" s="495"/>
      <c r="QBW11" s="495"/>
      <c r="QBX11" s="495"/>
      <c r="QBY11" s="495"/>
      <c r="QBZ11" s="495"/>
      <c r="QCA11" s="495"/>
      <c r="QCB11" s="495"/>
      <c r="QCC11" s="495"/>
      <c r="QCD11" s="495"/>
      <c r="QCE11" s="495"/>
      <c r="QCF11" s="495"/>
      <c r="QCG11" s="495"/>
      <c r="QCH11" s="495"/>
      <c r="QCI11" s="495"/>
      <c r="QCJ11" s="495"/>
      <c r="QCK11" s="495"/>
      <c r="QCL11" s="495"/>
      <c r="QCM11" s="495"/>
      <c r="QCN11" s="495"/>
      <c r="QCO11" s="495"/>
      <c r="QCP11" s="495"/>
      <c r="QCQ11" s="495"/>
      <c r="QCR11" s="495"/>
      <c r="QCS11" s="495"/>
      <c r="QCT11" s="495"/>
      <c r="QCU11" s="495"/>
      <c r="QCV11" s="495"/>
      <c r="QCW11" s="495"/>
      <c r="QCX11" s="495"/>
      <c r="QCY11" s="495"/>
      <c r="QCZ11" s="495"/>
      <c r="QDA11" s="495"/>
      <c r="QDB11" s="495"/>
      <c r="QDC11" s="495"/>
      <c r="QDD11" s="495"/>
      <c r="QDE11" s="495"/>
      <c r="QDF11" s="495"/>
      <c r="QDG11" s="495"/>
      <c r="QDH11" s="495"/>
      <c r="QDI11" s="495"/>
      <c r="QDJ11" s="495"/>
      <c r="QDK11" s="495"/>
      <c r="QDL11" s="495"/>
      <c r="QDM11" s="495"/>
      <c r="QDN11" s="495"/>
      <c r="QDO11" s="495"/>
      <c r="QDP11" s="495"/>
      <c r="QDQ11" s="495"/>
      <c r="QDR11" s="495"/>
      <c r="QDS11" s="495"/>
      <c r="QDT11" s="495"/>
      <c r="QDU11" s="495"/>
      <c r="QDV11" s="495"/>
      <c r="QDW11" s="495"/>
      <c r="QDX11" s="495"/>
      <c r="QDY11" s="495"/>
      <c r="QDZ11" s="495"/>
      <c r="QEA11" s="495"/>
      <c r="QEB11" s="495"/>
      <c r="QEC11" s="495"/>
      <c r="QED11" s="495"/>
      <c r="QEE11" s="495"/>
      <c r="QEF11" s="495"/>
      <c r="QEG11" s="495"/>
      <c r="QEH11" s="495"/>
      <c r="QEI11" s="495"/>
      <c r="QEJ11" s="495"/>
      <c r="QEK11" s="495"/>
      <c r="QEL11" s="495"/>
      <c r="QEM11" s="495"/>
      <c r="QEN11" s="495"/>
      <c r="QEO11" s="495"/>
      <c r="QEP11" s="495"/>
      <c r="QEQ11" s="495"/>
      <c r="QER11" s="495"/>
      <c r="QES11" s="495"/>
      <c r="QET11" s="495"/>
      <c r="QEU11" s="495"/>
      <c r="QEV11" s="495"/>
      <c r="QEW11" s="495"/>
      <c r="QEX11" s="495"/>
      <c r="QEY11" s="495"/>
      <c r="QEZ11" s="495"/>
      <c r="QFA11" s="495"/>
      <c r="QFB11" s="495"/>
      <c r="QFC11" s="495"/>
      <c r="QFD11" s="495"/>
      <c r="QFE11" s="495"/>
      <c r="QFF11" s="495"/>
      <c r="QFG11" s="495"/>
      <c r="QFH11" s="495"/>
      <c r="QFI11" s="495"/>
      <c r="QFJ11" s="495"/>
      <c r="QFK11" s="495"/>
      <c r="QFL11" s="495"/>
      <c r="QFM11" s="495"/>
      <c r="QFN11" s="495"/>
      <c r="QFO11" s="495"/>
      <c r="QFP11" s="495"/>
      <c r="QFQ11" s="495"/>
      <c r="QFR11" s="495"/>
      <c r="QFS11" s="495"/>
      <c r="QFT11" s="495"/>
      <c r="QFU11" s="495"/>
      <c r="QFV11" s="495"/>
      <c r="QFW11" s="495"/>
      <c r="QFX11" s="495"/>
      <c r="QFY11" s="495"/>
      <c r="QFZ11" s="495"/>
      <c r="QGA11" s="495"/>
      <c r="QGB11" s="495"/>
      <c r="QGC11" s="495"/>
      <c r="QGD11" s="495"/>
      <c r="QGE11" s="495"/>
      <c r="QGF11" s="495"/>
      <c r="QGG11" s="495"/>
      <c r="QGH11" s="495"/>
      <c r="QGI11" s="495"/>
      <c r="QGJ11" s="495"/>
      <c r="QGK11" s="495"/>
      <c r="QGL11" s="495"/>
      <c r="QGM11" s="495"/>
      <c r="QGN11" s="495"/>
      <c r="QGO11" s="495"/>
      <c r="QGP11" s="495"/>
      <c r="QGQ11" s="495"/>
      <c r="QGR11" s="495"/>
      <c r="QGS11" s="495"/>
      <c r="QGT11" s="495"/>
      <c r="QGU11" s="495"/>
      <c r="QGV11" s="495"/>
      <c r="QGW11" s="495"/>
      <c r="QGX11" s="495"/>
      <c r="QGY11" s="495"/>
      <c r="QGZ11" s="495"/>
      <c r="QHA11" s="495"/>
      <c r="QHB11" s="495"/>
      <c r="QHC11" s="495"/>
      <c r="QHD11" s="495"/>
      <c r="QHE11" s="495"/>
      <c r="QHF11" s="495"/>
      <c r="QHG11" s="495"/>
      <c r="QHH11" s="495"/>
      <c r="QHI11" s="495"/>
      <c r="QHJ11" s="495"/>
      <c r="QHK11" s="495"/>
      <c r="QHL11" s="495"/>
      <c r="QHM11" s="495"/>
      <c r="QHN11" s="495"/>
      <c r="QHO11" s="495"/>
      <c r="QHP11" s="495"/>
      <c r="QHQ11" s="495"/>
      <c r="QHR11" s="495"/>
      <c r="QHS11" s="495"/>
      <c r="QHT11" s="495"/>
      <c r="QHU11" s="495"/>
      <c r="QHV11" s="495"/>
      <c r="QHW11" s="495"/>
      <c r="QHX11" s="495"/>
      <c r="QHY11" s="495"/>
      <c r="QHZ11" s="495"/>
      <c r="QIA11" s="495"/>
      <c r="QIB11" s="495"/>
      <c r="QIC11" s="495"/>
      <c r="QID11" s="495"/>
      <c r="QIE11" s="495"/>
      <c r="QIF11" s="495"/>
      <c r="QIG11" s="495"/>
      <c r="QIH11" s="495"/>
      <c r="QII11" s="495"/>
      <c r="QIJ11" s="495"/>
      <c r="QIK11" s="495"/>
      <c r="QIL11" s="495"/>
      <c r="QIM11" s="495"/>
      <c r="QIN11" s="495"/>
      <c r="QIO11" s="495"/>
      <c r="QIP11" s="495"/>
      <c r="QIQ11" s="495"/>
      <c r="QIR11" s="495"/>
      <c r="QIS11" s="495"/>
      <c r="QIT11" s="495"/>
      <c r="QIU11" s="495"/>
      <c r="QIV11" s="495"/>
      <c r="QIW11" s="495"/>
      <c r="QIX11" s="495"/>
      <c r="QIY11" s="495"/>
      <c r="QIZ11" s="495"/>
      <c r="QJA11" s="495"/>
      <c r="QJB11" s="495"/>
      <c r="QJC11" s="495"/>
      <c r="QJD11" s="495"/>
      <c r="QJE11" s="495"/>
      <c r="QJF11" s="495"/>
      <c r="QJG11" s="495"/>
      <c r="QJH11" s="495"/>
      <c r="QJI11" s="495"/>
      <c r="QJJ11" s="495"/>
      <c r="QJK11" s="495"/>
      <c r="QJL11" s="495"/>
      <c r="QJM11" s="495"/>
      <c r="QJN11" s="495"/>
      <c r="QJO11" s="495"/>
      <c r="QJP11" s="495"/>
      <c r="QJQ11" s="495"/>
      <c r="QJR11" s="495"/>
      <c r="QJS11" s="495"/>
      <c r="QJT11" s="495"/>
      <c r="QJU11" s="495"/>
      <c r="QJV11" s="495"/>
      <c r="QJW11" s="495"/>
      <c r="QJX11" s="495"/>
      <c r="QJY11" s="495"/>
      <c r="QJZ11" s="495"/>
      <c r="QKA11" s="495"/>
      <c r="QKB11" s="495"/>
      <c r="QKC11" s="495"/>
      <c r="QKD11" s="495"/>
      <c r="QKE11" s="495"/>
      <c r="QKF11" s="495"/>
      <c r="QKG11" s="495"/>
      <c r="QKH11" s="495"/>
      <c r="QKI11" s="495"/>
      <c r="QKJ11" s="495"/>
      <c r="QKK11" s="495"/>
      <c r="QKL11" s="495"/>
      <c r="QKM11" s="495"/>
      <c r="QKN11" s="495"/>
      <c r="QKO11" s="495"/>
      <c r="QKP11" s="495"/>
      <c r="QKQ11" s="495"/>
      <c r="QKR11" s="495"/>
      <c r="QKS11" s="495"/>
      <c r="QKT11" s="495"/>
      <c r="QKU11" s="495"/>
      <c r="QKV11" s="495"/>
      <c r="QKW11" s="495"/>
      <c r="QKX11" s="495"/>
      <c r="QKY11" s="495"/>
      <c r="QKZ11" s="495"/>
      <c r="QLA11" s="495"/>
      <c r="QLB11" s="495"/>
      <c r="QLC11" s="495"/>
      <c r="QLD11" s="495"/>
      <c r="QLE11" s="495"/>
      <c r="QLF11" s="495"/>
      <c r="QLG11" s="495"/>
      <c r="QLH11" s="495"/>
      <c r="QLI11" s="495"/>
      <c r="QLJ11" s="495"/>
      <c r="QLK11" s="495"/>
      <c r="QLL11" s="495"/>
      <c r="QLM11" s="495"/>
      <c r="QLN11" s="495"/>
      <c r="QLO11" s="495"/>
      <c r="QLP11" s="495"/>
      <c r="QLQ11" s="495"/>
      <c r="QLR11" s="495"/>
      <c r="QLS11" s="495"/>
      <c r="QLT11" s="495"/>
      <c r="QLU11" s="495"/>
      <c r="QLV11" s="495"/>
      <c r="QLW11" s="495"/>
      <c r="QLX11" s="495"/>
      <c r="QLY11" s="495"/>
      <c r="QLZ11" s="495"/>
      <c r="QMA11" s="495"/>
      <c r="QMB11" s="495"/>
      <c r="QMC11" s="495"/>
      <c r="QMD11" s="495"/>
      <c r="QME11" s="495"/>
      <c r="QMF11" s="495"/>
      <c r="QMG11" s="495"/>
      <c r="QMH11" s="495"/>
      <c r="QMI11" s="495"/>
      <c r="QMJ11" s="495"/>
      <c r="QMK11" s="495"/>
      <c r="QML11" s="495"/>
      <c r="QMM11" s="495"/>
      <c r="QMN11" s="495"/>
      <c r="QMO11" s="495"/>
      <c r="QMP11" s="495"/>
      <c r="QMQ11" s="495"/>
      <c r="QMR11" s="495"/>
      <c r="QMS11" s="495"/>
      <c r="QMT11" s="495"/>
      <c r="QMU11" s="495"/>
      <c r="QMV11" s="495"/>
      <c r="QMW11" s="495"/>
      <c r="QMX11" s="495"/>
      <c r="QMY11" s="495"/>
      <c r="QMZ11" s="495"/>
      <c r="QNA11" s="495"/>
      <c r="QNB11" s="495"/>
      <c r="QNC11" s="495"/>
      <c r="QND11" s="495"/>
      <c r="QNE11" s="495"/>
      <c r="QNF11" s="495"/>
      <c r="QNG11" s="495"/>
      <c r="QNH11" s="495"/>
      <c r="QNI11" s="495"/>
      <c r="QNJ11" s="495"/>
      <c r="QNK11" s="495"/>
      <c r="QNL11" s="495"/>
      <c r="QNM11" s="495"/>
      <c r="QNN11" s="495"/>
      <c r="QNO11" s="495"/>
      <c r="QNP11" s="495"/>
      <c r="QNQ11" s="495"/>
      <c r="QNR11" s="495"/>
      <c r="QNS11" s="495"/>
      <c r="QNT11" s="495"/>
      <c r="QNU11" s="495"/>
      <c r="QNV11" s="495"/>
      <c r="QNW11" s="495"/>
      <c r="QNX11" s="495"/>
      <c r="QNY11" s="495"/>
      <c r="QNZ11" s="495"/>
      <c r="QOA11" s="495"/>
      <c r="QOB11" s="495"/>
      <c r="QOC11" s="495"/>
      <c r="QOD11" s="495"/>
      <c r="QOE11" s="495"/>
      <c r="QOF11" s="495"/>
      <c r="QOG11" s="495"/>
      <c r="QOH11" s="495"/>
      <c r="QOI11" s="495"/>
      <c r="QOJ11" s="495"/>
      <c r="QOK11" s="495"/>
      <c r="QOL11" s="495"/>
      <c r="QOM11" s="495"/>
      <c r="QON11" s="495"/>
      <c r="QOO11" s="495"/>
      <c r="QOP11" s="495"/>
      <c r="QOQ11" s="495"/>
      <c r="QOR11" s="495"/>
      <c r="QOS11" s="495"/>
      <c r="QOT11" s="495"/>
      <c r="QOU11" s="495"/>
      <c r="QOV11" s="495"/>
      <c r="QOW11" s="495"/>
      <c r="QOX11" s="495"/>
      <c r="QOY11" s="495"/>
      <c r="QOZ11" s="495"/>
      <c r="QPA11" s="495"/>
      <c r="QPB11" s="495"/>
      <c r="QPC11" s="495"/>
      <c r="QPD11" s="495"/>
      <c r="QPE11" s="495"/>
      <c r="QPF11" s="495"/>
      <c r="QPG11" s="495"/>
      <c r="QPH11" s="495"/>
      <c r="QPI11" s="495"/>
      <c r="QPJ11" s="495"/>
      <c r="QPK11" s="495"/>
      <c r="QPL11" s="495"/>
      <c r="QPM11" s="495"/>
      <c r="QPN11" s="495"/>
      <c r="QPO11" s="495"/>
      <c r="QPP11" s="495"/>
      <c r="QPQ11" s="495"/>
      <c r="QPR11" s="495"/>
      <c r="QPS11" s="495"/>
      <c r="QPT11" s="495"/>
      <c r="QPU11" s="495"/>
      <c r="QPV11" s="495"/>
      <c r="QPW11" s="495"/>
      <c r="QPX11" s="495"/>
      <c r="QPY11" s="495"/>
      <c r="QPZ11" s="495"/>
      <c r="QQA11" s="495"/>
      <c r="QQB11" s="495"/>
      <c r="QQC11" s="495"/>
      <c r="QQD11" s="495"/>
      <c r="QQE11" s="495"/>
      <c r="QQF11" s="495"/>
      <c r="QQG11" s="495"/>
      <c r="QQH11" s="495"/>
      <c r="QQI11" s="495"/>
      <c r="QQJ11" s="495"/>
      <c r="QQK11" s="495"/>
      <c r="QQL11" s="495"/>
      <c r="QQM11" s="495"/>
      <c r="QQN11" s="495"/>
      <c r="QQO11" s="495"/>
      <c r="QQP11" s="495"/>
      <c r="QQQ11" s="495"/>
      <c r="QQR11" s="495"/>
      <c r="QQS11" s="495"/>
      <c r="QQT11" s="495"/>
      <c r="QQU11" s="495"/>
      <c r="QQV11" s="495"/>
      <c r="QQW11" s="495"/>
      <c r="QQX11" s="495"/>
      <c r="QQY11" s="495"/>
      <c r="QQZ11" s="495"/>
      <c r="QRA11" s="495"/>
      <c r="QRB11" s="495"/>
      <c r="QRC11" s="495"/>
      <c r="QRD11" s="495"/>
      <c r="QRE11" s="495"/>
      <c r="QRF11" s="495"/>
      <c r="QRG11" s="495"/>
      <c r="QRH11" s="495"/>
      <c r="QRI11" s="495"/>
      <c r="QRJ11" s="495"/>
      <c r="QRK11" s="495"/>
      <c r="QRL11" s="495"/>
      <c r="QRM11" s="495"/>
      <c r="QRN11" s="495"/>
      <c r="QRO11" s="495"/>
      <c r="QRP11" s="495"/>
      <c r="QRQ11" s="495"/>
      <c r="QRR11" s="495"/>
      <c r="QRS11" s="495"/>
      <c r="QRT11" s="495"/>
      <c r="QRU11" s="495"/>
      <c r="QRV11" s="495"/>
      <c r="QRW11" s="495"/>
      <c r="QRX11" s="495"/>
      <c r="QRY11" s="495"/>
      <c r="QRZ11" s="495"/>
      <c r="QSA11" s="495"/>
      <c r="QSB11" s="495"/>
      <c r="QSC11" s="495"/>
      <c r="QSD11" s="495"/>
      <c r="QSE11" s="495"/>
      <c r="QSF11" s="495"/>
      <c r="QSG11" s="495"/>
      <c r="QSH11" s="495"/>
      <c r="QSI11" s="495"/>
      <c r="QSJ11" s="495"/>
      <c r="QSK11" s="495"/>
      <c r="QSL11" s="495"/>
      <c r="QSM11" s="495"/>
      <c r="QSN11" s="495"/>
      <c r="QSO11" s="495"/>
      <c r="QSP11" s="495"/>
      <c r="QSQ11" s="495"/>
      <c r="QSR11" s="495"/>
      <c r="QSS11" s="495"/>
      <c r="QST11" s="495"/>
      <c r="QSU11" s="495"/>
      <c r="QSV11" s="495"/>
      <c r="QSW11" s="495"/>
      <c r="QSX11" s="495"/>
      <c r="QSY11" s="495"/>
      <c r="QSZ11" s="495"/>
      <c r="QTA11" s="495"/>
      <c r="QTB11" s="495"/>
      <c r="QTC11" s="495"/>
      <c r="QTD11" s="495"/>
      <c r="QTE11" s="495"/>
      <c r="QTF11" s="495"/>
      <c r="QTG11" s="495"/>
      <c r="QTH11" s="495"/>
      <c r="QTI11" s="495"/>
      <c r="QTJ11" s="495"/>
      <c r="QTK11" s="495"/>
      <c r="QTL11" s="495"/>
      <c r="QTM11" s="495"/>
      <c r="QTN11" s="495"/>
      <c r="QTO11" s="495"/>
      <c r="QTP11" s="495"/>
      <c r="QTQ11" s="495"/>
      <c r="QTR11" s="495"/>
      <c r="QTS11" s="495"/>
      <c r="QTT11" s="495"/>
      <c r="QTU11" s="495"/>
      <c r="QTV11" s="495"/>
      <c r="QTW11" s="495"/>
      <c r="QTX11" s="495"/>
      <c r="QTY11" s="495"/>
      <c r="QTZ11" s="495"/>
      <c r="QUA11" s="495"/>
      <c r="QUB11" s="495"/>
      <c r="QUC11" s="495"/>
      <c r="QUD11" s="495"/>
      <c r="QUE11" s="495"/>
      <c r="QUF11" s="495"/>
      <c r="QUG11" s="495"/>
      <c r="QUH11" s="495"/>
      <c r="QUI11" s="495"/>
      <c r="QUJ11" s="495"/>
      <c r="QUK11" s="495"/>
      <c r="QUL11" s="495"/>
      <c r="QUM11" s="495"/>
      <c r="QUN11" s="495"/>
      <c r="QUO11" s="495"/>
      <c r="QUP11" s="495"/>
      <c r="QUQ11" s="495"/>
      <c r="QUR11" s="495"/>
      <c r="QUS11" s="495"/>
      <c r="QUT11" s="495"/>
      <c r="QUU11" s="495"/>
      <c r="QUV11" s="495"/>
      <c r="QUW11" s="495"/>
      <c r="QUX11" s="495"/>
      <c r="QUY11" s="495"/>
      <c r="QUZ11" s="495"/>
      <c r="QVA11" s="495"/>
      <c r="QVB11" s="495"/>
      <c r="QVC11" s="495"/>
      <c r="QVD11" s="495"/>
      <c r="QVE11" s="495"/>
      <c r="QVF11" s="495"/>
      <c r="QVG11" s="495"/>
      <c r="QVH11" s="495"/>
      <c r="QVI11" s="495"/>
      <c r="QVJ11" s="495"/>
      <c r="QVK11" s="495"/>
      <c r="QVL11" s="495"/>
      <c r="QVM11" s="495"/>
      <c r="QVN11" s="495"/>
      <c r="QVO11" s="495"/>
      <c r="QVP11" s="495"/>
      <c r="QVQ11" s="495"/>
      <c r="QVR11" s="495"/>
      <c r="QVS11" s="495"/>
      <c r="QVT11" s="495"/>
      <c r="QVU11" s="495"/>
      <c r="QVV11" s="495"/>
      <c r="QVW11" s="495"/>
      <c r="QVX11" s="495"/>
      <c r="QVY11" s="495"/>
      <c r="QVZ11" s="495"/>
      <c r="QWA11" s="495"/>
      <c r="QWB11" s="495"/>
      <c r="QWC11" s="495"/>
      <c r="QWD11" s="495"/>
      <c r="QWE11" s="495"/>
      <c r="QWF11" s="495"/>
      <c r="QWG11" s="495"/>
      <c r="QWH11" s="495"/>
      <c r="QWI11" s="495"/>
      <c r="QWJ11" s="495"/>
      <c r="QWK11" s="495"/>
      <c r="QWL11" s="495"/>
      <c r="QWM11" s="495"/>
      <c r="QWN11" s="495"/>
      <c r="QWO11" s="495"/>
      <c r="QWP11" s="495"/>
      <c r="QWQ11" s="495"/>
      <c r="QWR11" s="495"/>
      <c r="QWS11" s="495"/>
      <c r="QWT11" s="495"/>
      <c r="QWU11" s="495"/>
      <c r="QWV11" s="495"/>
      <c r="QWW11" s="495"/>
      <c r="QWX11" s="495"/>
      <c r="QWY11" s="495"/>
      <c r="QWZ11" s="495"/>
      <c r="QXA11" s="495"/>
      <c r="QXB11" s="495"/>
      <c r="QXC11" s="495"/>
      <c r="QXD11" s="495"/>
      <c r="QXE11" s="495"/>
      <c r="QXF11" s="495"/>
      <c r="QXG11" s="495"/>
      <c r="QXH11" s="495"/>
      <c r="QXI11" s="495"/>
      <c r="QXJ11" s="495"/>
      <c r="QXK11" s="495"/>
      <c r="QXL11" s="495"/>
      <c r="QXM11" s="495"/>
      <c r="QXN11" s="495"/>
      <c r="QXO11" s="495"/>
      <c r="QXP11" s="495"/>
      <c r="QXQ11" s="495"/>
      <c r="QXR11" s="495"/>
      <c r="QXS11" s="495"/>
      <c r="QXT11" s="495"/>
      <c r="QXU11" s="495"/>
      <c r="QXV11" s="495"/>
      <c r="QXW11" s="495"/>
      <c r="QXX11" s="495"/>
      <c r="QXY11" s="495"/>
      <c r="QXZ11" s="495"/>
      <c r="QYA11" s="495"/>
      <c r="QYB11" s="495"/>
      <c r="QYC11" s="495"/>
      <c r="QYD11" s="495"/>
      <c r="QYE11" s="495"/>
      <c r="QYF11" s="495"/>
      <c r="QYG11" s="495"/>
      <c r="QYH11" s="495"/>
      <c r="QYI11" s="495"/>
      <c r="QYJ11" s="495"/>
      <c r="QYK11" s="495"/>
      <c r="QYL11" s="495"/>
      <c r="QYM11" s="495"/>
      <c r="QYN11" s="495"/>
      <c r="QYO11" s="495"/>
      <c r="QYP11" s="495"/>
      <c r="QYQ11" s="495"/>
      <c r="QYR11" s="495"/>
      <c r="QYS11" s="495"/>
      <c r="QYT11" s="495"/>
      <c r="QYU11" s="495"/>
      <c r="QYV11" s="495"/>
      <c r="QYW11" s="495"/>
      <c r="QYX11" s="495"/>
      <c r="QYY11" s="495"/>
      <c r="QYZ11" s="495"/>
      <c r="QZA11" s="495"/>
      <c r="QZB11" s="495"/>
      <c r="QZC11" s="495"/>
      <c r="QZD11" s="495"/>
      <c r="QZE11" s="495"/>
      <c r="QZF11" s="495"/>
      <c r="QZG11" s="495"/>
      <c r="QZH11" s="495"/>
      <c r="QZI11" s="495"/>
      <c r="QZJ11" s="495"/>
      <c r="QZK11" s="495"/>
      <c r="QZL11" s="495"/>
      <c r="QZM11" s="495"/>
      <c r="QZN11" s="495"/>
      <c r="QZO11" s="495"/>
      <c r="QZP11" s="495"/>
      <c r="QZQ11" s="495"/>
      <c r="QZR11" s="495"/>
      <c r="QZS11" s="495"/>
      <c r="QZT11" s="495"/>
      <c r="QZU11" s="495"/>
      <c r="QZV11" s="495"/>
      <c r="QZW11" s="495"/>
      <c r="QZX11" s="495"/>
      <c r="QZY11" s="495"/>
      <c r="QZZ11" s="495"/>
      <c r="RAA11" s="495"/>
      <c r="RAB11" s="495"/>
      <c r="RAC11" s="495"/>
      <c r="RAD11" s="495"/>
      <c r="RAE11" s="495"/>
      <c r="RAF11" s="495"/>
      <c r="RAG11" s="495"/>
      <c r="RAH11" s="495"/>
      <c r="RAI11" s="495"/>
      <c r="RAJ11" s="495"/>
      <c r="RAK11" s="495"/>
      <c r="RAL11" s="495"/>
      <c r="RAM11" s="495"/>
      <c r="RAN11" s="495"/>
      <c r="RAO11" s="495"/>
      <c r="RAP11" s="495"/>
      <c r="RAQ11" s="495"/>
      <c r="RAR11" s="495"/>
      <c r="RAS11" s="495"/>
      <c r="RAT11" s="495"/>
      <c r="RAU11" s="495"/>
      <c r="RAV11" s="495"/>
      <c r="RAW11" s="495"/>
      <c r="RAX11" s="495"/>
      <c r="RAY11" s="495"/>
      <c r="RAZ11" s="495"/>
      <c r="RBA11" s="495"/>
      <c r="RBB11" s="495"/>
      <c r="RBC11" s="495"/>
      <c r="RBD11" s="495"/>
      <c r="RBE11" s="495"/>
      <c r="RBF11" s="495"/>
      <c r="RBG11" s="495"/>
      <c r="RBH11" s="495"/>
      <c r="RBI11" s="495"/>
      <c r="RBJ11" s="495"/>
      <c r="RBK11" s="495"/>
      <c r="RBL11" s="495"/>
      <c r="RBM11" s="495"/>
      <c r="RBN11" s="495"/>
      <c r="RBO11" s="495"/>
      <c r="RBP11" s="495"/>
      <c r="RBQ11" s="495"/>
      <c r="RBR11" s="495"/>
      <c r="RBS11" s="495"/>
      <c r="RBT11" s="495"/>
      <c r="RBU11" s="495"/>
      <c r="RBV11" s="495"/>
      <c r="RBW11" s="495"/>
      <c r="RBX11" s="495"/>
      <c r="RBY11" s="495"/>
      <c r="RBZ11" s="495"/>
      <c r="RCA11" s="495"/>
      <c r="RCB11" s="495"/>
      <c r="RCC11" s="495"/>
      <c r="RCD11" s="495"/>
      <c r="RCE11" s="495"/>
      <c r="RCF11" s="495"/>
      <c r="RCG11" s="495"/>
      <c r="RCH11" s="495"/>
      <c r="RCI11" s="495"/>
      <c r="RCJ11" s="495"/>
      <c r="RCK11" s="495"/>
      <c r="RCL11" s="495"/>
      <c r="RCM11" s="495"/>
      <c r="RCN11" s="495"/>
      <c r="RCO11" s="495"/>
      <c r="RCP11" s="495"/>
      <c r="RCQ11" s="495"/>
      <c r="RCR11" s="495"/>
      <c r="RCS11" s="495"/>
      <c r="RCT11" s="495"/>
      <c r="RCU11" s="495"/>
      <c r="RCV11" s="495"/>
      <c r="RCW11" s="495"/>
      <c r="RCX11" s="495"/>
      <c r="RCY11" s="495"/>
      <c r="RCZ11" s="495"/>
      <c r="RDA11" s="495"/>
      <c r="RDB11" s="495"/>
      <c r="RDC11" s="495"/>
      <c r="RDD11" s="495"/>
      <c r="RDE11" s="495"/>
      <c r="RDF11" s="495"/>
      <c r="RDG11" s="495"/>
      <c r="RDH11" s="495"/>
      <c r="RDI11" s="495"/>
      <c r="RDJ11" s="495"/>
      <c r="RDK11" s="495"/>
      <c r="RDL11" s="495"/>
      <c r="RDM11" s="495"/>
      <c r="RDN11" s="495"/>
      <c r="RDO11" s="495"/>
      <c r="RDP11" s="495"/>
      <c r="RDQ11" s="495"/>
      <c r="RDR11" s="495"/>
      <c r="RDS11" s="495"/>
      <c r="RDT11" s="495"/>
      <c r="RDU11" s="495"/>
      <c r="RDV11" s="495"/>
      <c r="RDW11" s="495"/>
      <c r="RDX11" s="495"/>
      <c r="RDY11" s="495"/>
      <c r="RDZ11" s="495"/>
      <c r="REA11" s="495"/>
      <c r="REB11" s="495"/>
      <c r="REC11" s="495"/>
      <c r="RED11" s="495"/>
      <c r="REE11" s="495"/>
      <c r="REF11" s="495"/>
      <c r="REG11" s="495"/>
      <c r="REH11" s="495"/>
      <c r="REI11" s="495"/>
      <c r="REJ11" s="495"/>
      <c r="REK11" s="495"/>
      <c r="REL11" s="495"/>
      <c r="REM11" s="495"/>
      <c r="REN11" s="495"/>
      <c r="REO11" s="495"/>
      <c r="REP11" s="495"/>
      <c r="REQ11" s="495"/>
      <c r="RER11" s="495"/>
      <c r="RES11" s="495"/>
      <c r="RET11" s="495"/>
      <c r="REU11" s="495"/>
      <c r="REV11" s="495"/>
      <c r="REW11" s="495"/>
      <c r="REX11" s="495"/>
      <c r="REY11" s="495"/>
      <c r="REZ11" s="495"/>
      <c r="RFA11" s="495"/>
      <c r="RFB11" s="495"/>
      <c r="RFC11" s="495"/>
      <c r="RFD11" s="495"/>
      <c r="RFE11" s="495"/>
      <c r="RFF11" s="495"/>
      <c r="RFG11" s="495"/>
      <c r="RFH11" s="495"/>
      <c r="RFI11" s="495"/>
      <c r="RFJ11" s="495"/>
      <c r="RFK11" s="495"/>
      <c r="RFL11" s="495"/>
      <c r="RFM11" s="495"/>
      <c r="RFN11" s="495"/>
      <c r="RFO11" s="495"/>
      <c r="RFP11" s="495"/>
      <c r="RFQ11" s="495"/>
      <c r="RFR11" s="495"/>
      <c r="RFS11" s="495"/>
      <c r="RFT11" s="495"/>
      <c r="RFU11" s="495"/>
      <c r="RFV11" s="495"/>
      <c r="RFW11" s="495"/>
      <c r="RFX11" s="495"/>
      <c r="RFY11" s="495"/>
      <c r="RFZ11" s="495"/>
      <c r="RGA11" s="495"/>
      <c r="RGB11" s="495"/>
      <c r="RGC11" s="495"/>
      <c r="RGD11" s="495"/>
      <c r="RGE11" s="495"/>
      <c r="RGF11" s="495"/>
      <c r="RGG11" s="495"/>
      <c r="RGH11" s="495"/>
      <c r="RGI11" s="495"/>
      <c r="RGJ11" s="495"/>
      <c r="RGK11" s="495"/>
      <c r="RGL11" s="495"/>
      <c r="RGM11" s="495"/>
      <c r="RGN11" s="495"/>
      <c r="RGO11" s="495"/>
      <c r="RGP11" s="495"/>
      <c r="RGQ11" s="495"/>
      <c r="RGR11" s="495"/>
      <c r="RGS11" s="495"/>
      <c r="RGT11" s="495"/>
      <c r="RGU11" s="495"/>
      <c r="RGV11" s="495"/>
      <c r="RGW11" s="495"/>
      <c r="RGX11" s="495"/>
      <c r="RGY11" s="495"/>
      <c r="RGZ11" s="495"/>
      <c r="RHA11" s="495"/>
      <c r="RHB11" s="495"/>
      <c r="RHC11" s="495"/>
      <c r="RHD11" s="495"/>
      <c r="RHE11" s="495"/>
      <c r="RHF11" s="495"/>
      <c r="RHG11" s="495"/>
      <c r="RHH11" s="495"/>
      <c r="RHI11" s="495"/>
      <c r="RHJ11" s="495"/>
      <c r="RHK11" s="495"/>
      <c r="RHL11" s="495"/>
      <c r="RHM11" s="495"/>
      <c r="RHN11" s="495"/>
      <c r="RHO11" s="495"/>
      <c r="RHP11" s="495"/>
      <c r="RHQ11" s="495"/>
      <c r="RHR11" s="495"/>
      <c r="RHS11" s="495"/>
      <c r="RHT11" s="495"/>
      <c r="RHU11" s="495"/>
      <c r="RHV11" s="495"/>
      <c r="RHW11" s="495"/>
      <c r="RHX11" s="495"/>
      <c r="RHY11" s="495"/>
      <c r="RHZ11" s="495"/>
      <c r="RIA11" s="495"/>
      <c r="RIB11" s="495"/>
      <c r="RIC11" s="495"/>
      <c r="RID11" s="495"/>
      <c r="RIE11" s="495"/>
      <c r="RIF11" s="495"/>
      <c r="RIG11" s="495"/>
      <c r="RIH11" s="495"/>
      <c r="RII11" s="495"/>
      <c r="RIJ11" s="495"/>
      <c r="RIK11" s="495"/>
      <c r="RIL11" s="495"/>
      <c r="RIM11" s="495"/>
      <c r="RIN11" s="495"/>
      <c r="RIO11" s="495"/>
      <c r="RIP11" s="495"/>
      <c r="RIQ11" s="495"/>
      <c r="RIR11" s="495"/>
      <c r="RIS11" s="495"/>
      <c r="RIT11" s="495"/>
      <c r="RIU11" s="495"/>
      <c r="RIV11" s="495"/>
      <c r="RIW11" s="495"/>
      <c r="RIX11" s="495"/>
      <c r="RIY11" s="495"/>
      <c r="RIZ11" s="495"/>
      <c r="RJA11" s="495"/>
      <c r="RJB11" s="495"/>
      <c r="RJC11" s="495"/>
      <c r="RJD11" s="495"/>
      <c r="RJE11" s="495"/>
      <c r="RJF11" s="495"/>
      <c r="RJG11" s="495"/>
      <c r="RJH11" s="495"/>
      <c r="RJI11" s="495"/>
      <c r="RJJ11" s="495"/>
      <c r="RJK11" s="495"/>
      <c r="RJL11" s="495"/>
      <c r="RJM11" s="495"/>
      <c r="RJN11" s="495"/>
      <c r="RJO11" s="495"/>
      <c r="RJP11" s="495"/>
      <c r="RJQ11" s="495"/>
      <c r="RJR11" s="495"/>
      <c r="RJS11" s="495"/>
      <c r="RJT11" s="495"/>
      <c r="RJU11" s="495"/>
      <c r="RJV11" s="495"/>
      <c r="RJW11" s="495"/>
      <c r="RJX11" s="495"/>
      <c r="RJY11" s="495"/>
      <c r="RJZ11" s="495"/>
      <c r="RKA11" s="495"/>
      <c r="RKB11" s="495"/>
      <c r="RKC11" s="495"/>
      <c r="RKD11" s="495"/>
      <c r="RKE11" s="495"/>
      <c r="RKF11" s="495"/>
      <c r="RKG11" s="495"/>
      <c r="RKH11" s="495"/>
      <c r="RKI11" s="495"/>
      <c r="RKJ11" s="495"/>
      <c r="RKK11" s="495"/>
      <c r="RKL11" s="495"/>
      <c r="RKM11" s="495"/>
      <c r="RKN11" s="495"/>
      <c r="RKO11" s="495"/>
      <c r="RKP11" s="495"/>
      <c r="RKQ11" s="495"/>
      <c r="RKR11" s="495"/>
      <c r="RKS11" s="495"/>
      <c r="RKT11" s="495"/>
      <c r="RKU11" s="495"/>
      <c r="RKV11" s="495"/>
      <c r="RKW11" s="495"/>
      <c r="RKX11" s="495"/>
      <c r="RKY11" s="495"/>
      <c r="RKZ11" s="495"/>
      <c r="RLA11" s="495"/>
      <c r="RLB11" s="495"/>
      <c r="RLC11" s="495"/>
      <c r="RLD11" s="495"/>
      <c r="RLE11" s="495"/>
      <c r="RLF11" s="495"/>
      <c r="RLG11" s="495"/>
      <c r="RLH11" s="495"/>
      <c r="RLI11" s="495"/>
      <c r="RLJ11" s="495"/>
      <c r="RLK11" s="495"/>
      <c r="RLL11" s="495"/>
      <c r="RLM11" s="495"/>
      <c r="RLN11" s="495"/>
      <c r="RLO11" s="495"/>
      <c r="RLP11" s="495"/>
      <c r="RLQ11" s="495"/>
      <c r="RLR11" s="495"/>
      <c r="RLS11" s="495"/>
      <c r="RLT11" s="495"/>
      <c r="RLU11" s="495"/>
      <c r="RLV11" s="495"/>
      <c r="RLW11" s="495"/>
      <c r="RLX11" s="495"/>
      <c r="RLY11" s="495"/>
      <c r="RLZ11" s="495"/>
      <c r="RMA11" s="495"/>
      <c r="RMB11" s="495"/>
      <c r="RMC11" s="495"/>
      <c r="RMD11" s="495"/>
      <c r="RME11" s="495"/>
      <c r="RMF11" s="495"/>
      <c r="RMG11" s="495"/>
      <c r="RMH11" s="495"/>
      <c r="RMI11" s="495"/>
      <c r="RMJ11" s="495"/>
      <c r="RMK11" s="495"/>
      <c r="RML11" s="495"/>
      <c r="RMM11" s="495"/>
      <c r="RMN11" s="495"/>
      <c r="RMO11" s="495"/>
      <c r="RMP11" s="495"/>
      <c r="RMQ11" s="495"/>
      <c r="RMR11" s="495"/>
      <c r="RMS11" s="495"/>
      <c r="RMT11" s="495"/>
      <c r="RMU11" s="495"/>
      <c r="RMV11" s="495"/>
      <c r="RMW11" s="495"/>
      <c r="RMX11" s="495"/>
      <c r="RMY11" s="495"/>
      <c r="RMZ11" s="495"/>
      <c r="RNA11" s="495"/>
      <c r="RNB11" s="495"/>
      <c r="RNC11" s="495"/>
      <c r="RND11" s="495"/>
      <c r="RNE11" s="495"/>
      <c r="RNF11" s="495"/>
      <c r="RNG11" s="495"/>
      <c r="RNH11" s="495"/>
      <c r="RNI11" s="495"/>
      <c r="RNJ11" s="495"/>
      <c r="RNK11" s="495"/>
      <c r="RNL11" s="495"/>
      <c r="RNM11" s="495"/>
      <c r="RNN11" s="495"/>
      <c r="RNO11" s="495"/>
      <c r="RNP11" s="495"/>
      <c r="RNQ11" s="495"/>
      <c r="RNR11" s="495"/>
      <c r="RNS11" s="495"/>
      <c r="RNT11" s="495"/>
      <c r="RNU11" s="495"/>
      <c r="RNV11" s="495"/>
      <c r="RNW11" s="495"/>
      <c r="RNX11" s="495"/>
      <c r="RNY11" s="495"/>
      <c r="RNZ11" s="495"/>
      <c r="ROA11" s="495"/>
      <c r="ROB11" s="495"/>
      <c r="ROC11" s="495"/>
      <c r="ROD11" s="495"/>
      <c r="ROE11" s="495"/>
      <c r="ROF11" s="495"/>
      <c r="ROG11" s="495"/>
      <c r="ROH11" s="495"/>
      <c r="ROI11" s="495"/>
      <c r="ROJ11" s="495"/>
      <c r="ROK11" s="495"/>
      <c r="ROL11" s="495"/>
      <c r="ROM11" s="495"/>
      <c r="RON11" s="495"/>
      <c r="ROO11" s="495"/>
      <c r="ROP11" s="495"/>
      <c r="ROQ11" s="495"/>
      <c r="ROR11" s="495"/>
      <c r="ROS11" s="495"/>
      <c r="ROT11" s="495"/>
      <c r="ROU11" s="495"/>
      <c r="ROV11" s="495"/>
      <c r="ROW11" s="495"/>
      <c r="ROX11" s="495"/>
      <c r="ROY11" s="495"/>
      <c r="ROZ11" s="495"/>
      <c r="RPA11" s="495"/>
      <c r="RPB11" s="495"/>
      <c r="RPC11" s="495"/>
      <c r="RPD11" s="495"/>
      <c r="RPE11" s="495"/>
      <c r="RPF11" s="495"/>
      <c r="RPG11" s="495"/>
      <c r="RPH11" s="495"/>
      <c r="RPI11" s="495"/>
      <c r="RPJ11" s="495"/>
      <c r="RPK11" s="495"/>
      <c r="RPL11" s="495"/>
      <c r="RPM11" s="495"/>
      <c r="RPN11" s="495"/>
      <c r="RPO11" s="495"/>
      <c r="RPP11" s="495"/>
      <c r="RPQ11" s="495"/>
      <c r="RPR11" s="495"/>
      <c r="RPS11" s="495"/>
      <c r="RPT11" s="495"/>
      <c r="RPU11" s="495"/>
      <c r="RPV11" s="495"/>
      <c r="RPW11" s="495"/>
      <c r="RPX11" s="495"/>
      <c r="RPY11" s="495"/>
      <c r="RPZ11" s="495"/>
      <c r="RQA11" s="495"/>
      <c r="RQB11" s="495"/>
      <c r="RQC11" s="495"/>
      <c r="RQD11" s="495"/>
      <c r="RQE11" s="495"/>
      <c r="RQF11" s="495"/>
      <c r="RQG11" s="495"/>
      <c r="RQH11" s="495"/>
      <c r="RQI11" s="495"/>
      <c r="RQJ11" s="495"/>
      <c r="RQK11" s="495"/>
      <c r="RQL11" s="495"/>
      <c r="RQM11" s="495"/>
      <c r="RQN11" s="495"/>
      <c r="RQO11" s="495"/>
      <c r="RQP11" s="495"/>
      <c r="RQQ11" s="495"/>
      <c r="RQR11" s="495"/>
      <c r="RQS11" s="495"/>
      <c r="RQT11" s="495"/>
      <c r="RQU11" s="495"/>
      <c r="RQV11" s="495"/>
      <c r="RQW11" s="495"/>
      <c r="RQX11" s="495"/>
      <c r="RQY11" s="495"/>
      <c r="RQZ11" s="495"/>
      <c r="RRA11" s="495"/>
      <c r="RRB11" s="495"/>
      <c r="RRC11" s="495"/>
      <c r="RRD11" s="495"/>
      <c r="RRE11" s="495"/>
      <c r="RRF11" s="495"/>
      <c r="RRG11" s="495"/>
      <c r="RRH11" s="495"/>
      <c r="RRI11" s="495"/>
      <c r="RRJ11" s="495"/>
      <c r="RRK11" s="495"/>
      <c r="RRL11" s="495"/>
      <c r="RRM11" s="495"/>
      <c r="RRN11" s="495"/>
      <c r="RRO11" s="495"/>
      <c r="RRP11" s="495"/>
      <c r="RRQ11" s="495"/>
      <c r="RRR11" s="495"/>
      <c r="RRS11" s="495"/>
      <c r="RRT11" s="495"/>
      <c r="RRU11" s="495"/>
      <c r="RRV11" s="495"/>
      <c r="RRW11" s="495"/>
      <c r="RRX11" s="495"/>
      <c r="RRY11" s="495"/>
      <c r="RRZ11" s="495"/>
      <c r="RSA11" s="495"/>
      <c r="RSB11" s="495"/>
      <c r="RSC11" s="495"/>
      <c r="RSD11" s="495"/>
      <c r="RSE11" s="495"/>
      <c r="RSF11" s="495"/>
      <c r="RSG11" s="495"/>
      <c r="RSH11" s="495"/>
      <c r="RSI11" s="495"/>
      <c r="RSJ11" s="495"/>
      <c r="RSK11" s="495"/>
      <c r="RSL11" s="495"/>
      <c r="RSM11" s="495"/>
      <c r="RSN11" s="495"/>
      <c r="RSO11" s="495"/>
      <c r="RSP11" s="495"/>
      <c r="RSQ11" s="495"/>
      <c r="RSR11" s="495"/>
      <c r="RSS11" s="495"/>
      <c r="RST11" s="495"/>
      <c r="RSU11" s="495"/>
      <c r="RSV11" s="495"/>
      <c r="RSW11" s="495"/>
      <c r="RSX11" s="495"/>
      <c r="RSY11" s="495"/>
      <c r="RSZ11" s="495"/>
      <c r="RTA11" s="495"/>
      <c r="RTB11" s="495"/>
      <c r="RTC11" s="495"/>
      <c r="RTD11" s="495"/>
      <c r="RTE11" s="495"/>
      <c r="RTF11" s="495"/>
      <c r="RTG11" s="495"/>
      <c r="RTH11" s="495"/>
      <c r="RTI11" s="495"/>
      <c r="RTJ11" s="495"/>
      <c r="RTK11" s="495"/>
      <c r="RTL11" s="495"/>
      <c r="RTM11" s="495"/>
      <c r="RTN11" s="495"/>
      <c r="RTO11" s="495"/>
      <c r="RTP11" s="495"/>
      <c r="RTQ11" s="495"/>
      <c r="RTR11" s="495"/>
      <c r="RTS11" s="495"/>
      <c r="RTT11" s="495"/>
      <c r="RTU11" s="495"/>
      <c r="RTV11" s="495"/>
      <c r="RTW11" s="495"/>
      <c r="RTX11" s="495"/>
      <c r="RTY11" s="495"/>
      <c r="RTZ11" s="495"/>
      <c r="RUA11" s="495"/>
      <c r="RUB11" s="495"/>
      <c r="RUC11" s="495"/>
      <c r="RUD11" s="495"/>
      <c r="RUE11" s="495"/>
      <c r="RUF11" s="495"/>
      <c r="RUG11" s="495"/>
      <c r="RUH11" s="495"/>
      <c r="RUI11" s="495"/>
      <c r="RUJ11" s="495"/>
      <c r="RUK11" s="495"/>
      <c r="RUL11" s="495"/>
      <c r="RUM11" s="495"/>
      <c r="RUN11" s="495"/>
      <c r="RUO11" s="495"/>
      <c r="RUP11" s="495"/>
      <c r="RUQ11" s="495"/>
      <c r="RUR11" s="495"/>
      <c r="RUS11" s="495"/>
      <c r="RUT11" s="495"/>
      <c r="RUU11" s="495"/>
      <c r="RUV11" s="495"/>
      <c r="RUW11" s="495"/>
      <c r="RUX11" s="495"/>
      <c r="RUY11" s="495"/>
      <c r="RUZ11" s="495"/>
      <c r="RVA11" s="495"/>
      <c r="RVB11" s="495"/>
      <c r="RVC11" s="495"/>
      <c r="RVD11" s="495"/>
      <c r="RVE11" s="495"/>
      <c r="RVF11" s="495"/>
      <c r="RVG11" s="495"/>
      <c r="RVH11" s="495"/>
      <c r="RVI11" s="495"/>
      <c r="RVJ11" s="495"/>
      <c r="RVK11" s="495"/>
      <c r="RVL11" s="495"/>
      <c r="RVM11" s="495"/>
      <c r="RVN11" s="495"/>
      <c r="RVO11" s="495"/>
      <c r="RVP11" s="495"/>
      <c r="RVQ11" s="495"/>
      <c r="RVR11" s="495"/>
      <c r="RVS11" s="495"/>
      <c r="RVT11" s="495"/>
      <c r="RVU11" s="495"/>
      <c r="RVV11" s="495"/>
      <c r="RVW11" s="495"/>
      <c r="RVX11" s="495"/>
      <c r="RVY11" s="495"/>
      <c r="RVZ11" s="495"/>
      <c r="RWA11" s="495"/>
      <c r="RWB11" s="495"/>
      <c r="RWC11" s="495"/>
      <c r="RWD11" s="495"/>
      <c r="RWE11" s="495"/>
      <c r="RWF11" s="495"/>
      <c r="RWG11" s="495"/>
      <c r="RWH11" s="495"/>
      <c r="RWI11" s="495"/>
      <c r="RWJ11" s="495"/>
      <c r="RWK11" s="495"/>
      <c r="RWL11" s="495"/>
      <c r="RWM11" s="495"/>
      <c r="RWN11" s="495"/>
      <c r="RWO11" s="495"/>
      <c r="RWP11" s="495"/>
      <c r="RWQ11" s="495"/>
      <c r="RWR11" s="495"/>
      <c r="RWS11" s="495"/>
      <c r="RWT11" s="495"/>
      <c r="RWU11" s="495"/>
      <c r="RWV11" s="495"/>
      <c r="RWW11" s="495"/>
      <c r="RWX11" s="495"/>
      <c r="RWY11" s="495"/>
      <c r="RWZ11" s="495"/>
      <c r="RXA11" s="495"/>
      <c r="RXB11" s="495"/>
      <c r="RXC11" s="495"/>
      <c r="RXD11" s="495"/>
      <c r="RXE11" s="495"/>
      <c r="RXF11" s="495"/>
      <c r="RXG11" s="495"/>
      <c r="RXH11" s="495"/>
      <c r="RXI11" s="495"/>
      <c r="RXJ11" s="495"/>
      <c r="RXK11" s="495"/>
      <c r="RXL11" s="495"/>
      <c r="RXM11" s="495"/>
      <c r="RXN11" s="495"/>
      <c r="RXO11" s="495"/>
      <c r="RXP11" s="495"/>
      <c r="RXQ11" s="495"/>
      <c r="RXR11" s="495"/>
      <c r="RXS11" s="495"/>
      <c r="RXT11" s="495"/>
      <c r="RXU11" s="495"/>
      <c r="RXV11" s="495"/>
      <c r="RXW11" s="495"/>
      <c r="RXX11" s="495"/>
      <c r="RXY11" s="495"/>
      <c r="RXZ11" s="495"/>
      <c r="RYA11" s="495"/>
      <c r="RYB11" s="495"/>
      <c r="RYC11" s="495"/>
      <c r="RYD11" s="495"/>
      <c r="RYE11" s="495"/>
      <c r="RYF11" s="495"/>
      <c r="RYG11" s="495"/>
      <c r="RYH11" s="495"/>
      <c r="RYI11" s="495"/>
      <c r="RYJ11" s="495"/>
      <c r="RYK11" s="495"/>
      <c r="RYL11" s="495"/>
      <c r="RYM11" s="495"/>
      <c r="RYN11" s="495"/>
      <c r="RYO11" s="495"/>
      <c r="RYP11" s="495"/>
      <c r="RYQ11" s="495"/>
      <c r="RYR11" s="495"/>
      <c r="RYS11" s="495"/>
      <c r="RYT11" s="495"/>
      <c r="RYU11" s="495"/>
      <c r="RYV11" s="495"/>
      <c r="RYW11" s="495"/>
      <c r="RYX11" s="495"/>
      <c r="RYY11" s="495"/>
      <c r="RYZ11" s="495"/>
      <c r="RZA11" s="495"/>
      <c r="RZB11" s="495"/>
      <c r="RZC11" s="495"/>
      <c r="RZD11" s="495"/>
      <c r="RZE11" s="495"/>
      <c r="RZF11" s="495"/>
      <c r="RZG11" s="495"/>
      <c r="RZH11" s="495"/>
      <c r="RZI11" s="495"/>
      <c r="RZJ11" s="495"/>
      <c r="RZK11" s="495"/>
      <c r="RZL11" s="495"/>
      <c r="RZM11" s="495"/>
      <c r="RZN11" s="495"/>
      <c r="RZO11" s="495"/>
      <c r="RZP11" s="495"/>
      <c r="RZQ11" s="495"/>
      <c r="RZR11" s="495"/>
      <c r="RZS11" s="495"/>
      <c r="RZT11" s="495"/>
      <c r="RZU11" s="495"/>
      <c r="RZV11" s="495"/>
      <c r="RZW11" s="495"/>
      <c r="RZX11" s="495"/>
      <c r="RZY11" s="495"/>
      <c r="RZZ11" s="495"/>
      <c r="SAA11" s="495"/>
      <c r="SAB11" s="495"/>
      <c r="SAC11" s="495"/>
      <c r="SAD11" s="495"/>
      <c r="SAE11" s="495"/>
      <c r="SAF11" s="495"/>
      <c r="SAG11" s="495"/>
      <c r="SAH11" s="495"/>
      <c r="SAI11" s="495"/>
      <c r="SAJ11" s="495"/>
      <c r="SAK11" s="495"/>
      <c r="SAL11" s="495"/>
      <c r="SAM11" s="495"/>
      <c r="SAN11" s="495"/>
      <c r="SAO11" s="495"/>
      <c r="SAP11" s="495"/>
      <c r="SAQ11" s="495"/>
      <c r="SAR11" s="495"/>
      <c r="SAS11" s="495"/>
      <c r="SAT11" s="495"/>
      <c r="SAU11" s="495"/>
      <c r="SAV11" s="495"/>
      <c r="SAW11" s="495"/>
      <c r="SAX11" s="495"/>
      <c r="SAY11" s="495"/>
      <c r="SAZ11" s="495"/>
      <c r="SBA11" s="495"/>
      <c r="SBB11" s="495"/>
      <c r="SBC11" s="495"/>
      <c r="SBD11" s="495"/>
      <c r="SBE11" s="495"/>
      <c r="SBF11" s="495"/>
      <c r="SBG11" s="495"/>
      <c r="SBH11" s="495"/>
      <c r="SBI11" s="495"/>
      <c r="SBJ11" s="495"/>
      <c r="SBK11" s="495"/>
      <c r="SBL11" s="495"/>
      <c r="SBM11" s="495"/>
      <c r="SBN11" s="495"/>
      <c r="SBO11" s="495"/>
      <c r="SBP11" s="495"/>
      <c r="SBQ11" s="495"/>
      <c r="SBR11" s="495"/>
      <c r="SBS11" s="495"/>
      <c r="SBT11" s="495"/>
      <c r="SBU11" s="495"/>
      <c r="SBV11" s="495"/>
      <c r="SBW11" s="495"/>
      <c r="SBX11" s="495"/>
      <c r="SBY11" s="495"/>
      <c r="SBZ11" s="495"/>
      <c r="SCA11" s="495"/>
      <c r="SCB11" s="495"/>
      <c r="SCC11" s="495"/>
      <c r="SCD11" s="495"/>
      <c r="SCE11" s="495"/>
      <c r="SCF11" s="495"/>
      <c r="SCG11" s="495"/>
      <c r="SCH11" s="495"/>
      <c r="SCI11" s="495"/>
      <c r="SCJ11" s="495"/>
      <c r="SCK11" s="495"/>
      <c r="SCL11" s="495"/>
      <c r="SCM11" s="495"/>
      <c r="SCN11" s="495"/>
      <c r="SCO11" s="495"/>
      <c r="SCP11" s="495"/>
      <c r="SCQ11" s="495"/>
      <c r="SCR11" s="495"/>
      <c r="SCS11" s="495"/>
      <c r="SCT11" s="495"/>
      <c r="SCU11" s="495"/>
      <c r="SCV11" s="495"/>
      <c r="SCW11" s="495"/>
      <c r="SCX11" s="495"/>
      <c r="SCY11" s="495"/>
      <c r="SCZ11" s="495"/>
      <c r="SDA11" s="495"/>
      <c r="SDB11" s="495"/>
      <c r="SDC11" s="495"/>
      <c r="SDD11" s="495"/>
      <c r="SDE11" s="495"/>
      <c r="SDF11" s="495"/>
      <c r="SDG11" s="495"/>
      <c r="SDH11" s="495"/>
      <c r="SDI11" s="495"/>
      <c r="SDJ11" s="495"/>
      <c r="SDK11" s="495"/>
      <c r="SDL11" s="495"/>
      <c r="SDM11" s="495"/>
      <c r="SDN11" s="495"/>
      <c r="SDO11" s="495"/>
      <c r="SDP11" s="495"/>
      <c r="SDQ11" s="495"/>
      <c r="SDR11" s="495"/>
      <c r="SDS11" s="495"/>
      <c r="SDT11" s="495"/>
      <c r="SDU11" s="495"/>
      <c r="SDV11" s="495"/>
      <c r="SDW11" s="495"/>
      <c r="SDX11" s="495"/>
      <c r="SDY11" s="495"/>
      <c r="SDZ11" s="495"/>
      <c r="SEA11" s="495"/>
      <c r="SEB11" s="495"/>
      <c r="SEC11" s="495"/>
      <c r="SED11" s="495"/>
      <c r="SEE11" s="495"/>
      <c r="SEF11" s="495"/>
      <c r="SEG11" s="495"/>
      <c r="SEH11" s="495"/>
      <c r="SEI11" s="495"/>
      <c r="SEJ11" s="495"/>
      <c r="SEK11" s="495"/>
      <c r="SEL11" s="495"/>
      <c r="SEM11" s="495"/>
      <c r="SEN11" s="495"/>
      <c r="SEO11" s="495"/>
      <c r="SEP11" s="495"/>
      <c r="SEQ11" s="495"/>
      <c r="SER11" s="495"/>
      <c r="SES11" s="495"/>
      <c r="SET11" s="495"/>
      <c r="SEU11" s="495"/>
      <c r="SEV11" s="495"/>
      <c r="SEW11" s="495"/>
      <c r="SEX11" s="495"/>
      <c r="SEY11" s="495"/>
      <c r="SEZ11" s="495"/>
      <c r="SFA11" s="495"/>
      <c r="SFB11" s="495"/>
      <c r="SFC11" s="495"/>
      <c r="SFD11" s="495"/>
      <c r="SFE11" s="495"/>
      <c r="SFF11" s="495"/>
      <c r="SFG11" s="495"/>
      <c r="SFH11" s="495"/>
      <c r="SFI11" s="495"/>
      <c r="SFJ11" s="495"/>
      <c r="SFK11" s="495"/>
      <c r="SFL11" s="495"/>
      <c r="SFM11" s="495"/>
      <c r="SFN11" s="495"/>
      <c r="SFO11" s="495"/>
      <c r="SFP11" s="495"/>
      <c r="SFQ11" s="495"/>
      <c r="SFR11" s="495"/>
      <c r="SFS11" s="495"/>
      <c r="SFT11" s="495"/>
      <c r="SFU11" s="495"/>
      <c r="SFV11" s="495"/>
      <c r="SFW11" s="495"/>
      <c r="SFX11" s="495"/>
      <c r="SFY11" s="495"/>
      <c r="SFZ11" s="495"/>
      <c r="SGA11" s="495"/>
      <c r="SGB11" s="495"/>
      <c r="SGC11" s="495"/>
      <c r="SGD11" s="495"/>
      <c r="SGE11" s="495"/>
      <c r="SGF11" s="495"/>
      <c r="SGG11" s="495"/>
      <c r="SGH11" s="495"/>
      <c r="SGI11" s="495"/>
      <c r="SGJ11" s="495"/>
      <c r="SGK11" s="495"/>
      <c r="SGL11" s="495"/>
      <c r="SGM11" s="495"/>
      <c r="SGN11" s="495"/>
      <c r="SGO11" s="495"/>
      <c r="SGP11" s="495"/>
      <c r="SGQ11" s="495"/>
      <c r="SGR11" s="495"/>
      <c r="SGS11" s="495"/>
      <c r="SGT11" s="495"/>
      <c r="SGU11" s="495"/>
      <c r="SGV11" s="495"/>
      <c r="SGW11" s="495"/>
      <c r="SGX11" s="495"/>
      <c r="SGY11" s="495"/>
      <c r="SGZ11" s="495"/>
      <c r="SHA11" s="495"/>
      <c r="SHB11" s="495"/>
      <c r="SHC11" s="495"/>
      <c r="SHD11" s="495"/>
      <c r="SHE11" s="495"/>
      <c r="SHF11" s="495"/>
      <c r="SHG11" s="495"/>
      <c r="SHH11" s="495"/>
      <c r="SHI11" s="495"/>
      <c r="SHJ11" s="495"/>
      <c r="SHK11" s="495"/>
      <c r="SHL11" s="495"/>
      <c r="SHM11" s="495"/>
      <c r="SHN11" s="495"/>
      <c r="SHO11" s="495"/>
      <c r="SHP11" s="495"/>
      <c r="SHQ11" s="495"/>
      <c r="SHR11" s="495"/>
      <c r="SHS11" s="495"/>
      <c r="SHT11" s="495"/>
      <c r="SHU11" s="495"/>
      <c r="SHV11" s="495"/>
      <c r="SHW11" s="495"/>
      <c r="SHX11" s="495"/>
      <c r="SHY11" s="495"/>
      <c r="SHZ11" s="495"/>
      <c r="SIA11" s="495"/>
      <c r="SIB11" s="495"/>
      <c r="SIC11" s="495"/>
      <c r="SID11" s="495"/>
      <c r="SIE11" s="495"/>
      <c r="SIF11" s="495"/>
      <c r="SIG11" s="495"/>
      <c r="SIH11" s="495"/>
      <c r="SII11" s="495"/>
      <c r="SIJ11" s="495"/>
      <c r="SIK11" s="495"/>
      <c r="SIL11" s="495"/>
      <c r="SIM11" s="495"/>
      <c r="SIN11" s="495"/>
      <c r="SIO11" s="495"/>
      <c r="SIP11" s="495"/>
      <c r="SIQ11" s="495"/>
      <c r="SIR11" s="495"/>
      <c r="SIS11" s="495"/>
      <c r="SIT11" s="495"/>
      <c r="SIU11" s="495"/>
      <c r="SIV11" s="495"/>
      <c r="SIW11" s="495"/>
      <c r="SIX11" s="495"/>
      <c r="SIY11" s="495"/>
      <c r="SIZ11" s="495"/>
      <c r="SJA11" s="495"/>
      <c r="SJB11" s="495"/>
      <c r="SJC11" s="495"/>
      <c r="SJD11" s="495"/>
      <c r="SJE11" s="495"/>
      <c r="SJF11" s="495"/>
      <c r="SJG11" s="495"/>
      <c r="SJH11" s="495"/>
      <c r="SJI11" s="495"/>
      <c r="SJJ11" s="495"/>
      <c r="SJK11" s="495"/>
      <c r="SJL11" s="495"/>
      <c r="SJM11" s="495"/>
      <c r="SJN11" s="495"/>
      <c r="SJO11" s="495"/>
      <c r="SJP11" s="495"/>
      <c r="SJQ11" s="495"/>
      <c r="SJR11" s="495"/>
      <c r="SJS11" s="495"/>
      <c r="SJT11" s="495"/>
      <c r="SJU11" s="495"/>
      <c r="SJV11" s="495"/>
      <c r="SJW11" s="495"/>
      <c r="SJX11" s="495"/>
      <c r="SJY11" s="495"/>
      <c r="SJZ11" s="495"/>
      <c r="SKA11" s="495"/>
      <c r="SKB11" s="495"/>
      <c r="SKC11" s="495"/>
      <c r="SKD11" s="495"/>
      <c r="SKE11" s="495"/>
      <c r="SKF11" s="495"/>
      <c r="SKG11" s="495"/>
      <c r="SKH11" s="495"/>
      <c r="SKI11" s="495"/>
      <c r="SKJ11" s="495"/>
      <c r="SKK11" s="495"/>
      <c r="SKL11" s="495"/>
      <c r="SKM11" s="495"/>
      <c r="SKN11" s="495"/>
      <c r="SKO11" s="495"/>
      <c r="SKP11" s="495"/>
      <c r="SKQ11" s="495"/>
      <c r="SKR11" s="495"/>
      <c r="SKS11" s="495"/>
      <c r="SKT11" s="495"/>
      <c r="SKU11" s="495"/>
      <c r="SKV11" s="495"/>
      <c r="SKW11" s="495"/>
      <c r="SKX11" s="495"/>
      <c r="SKY11" s="495"/>
      <c r="SKZ11" s="495"/>
      <c r="SLA11" s="495"/>
      <c r="SLB11" s="495"/>
      <c r="SLC11" s="495"/>
      <c r="SLD11" s="495"/>
      <c r="SLE11" s="495"/>
      <c r="SLF11" s="495"/>
      <c r="SLG11" s="495"/>
      <c r="SLH11" s="495"/>
      <c r="SLI11" s="495"/>
      <c r="SLJ11" s="495"/>
      <c r="SLK11" s="495"/>
      <c r="SLL11" s="495"/>
      <c r="SLM11" s="495"/>
      <c r="SLN11" s="495"/>
      <c r="SLO11" s="495"/>
      <c r="SLP11" s="495"/>
      <c r="SLQ11" s="495"/>
      <c r="SLR11" s="495"/>
      <c r="SLS11" s="495"/>
      <c r="SLT11" s="495"/>
      <c r="SLU11" s="495"/>
      <c r="SLV11" s="495"/>
      <c r="SLW11" s="495"/>
      <c r="SLX11" s="495"/>
      <c r="SLY11" s="495"/>
      <c r="SLZ11" s="495"/>
      <c r="SMA11" s="495"/>
      <c r="SMB11" s="495"/>
      <c r="SMC11" s="495"/>
      <c r="SMD11" s="495"/>
      <c r="SME11" s="495"/>
      <c r="SMF11" s="495"/>
      <c r="SMG11" s="495"/>
      <c r="SMH11" s="495"/>
      <c r="SMI11" s="495"/>
      <c r="SMJ11" s="495"/>
      <c r="SMK11" s="495"/>
      <c r="SML11" s="495"/>
      <c r="SMM11" s="495"/>
      <c r="SMN11" s="495"/>
      <c r="SMO11" s="495"/>
      <c r="SMP11" s="495"/>
      <c r="SMQ11" s="495"/>
      <c r="SMR11" s="495"/>
      <c r="SMS11" s="495"/>
      <c r="SMT11" s="495"/>
      <c r="SMU11" s="495"/>
      <c r="SMV11" s="495"/>
      <c r="SMW11" s="495"/>
      <c r="SMX11" s="495"/>
      <c r="SMY11" s="495"/>
      <c r="SMZ11" s="495"/>
      <c r="SNA11" s="495"/>
      <c r="SNB11" s="495"/>
      <c r="SNC11" s="495"/>
      <c r="SND11" s="495"/>
      <c r="SNE11" s="495"/>
      <c r="SNF11" s="495"/>
      <c r="SNG11" s="495"/>
      <c r="SNH11" s="495"/>
      <c r="SNI11" s="495"/>
      <c r="SNJ11" s="495"/>
      <c r="SNK11" s="495"/>
      <c r="SNL11" s="495"/>
      <c r="SNM11" s="495"/>
      <c r="SNN11" s="495"/>
      <c r="SNO11" s="495"/>
      <c r="SNP11" s="495"/>
      <c r="SNQ11" s="495"/>
      <c r="SNR11" s="495"/>
      <c r="SNS11" s="495"/>
      <c r="SNT11" s="495"/>
      <c r="SNU11" s="495"/>
      <c r="SNV11" s="495"/>
      <c r="SNW11" s="495"/>
      <c r="SNX11" s="495"/>
      <c r="SNY11" s="495"/>
      <c r="SNZ11" s="495"/>
      <c r="SOA11" s="495"/>
      <c r="SOB11" s="495"/>
      <c r="SOC11" s="495"/>
      <c r="SOD11" s="495"/>
      <c r="SOE11" s="495"/>
      <c r="SOF11" s="495"/>
      <c r="SOG11" s="495"/>
      <c r="SOH11" s="495"/>
      <c r="SOI11" s="495"/>
      <c r="SOJ11" s="495"/>
      <c r="SOK11" s="495"/>
      <c r="SOL11" s="495"/>
      <c r="SOM11" s="495"/>
      <c r="SON11" s="495"/>
      <c r="SOO11" s="495"/>
      <c r="SOP11" s="495"/>
      <c r="SOQ11" s="495"/>
      <c r="SOR11" s="495"/>
      <c r="SOS11" s="495"/>
      <c r="SOT11" s="495"/>
      <c r="SOU11" s="495"/>
      <c r="SOV11" s="495"/>
      <c r="SOW11" s="495"/>
      <c r="SOX11" s="495"/>
      <c r="SOY11" s="495"/>
      <c r="SOZ11" s="495"/>
      <c r="SPA11" s="495"/>
      <c r="SPB11" s="495"/>
      <c r="SPC11" s="495"/>
      <c r="SPD11" s="495"/>
      <c r="SPE11" s="495"/>
      <c r="SPF11" s="495"/>
      <c r="SPG11" s="495"/>
      <c r="SPH11" s="495"/>
      <c r="SPI11" s="495"/>
      <c r="SPJ11" s="495"/>
      <c r="SPK11" s="495"/>
      <c r="SPL11" s="495"/>
      <c r="SPM11" s="495"/>
      <c r="SPN11" s="495"/>
      <c r="SPO11" s="495"/>
      <c r="SPP11" s="495"/>
      <c r="SPQ11" s="495"/>
      <c r="SPR11" s="495"/>
      <c r="SPS11" s="495"/>
      <c r="SPT11" s="495"/>
      <c r="SPU11" s="495"/>
      <c r="SPV11" s="495"/>
      <c r="SPW11" s="495"/>
      <c r="SPX11" s="495"/>
      <c r="SPY11" s="495"/>
      <c r="SPZ11" s="495"/>
      <c r="SQA11" s="495"/>
      <c r="SQB11" s="495"/>
      <c r="SQC11" s="495"/>
      <c r="SQD11" s="495"/>
      <c r="SQE11" s="495"/>
      <c r="SQF11" s="495"/>
      <c r="SQG11" s="495"/>
      <c r="SQH11" s="495"/>
      <c r="SQI11" s="495"/>
      <c r="SQJ11" s="495"/>
      <c r="SQK11" s="495"/>
      <c r="SQL11" s="495"/>
      <c r="SQM11" s="495"/>
      <c r="SQN11" s="495"/>
      <c r="SQO11" s="495"/>
      <c r="SQP11" s="495"/>
      <c r="SQQ11" s="495"/>
      <c r="SQR11" s="495"/>
      <c r="SQS11" s="495"/>
      <c r="SQT11" s="495"/>
      <c r="SQU11" s="495"/>
      <c r="SQV11" s="495"/>
      <c r="SQW11" s="495"/>
      <c r="SQX11" s="495"/>
      <c r="SQY11" s="495"/>
      <c r="SQZ11" s="495"/>
      <c r="SRA11" s="495"/>
      <c r="SRB11" s="495"/>
      <c r="SRC11" s="495"/>
      <c r="SRD11" s="495"/>
      <c r="SRE11" s="495"/>
      <c r="SRF11" s="495"/>
      <c r="SRG11" s="495"/>
      <c r="SRH11" s="495"/>
      <c r="SRI11" s="495"/>
      <c r="SRJ11" s="495"/>
      <c r="SRK11" s="495"/>
      <c r="SRL11" s="495"/>
      <c r="SRM11" s="495"/>
      <c r="SRN11" s="495"/>
      <c r="SRO11" s="495"/>
      <c r="SRP11" s="495"/>
      <c r="SRQ11" s="495"/>
      <c r="SRR11" s="495"/>
      <c r="SRS11" s="495"/>
      <c r="SRT11" s="495"/>
      <c r="SRU11" s="495"/>
      <c r="SRV11" s="495"/>
      <c r="SRW11" s="495"/>
      <c r="SRX11" s="495"/>
      <c r="SRY11" s="495"/>
      <c r="SRZ11" s="495"/>
      <c r="SSA11" s="495"/>
      <c r="SSB11" s="495"/>
      <c r="SSC11" s="495"/>
      <c r="SSD11" s="495"/>
      <c r="SSE11" s="495"/>
      <c r="SSF11" s="495"/>
      <c r="SSG11" s="495"/>
      <c r="SSH11" s="495"/>
      <c r="SSI11" s="495"/>
      <c r="SSJ11" s="495"/>
      <c r="SSK11" s="495"/>
      <c r="SSL11" s="495"/>
      <c r="SSM11" s="495"/>
      <c r="SSN11" s="495"/>
      <c r="SSO11" s="495"/>
      <c r="SSP11" s="495"/>
      <c r="SSQ11" s="495"/>
      <c r="SSR11" s="495"/>
      <c r="SSS11" s="495"/>
      <c r="SST11" s="495"/>
      <c r="SSU11" s="495"/>
      <c r="SSV11" s="495"/>
      <c r="SSW11" s="495"/>
      <c r="SSX11" s="495"/>
      <c r="SSY11" s="495"/>
      <c r="SSZ11" s="495"/>
      <c r="STA11" s="495"/>
      <c r="STB11" s="495"/>
      <c r="STC11" s="495"/>
      <c r="STD11" s="495"/>
      <c r="STE11" s="495"/>
      <c r="STF11" s="495"/>
      <c r="STG11" s="495"/>
      <c r="STH11" s="495"/>
      <c r="STI11" s="495"/>
      <c r="STJ11" s="495"/>
      <c r="STK11" s="495"/>
      <c r="STL11" s="495"/>
      <c r="STM11" s="495"/>
      <c r="STN11" s="495"/>
      <c r="STO11" s="495"/>
      <c r="STP11" s="495"/>
      <c r="STQ11" s="495"/>
      <c r="STR11" s="495"/>
      <c r="STS11" s="495"/>
      <c r="STT11" s="495"/>
      <c r="STU11" s="495"/>
      <c r="STV11" s="495"/>
      <c r="STW11" s="495"/>
      <c r="STX11" s="495"/>
      <c r="STY11" s="495"/>
      <c r="STZ11" s="495"/>
      <c r="SUA11" s="495"/>
      <c r="SUB11" s="495"/>
      <c r="SUC11" s="495"/>
      <c r="SUD11" s="495"/>
      <c r="SUE11" s="495"/>
      <c r="SUF11" s="495"/>
      <c r="SUG11" s="495"/>
      <c r="SUH11" s="495"/>
      <c r="SUI11" s="495"/>
      <c r="SUJ11" s="495"/>
      <c r="SUK11" s="495"/>
      <c r="SUL11" s="495"/>
      <c r="SUM11" s="495"/>
      <c r="SUN11" s="495"/>
      <c r="SUO11" s="495"/>
      <c r="SUP11" s="495"/>
      <c r="SUQ11" s="495"/>
      <c r="SUR11" s="495"/>
      <c r="SUS11" s="495"/>
      <c r="SUT11" s="495"/>
      <c r="SUU11" s="495"/>
      <c r="SUV11" s="495"/>
      <c r="SUW11" s="495"/>
      <c r="SUX11" s="495"/>
      <c r="SUY11" s="495"/>
      <c r="SUZ11" s="495"/>
      <c r="SVA11" s="495"/>
      <c r="SVB11" s="495"/>
      <c r="SVC11" s="495"/>
      <c r="SVD11" s="495"/>
      <c r="SVE11" s="495"/>
      <c r="SVF11" s="495"/>
      <c r="SVG11" s="495"/>
      <c r="SVH11" s="495"/>
      <c r="SVI11" s="495"/>
      <c r="SVJ11" s="495"/>
      <c r="SVK11" s="495"/>
      <c r="SVL11" s="495"/>
      <c r="SVM11" s="495"/>
      <c r="SVN11" s="495"/>
      <c r="SVO11" s="495"/>
      <c r="SVP11" s="495"/>
      <c r="SVQ11" s="495"/>
      <c r="SVR11" s="495"/>
      <c r="SVS11" s="495"/>
      <c r="SVT11" s="495"/>
      <c r="SVU11" s="495"/>
      <c r="SVV11" s="495"/>
      <c r="SVW11" s="495"/>
      <c r="SVX11" s="495"/>
      <c r="SVY11" s="495"/>
      <c r="SVZ11" s="495"/>
      <c r="SWA11" s="495"/>
      <c r="SWB11" s="495"/>
      <c r="SWC11" s="495"/>
      <c r="SWD11" s="495"/>
      <c r="SWE11" s="495"/>
      <c r="SWF11" s="495"/>
      <c r="SWG11" s="495"/>
      <c r="SWH11" s="495"/>
      <c r="SWI11" s="495"/>
      <c r="SWJ11" s="495"/>
      <c r="SWK11" s="495"/>
      <c r="SWL11" s="495"/>
      <c r="SWM11" s="495"/>
      <c r="SWN11" s="495"/>
      <c r="SWO11" s="495"/>
      <c r="SWP11" s="495"/>
      <c r="SWQ11" s="495"/>
      <c r="SWR11" s="495"/>
      <c r="SWS11" s="495"/>
      <c r="SWT11" s="495"/>
      <c r="SWU11" s="495"/>
      <c r="SWV11" s="495"/>
      <c r="SWW11" s="495"/>
      <c r="SWX11" s="495"/>
      <c r="SWY11" s="495"/>
      <c r="SWZ11" s="495"/>
      <c r="SXA11" s="495"/>
      <c r="SXB11" s="495"/>
      <c r="SXC11" s="495"/>
      <c r="SXD11" s="495"/>
      <c r="SXE11" s="495"/>
      <c r="SXF11" s="495"/>
      <c r="SXG11" s="495"/>
      <c r="SXH11" s="495"/>
      <c r="SXI11" s="495"/>
      <c r="SXJ11" s="495"/>
      <c r="SXK11" s="495"/>
      <c r="SXL11" s="495"/>
      <c r="SXM11" s="495"/>
      <c r="SXN11" s="495"/>
      <c r="SXO11" s="495"/>
      <c r="SXP11" s="495"/>
      <c r="SXQ11" s="495"/>
      <c r="SXR11" s="495"/>
      <c r="SXS11" s="495"/>
      <c r="SXT11" s="495"/>
      <c r="SXU11" s="495"/>
      <c r="SXV11" s="495"/>
      <c r="SXW11" s="495"/>
      <c r="SXX11" s="495"/>
      <c r="SXY11" s="495"/>
      <c r="SXZ11" s="495"/>
      <c r="SYA11" s="495"/>
      <c r="SYB11" s="495"/>
      <c r="SYC11" s="495"/>
      <c r="SYD11" s="495"/>
      <c r="SYE11" s="495"/>
      <c r="SYF11" s="495"/>
      <c r="SYG11" s="495"/>
      <c r="SYH11" s="495"/>
      <c r="SYI11" s="495"/>
      <c r="SYJ11" s="495"/>
      <c r="SYK11" s="495"/>
      <c r="SYL11" s="495"/>
      <c r="SYM11" s="495"/>
      <c r="SYN11" s="495"/>
      <c r="SYO11" s="495"/>
      <c r="SYP11" s="495"/>
      <c r="SYQ11" s="495"/>
      <c r="SYR11" s="495"/>
      <c r="SYS11" s="495"/>
      <c r="SYT11" s="495"/>
      <c r="SYU11" s="495"/>
      <c r="SYV11" s="495"/>
      <c r="SYW11" s="495"/>
      <c r="SYX11" s="495"/>
      <c r="SYY11" s="495"/>
      <c r="SYZ11" s="495"/>
      <c r="SZA11" s="495"/>
      <c r="SZB11" s="495"/>
      <c r="SZC11" s="495"/>
      <c r="SZD11" s="495"/>
      <c r="SZE11" s="495"/>
      <c r="SZF11" s="495"/>
      <c r="SZG11" s="495"/>
      <c r="SZH11" s="495"/>
      <c r="SZI11" s="495"/>
      <c r="SZJ11" s="495"/>
      <c r="SZK11" s="495"/>
      <c r="SZL11" s="495"/>
      <c r="SZM11" s="495"/>
      <c r="SZN11" s="495"/>
      <c r="SZO11" s="495"/>
      <c r="SZP11" s="495"/>
      <c r="SZQ11" s="495"/>
      <c r="SZR11" s="495"/>
      <c r="SZS11" s="495"/>
      <c r="SZT11" s="495"/>
      <c r="SZU11" s="495"/>
      <c r="SZV11" s="495"/>
      <c r="SZW11" s="495"/>
      <c r="SZX11" s="495"/>
      <c r="SZY11" s="495"/>
      <c r="SZZ11" s="495"/>
      <c r="TAA11" s="495"/>
      <c r="TAB11" s="495"/>
      <c r="TAC11" s="495"/>
      <c r="TAD11" s="495"/>
      <c r="TAE11" s="495"/>
      <c r="TAF11" s="495"/>
      <c r="TAG11" s="495"/>
      <c r="TAH11" s="495"/>
      <c r="TAI11" s="495"/>
      <c r="TAJ11" s="495"/>
      <c r="TAK11" s="495"/>
      <c r="TAL11" s="495"/>
      <c r="TAM11" s="495"/>
      <c r="TAN11" s="495"/>
      <c r="TAO11" s="495"/>
      <c r="TAP11" s="495"/>
      <c r="TAQ11" s="495"/>
      <c r="TAR11" s="495"/>
      <c r="TAS11" s="495"/>
      <c r="TAT11" s="495"/>
      <c r="TAU11" s="495"/>
      <c r="TAV11" s="495"/>
      <c r="TAW11" s="495"/>
      <c r="TAX11" s="495"/>
      <c r="TAY11" s="495"/>
      <c r="TAZ11" s="495"/>
      <c r="TBA11" s="495"/>
      <c r="TBB11" s="495"/>
      <c r="TBC11" s="495"/>
      <c r="TBD11" s="495"/>
      <c r="TBE11" s="495"/>
      <c r="TBF11" s="495"/>
      <c r="TBG11" s="495"/>
      <c r="TBH11" s="495"/>
      <c r="TBI11" s="495"/>
      <c r="TBJ11" s="495"/>
      <c r="TBK11" s="495"/>
      <c r="TBL11" s="495"/>
      <c r="TBM11" s="495"/>
      <c r="TBN11" s="495"/>
      <c r="TBO11" s="495"/>
      <c r="TBP11" s="495"/>
      <c r="TBQ11" s="495"/>
      <c r="TBR11" s="495"/>
      <c r="TBS11" s="495"/>
      <c r="TBT11" s="495"/>
      <c r="TBU11" s="495"/>
      <c r="TBV11" s="495"/>
      <c r="TBW11" s="495"/>
      <c r="TBX11" s="495"/>
      <c r="TBY11" s="495"/>
      <c r="TBZ11" s="495"/>
      <c r="TCA11" s="495"/>
      <c r="TCB11" s="495"/>
      <c r="TCC11" s="495"/>
      <c r="TCD11" s="495"/>
      <c r="TCE11" s="495"/>
      <c r="TCF11" s="495"/>
      <c r="TCG11" s="495"/>
      <c r="TCH11" s="495"/>
      <c r="TCI11" s="495"/>
      <c r="TCJ11" s="495"/>
      <c r="TCK11" s="495"/>
      <c r="TCL11" s="495"/>
      <c r="TCM11" s="495"/>
      <c r="TCN11" s="495"/>
      <c r="TCO11" s="495"/>
      <c r="TCP11" s="495"/>
      <c r="TCQ11" s="495"/>
      <c r="TCR11" s="495"/>
      <c r="TCS11" s="495"/>
      <c r="TCT11" s="495"/>
      <c r="TCU11" s="495"/>
      <c r="TCV11" s="495"/>
      <c r="TCW11" s="495"/>
      <c r="TCX11" s="495"/>
      <c r="TCY11" s="495"/>
      <c r="TCZ11" s="495"/>
      <c r="TDA11" s="495"/>
      <c r="TDB11" s="495"/>
      <c r="TDC11" s="495"/>
      <c r="TDD11" s="495"/>
      <c r="TDE11" s="495"/>
      <c r="TDF11" s="495"/>
      <c r="TDG11" s="495"/>
      <c r="TDH11" s="495"/>
      <c r="TDI11" s="495"/>
      <c r="TDJ11" s="495"/>
      <c r="TDK11" s="495"/>
      <c r="TDL11" s="495"/>
      <c r="TDM11" s="495"/>
      <c r="TDN11" s="495"/>
      <c r="TDO11" s="495"/>
      <c r="TDP11" s="495"/>
      <c r="TDQ11" s="495"/>
      <c r="TDR11" s="495"/>
      <c r="TDS11" s="495"/>
      <c r="TDT11" s="495"/>
      <c r="TDU11" s="495"/>
      <c r="TDV11" s="495"/>
      <c r="TDW11" s="495"/>
      <c r="TDX11" s="495"/>
      <c r="TDY11" s="495"/>
      <c r="TDZ11" s="495"/>
      <c r="TEA11" s="495"/>
      <c r="TEB11" s="495"/>
      <c r="TEC11" s="495"/>
      <c r="TED11" s="495"/>
      <c r="TEE11" s="495"/>
      <c r="TEF11" s="495"/>
      <c r="TEG11" s="495"/>
      <c r="TEH11" s="495"/>
      <c r="TEI11" s="495"/>
      <c r="TEJ11" s="495"/>
      <c r="TEK11" s="495"/>
      <c r="TEL11" s="495"/>
      <c r="TEM11" s="495"/>
      <c r="TEN11" s="495"/>
      <c r="TEO11" s="495"/>
      <c r="TEP11" s="495"/>
      <c r="TEQ11" s="495"/>
      <c r="TER11" s="495"/>
      <c r="TES11" s="495"/>
      <c r="TET11" s="495"/>
      <c r="TEU11" s="495"/>
      <c r="TEV11" s="495"/>
      <c r="TEW11" s="495"/>
      <c r="TEX11" s="495"/>
      <c r="TEY11" s="495"/>
      <c r="TEZ11" s="495"/>
      <c r="TFA11" s="495"/>
      <c r="TFB11" s="495"/>
      <c r="TFC11" s="495"/>
      <c r="TFD11" s="495"/>
      <c r="TFE11" s="495"/>
      <c r="TFF11" s="495"/>
      <c r="TFG11" s="495"/>
      <c r="TFH11" s="495"/>
      <c r="TFI11" s="495"/>
      <c r="TFJ11" s="495"/>
      <c r="TFK11" s="495"/>
      <c r="TFL11" s="495"/>
      <c r="TFM11" s="495"/>
      <c r="TFN11" s="495"/>
      <c r="TFO11" s="495"/>
      <c r="TFP11" s="495"/>
      <c r="TFQ11" s="495"/>
      <c r="TFR11" s="495"/>
      <c r="TFS11" s="495"/>
      <c r="TFT11" s="495"/>
      <c r="TFU11" s="495"/>
      <c r="TFV11" s="495"/>
      <c r="TFW11" s="495"/>
      <c r="TFX11" s="495"/>
      <c r="TFY11" s="495"/>
      <c r="TFZ11" s="495"/>
      <c r="TGA11" s="495"/>
      <c r="TGB11" s="495"/>
      <c r="TGC11" s="495"/>
      <c r="TGD11" s="495"/>
      <c r="TGE11" s="495"/>
      <c r="TGF11" s="495"/>
      <c r="TGG11" s="495"/>
      <c r="TGH11" s="495"/>
      <c r="TGI11" s="495"/>
      <c r="TGJ11" s="495"/>
      <c r="TGK11" s="495"/>
      <c r="TGL11" s="495"/>
      <c r="TGM11" s="495"/>
      <c r="TGN11" s="495"/>
      <c r="TGO11" s="495"/>
      <c r="TGP11" s="495"/>
      <c r="TGQ11" s="495"/>
      <c r="TGR11" s="495"/>
      <c r="TGS11" s="495"/>
      <c r="TGT11" s="495"/>
      <c r="TGU11" s="495"/>
      <c r="TGV11" s="495"/>
      <c r="TGW11" s="495"/>
      <c r="TGX11" s="495"/>
      <c r="TGY11" s="495"/>
      <c r="TGZ11" s="495"/>
      <c r="THA11" s="495"/>
      <c r="THB11" s="495"/>
      <c r="THC11" s="495"/>
      <c r="THD11" s="495"/>
      <c r="THE11" s="495"/>
      <c r="THF11" s="495"/>
      <c r="THG11" s="495"/>
      <c r="THH11" s="495"/>
      <c r="THI11" s="495"/>
      <c r="THJ11" s="495"/>
      <c r="THK11" s="495"/>
      <c r="THL11" s="495"/>
      <c r="THM11" s="495"/>
      <c r="THN11" s="495"/>
      <c r="THO11" s="495"/>
      <c r="THP11" s="495"/>
      <c r="THQ11" s="495"/>
      <c r="THR11" s="495"/>
      <c r="THS11" s="495"/>
      <c r="THT11" s="495"/>
      <c r="THU11" s="495"/>
      <c r="THV11" s="495"/>
      <c r="THW11" s="495"/>
      <c r="THX11" s="495"/>
      <c r="THY11" s="495"/>
      <c r="THZ11" s="495"/>
      <c r="TIA11" s="495"/>
      <c r="TIB11" s="495"/>
      <c r="TIC11" s="495"/>
      <c r="TID11" s="495"/>
      <c r="TIE11" s="495"/>
      <c r="TIF11" s="495"/>
      <c r="TIG11" s="495"/>
      <c r="TIH11" s="495"/>
      <c r="TII11" s="495"/>
      <c r="TIJ11" s="495"/>
      <c r="TIK11" s="495"/>
      <c r="TIL11" s="495"/>
      <c r="TIM11" s="495"/>
      <c r="TIN11" s="495"/>
      <c r="TIO11" s="495"/>
      <c r="TIP11" s="495"/>
      <c r="TIQ11" s="495"/>
      <c r="TIR11" s="495"/>
      <c r="TIS11" s="495"/>
      <c r="TIT11" s="495"/>
      <c r="TIU11" s="495"/>
      <c r="TIV11" s="495"/>
      <c r="TIW11" s="495"/>
      <c r="TIX11" s="495"/>
      <c r="TIY11" s="495"/>
      <c r="TIZ11" s="495"/>
      <c r="TJA11" s="495"/>
      <c r="TJB11" s="495"/>
      <c r="TJC11" s="495"/>
      <c r="TJD11" s="495"/>
      <c r="TJE11" s="495"/>
      <c r="TJF11" s="495"/>
      <c r="TJG11" s="495"/>
      <c r="TJH11" s="495"/>
      <c r="TJI11" s="495"/>
      <c r="TJJ11" s="495"/>
      <c r="TJK11" s="495"/>
      <c r="TJL11" s="495"/>
      <c r="TJM11" s="495"/>
      <c r="TJN11" s="495"/>
      <c r="TJO11" s="495"/>
      <c r="TJP11" s="495"/>
      <c r="TJQ11" s="495"/>
      <c r="TJR11" s="495"/>
      <c r="TJS11" s="495"/>
      <c r="TJT11" s="495"/>
      <c r="TJU11" s="495"/>
      <c r="TJV11" s="495"/>
      <c r="TJW11" s="495"/>
      <c r="TJX11" s="495"/>
      <c r="TJY11" s="495"/>
      <c r="TJZ11" s="495"/>
      <c r="TKA11" s="495"/>
      <c r="TKB11" s="495"/>
      <c r="TKC11" s="495"/>
      <c r="TKD11" s="495"/>
      <c r="TKE11" s="495"/>
      <c r="TKF11" s="495"/>
      <c r="TKG11" s="495"/>
      <c r="TKH11" s="495"/>
      <c r="TKI11" s="495"/>
      <c r="TKJ11" s="495"/>
      <c r="TKK11" s="495"/>
      <c r="TKL11" s="495"/>
      <c r="TKM11" s="495"/>
      <c r="TKN11" s="495"/>
      <c r="TKO11" s="495"/>
      <c r="TKP11" s="495"/>
      <c r="TKQ11" s="495"/>
      <c r="TKR11" s="495"/>
      <c r="TKS11" s="495"/>
      <c r="TKT11" s="495"/>
      <c r="TKU11" s="495"/>
      <c r="TKV11" s="495"/>
      <c r="TKW11" s="495"/>
      <c r="TKX11" s="495"/>
      <c r="TKY11" s="495"/>
      <c r="TKZ11" s="495"/>
      <c r="TLA11" s="495"/>
      <c r="TLB11" s="495"/>
      <c r="TLC11" s="495"/>
      <c r="TLD11" s="495"/>
      <c r="TLE11" s="495"/>
      <c r="TLF11" s="495"/>
      <c r="TLG11" s="495"/>
      <c r="TLH11" s="495"/>
      <c r="TLI11" s="495"/>
      <c r="TLJ11" s="495"/>
      <c r="TLK11" s="495"/>
      <c r="TLL11" s="495"/>
      <c r="TLM11" s="495"/>
      <c r="TLN11" s="495"/>
      <c r="TLO11" s="495"/>
      <c r="TLP11" s="495"/>
      <c r="TLQ11" s="495"/>
      <c r="TLR11" s="495"/>
      <c r="TLS11" s="495"/>
      <c r="TLT11" s="495"/>
      <c r="TLU11" s="495"/>
      <c r="TLV11" s="495"/>
      <c r="TLW11" s="495"/>
      <c r="TLX11" s="495"/>
      <c r="TLY11" s="495"/>
      <c r="TLZ11" s="495"/>
      <c r="TMA11" s="495"/>
      <c r="TMB11" s="495"/>
      <c r="TMC11" s="495"/>
      <c r="TMD11" s="495"/>
      <c r="TME11" s="495"/>
      <c r="TMF11" s="495"/>
      <c r="TMG11" s="495"/>
      <c r="TMH11" s="495"/>
      <c r="TMI11" s="495"/>
      <c r="TMJ11" s="495"/>
      <c r="TMK11" s="495"/>
      <c r="TML11" s="495"/>
      <c r="TMM11" s="495"/>
      <c r="TMN11" s="495"/>
      <c r="TMO11" s="495"/>
      <c r="TMP11" s="495"/>
      <c r="TMQ11" s="495"/>
      <c r="TMR11" s="495"/>
      <c r="TMS11" s="495"/>
      <c r="TMT11" s="495"/>
      <c r="TMU11" s="495"/>
      <c r="TMV11" s="495"/>
      <c r="TMW11" s="495"/>
      <c r="TMX11" s="495"/>
      <c r="TMY11" s="495"/>
      <c r="TMZ11" s="495"/>
      <c r="TNA11" s="495"/>
      <c r="TNB11" s="495"/>
      <c r="TNC11" s="495"/>
      <c r="TND11" s="495"/>
      <c r="TNE11" s="495"/>
      <c r="TNF11" s="495"/>
      <c r="TNG11" s="495"/>
      <c r="TNH11" s="495"/>
      <c r="TNI11" s="495"/>
      <c r="TNJ11" s="495"/>
      <c r="TNK11" s="495"/>
      <c r="TNL11" s="495"/>
      <c r="TNM11" s="495"/>
      <c r="TNN11" s="495"/>
      <c r="TNO11" s="495"/>
      <c r="TNP11" s="495"/>
      <c r="TNQ11" s="495"/>
      <c r="TNR11" s="495"/>
      <c r="TNS11" s="495"/>
      <c r="TNT11" s="495"/>
      <c r="TNU11" s="495"/>
      <c r="TNV11" s="495"/>
      <c r="TNW11" s="495"/>
      <c r="TNX11" s="495"/>
      <c r="TNY11" s="495"/>
      <c r="TNZ11" s="495"/>
      <c r="TOA11" s="495"/>
      <c r="TOB11" s="495"/>
      <c r="TOC11" s="495"/>
      <c r="TOD11" s="495"/>
      <c r="TOE11" s="495"/>
      <c r="TOF11" s="495"/>
      <c r="TOG11" s="495"/>
      <c r="TOH11" s="495"/>
      <c r="TOI11" s="495"/>
      <c r="TOJ11" s="495"/>
      <c r="TOK11" s="495"/>
      <c r="TOL11" s="495"/>
      <c r="TOM11" s="495"/>
      <c r="TON11" s="495"/>
      <c r="TOO11" s="495"/>
      <c r="TOP11" s="495"/>
      <c r="TOQ11" s="495"/>
      <c r="TOR11" s="495"/>
      <c r="TOS11" s="495"/>
      <c r="TOT11" s="495"/>
      <c r="TOU11" s="495"/>
      <c r="TOV11" s="495"/>
      <c r="TOW11" s="495"/>
      <c r="TOX11" s="495"/>
      <c r="TOY11" s="495"/>
      <c r="TOZ11" s="495"/>
      <c r="TPA11" s="495"/>
      <c r="TPB11" s="495"/>
      <c r="TPC11" s="495"/>
      <c r="TPD11" s="495"/>
      <c r="TPE11" s="495"/>
      <c r="TPF11" s="495"/>
      <c r="TPG11" s="495"/>
      <c r="TPH11" s="495"/>
      <c r="TPI11" s="495"/>
      <c r="TPJ11" s="495"/>
      <c r="TPK11" s="495"/>
      <c r="TPL11" s="495"/>
      <c r="TPM11" s="495"/>
      <c r="TPN11" s="495"/>
      <c r="TPO11" s="495"/>
      <c r="TPP11" s="495"/>
      <c r="TPQ11" s="495"/>
      <c r="TPR11" s="495"/>
      <c r="TPS11" s="495"/>
      <c r="TPT11" s="495"/>
      <c r="TPU11" s="495"/>
      <c r="TPV11" s="495"/>
      <c r="TPW11" s="495"/>
      <c r="TPX11" s="495"/>
      <c r="TPY11" s="495"/>
      <c r="TPZ11" s="495"/>
      <c r="TQA11" s="495"/>
      <c r="TQB11" s="495"/>
      <c r="TQC11" s="495"/>
      <c r="TQD11" s="495"/>
      <c r="TQE11" s="495"/>
      <c r="TQF11" s="495"/>
      <c r="TQG11" s="495"/>
      <c r="TQH11" s="495"/>
      <c r="TQI11" s="495"/>
      <c r="TQJ11" s="495"/>
      <c r="TQK11" s="495"/>
      <c r="TQL11" s="495"/>
      <c r="TQM11" s="495"/>
      <c r="TQN11" s="495"/>
      <c r="TQO11" s="495"/>
      <c r="TQP11" s="495"/>
      <c r="TQQ11" s="495"/>
      <c r="TQR11" s="495"/>
      <c r="TQS11" s="495"/>
      <c r="TQT11" s="495"/>
      <c r="TQU11" s="495"/>
      <c r="TQV11" s="495"/>
      <c r="TQW11" s="495"/>
      <c r="TQX11" s="495"/>
      <c r="TQY11" s="495"/>
      <c r="TQZ11" s="495"/>
      <c r="TRA11" s="495"/>
      <c r="TRB11" s="495"/>
      <c r="TRC11" s="495"/>
      <c r="TRD11" s="495"/>
      <c r="TRE11" s="495"/>
      <c r="TRF11" s="495"/>
      <c r="TRG11" s="495"/>
      <c r="TRH11" s="495"/>
      <c r="TRI11" s="495"/>
      <c r="TRJ11" s="495"/>
      <c r="TRK11" s="495"/>
      <c r="TRL11" s="495"/>
      <c r="TRM11" s="495"/>
      <c r="TRN11" s="495"/>
      <c r="TRO11" s="495"/>
      <c r="TRP11" s="495"/>
      <c r="TRQ11" s="495"/>
      <c r="TRR11" s="495"/>
      <c r="TRS11" s="495"/>
      <c r="TRT11" s="495"/>
      <c r="TRU11" s="495"/>
      <c r="TRV11" s="495"/>
      <c r="TRW11" s="495"/>
      <c r="TRX11" s="495"/>
      <c r="TRY11" s="495"/>
      <c r="TRZ11" s="495"/>
      <c r="TSA11" s="495"/>
      <c r="TSB11" s="495"/>
      <c r="TSC11" s="495"/>
      <c r="TSD11" s="495"/>
      <c r="TSE11" s="495"/>
      <c r="TSF11" s="495"/>
      <c r="TSG11" s="495"/>
      <c r="TSH11" s="495"/>
      <c r="TSI11" s="495"/>
      <c r="TSJ11" s="495"/>
      <c r="TSK11" s="495"/>
      <c r="TSL11" s="495"/>
      <c r="TSM11" s="495"/>
      <c r="TSN11" s="495"/>
      <c r="TSO11" s="495"/>
      <c r="TSP11" s="495"/>
      <c r="TSQ11" s="495"/>
      <c r="TSR11" s="495"/>
      <c r="TSS11" s="495"/>
      <c r="TST11" s="495"/>
      <c r="TSU11" s="495"/>
      <c r="TSV11" s="495"/>
      <c r="TSW11" s="495"/>
      <c r="TSX11" s="495"/>
      <c r="TSY11" s="495"/>
      <c r="TSZ11" s="495"/>
      <c r="TTA11" s="495"/>
      <c r="TTB11" s="495"/>
      <c r="TTC11" s="495"/>
      <c r="TTD11" s="495"/>
      <c r="TTE11" s="495"/>
      <c r="TTF11" s="495"/>
      <c r="TTG11" s="495"/>
      <c r="TTH11" s="495"/>
      <c r="TTI11" s="495"/>
      <c r="TTJ11" s="495"/>
      <c r="TTK11" s="495"/>
      <c r="TTL11" s="495"/>
      <c r="TTM11" s="495"/>
      <c r="TTN11" s="495"/>
      <c r="TTO11" s="495"/>
      <c r="TTP11" s="495"/>
      <c r="TTQ11" s="495"/>
      <c r="TTR11" s="495"/>
      <c r="TTS11" s="495"/>
      <c r="TTT11" s="495"/>
      <c r="TTU11" s="495"/>
      <c r="TTV11" s="495"/>
      <c r="TTW11" s="495"/>
      <c r="TTX11" s="495"/>
      <c r="TTY11" s="495"/>
      <c r="TTZ11" s="495"/>
      <c r="TUA11" s="495"/>
      <c r="TUB11" s="495"/>
      <c r="TUC11" s="495"/>
      <c r="TUD11" s="495"/>
      <c r="TUE11" s="495"/>
      <c r="TUF11" s="495"/>
      <c r="TUG11" s="495"/>
      <c r="TUH11" s="495"/>
      <c r="TUI11" s="495"/>
      <c r="TUJ11" s="495"/>
      <c r="TUK11" s="495"/>
      <c r="TUL11" s="495"/>
      <c r="TUM11" s="495"/>
      <c r="TUN11" s="495"/>
      <c r="TUO11" s="495"/>
      <c r="TUP11" s="495"/>
      <c r="TUQ11" s="495"/>
      <c r="TUR11" s="495"/>
      <c r="TUS11" s="495"/>
      <c r="TUT11" s="495"/>
      <c r="TUU11" s="495"/>
      <c r="TUV11" s="495"/>
      <c r="TUW11" s="495"/>
      <c r="TUX11" s="495"/>
      <c r="TUY11" s="495"/>
      <c r="TUZ11" s="495"/>
      <c r="TVA11" s="495"/>
      <c r="TVB11" s="495"/>
      <c r="TVC11" s="495"/>
      <c r="TVD11" s="495"/>
      <c r="TVE11" s="495"/>
      <c r="TVF11" s="495"/>
      <c r="TVG11" s="495"/>
      <c r="TVH11" s="495"/>
      <c r="TVI11" s="495"/>
      <c r="TVJ11" s="495"/>
      <c r="TVK11" s="495"/>
      <c r="TVL11" s="495"/>
      <c r="TVM11" s="495"/>
      <c r="TVN11" s="495"/>
      <c r="TVO11" s="495"/>
      <c r="TVP11" s="495"/>
      <c r="TVQ11" s="495"/>
      <c r="TVR11" s="495"/>
      <c r="TVS11" s="495"/>
      <c r="TVT11" s="495"/>
      <c r="TVU11" s="495"/>
      <c r="TVV11" s="495"/>
      <c r="TVW11" s="495"/>
      <c r="TVX11" s="495"/>
      <c r="TVY11" s="495"/>
      <c r="TVZ11" s="495"/>
      <c r="TWA11" s="495"/>
      <c r="TWB11" s="495"/>
      <c r="TWC11" s="495"/>
      <c r="TWD11" s="495"/>
      <c r="TWE11" s="495"/>
      <c r="TWF11" s="495"/>
      <c r="TWG11" s="495"/>
      <c r="TWH11" s="495"/>
      <c r="TWI11" s="495"/>
      <c r="TWJ11" s="495"/>
      <c r="TWK11" s="495"/>
      <c r="TWL11" s="495"/>
      <c r="TWM11" s="495"/>
      <c r="TWN11" s="495"/>
      <c r="TWO11" s="495"/>
      <c r="TWP11" s="495"/>
      <c r="TWQ11" s="495"/>
      <c r="TWR11" s="495"/>
      <c r="TWS11" s="495"/>
      <c r="TWT11" s="495"/>
      <c r="TWU11" s="495"/>
      <c r="TWV11" s="495"/>
      <c r="TWW11" s="495"/>
      <c r="TWX11" s="495"/>
      <c r="TWY11" s="495"/>
      <c r="TWZ11" s="495"/>
      <c r="TXA11" s="495"/>
      <c r="TXB11" s="495"/>
      <c r="TXC11" s="495"/>
      <c r="TXD11" s="495"/>
      <c r="TXE11" s="495"/>
      <c r="TXF11" s="495"/>
      <c r="TXG11" s="495"/>
      <c r="TXH11" s="495"/>
      <c r="TXI11" s="495"/>
      <c r="TXJ11" s="495"/>
      <c r="TXK11" s="495"/>
      <c r="TXL11" s="495"/>
      <c r="TXM11" s="495"/>
      <c r="TXN11" s="495"/>
      <c r="TXO11" s="495"/>
      <c r="TXP11" s="495"/>
      <c r="TXQ11" s="495"/>
      <c r="TXR11" s="495"/>
      <c r="TXS11" s="495"/>
      <c r="TXT11" s="495"/>
      <c r="TXU11" s="495"/>
      <c r="TXV11" s="495"/>
      <c r="TXW11" s="495"/>
      <c r="TXX11" s="495"/>
      <c r="TXY11" s="495"/>
      <c r="TXZ11" s="495"/>
      <c r="TYA11" s="495"/>
      <c r="TYB11" s="495"/>
      <c r="TYC11" s="495"/>
      <c r="TYD11" s="495"/>
      <c r="TYE11" s="495"/>
      <c r="TYF11" s="495"/>
      <c r="TYG11" s="495"/>
      <c r="TYH11" s="495"/>
      <c r="TYI11" s="495"/>
      <c r="TYJ11" s="495"/>
      <c r="TYK11" s="495"/>
      <c r="TYL11" s="495"/>
      <c r="TYM11" s="495"/>
      <c r="TYN11" s="495"/>
      <c r="TYO11" s="495"/>
      <c r="TYP11" s="495"/>
      <c r="TYQ11" s="495"/>
      <c r="TYR11" s="495"/>
      <c r="TYS11" s="495"/>
      <c r="TYT11" s="495"/>
      <c r="TYU11" s="495"/>
      <c r="TYV11" s="495"/>
      <c r="TYW11" s="495"/>
      <c r="TYX11" s="495"/>
      <c r="TYY11" s="495"/>
      <c r="TYZ11" s="495"/>
      <c r="TZA11" s="495"/>
      <c r="TZB11" s="495"/>
      <c r="TZC11" s="495"/>
      <c r="TZD11" s="495"/>
      <c r="TZE11" s="495"/>
      <c r="TZF11" s="495"/>
      <c r="TZG11" s="495"/>
      <c r="TZH11" s="495"/>
      <c r="TZI11" s="495"/>
      <c r="TZJ11" s="495"/>
      <c r="TZK11" s="495"/>
      <c r="TZL11" s="495"/>
      <c r="TZM11" s="495"/>
      <c r="TZN11" s="495"/>
      <c r="TZO11" s="495"/>
      <c r="TZP11" s="495"/>
      <c r="TZQ11" s="495"/>
      <c r="TZR11" s="495"/>
      <c r="TZS11" s="495"/>
      <c r="TZT11" s="495"/>
      <c r="TZU11" s="495"/>
      <c r="TZV11" s="495"/>
      <c r="TZW11" s="495"/>
      <c r="TZX11" s="495"/>
      <c r="TZY11" s="495"/>
      <c r="TZZ11" s="495"/>
      <c r="UAA11" s="495"/>
      <c r="UAB11" s="495"/>
      <c r="UAC11" s="495"/>
      <c r="UAD11" s="495"/>
      <c r="UAE11" s="495"/>
      <c r="UAF11" s="495"/>
      <c r="UAG11" s="495"/>
      <c r="UAH11" s="495"/>
      <c r="UAI11" s="495"/>
      <c r="UAJ11" s="495"/>
      <c r="UAK11" s="495"/>
      <c r="UAL11" s="495"/>
      <c r="UAM11" s="495"/>
      <c r="UAN11" s="495"/>
      <c r="UAO11" s="495"/>
      <c r="UAP11" s="495"/>
      <c r="UAQ11" s="495"/>
      <c r="UAR11" s="495"/>
      <c r="UAS11" s="495"/>
      <c r="UAT11" s="495"/>
      <c r="UAU11" s="495"/>
      <c r="UAV11" s="495"/>
      <c r="UAW11" s="495"/>
      <c r="UAX11" s="495"/>
      <c r="UAY11" s="495"/>
      <c r="UAZ11" s="495"/>
      <c r="UBA11" s="495"/>
      <c r="UBB11" s="495"/>
      <c r="UBC11" s="495"/>
      <c r="UBD11" s="495"/>
      <c r="UBE11" s="495"/>
      <c r="UBF11" s="495"/>
      <c r="UBG11" s="495"/>
      <c r="UBH11" s="495"/>
      <c r="UBI11" s="495"/>
      <c r="UBJ11" s="495"/>
      <c r="UBK11" s="495"/>
      <c r="UBL11" s="495"/>
      <c r="UBM11" s="495"/>
      <c r="UBN11" s="495"/>
      <c r="UBO11" s="495"/>
      <c r="UBP11" s="495"/>
      <c r="UBQ11" s="495"/>
      <c r="UBR11" s="495"/>
      <c r="UBS11" s="495"/>
      <c r="UBT11" s="495"/>
      <c r="UBU11" s="495"/>
      <c r="UBV11" s="495"/>
      <c r="UBW11" s="495"/>
      <c r="UBX11" s="495"/>
      <c r="UBY11" s="495"/>
      <c r="UBZ11" s="495"/>
      <c r="UCA11" s="495"/>
      <c r="UCB11" s="495"/>
      <c r="UCC11" s="495"/>
      <c r="UCD11" s="495"/>
      <c r="UCE11" s="495"/>
      <c r="UCF11" s="495"/>
      <c r="UCG11" s="495"/>
      <c r="UCH11" s="495"/>
      <c r="UCI11" s="495"/>
      <c r="UCJ11" s="495"/>
      <c r="UCK11" s="495"/>
      <c r="UCL11" s="495"/>
      <c r="UCM11" s="495"/>
      <c r="UCN11" s="495"/>
      <c r="UCO11" s="495"/>
      <c r="UCP11" s="495"/>
      <c r="UCQ11" s="495"/>
      <c r="UCR11" s="495"/>
      <c r="UCS11" s="495"/>
      <c r="UCT11" s="495"/>
      <c r="UCU11" s="495"/>
      <c r="UCV11" s="495"/>
      <c r="UCW11" s="495"/>
      <c r="UCX11" s="495"/>
      <c r="UCY11" s="495"/>
      <c r="UCZ11" s="495"/>
      <c r="UDA11" s="495"/>
      <c r="UDB11" s="495"/>
      <c r="UDC11" s="495"/>
      <c r="UDD11" s="495"/>
      <c r="UDE11" s="495"/>
      <c r="UDF11" s="495"/>
      <c r="UDG11" s="495"/>
      <c r="UDH11" s="495"/>
      <c r="UDI11" s="495"/>
      <c r="UDJ11" s="495"/>
      <c r="UDK11" s="495"/>
      <c r="UDL11" s="495"/>
      <c r="UDM11" s="495"/>
      <c r="UDN11" s="495"/>
      <c r="UDO11" s="495"/>
      <c r="UDP11" s="495"/>
      <c r="UDQ11" s="495"/>
      <c r="UDR11" s="495"/>
      <c r="UDS11" s="495"/>
      <c r="UDT11" s="495"/>
      <c r="UDU11" s="495"/>
      <c r="UDV11" s="495"/>
      <c r="UDW11" s="495"/>
      <c r="UDX11" s="495"/>
      <c r="UDY11" s="495"/>
      <c r="UDZ11" s="495"/>
      <c r="UEA11" s="495"/>
      <c r="UEB11" s="495"/>
      <c r="UEC11" s="495"/>
      <c r="UED11" s="495"/>
      <c r="UEE11" s="495"/>
      <c r="UEF11" s="495"/>
      <c r="UEG11" s="495"/>
      <c r="UEH11" s="495"/>
      <c r="UEI11" s="495"/>
      <c r="UEJ11" s="495"/>
      <c r="UEK11" s="495"/>
      <c r="UEL11" s="495"/>
      <c r="UEM11" s="495"/>
      <c r="UEN11" s="495"/>
      <c r="UEO11" s="495"/>
      <c r="UEP11" s="495"/>
      <c r="UEQ11" s="495"/>
      <c r="UER11" s="495"/>
      <c r="UES11" s="495"/>
      <c r="UET11" s="495"/>
      <c r="UEU11" s="495"/>
      <c r="UEV11" s="495"/>
      <c r="UEW11" s="495"/>
      <c r="UEX11" s="495"/>
      <c r="UEY11" s="495"/>
      <c r="UEZ11" s="495"/>
      <c r="UFA11" s="495"/>
      <c r="UFB11" s="495"/>
      <c r="UFC11" s="495"/>
      <c r="UFD11" s="495"/>
      <c r="UFE11" s="495"/>
      <c r="UFF11" s="495"/>
      <c r="UFG11" s="495"/>
      <c r="UFH11" s="495"/>
      <c r="UFI11" s="495"/>
      <c r="UFJ11" s="495"/>
      <c r="UFK11" s="495"/>
      <c r="UFL11" s="495"/>
      <c r="UFM11" s="495"/>
      <c r="UFN11" s="495"/>
      <c r="UFO11" s="495"/>
      <c r="UFP11" s="495"/>
      <c r="UFQ11" s="495"/>
      <c r="UFR11" s="495"/>
      <c r="UFS11" s="495"/>
      <c r="UFT11" s="495"/>
      <c r="UFU11" s="495"/>
      <c r="UFV11" s="495"/>
      <c r="UFW11" s="495"/>
      <c r="UFX11" s="495"/>
      <c r="UFY11" s="495"/>
      <c r="UFZ11" s="495"/>
      <c r="UGA11" s="495"/>
      <c r="UGB11" s="495"/>
      <c r="UGC11" s="495"/>
      <c r="UGD11" s="495"/>
      <c r="UGE11" s="495"/>
      <c r="UGF11" s="495"/>
      <c r="UGG11" s="495"/>
      <c r="UGH11" s="495"/>
      <c r="UGI11" s="495"/>
      <c r="UGJ11" s="495"/>
      <c r="UGK11" s="495"/>
      <c r="UGL11" s="495"/>
      <c r="UGM11" s="495"/>
      <c r="UGN11" s="495"/>
      <c r="UGO11" s="495"/>
      <c r="UGP11" s="495"/>
      <c r="UGQ11" s="495"/>
      <c r="UGR11" s="495"/>
      <c r="UGS11" s="495"/>
      <c r="UGT11" s="495"/>
      <c r="UGU11" s="495"/>
      <c r="UGV11" s="495"/>
      <c r="UGW11" s="495"/>
      <c r="UGX11" s="495"/>
      <c r="UGY11" s="495"/>
      <c r="UGZ11" s="495"/>
      <c r="UHA11" s="495"/>
      <c r="UHB11" s="495"/>
      <c r="UHC11" s="495"/>
      <c r="UHD11" s="495"/>
      <c r="UHE11" s="495"/>
      <c r="UHF11" s="495"/>
      <c r="UHG11" s="495"/>
      <c r="UHH11" s="495"/>
      <c r="UHI11" s="495"/>
      <c r="UHJ11" s="495"/>
      <c r="UHK11" s="495"/>
      <c r="UHL11" s="495"/>
      <c r="UHM11" s="495"/>
      <c r="UHN11" s="495"/>
      <c r="UHO11" s="495"/>
      <c r="UHP11" s="495"/>
      <c r="UHQ11" s="495"/>
      <c r="UHR11" s="495"/>
      <c r="UHS11" s="495"/>
      <c r="UHT11" s="495"/>
      <c r="UHU11" s="495"/>
      <c r="UHV11" s="495"/>
      <c r="UHW11" s="495"/>
      <c r="UHX11" s="495"/>
      <c r="UHY11" s="495"/>
      <c r="UHZ11" s="495"/>
      <c r="UIA11" s="495"/>
      <c r="UIB11" s="495"/>
      <c r="UIC11" s="495"/>
      <c r="UID11" s="495"/>
      <c r="UIE11" s="495"/>
      <c r="UIF11" s="495"/>
      <c r="UIG11" s="495"/>
      <c r="UIH11" s="495"/>
      <c r="UII11" s="495"/>
      <c r="UIJ11" s="495"/>
      <c r="UIK11" s="495"/>
      <c r="UIL11" s="495"/>
      <c r="UIM11" s="495"/>
      <c r="UIN11" s="495"/>
      <c r="UIO11" s="495"/>
      <c r="UIP11" s="495"/>
      <c r="UIQ11" s="495"/>
      <c r="UIR11" s="495"/>
      <c r="UIS11" s="495"/>
      <c r="UIT11" s="495"/>
      <c r="UIU11" s="495"/>
      <c r="UIV11" s="495"/>
      <c r="UIW11" s="495"/>
      <c r="UIX11" s="495"/>
      <c r="UIY11" s="495"/>
      <c r="UIZ11" s="495"/>
      <c r="UJA11" s="495"/>
      <c r="UJB11" s="495"/>
      <c r="UJC11" s="495"/>
      <c r="UJD11" s="495"/>
      <c r="UJE11" s="495"/>
      <c r="UJF11" s="495"/>
      <c r="UJG11" s="495"/>
      <c r="UJH11" s="495"/>
      <c r="UJI11" s="495"/>
      <c r="UJJ11" s="495"/>
      <c r="UJK11" s="495"/>
      <c r="UJL11" s="495"/>
      <c r="UJM11" s="495"/>
      <c r="UJN11" s="495"/>
      <c r="UJO11" s="495"/>
      <c r="UJP11" s="495"/>
      <c r="UJQ11" s="495"/>
      <c r="UJR11" s="495"/>
      <c r="UJS11" s="495"/>
      <c r="UJT11" s="495"/>
      <c r="UJU11" s="495"/>
      <c r="UJV11" s="495"/>
      <c r="UJW11" s="495"/>
      <c r="UJX11" s="495"/>
      <c r="UJY11" s="495"/>
      <c r="UJZ11" s="495"/>
      <c r="UKA11" s="495"/>
      <c r="UKB11" s="495"/>
      <c r="UKC11" s="495"/>
      <c r="UKD11" s="495"/>
      <c r="UKE11" s="495"/>
      <c r="UKF11" s="495"/>
      <c r="UKG11" s="495"/>
      <c r="UKH11" s="495"/>
      <c r="UKI11" s="495"/>
      <c r="UKJ11" s="495"/>
      <c r="UKK11" s="495"/>
      <c r="UKL11" s="495"/>
      <c r="UKM11" s="495"/>
      <c r="UKN11" s="495"/>
      <c r="UKO11" s="495"/>
      <c r="UKP11" s="495"/>
      <c r="UKQ11" s="495"/>
      <c r="UKR11" s="495"/>
      <c r="UKS11" s="495"/>
      <c r="UKT11" s="495"/>
      <c r="UKU11" s="495"/>
      <c r="UKV11" s="495"/>
      <c r="UKW11" s="495"/>
      <c r="UKX11" s="495"/>
      <c r="UKY11" s="495"/>
      <c r="UKZ11" s="495"/>
      <c r="ULA11" s="495"/>
      <c r="ULB11" s="495"/>
      <c r="ULC11" s="495"/>
      <c r="ULD11" s="495"/>
      <c r="ULE11" s="495"/>
      <c r="ULF11" s="495"/>
      <c r="ULG11" s="495"/>
      <c r="ULH11" s="495"/>
      <c r="ULI11" s="495"/>
      <c r="ULJ11" s="495"/>
      <c r="ULK11" s="495"/>
      <c r="ULL11" s="495"/>
      <c r="ULM11" s="495"/>
      <c r="ULN11" s="495"/>
      <c r="ULO11" s="495"/>
      <c r="ULP11" s="495"/>
      <c r="ULQ11" s="495"/>
      <c r="ULR11" s="495"/>
      <c r="ULS11" s="495"/>
      <c r="ULT11" s="495"/>
      <c r="ULU11" s="495"/>
      <c r="ULV11" s="495"/>
      <c r="ULW11" s="495"/>
      <c r="ULX11" s="495"/>
      <c r="ULY11" s="495"/>
      <c r="ULZ11" s="495"/>
      <c r="UMA11" s="495"/>
      <c r="UMB11" s="495"/>
      <c r="UMC11" s="495"/>
      <c r="UMD11" s="495"/>
      <c r="UME11" s="495"/>
      <c r="UMF11" s="495"/>
      <c r="UMG11" s="495"/>
      <c r="UMH11" s="495"/>
      <c r="UMI11" s="495"/>
      <c r="UMJ11" s="495"/>
      <c r="UMK11" s="495"/>
      <c r="UML11" s="495"/>
      <c r="UMM11" s="495"/>
      <c r="UMN11" s="495"/>
      <c r="UMO11" s="495"/>
      <c r="UMP11" s="495"/>
      <c r="UMQ11" s="495"/>
      <c r="UMR11" s="495"/>
      <c r="UMS11" s="495"/>
      <c r="UMT11" s="495"/>
      <c r="UMU11" s="495"/>
      <c r="UMV11" s="495"/>
      <c r="UMW11" s="495"/>
      <c r="UMX11" s="495"/>
      <c r="UMY11" s="495"/>
      <c r="UMZ11" s="495"/>
      <c r="UNA11" s="495"/>
      <c r="UNB11" s="495"/>
      <c r="UNC11" s="495"/>
      <c r="UND11" s="495"/>
      <c r="UNE11" s="495"/>
      <c r="UNF11" s="495"/>
      <c r="UNG11" s="495"/>
      <c r="UNH11" s="495"/>
      <c r="UNI11" s="495"/>
      <c r="UNJ11" s="495"/>
      <c r="UNK11" s="495"/>
      <c r="UNL11" s="495"/>
      <c r="UNM11" s="495"/>
      <c r="UNN11" s="495"/>
      <c r="UNO11" s="495"/>
      <c r="UNP11" s="495"/>
      <c r="UNQ11" s="495"/>
      <c r="UNR11" s="495"/>
      <c r="UNS11" s="495"/>
      <c r="UNT11" s="495"/>
      <c r="UNU11" s="495"/>
      <c r="UNV11" s="495"/>
      <c r="UNW11" s="495"/>
      <c r="UNX11" s="495"/>
      <c r="UNY11" s="495"/>
      <c r="UNZ11" s="495"/>
      <c r="UOA11" s="495"/>
      <c r="UOB11" s="495"/>
      <c r="UOC11" s="495"/>
      <c r="UOD11" s="495"/>
      <c r="UOE11" s="495"/>
      <c r="UOF11" s="495"/>
      <c r="UOG11" s="495"/>
      <c r="UOH11" s="495"/>
      <c r="UOI11" s="495"/>
      <c r="UOJ11" s="495"/>
      <c r="UOK11" s="495"/>
      <c r="UOL11" s="495"/>
      <c r="UOM11" s="495"/>
      <c r="UON11" s="495"/>
      <c r="UOO11" s="495"/>
      <c r="UOP11" s="495"/>
      <c r="UOQ11" s="495"/>
      <c r="UOR11" s="495"/>
      <c r="UOS11" s="495"/>
      <c r="UOT11" s="495"/>
      <c r="UOU11" s="495"/>
      <c r="UOV11" s="495"/>
      <c r="UOW11" s="495"/>
      <c r="UOX11" s="495"/>
      <c r="UOY11" s="495"/>
      <c r="UOZ11" s="495"/>
      <c r="UPA11" s="495"/>
      <c r="UPB11" s="495"/>
      <c r="UPC11" s="495"/>
      <c r="UPD11" s="495"/>
      <c r="UPE11" s="495"/>
      <c r="UPF11" s="495"/>
      <c r="UPG11" s="495"/>
      <c r="UPH11" s="495"/>
      <c r="UPI11" s="495"/>
      <c r="UPJ11" s="495"/>
      <c r="UPK11" s="495"/>
      <c r="UPL11" s="495"/>
      <c r="UPM11" s="495"/>
      <c r="UPN11" s="495"/>
      <c r="UPO11" s="495"/>
      <c r="UPP11" s="495"/>
      <c r="UPQ11" s="495"/>
      <c r="UPR11" s="495"/>
      <c r="UPS11" s="495"/>
      <c r="UPT11" s="495"/>
      <c r="UPU11" s="495"/>
      <c r="UPV11" s="495"/>
      <c r="UPW11" s="495"/>
      <c r="UPX11" s="495"/>
      <c r="UPY11" s="495"/>
      <c r="UPZ11" s="495"/>
      <c r="UQA11" s="495"/>
      <c r="UQB11" s="495"/>
      <c r="UQC11" s="495"/>
      <c r="UQD11" s="495"/>
      <c r="UQE11" s="495"/>
      <c r="UQF11" s="495"/>
      <c r="UQG11" s="495"/>
      <c r="UQH11" s="495"/>
      <c r="UQI11" s="495"/>
      <c r="UQJ11" s="495"/>
      <c r="UQK11" s="495"/>
      <c r="UQL11" s="495"/>
      <c r="UQM11" s="495"/>
      <c r="UQN11" s="495"/>
      <c r="UQO11" s="495"/>
      <c r="UQP11" s="495"/>
      <c r="UQQ11" s="495"/>
      <c r="UQR11" s="495"/>
      <c r="UQS11" s="495"/>
      <c r="UQT11" s="495"/>
      <c r="UQU11" s="495"/>
      <c r="UQV11" s="495"/>
      <c r="UQW11" s="495"/>
      <c r="UQX11" s="495"/>
      <c r="UQY11" s="495"/>
      <c r="UQZ11" s="495"/>
      <c r="URA11" s="495"/>
      <c r="URB11" s="495"/>
      <c r="URC11" s="495"/>
      <c r="URD11" s="495"/>
      <c r="URE11" s="495"/>
      <c r="URF11" s="495"/>
      <c r="URG11" s="495"/>
      <c r="URH11" s="495"/>
      <c r="URI11" s="495"/>
      <c r="URJ11" s="495"/>
      <c r="URK11" s="495"/>
      <c r="URL11" s="495"/>
      <c r="URM11" s="495"/>
      <c r="URN11" s="495"/>
      <c r="URO11" s="495"/>
      <c r="URP11" s="495"/>
      <c r="URQ11" s="495"/>
      <c r="URR11" s="495"/>
      <c r="URS11" s="495"/>
      <c r="URT11" s="495"/>
      <c r="URU11" s="495"/>
      <c r="URV11" s="495"/>
      <c r="URW11" s="495"/>
      <c r="URX11" s="495"/>
      <c r="URY11" s="495"/>
      <c r="URZ11" s="495"/>
      <c r="USA11" s="495"/>
      <c r="USB11" s="495"/>
      <c r="USC11" s="495"/>
      <c r="USD11" s="495"/>
      <c r="USE11" s="495"/>
      <c r="USF11" s="495"/>
      <c r="USG11" s="495"/>
      <c r="USH11" s="495"/>
      <c r="USI11" s="495"/>
      <c r="USJ11" s="495"/>
      <c r="USK11" s="495"/>
      <c r="USL11" s="495"/>
      <c r="USM11" s="495"/>
      <c r="USN11" s="495"/>
      <c r="USO11" s="495"/>
      <c r="USP11" s="495"/>
      <c r="USQ11" s="495"/>
      <c r="USR11" s="495"/>
      <c r="USS11" s="495"/>
      <c r="UST11" s="495"/>
      <c r="USU11" s="495"/>
      <c r="USV11" s="495"/>
      <c r="USW11" s="495"/>
      <c r="USX11" s="495"/>
      <c r="USY11" s="495"/>
      <c r="USZ11" s="495"/>
      <c r="UTA11" s="495"/>
      <c r="UTB11" s="495"/>
      <c r="UTC11" s="495"/>
      <c r="UTD11" s="495"/>
      <c r="UTE11" s="495"/>
      <c r="UTF11" s="495"/>
      <c r="UTG11" s="495"/>
      <c r="UTH11" s="495"/>
      <c r="UTI11" s="495"/>
      <c r="UTJ11" s="495"/>
      <c r="UTK11" s="495"/>
      <c r="UTL11" s="495"/>
      <c r="UTM11" s="495"/>
      <c r="UTN11" s="495"/>
      <c r="UTO11" s="495"/>
      <c r="UTP11" s="495"/>
      <c r="UTQ11" s="495"/>
      <c r="UTR11" s="495"/>
      <c r="UTS11" s="495"/>
      <c r="UTT11" s="495"/>
      <c r="UTU11" s="495"/>
      <c r="UTV11" s="495"/>
      <c r="UTW11" s="495"/>
      <c r="UTX11" s="495"/>
      <c r="UTY11" s="495"/>
      <c r="UTZ11" s="495"/>
      <c r="UUA11" s="495"/>
      <c r="UUB11" s="495"/>
      <c r="UUC11" s="495"/>
      <c r="UUD11" s="495"/>
      <c r="UUE11" s="495"/>
      <c r="UUF11" s="495"/>
      <c r="UUG11" s="495"/>
      <c r="UUH11" s="495"/>
      <c r="UUI11" s="495"/>
      <c r="UUJ11" s="495"/>
      <c r="UUK11" s="495"/>
      <c r="UUL11" s="495"/>
      <c r="UUM11" s="495"/>
      <c r="UUN11" s="495"/>
      <c r="UUO11" s="495"/>
      <c r="UUP11" s="495"/>
      <c r="UUQ11" s="495"/>
      <c r="UUR11" s="495"/>
      <c r="UUS11" s="495"/>
      <c r="UUT11" s="495"/>
      <c r="UUU11" s="495"/>
      <c r="UUV11" s="495"/>
      <c r="UUW11" s="495"/>
      <c r="UUX11" s="495"/>
      <c r="UUY11" s="495"/>
      <c r="UUZ11" s="495"/>
      <c r="UVA11" s="495"/>
      <c r="UVB11" s="495"/>
      <c r="UVC11" s="495"/>
      <c r="UVD11" s="495"/>
      <c r="UVE11" s="495"/>
      <c r="UVF11" s="495"/>
      <c r="UVG11" s="495"/>
      <c r="UVH11" s="495"/>
      <c r="UVI11" s="495"/>
      <c r="UVJ11" s="495"/>
      <c r="UVK11" s="495"/>
      <c r="UVL11" s="495"/>
      <c r="UVM11" s="495"/>
      <c r="UVN11" s="495"/>
      <c r="UVO11" s="495"/>
      <c r="UVP11" s="495"/>
      <c r="UVQ11" s="495"/>
      <c r="UVR11" s="495"/>
      <c r="UVS11" s="495"/>
      <c r="UVT11" s="495"/>
      <c r="UVU11" s="495"/>
      <c r="UVV11" s="495"/>
      <c r="UVW11" s="495"/>
      <c r="UVX11" s="495"/>
      <c r="UVY11" s="495"/>
      <c r="UVZ11" s="495"/>
      <c r="UWA11" s="495"/>
      <c r="UWB11" s="495"/>
      <c r="UWC11" s="495"/>
      <c r="UWD11" s="495"/>
      <c r="UWE11" s="495"/>
      <c r="UWF11" s="495"/>
      <c r="UWG11" s="495"/>
      <c r="UWH11" s="495"/>
      <c r="UWI11" s="495"/>
      <c r="UWJ11" s="495"/>
      <c r="UWK11" s="495"/>
      <c r="UWL11" s="495"/>
      <c r="UWM11" s="495"/>
      <c r="UWN11" s="495"/>
      <c r="UWO11" s="495"/>
      <c r="UWP11" s="495"/>
      <c r="UWQ11" s="495"/>
      <c r="UWR11" s="495"/>
      <c r="UWS11" s="495"/>
      <c r="UWT11" s="495"/>
      <c r="UWU11" s="495"/>
      <c r="UWV11" s="495"/>
      <c r="UWW11" s="495"/>
      <c r="UWX11" s="495"/>
      <c r="UWY11" s="495"/>
      <c r="UWZ11" s="495"/>
      <c r="UXA11" s="495"/>
      <c r="UXB11" s="495"/>
      <c r="UXC11" s="495"/>
      <c r="UXD11" s="495"/>
      <c r="UXE11" s="495"/>
      <c r="UXF11" s="495"/>
      <c r="UXG11" s="495"/>
      <c r="UXH11" s="495"/>
      <c r="UXI11" s="495"/>
      <c r="UXJ11" s="495"/>
      <c r="UXK11" s="495"/>
      <c r="UXL11" s="495"/>
      <c r="UXM11" s="495"/>
      <c r="UXN11" s="495"/>
      <c r="UXO11" s="495"/>
      <c r="UXP11" s="495"/>
      <c r="UXQ11" s="495"/>
      <c r="UXR11" s="495"/>
      <c r="UXS11" s="495"/>
      <c r="UXT11" s="495"/>
      <c r="UXU11" s="495"/>
      <c r="UXV11" s="495"/>
      <c r="UXW11" s="495"/>
      <c r="UXX11" s="495"/>
      <c r="UXY11" s="495"/>
      <c r="UXZ11" s="495"/>
      <c r="UYA11" s="495"/>
      <c r="UYB11" s="495"/>
      <c r="UYC11" s="495"/>
      <c r="UYD11" s="495"/>
      <c r="UYE11" s="495"/>
      <c r="UYF11" s="495"/>
      <c r="UYG11" s="495"/>
      <c r="UYH11" s="495"/>
      <c r="UYI11" s="495"/>
      <c r="UYJ11" s="495"/>
      <c r="UYK11" s="495"/>
      <c r="UYL11" s="495"/>
      <c r="UYM11" s="495"/>
      <c r="UYN11" s="495"/>
      <c r="UYO11" s="495"/>
      <c r="UYP11" s="495"/>
      <c r="UYQ11" s="495"/>
      <c r="UYR11" s="495"/>
      <c r="UYS11" s="495"/>
      <c r="UYT11" s="495"/>
      <c r="UYU11" s="495"/>
      <c r="UYV11" s="495"/>
      <c r="UYW11" s="495"/>
      <c r="UYX11" s="495"/>
      <c r="UYY11" s="495"/>
      <c r="UYZ11" s="495"/>
      <c r="UZA11" s="495"/>
      <c r="UZB11" s="495"/>
      <c r="UZC11" s="495"/>
      <c r="UZD11" s="495"/>
      <c r="UZE11" s="495"/>
      <c r="UZF11" s="495"/>
      <c r="UZG11" s="495"/>
      <c r="UZH11" s="495"/>
      <c r="UZI11" s="495"/>
      <c r="UZJ11" s="495"/>
      <c r="UZK11" s="495"/>
      <c r="UZL11" s="495"/>
      <c r="UZM11" s="495"/>
      <c r="UZN11" s="495"/>
      <c r="UZO11" s="495"/>
      <c r="UZP11" s="495"/>
      <c r="UZQ11" s="495"/>
      <c r="UZR11" s="495"/>
      <c r="UZS11" s="495"/>
      <c r="UZT11" s="495"/>
      <c r="UZU11" s="495"/>
      <c r="UZV11" s="495"/>
      <c r="UZW11" s="495"/>
      <c r="UZX11" s="495"/>
      <c r="UZY11" s="495"/>
      <c r="UZZ11" s="495"/>
      <c r="VAA11" s="495"/>
      <c r="VAB11" s="495"/>
      <c r="VAC11" s="495"/>
      <c r="VAD11" s="495"/>
      <c r="VAE11" s="495"/>
      <c r="VAF11" s="495"/>
      <c r="VAG11" s="495"/>
      <c r="VAH11" s="495"/>
      <c r="VAI11" s="495"/>
      <c r="VAJ11" s="495"/>
      <c r="VAK11" s="495"/>
      <c r="VAL11" s="495"/>
      <c r="VAM11" s="495"/>
      <c r="VAN11" s="495"/>
      <c r="VAO11" s="495"/>
      <c r="VAP11" s="495"/>
      <c r="VAQ11" s="495"/>
      <c r="VAR11" s="495"/>
      <c r="VAS11" s="495"/>
      <c r="VAT11" s="495"/>
      <c r="VAU11" s="495"/>
      <c r="VAV11" s="495"/>
      <c r="VAW11" s="495"/>
      <c r="VAX11" s="495"/>
      <c r="VAY11" s="495"/>
      <c r="VAZ11" s="495"/>
      <c r="VBA11" s="495"/>
      <c r="VBB11" s="495"/>
      <c r="VBC11" s="495"/>
      <c r="VBD11" s="495"/>
      <c r="VBE11" s="495"/>
      <c r="VBF11" s="495"/>
      <c r="VBG11" s="495"/>
      <c r="VBH11" s="495"/>
      <c r="VBI11" s="495"/>
      <c r="VBJ11" s="495"/>
      <c r="VBK11" s="495"/>
      <c r="VBL11" s="495"/>
      <c r="VBM11" s="495"/>
      <c r="VBN11" s="495"/>
      <c r="VBO11" s="495"/>
      <c r="VBP11" s="495"/>
      <c r="VBQ11" s="495"/>
      <c r="VBR11" s="495"/>
      <c r="VBS11" s="495"/>
      <c r="VBT11" s="495"/>
      <c r="VBU11" s="495"/>
      <c r="VBV11" s="495"/>
      <c r="VBW11" s="495"/>
      <c r="VBX11" s="495"/>
      <c r="VBY11" s="495"/>
      <c r="VBZ11" s="495"/>
      <c r="VCA11" s="495"/>
      <c r="VCB11" s="495"/>
      <c r="VCC11" s="495"/>
      <c r="VCD11" s="495"/>
      <c r="VCE11" s="495"/>
      <c r="VCF11" s="495"/>
      <c r="VCG11" s="495"/>
      <c r="VCH11" s="495"/>
      <c r="VCI11" s="495"/>
      <c r="VCJ11" s="495"/>
      <c r="VCK11" s="495"/>
      <c r="VCL11" s="495"/>
      <c r="VCM11" s="495"/>
      <c r="VCN11" s="495"/>
      <c r="VCO11" s="495"/>
      <c r="VCP11" s="495"/>
      <c r="VCQ11" s="495"/>
      <c r="VCR11" s="495"/>
      <c r="VCS11" s="495"/>
      <c r="VCT11" s="495"/>
      <c r="VCU11" s="495"/>
      <c r="VCV11" s="495"/>
      <c r="VCW11" s="495"/>
      <c r="VCX11" s="495"/>
      <c r="VCY11" s="495"/>
      <c r="VCZ11" s="495"/>
      <c r="VDA11" s="495"/>
      <c r="VDB11" s="495"/>
      <c r="VDC11" s="495"/>
      <c r="VDD11" s="495"/>
      <c r="VDE11" s="495"/>
      <c r="VDF11" s="495"/>
      <c r="VDG11" s="495"/>
      <c r="VDH11" s="495"/>
      <c r="VDI11" s="495"/>
      <c r="VDJ11" s="495"/>
      <c r="VDK11" s="495"/>
      <c r="VDL11" s="495"/>
      <c r="VDM11" s="495"/>
      <c r="VDN11" s="495"/>
      <c r="VDO11" s="495"/>
      <c r="VDP11" s="495"/>
      <c r="VDQ11" s="495"/>
      <c r="VDR11" s="495"/>
      <c r="VDS11" s="495"/>
      <c r="VDT11" s="495"/>
      <c r="VDU11" s="495"/>
      <c r="VDV11" s="495"/>
      <c r="VDW11" s="495"/>
      <c r="VDX11" s="495"/>
      <c r="VDY11" s="495"/>
      <c r="VDZ11" s="495"/>
      <c r="VEA11" s="495"/>
      <c r="VEB11" s="495"/>
      <c r="VEC11" s="495"/>
      <c r="VED11" s="495"/>
      <c r="VEE11" s="495"/>
      <c r="VEF11" s="495"/>
      <c r="VEG11" s="495"/>
      <c r="VEH11" s="495"/>
      <c r="VEI11" s="495"/>
      <c r="VEJ11" s="495"/>
      <c r="VEK11" s="495"/>
      <c r="VEL11" s="495"/>
      <c r="VEM11" s="495"/>
      <c r="VEN11" s="495"/>
      <c r="VEO11" s="495"/>
      <c r="VEP11" s="495"/>
      <c r="VEQ11" s="495"/>
      <c r="VER11" s="495"/>
      <c r="VES11" s="495"/>
      <c r="VET11" s="495"/>
      <c r="VEU11" s="495"/>
      <c r="VEV11" s="495"/>
      <c r="VEW11" s="495"/>
      <c r="VEX11" s="495"/>
      <c r="VEY11" s="495"/>
      <c r="VEZ11" s="495"/>
      <c r="VFA11" s="495"/>
      <c r="VFB11" s="495"/>
      <c r="VFC11" s="495"/>
      <c r="VFD11" s="495"/>
      <c r="VFE11" s="495"/>
      <c r="VFF11" s="495"/>
      <c r="VFG11" s="495"/>
      <c r="VFH11" s="495"/>
      <c r="VFI11" s="495"/>
      <c r="VFJ11" s="495"/>
      <c r="VFK11" s="495"/>
      <c r="VFL11" s="495"/>
      <c r="VFM11" s="495"/>
      <c r="VFN11" s="495"/>
      <c r="VFO11" s="495"/>
      <c r="VFP11" s="495"/>
      <c r="VFQ11" s="495"/>
      <c r="VFR11" s="495"/>
      <c r="VFS11" s="495"/>
      <c r="VFT11" s="495"/>
      <c r="VFU11" s="495"/>
      <c r="VFV11" s="495"/>
      <c r="VFW11" s="495"/>
      <c r="VFX11" s="495"/>
      <c r="VFY11" s="495"/>
      <c r="VFZ11" s="495"/>
      <c r="VGA11" s="495"/>
      <c r="VGB11" s="495"/>
      <c r="VGC11" s="495"/>
      <c r="VGD11" s="495"/>
      <c r="VGE11" s="495"/>
      <c r="VGF11" s="495"/>
      <c r="VGG11" s="495"/>
      <c r="VGH11" s="495"/>
      <c r="VGI11" s="495"/>
      <c r="VGJ11" s="495"/>
      <c r="VGK11" s="495"/>
      <c r="VGL11" s="495"/>
      <c r="VGM11" s="495"/>
      <c r="VGN11" s="495"/>
      <c r="VGO11" s="495"/>
      <c r="VGP11" s="495"/>
      <c r="VGQ11" s="495"/>
      <c r="VGR11" s="495"/>
      <c r="VGS11" s="495"/>
      <c r="VGT11" s="495"/>
      <c r="VGU11" s="495"/>
      <c r="VGV11" s="495"/>
      <c r="VGW11" s="495"/>
      <c r="VGX11" s="495"/>
      <c r="VGY11" s="495"/>
      <c r="VGZ11" s="495"/>
      <c r="VHA11" s="495"/>
      <c r="VHB11" s="495"/>
      <c r="VHC11" s="495"/>
      <c r="VHD11" s="495"/>
      <c r="VHE11" s="495"/>
      <c r="VHF11" s="495"/>
      <c r="VHG11" s="495"/>
      <c r="VHH11" s="495"/>
      <c r="VHI11" s="495"/>
      <c r="VHJ11" s="495"/>
      <c r="VHK11" s="495"/>
      <c r="VHL11" s="495"/>
      <c r="VHM11" s="495"/>
      <c r="VHN11" s="495"/>
      <c r="VHO11" s="495"/>
      <c r="VHP11" s="495"/>
      <c r="VHQ11" s="495"/>
      <c r="VHR11" s="495"/>
      <c r="VHS11" s="495"/>
      <c r="VHT11" s="495"/>
      <c r="VHU11" s="495"/>
      <c r="VHV11" s="495"/>
      <c r="VHW11" s="495"/>
      <c r="VHX11" s="495"/>
      <c r="VHY11" s="495"/>
      <c r="VHZ11" s="495"/>
      <c r="VIA11" s="495"/>
      <c r="VIB11" s="495"/>
      <c r="VIC11" s="495"/>
      <c r="VID11" s="495"/>
      <c r="VIE11" s="495"/>
      <c r="VIF11" s="495"/>
      <c r="VIG11" s="495"/>
      <c r="VIH11" s="495"/>
      <c r="VII11" s="495"/>
      <c r="VIJ11" s="495"/>
      <c r="VIK11" s="495"/>
      <c r="VIL11" s="495"/>
      <c r="VIM11" s="495"/>
      <c r="VIN11" s="495"/>
      <c r="VIO11" s="495"/>
      <c r="VIP11" s="495"/>
      <c r="VIQ11" s="495"/>
      <c r="VIR11" s="495"/>
      <c r="VIS11" s="495"/>
      <c r="VIT11" s="495"/>
      <c r="VIU11" s="495"/>
      <c r="VIV11" s="495"/>
      <c r="VIW11" s="495"/>
      <c r="VIX11" s="495"/>
      <c r="VIY11" s="495"/>
      <c r="VIZ11" s="495"/>
      <c r="VJA11" s="495"/>
      <c r="VJB11" s="495"/>
      <c r="VJC11" s="495"/>
      <c r="VJD11" s="495"/>
      <c r="VJE11" s="495"/>
      <c r="VJF11" s="495"/>
      <c r="VJG11" s="495"/>
      <c r="VJH11" s="495"/>
      <c r="VJI11" s="495"/>
      <c r="VJJ11" s="495"/>
      <c r="VJK11" s="495"/>
      <c r="VJL11" s="495"/>
      <c r="VJM11" s="495"/>
      <c r="VJN11" s="495"/>
      <c r="VJO11" s="495"/>
      <c r="VJP11" s="495"/>
      <c r="VJQ11" s="495"/>
      <c r="VJR11" s="495"/>
      <c r="VJS11" s="495"/>
      <c r="VJT11" s="495"/>
      <c r="VJU11" s="495"/>
      <c r="VJV11" s="495"/>
      <c r="VJW11" s="495"/>
      <c r="VJX11" s="495"/>
      <c r="VJY11" s="495"/>
      <c r="VJZ11" s="495"/>
      <c r="VKA11" s="495"/>
      <c r="VKB11" s="495"/>
      <c r="VKC11" s="495"/>
      <c r="VKD11" s="495"/>
      <c r="VKE11" s="495"/>
      <c r="VKF11" s="495"/>
      <c r="VKG11" s="495"/>
      <c r="VKH11" s="495"/>
      <c r="VKI11" s="495"/>
      <c r="VKJ11" s="495"/>
      <c r="VKK11" s="495"/>
      <c r="VKL11" s="495"/>
      <c r="VKM11" s="495"/>
      <c r="VKN11" s="495"/>
      <c r="VKO11" s="495"/>
      <c r="VKP11" s="495"/>
      <c r="VKQ11" s="495"/>
      <c r="VKR11" s="495"/>
      <c r="VKS11" s="495"/>
      <c r="VKT11" s="495"/>
      <c r="VKU11" s="495"/>
      <c r="VKV11" s="495"/>
      <c r="VKW11" s="495"/>
      <c r="VKX11" s="495"/>
      <c r="VKY11" s="495"/>
      <c r="VKZ11" s="495"/>
      <c r="VLA11" s="495"/>
      <c r="VLB11" s="495"/>
      <c r="VLC11" s="495"/>
      <c r="VLD11" s="495"/>
      <c r="VLE11" s="495"/>
      <c r="VLF11" s="495"/>
      <c r="VLG11" s="495"/>
      <c r="VLH11" s="495"/>
      <c r="VLI11" s="495"/>
      <c r="VLJ11" s="495"/>
      <c r="VLK11" s="495"/>
      <c r="VLL11" s="495"/>
      <c r="VLM11" s="495"/>
      <c r="VLN11" s="495"/>
      <c r="VLO11" s="495"/>
      <c r="VLP11" s="495"/>
      <c r="VLQ11" s="495"/>
      <c r="VLR11" s="495"/>
      <c r="VLS11" s="495"/>
      <c r="VLT11" s="495"/>
      <c r="VLU11" s="495"/>
      <c r="VLV11" s="495"/>
      <c r="VLW11" s="495"/>
      <c r="VLX11" s="495"/>
      <c r="VLY11" s="495"/>
      <c r="VLZ11" s="495"/>
      <c r="VMA11" s="495"/>
      <c r="VMB11" s="495"/>
      <c r="VMC11" s="495"/>
      <c r="VMD11" s="495"/>
      <c r="VME11" s="495"/>
      <c r="VMF11" s="495"/>
      <c r="VMG11" s="495"/>
      <c r="VMH11" s="495"/>
      <c r="VMI11" s="495"/>
      <c r="VMJ11" s="495"/>
      <c r="VMK11" s="495"/>
      <c r="VML11" s="495"/>
      <c r="VMM11" s="495"/>
      <c r="VMN11" s="495"/>
      <c r="VMO11" s="495"/>
      <c r="VMP11" s="495"/>
      <c r="VMQ11" s="495"/>
      <c r="VMR11" s="495"/>
      <c r="VMS11" s="495"/>
      <c r="VMT11" s="495"/>
      <c r="VMU11" s="495"/>
      <c r="VMV11" s="495"/>
      <c r="VMW11" s="495"/>
      <c r="VMX11" s="495"/>
      <c r="VMY11" s="495"/>
      <c r="VMZ11" s="495"/>
      <c r="VNA11" s="495"/>
      <c r="VNB11" s="495"/>
      <c r="VNC11" s="495"/>
      <c r="VND11" s="495"/>
      <c r="VNE11" s="495"/>
      <c r="VNF11" s="495"/>
      <c r="VNG11" s="495"/>
      <c r="VNH11" s="495"/>
      <c r="VNI11" s="495"/>
      <c r="VNJ11" s="495"/>
      <c r="VNK11" s="495"/>
      <c r="VNL11" s="495"/>
      <c r="VNM11" s="495"/>
      <c r="VNN11" s="495"/>
      <c r="VNO11" s="495"/>
      <c r="VNP11" s="495"/>
      <c r="VNQ11" s="495"/>
      <c r="VNR11" s="495"/>
      <c r="VNS11" s="495"/>
      <c r="VNT11" s="495"/>
      <c r="VNU11" s="495"/>
      <c r="VNV11" s="495"/>
      <c r="VNW11" s="495"/>
      <c r="VNX11" s="495"/>
      <c r="VNY11" s="495"/>
      <c r="VNZ11" s="495"/>
      <c r="VOA11" s="495"/>
      <c r="VOB11" s="495"/>
      <c r="VOC11" s="495"/>
      <c r="VOD11" s="495"/>
      <c r="VOE11" s="495"/>
      <c r="VOF11" s="495"/>
      <c r="VOG11" s="495"/>
      <c r="VOH11" s="495"/>
      <c r="VOI11" s="495"/>
      <c r="VOJ11" s="495"/>
      <c r="VOK11" s="495"/>
      <c r="VOL11" s="495"/>
      <c r="VOM11" s="495"/>
      <c r="VON11" s="495"/>
      <c r="VOO11" s="495"/>
      <c r="VOP11" s="495"/>
      <c r="VOQ11" s="495"/>
      <c r="VOR11" s="495"/>
      <c r="VOS11" s="495"/>
      <c r="VOT11" s="495"/>
      <c r="VOU11" s="495"/>
      <c r="VOV11" s="495"/>
      <c r="VOW11" s="495"/>
      <c r="VOX11" s="495"/>
      <c r="VOY11" s="495"/>
      <c r="VOZ11" s="495"/>
      <c r="VPA11" s="495"/>
      <c r="VPB11" s="495"/>
      <c r="VPC11" s="495"/>
      <c r="VPD11" s="495"/>
      <c r="VPE11" s="495"/>
      <c r="VPF11" s="495"/>
      <c r="VPG11" s="495"/>
      <c r="VPH11" s="495"/>
      <c r="VPI11" s="495"/>
      <c r="VPJ11" s="495"/>
      <c r="VPK11" s="495"/>
      <c r="VPL11" s="495"/>
      <c r="VPM11" s="495"/>
      <c r="VPN11" s="495"/>
      <c r="VPO11" s="495"/>
      <c r="VPP11" s="495"/>
      <c r="VPQ11" s="495"/>
      <c r="VPR11" s="495"/>
      <c r="VPS11" s="495"/>
      <c r="VPT11" s="495"/>
      <c r="VPU11" s="495"/>
      <c r="VPV11" s="495"/>
      <c r="VPW11" s="495"/>
      <c r="VPX11" s="495"/>
      <c r="VPY11" s="495"/>
      <c r="VPZ11" s="495"/>
      <c r="VQA11" s="495"/>
      <c r="VQB11" s="495"/>
      <c r="VQC11" s="495"/>
      <c r="VQD11" s="495"/>
      <c r="VQE11" s="495"/>
      <c r="VQF11" s="495"/>
      <c r="VQG11" s="495"/>
      <c r="VQH11" s="495"/>
      <c r="VQI11" s="495"/>
      <c r="VQJ11" s="495"/>
      <c r="VQK11" s="495"/>
      <c r="VQL11" s="495"/>
      <c r="VQM11" s="495"/>
      <c r="VQN11" s="495"/>
      <c r="VQO11" s="495"/>
      <c r="VQP11" s="495"/>
      <c r="VQQ11" s="495"/>
      <c r="VQR11" s="495"/>
      <c r="VQS11" s="495"/>
      <c r="VQT11" s="495"/>
      <c r="VQU11" s="495"/>
      <c r="VQV11" s="495"/>
      <c r="VQW11" s="495"/>
      <c r="VQX11" s="495"/>
      <c r="VQY11" s="495"/>
      <c r="VQZ11" s="495"/>
      <c r="VRA11" s="495"/>
      <c r="VRB11" s="495"/>
      <c r="VRC11" s="495"/>
      <c r="VRD11" s="495"/>
      <c r="VRE11" s="495"/>
      <c r="VRF11" s="495"/>
      <c r="VRG11" s="495"/>
      <c r="VRH11" s="495"/>
      <c r="VRI11" s="495"/>
      <c r="VRJ11" s="495"/>
      <c r="VRK11" s="495"/>
      <c r="VRL11" s="495"/>
      <c r="VRM11" s="495"/>
      <c r="VRN11" s="495"/>
      <c r="VRO11" s="495"/>
      <c r="VRP11" s="495"/>
      <c r="VRQ11" s="495"/>
      <c r="VRR11" s="495"/>
      <c r="VRS11" s="495"/>
      <c r="VRT11" s="495"/>
      <c r="VRU11" s="495"/>
      <c r="VRV11" s="495"/>
      <c r="VRW11" s="495"/>
      <c r="VRX11" s="495"/>
      <c r="VRY11" s="495"/>
      <c r="VRZ11" s="495"/>
      <c r="VSA11" s="495"/>
      <c r="VSB11" s="495"/>
      <c r="VSC11" s="495"/>
      <c r="VSD11" s="495"/>
      <c r="VSE11" s="495"/>
      <c r="VSF11" s="495"/>
      <c r="VSG11" s="495"/>
      <c r="VSH11" s="495"/>
      <c r="VSI11" s="495"/>
      <c r="VSJ11" s="495"/>
      <c r="VSK11" s="495"/>
      <c r="VSL11" s="495"/>
      <c r="VSM11" s="495"/>
      <c r="VSN11" s="495"/>
      <c r="VSO11" s="495"/>
      <c r="VSP11" s="495"/>
      <c r="VSQ11" s="495"/>
      <c r="VSR11" s="495"/>
      <c r="VSS11" s="495"/>
      <c r="VST11" s="495"/>
      <c r="VSU11" s="495"/>
      <c r="VSV11" s="495"/>
      <c r="VSW11" s="495"/>
      <c r="VSX11" s="495"/>
      <c r="VSY11" s="495"/>
      <c r="VSZ11" s="495"/>
      <c r="VTA11" s="495"/>
      <c r="VTB11" s="495"/>
      <c r="VTC11" s="495"/>
      <c r="VTD11" s="495"/>
      <c r="VTE11" s="495"/>
      <c r="VTF11" s="495"/>
      <c r="VTG11" s="495"/>
      <c r="VTH11" s="495"/>
      <c r="VTI11" s="495"/>
      <c r="VTJ11" s="495"/>
      <c r="VTK11" s="495"/>
      <c r="VTL11" s="495"/>
      <c r="VTM11" s="495"/>
      <c r="VTN11" s="495"/>
      <c r="VTO11" s="495"/>
      <c r="VTP11" s="495"/>
      <c r="VTQ11" s="495"/>
      <c r="VTR11" s="495"/>
      <c r="VTS11" s="495"/>
      <c r="VTT11" s="495"/>
      <c r="VTU11" s="495"/>
      <c r="VTV11" s="495"/>
      <c r="VTW11" s="495"/>
      <c r="VTX11" s="495"/>
      <c r="VTY11" s="495"/>
      <c r="VTZ11" s="495"/>
      <c r="VUA11" s="495"/>
      <c r="VUB11" s="495"/>
      <c r="VUC11" s="495"/>
      <c r="VUD11" s="495"/>
      <c r="VUE11" s="495"/>
      <c r="VUF11" s="495"/>
      <c r="VUG11" s="495"/>
      <c r="VUH11" s="495"/>
      <c r="VUI11" s="495"/>
      <c r="VUJ11" s="495"/>
      <c r="VUK11" s="495"/>
      <c r="VUL11" s="495"/>
      <c r="VUM11" s="495"/>
      <c r="VUN11" s="495"/>
      <c r="VUO11" s="495"/>
      <c r="VUP11" s="495"/>
      <c r="VUQ11" s="495"/>
      <c r="VUR11" s="495"/>
      <c r="VUS11" s="495"/>
      <c r="VUT11" s="495"/>
      <c r="VUU11" s="495"/>
      <c r="VUV11" s="495"/>
      <c r="VUW11" s="495"/>
      <c r="VUX11" s="495"/>
      <c r="VUY11" s="495"/>
      <c r="VUZ11" s="495"/>
      <c r="VVA11" s="495"/>
      <c r="VVB11" s="495"/>
      <c r="VVC11" s="495"/>
      <c r="VVD11" s="495"/>
      <c r="VVE11" s="495"/>
      <c r="VVF11" s="495"/>
      <c r="VVG11" s="495"/>
      <c r="VVH11" s="495"/>
      <c r="VVI11" s="495"/>
      <c r="VVJ11" s="495"/>
      <c r="VVK11" s="495"/>
      <c r="VVL11" s="495"/>
      <c r="VVM11" s="495"/>
      <c r="VVN11" s="495"/>
      <c r="VVO11" s="495"/>
      <c r="VVP11" s="495"/>
      <c r="VVQ11" s="495"/>
      <c r="VVR11" s="495"/>
      <c r="VVS11" s="495"/>
      <c r="VVT11" s="495"/>
      <c r="VVU11" s="495"/>
      <c r="VVV11" s="495"/>
      <c r="VVW11" s="495"/>
      <c r="VVX11" s="495"/>
      <c r="VVY11" s="495"/>
      <c r="VVZ11" s="495"/>
      <c r="VWA11" s="495"/>
      <c r="VWB11" s="495"/>
      <c r="VWC11" s="495"/>
      <c r="VWD11" s="495"/>
      <c r="VWE11" s="495"/>
      <c r="VWF11" s="495"/>
      <c r="VWG11" s="495"/>
      <c r="VWH11" s="495"/>
      <c r="VWI11" s="495"/>
      <c r="VWJ11" s="495"/>
      <c r="VWK11" s="495"/>
      <c r="VWL11" s="495"/>
      <c r="VWM11" s="495"/>
      <c r="VWN11" s="495"/>
      <c r="VWO11" s="495"/>
      <c r="VWP11" s="495"/>
      <c r="VWQ11" s="495"/>
      <c r="VWR11" s="495"/>
      <c r="VWS11" s="495"/>
      <c r="VWT11" s="495"/>
      <c r="VWU11" s="495"/>
      <c r="VWV11" s="495"/>
      <c r="VWW11" s="495"/>
      <c r="VWX11" s="495"/>
      <c r="VWY11" s="495"/>
      <c r="VWZ11" s="495"/>
      <c r="VXA11" s="495"/>
      <c r="VXB11" s="495"/>
      <c r="VXC11" s="495"/>
      <c r="VXD11" s="495"/>
      <c r="VXE11" s="495"/>
      <c r="VXF11" s="495"/>
      <c r="VXG11" s="495"/>
      <c r="VXH11" s="495"/>
      <c r="VXI11" s="495"/>
      <c r="VXJ11" s="495"/>
      <c r="VXK11" s="495"/>
      <c r="VXL11" s="495"/>
      <c r="VXM11" s="495"/>
      <c r="VXN11" s="495"/>
      <c r="VXO11" s="495"/>
      <c r="VXP11" s="495"/>
      <c r="VXQ11" s="495"/>
      <c r="VXR11" s="495"/>
      <c r="VXS11" s="495"/>
      <c r="VXT11" s="495"/>
      <c r="VXU11" s="495"/>
      <c r="VXV11" s="495"/>
      <c r="VXW11" s="495"/>
      <c r="VXX11" s="495"/>
      <c r="VXY11" s="495"/>
      <c r="VXZ11" s="495"/>
      <c r="VYA11" s="495"/>
      <c r="VYB11" s="495"/>
      <c r="VYC11" s="495"/>
      <c r="VYD11" s="495"/>
      <c r="VYE11" s="495"/>
      <c r="VYF11" s="495"/>
      <c r="VYG11" s="495"/>
      <c r="VYH11" s="495"/>
      <c r="VYI11" s="495"/>
      <c r="VYJ11" s="495"/>
      <c r="VYK11" s="495"/>
      <c r="VYL11" s="495"/>
      <c r="VYM11" s="495"/>
      <c r="VYN11" s="495"/>
      <c r="VYO11" s="495"/>
      <c r="VYP11" s="495"/>
      <c r="VYQ11" s="495"/>
      <c r="VYR11" s="495"/>
      <c r="VYS11" s="495"/>
      <c r="VYT11" s="495"/>
      <c r="VYU11" s="495"/>
      <c r="VYV11" s="495"/>
      <c r="VYW11" s="495"/>
      <c r="VYX11" s="495"/>
      <c r="VYY11" s="495"/>
      <c r="VYZ11" s="495"/>
      <c r="VZA11" s="495"/>
      <c r="VZB11" s="495"/>
      <c r="VZC11" s="495"/>
      <c r="VZD11" s="495"/>
      <c r="VZE11" s="495"/>
      <c r="VZF11" s="495"/>
      <c r="VZG11" s="495"/>
      <c r="VZH11" s="495"/>
      <c r="VZI11" s="495"/>
      <c r="VZJ11" s="495"/>
      <c r="VZK11" s="495"/>
      <c r="VZL11" s="495"/>
      <c r="VZM11" s="495"/>
      <c r="VZN11" s="495"/>
      <c r="VZO11" s="495"/>
      <c r="VZP11" s="495"/>
      <c r="VZQ11" s="495"/>
      <c r="VZR11" s="495"/>
      <c r="VZS11" s="495"/>
      <c r="VZT11" s="495"/>
      <c r="VZU11" s="495"/>
      <c r="VZV11" s="495"/>
      <c r="VZW11" s="495"/>
      <c r="VZX11" s="495"/>
      <c r="VZY11" s="495"/>
      <c r="VZZ11" s="495"/>
      <c r="WAA11" s="495"/>
      <c r="WAB11" s="495"/>
      <c r="WAC11" s="495"/>
      <c r="WAD11" s="495"/>
      <c r="WAE11" s="495"/>
      <c r="WAF11" s="495"/>
      <c r="WAG11" s="495"/>
      <c r="WAH11" s="495"/>
      <c r="WAI11" s="495"/>
      <c r="WAJ11" s="495"/>
      <c r="WAK11" s="495"/>
      <c r="WAL11" s="495"/>
      <c r="WAM11" s="495"/>
      <c r="WAN11" s="495"/>
      <c r="WAO11" s="495"/>
      <c r="WAP11" s="495"/>
      <c r="WAQ11" s="495"/>
      <c r="WAR11" s="495"/>
      <c r="WAS11" s="495"/>
      <c r="WAT11" s="495"/>
      <c r="WAU11" s="495"/>
      <c r="WAV11" s="495"/>
      <c r="WAW11" s="495"/>
      <c r="WAX11" s="495"/>
      <c r="WAY11" s="495"/>
      <c r="WAZ11" s="495"/>
      <c r="WBA11" s="495"/>
      <c r="WBB11" s="495"/>
      <c r="WBC11" s="495"/>
      <c r="WBD11" s="495"/>
      <c r="WBE11" s="495"/>
      <c r="WBF11" s="495"/>
      <c r="WBG11" s="495"/>
      <c r="WBH11" s="495"/>
      <c r="WBI11" s="495"/>
      <c r="WBJ11" s="495"/>
      <c r="WBK11" s="495"/>
      <c r="WBL11" s="495"/>
      <c r="WBM11" s="495"/>
      <c r="WBN11" s="495"/>
      <c r="WBO11" s="495"/>
      <c r="WBP11" s="495"/>
      <c r="WBQ11" s="495"/>
      <c r="WBR11" s="495"/>
      <c r="WBS11" s="495"/>
      <c r="WBT11" s="495"/>
      <c r="WBU11" s="495"/>
      <c r="WBV11" s="495"/>
      <c r="WBW11" s="495"/>
      <c r="WBX11" s="495"/>
      <c r="WBY11" s="495"/>
      <c r="WBZ11" s="495"/>
      <c r="WCA11" s="495"/>
      <c r="WCB11" s="495"/>
      <c r="WCC11" s="495"/>
      <c r="WCD11" s="495"/>
      <c r="WCE11" s="495"/>
      <c r="WCF11" s="495"/>
      <c r="WCG11" s="495"/>
      <c r="WCH11" s="495"/>
      <c r="WCI11" s="495"/>
      <c r="WCJ11" s="495"/>
      <c r="WCK11" s="495"/>
      <c r="WCL11" s="495"/>
      <c r="WCM11" s="495"/>
      <c r="WCN11" s="495"/>
      <c r="WCO11" s="495"/>
      <c r="WCP11" s="495"/>
      <c r="WCQ11" s="495"/>
      <c r="WCR11" s="495"/>
      <c r="WCS11" s="495"/>
      <c r="WCT11" s="495"/>
      <c r="WCU11" s="495"/>
      <c r="WCV11" s="495"/>
      <c r="WCW11" s="495"/>
      <c r="WCX11" s="495"/>
      <c r="WCY11" s="495"/>
      <c r="WCZ11" s="495"/>
      <c r="WDA11" s="495"/>
      <c r="WDB11" s="495"/>
      <c r="WDC11" s="495"/>
      <c r="WDD11" s="495"/>
      <c r="WDE11" s="495"/>
      <c r="WDF11" s="495"/>
      <c r="WDG11" s="495"/>
      <c r="WDH11" s="495"/>
      <c r="WDI11" s="495"/>
      <c r="WDJ11" s="495"/>
      <c r="WDK11" s="495"/>
      <c r="WDL11" s="495"/>
      <c r="WDM11" s="495"/>
      <c r="WDN11" s="495"/>
      <c r="WDO11" s="495"/>
      <c r="WDP11" s="495"/>
      <c r="WDQ11" s="495"/>
      <c r="WDR11" s="495"/>
      <c r="WDS11" s="495"/>
      <c r="WDT11" s="495"/>
      <c r="WDU11" s="495"/>
      <c r="WDV11" s="495"/>
      <c r="WDW11" s="495"/>
      <c r="WDX11" s="495"/>
      <c r="WDY11" s="495"/>
      <c r="WDZ11" s="495"/>
      <c r="WEA11" s="495"/>
      <c r="WEB11" s="495"/>
      <c r="WEC11" s="495"/>
      <c r="WED11" s="495"/>
      <c r="WEE11" s="495"/>
      <c r="WEF11" s="495"/>
      <c r="WEG11" s="495"/>
      <c r="WEH11" s="495"/>
      <c r="WEI11" s="495"/>
      <c r="WEJ11" s="495"/>
      <c r="WEK11" s="495"/>
      <c r="WEL11" s="495"/>
      <c r="WEM11" s="495"/>
      <c r="WEN11" s="495"/>
      <c r="WEO11" s="495"/>
      <c r="WEP11" s="495"/>
      <c r="WEQ11" s="495"/>
      <c r="WER11" s="495"/>
      <c r="WES11" s="495"/>
      <c r="WET11" s="495"/>
      <c r="WEU11" s="495"/>
      <c r="WEV11" s="495"/>
      <c r="WEW11" s="495"/>
      <c r="WEX11" s="495"/>
      <c r="WEY11" s="495"/>
      <c r="WEZ11" s="495"/>
      <c r="WFA11" s="495"/>
      <c r="WFB11" s="495"/>
      <c r="WFC11" s="495"/>
      <c r="WFD11" s="495"/>
      <c r="WFE11" s="495"/>
      <c r="WFF11" s="495"/>
      <c r="WFG11" s="495"/>
      <c r="WFH11" s="495"/>
      <c r="WFI11" s="495"/>
      <c r="WFJ11" s="495"/>
      <c r="WFK11" s="495"/>
      <c r="WFL11" s="495"/>
      <c r="WFM11" s="495"/>
      <c r="WFN11" s="495"/>
      <c r="WFO11" s="495"/>
      <c r="WFP11" s="495"/>
      <c r="WFQ11" s="495"/>
      <c r="WFR11" s="495"/>
      <c r="WFS11" s="495"/>
      <c r="WFT11" s="495"/>
      <c r="WFU11" s="495"/>
      <c r="WFV11" s="495"/>
      <c r="WFW11" s="495"/>
      <c r="WFX11" s="495"/>
      <c r="WFY11" s="495"/>
      <c r="WFZ11" s="495"/>
      <c r="WGA11" s="495"/>
      <c r="WGB11" s="495"/>
      <c r="WGC11" s="495"/>
      <c r="WGD11" s="495"/>
      <c r="WGE11" s="495"/>
      <c r="WGF11" s="495"/>
      <c r="WGG11" s="495"/>
      <c r="WGH11" s="495"/>
      <c r="WGI11" s="495"/>
      <c r="WGJ11" s="495"/>
      <c r="WGK11" s="495"/>
      <c r="WGL11" s="495"/>
      <c r="WGM11" s="495"/>
      <c r="WGN11" s="495"/>
      <c r="WGO11" s="495"/>
      <c r="WGP11" s="495"/>
      <c r="WGQ11" s="495"/>
      <c r="WGR11" s="495"/>
      <c r="WGS11" s="495"/>
      <c r="WGT11" s="495"/>
      <c r="WGU11" s="495"/>
      <c r="WGV11" s="495"/>
      <c r="WGW11" s="495"/>
      <c r="WGX11" s="495"/>
      <c r="WGY11" s="495"/>
      <c r="WGZ11" s="495"/>
      <c r="WHA11" s="495"/>
      <c r="WHB11" s="495"/>
      <c r="WHC11" s="495"/>
      <c r="WHD11" s="495"/>
      <c r="WHE11" s="495"/>
      <c r="WHF11" s="495"/>
      <c r="WHG11" s="495"/>
      <c r="WHH11" s="495"/>
      <c r="WHI11" s="495"/>
      <c r="WHJ11" s="495"/>
      <c r="WHK11" s="495"/>
      <c r="WHL11" s="495"/>
      <c r="WHM11" s="495"/>
      <c r="WHN11" s="495"/>
      <c r="WHO11" s="495"/>
      <c r="WHP11" s="495"/>
      <c r="WHQ11" s="495"/>
      <c r="WHR11" s="495"/>
      <c r="WHS11" s="495"/>
      <c r="WHT11" s="495"/>
      <c r="WHU11" s="495"/>
      <c r="WHV11" s="495"/>
      <c r="WHW11" s="495"/>
      <c r="WHX11" s="495"/>
      <c r="WHY11" s="495"/>
      <c r="WHZ11" s="495"/>
      <c r="WIA11" s="495"/>
      <c r="WIB11" s="495"/>
      <c r="WIC11" s="495"/>
      <c r="WID11" s="495"/>
      <c r="WIE11" s="495"/>
      <c r="WIF11" s="495"/>
      <c r="WIG11" s="495"/>
      <c r="WIH11" s="495"/>
      <c r="WII11" s="495"/>
      <c r="WIJ11" s="495"/>
      <c r="WIK11" s="495"/>
      <c r="WIL11" s="495"/>
      <c r="WIM11" s="495"/>
      <c r="WIN11" s="495"/>
      <c r="WIO11" s="495"/>
      <c r="WIP11" s="495"/>
      <c r="WIQ11" s="495"/>
      <c r="WIR11" s="495"/>
      <c r="WIS11" s="495"/>
      <c r="WIT11" s="495"/>
      <c r="WIU11" s="495"/>
      <c r="WIV11" s="495"/>
      <c r="WIW11" s="495"/>
      <c r="WIX11" s="495"/>
      <c r="WIY11" s="495"/>
      <c r="WIZ11" s="495"/>
      <c r="WJA11" s="495"/>
      <c r="WJB11" s="495"/>
      <c r="WJC11" s="495"/>
      <c r="WJD11" s="495"/>
      <c r="WJE11" s="495"/>
      <c r="WJF11" s="495"/>
      <c r="WJG11" s="495"/>
      <c r="WJH11" s="495"/>
      <c r="WJI11" s="495"/>
      <c r="WJJ11" s="495"/>
      <c r="WJK11" s="495"/>
      <c r="WJL11" s="495"/>
      <c r="WJM11" s="495"/>
      <c r="WJN11" s="495"/>
      <c r="WJO11" s="495"/>
      <c r="WJP11" s="495"/>
      <c r="WJQ11" s="495"/>
      <c r="WJR11" s="495"/>
      <c r="WJS11" s="495"/>
      <c r="WJT11" s="495"/>
      <c r="WJU11" s="495"/>
      <c r="WJV11" s="495"/>
      <c r="WJW11" s="495"/>
      <c r="WJX11" s="495"/>
      <c r="WJY11" s="495"/>
      <c r="WJZ11" s="495"/>
      <c r="WKA11" s="495"/>
      <c r="WKB11" s="495"/>
      <c r="WKC11" s="495"/>
      <c r="WKD11" s="495"/>
      <c r="WKE11" s="495"/>
      <c r="WKF11" s="495"/>
      <c r="WKG11" s="495"/>
      <c r="WKH11" s="495"/>
      <c r="WKI11" s="495"/>
      <c r="WKJ11" s="495"/>
      <c r="WKK11" s="495"/>
      <c r="WKL11" s="495"/>
      <c r="WKM11" s="495"/>
      <c r="WKN11" s="495"/>
      <c r="WKO11" s="495"/>
      <c r="WKP11" s="495"/>
      <c r="WKQ11" s="495"/>
      <c r="WKR11" s="495"/>
      <c r="WKS11" s="495"/>
      <c r="WKT11" s="495"/>
      <c r="WKU11" s="495"/>
      <c r="WKV11" s="495"/>
      <c r="WKW11" s="495"/>
      <c r="WKX11" s="495"/>
      <c r="WKY11" s="495"/>
      <c r="WKZ11" s="495"/>
      <c r="WLA11" s="495"/>
      <c r="WLB11" s="495"/>
      <c r="WLC11" s="495"/>
      <c r="WLD11" s="495"/>
      <c r="WLE11" s="495"/>
      <c r="WLF11" s="495"/>
      <c r="WLG11" s="495"/>
      <c r="WLH11" s="495"/>
      <c r="WLI11" s="495"/>
      <c r="WLJ11" s="495"/>
      <c r="WLK11" s="495"/>
      <c r="WLL11" s="495"/>
      <c r="WLM11" s="495"/>
      <c r="WLN11" s="495"/>
      <c r="WLO11" s="495"/>
      <c r="WLP11" s="495"/>
      <c r="WLQ11" s="495"/>
      <c r="WLR11" s="495"/>
      <c r="WLS11" s="495"/>
      <c r="WLT11" s="495"/>
      <c r="WLU11" s="495"/>
      <c r="WLV11" s="495"/>
      <c r="WLW11" s="495"/>
      <c r="WLX11" s="495"/>
      <c r="WLY11" s="495"/>
      <c r="WLZ11" s="495"/>
      <c r="WMA11" s="495"/>
      <c r="WMB11" s="495"/>
      <c r="WMC11" s="495"/>
      <c r="WMD11" s="495"/>
      <c r="WME11" s="495"/>
      <c r="WMF11" s="495"/>
      <c r="WMG11" s="495"/>
      <c r="WMH11" s="495"/>
      <c r="WMI11" s="495"/>
      <c r="WMJ11" s="495"/>
      <c r="WMK11" s="495"/>
      <c r="WML11" s="495"/>
      <c r="WMM11" s="495"/>
      <c r="WMN11" s="495"/>
      <c r="WMO11" s="495"/>
      <c r="WMP11" s="495"/>
      <c r="WMQ11" s="495"/>
      <c r="WMR11" s="495"/>
      <c r="WMS11" s="495"/>
      <c r="WMT11" s="495"/>
      <c r="WMU11" s="495"/>
      <c r="WMV11" s="495"/>
      <c r="WMW11" s="495"/>
      <c r="WMX11" s="495"/>
      <c r="WMY11" s="495"/>
      <c r="WMZ11" s="495"/>
      <c r="WNA11" s="495"/>
      <c r="WNB11" s="495"/>
      <c r="WNC11" s="495"/>
      <c r="WND11" s="495"/>
      <c r="WNE11" s="495"/>
      <c r="WNF11" s="495"/>
      <c r="WNG11" s="495"/>
      <c r="WNH11" s="495"/>
      <c r="WNI11" s="495"/>
      <c r="WNJ11" s="495"/>
      <c r="WNK11" s="495"/>
      <c r="WNL11" s="495"/>
      <c r="WNM11" s="495"/>
      <c r="WNN11" s="495"/>
      <c r="WNO11" s="495"/>
      <c r="WNP11" s="495"/>
      <c r="WNQ11" s="495"/>
      <c r="WNR11" s="495"/>
      <c r="WNS11" s="495"/>
      <c r="WNT11" s="495"/>
      <c r="WNU11" s="495"/>
      <c r="WNV11" s="495"/>
      <c r="WNW11" s="495"/>
      <c r="WNX11" s="495"/>
      <c r="WNY11" s="495"/>
      <c r="WNZ11" s="495"/>
      <c r="WOA11" s="495"/>
      <c r="WOB11" s="495"/>
      <c r="WOC11" s="495"/>
      <c r="WOD11" s="495"/>
      <c r="WOE11" s="495"/>
      <c r="WOF11" s="495"/>
      <c r="WOG11" s="495"/>
      <c r="WOH11" s="495"/>
      <c r="WOI11" s="495"/>
      <c r="WOJ11" s="495"/>
      <c r="WOK11" s="495"/>
      <c r="WOL11" s="495"/>
      <c r="WOM11" s="495"/>
      <c r="WON11" s="495"/>
      <c r="WOO11" s="495"/>
      <c r="WOP11" s="495"/>
      <c r="WOQ11" s="495"/>
      <c r="WOR11" s="495"/>
      <c r="WOS11" s="495"/>
      <c r="WOT11" s="495"/>
      <c r="WOU11" s="495"/>
      <c r="WOV11" s="495"/>
      <c r="WOW11" s="495"/>
      <c r="WOX11" s="495"/>
      <c r="WOY11" s="495"/>
      <c r="WOZ11" s="495"/>
      <c r="WPA11" s="495"/>
      <c r="WPB11" s="495"/>
      <c r="WPC11" s="495"/>
      <c r="WPD11" s="495"/>
      <c r="WPE11" s="495"/>
      <c r="WPF11" s="495"/>
      <c r="WPG11" s="495"/>
      <c r="WPH11" s="495"/>
      <c r="WPI11" s="495"/>
      <c r="WPJ11" s="495"/>
      <c r="WPK11" s="495"/>
      <c r="WPL11" s="495"/>
      <c r="WPM11" s="495"/>
      <c r="WPN11" s="495"/>
      <c r="WPO11" s="495"/>
      <c r="WPP11" s="495"/>
      <c r="WPQ11" s="495"/>
      <c r="WPR11" s="495"/>
      <c r="WPS11" s="495"/>
      <c r="WPT11" s="495"/>
      <c r="WPU11" s="495"/>
      <c r="WPV11" s="495"/>
      <c r="WPW11" s="495"/>
      <c r="WPX11" s="495"/>
      <c r="WPY11" s="495"/>
      <c r="WPZ11" s="495"/>
      <c r="WQA11" s="495"/>
      <c r="WQB11" s="495"/>
      <c r="WQC11" s="495"/>
      <c r="WQD11" s="495"/>
      <c r="WQE11" s="495"/>
      <c r="WQF11" s="495"/>
      <c r="WQG11" s="495"/>
      <c r="WQH11" s="495"/>
      <c r="WQI11" s="495"/>
      <c r="WQJ11" s="495"/>
      <c r="WQK11" s="495"/>
      <c r="WQL11" s="495"/>
      <c r="WQM11" s="495"/>
      <c r="WQN11" s="495"/>
      <c r="WQO11" s="495"/>
      <c r="WQP11" s="495"/>
      <c r="WQQ11" s="495"/>
      <c r="WQR11" s="495"/>
      <c r="WQS11" s="495"/>
      <c r="WQT11" s="495"/>
      <c r="WQU11" s="495"/>
      <c r="WQV11" s="495"/>
      <c r="WQW11" s="495"/>
      <c r="WQX11" s="495"/>
      <c r="WQY11" s="495"/>
      <c r="WQZ11" s="495"/>
      <c r="WRA11" s="495"/>
      <c r="WRB11" s="495"/>
      <c r="WRC11" s="495"/>
      <c r="WRD11" s="495"/>
      <c r="WRE11" s="495"/>
      <c r="WRF11" s="495"/>
      <c r="WRG11" s="495"/>
      <c r="WRH11" s="495"/>
      <c r="WRI11" s="495"/>
      <c r="WRJ11" s="495"/>
      <c r="WRK11" s="495"/>
      <c r="WRL11" s="495"/>
      <c r="WRM11" s="495"/>
      <c r="WRN11" s="495"/>
      <c r="WRO11" s="495"/>
      <c r="WRP11" s="495"/>
      <c r="WRQ11" s="495"/>
      <c r="WRR11" s="495"/>
      <c r="WRS11" s="495"/>
      <c r="WRT11" s="495"/>
      <c r="WRU11" s="495"/>
      <c r="WRV11" s="495"/>
      <c r="WRW11" s="495"/>
      <c r="WRX11" s="495"/>
      <c r="WRY11" s="495"/>
      <c r="WRZ11" s="495"/>
      <c r="WSA11" s="495"/>
      <c r="WSB11" s="495"/>
      <c r="WSC11" s="495"/>
      <c r="WSD11" s="495"/>
      <c r="WSE11" s="495"/>
      <c r="WSF11" s="495"/>
      <c r="WSG11" s="495"/>
      <c r="WSH11" s="495"/>
      <c r="WSI11" s="495"/>
      <c r="WSJ11" s="495"/>
      <c r="WSK11" s="495"/>
      <c r="WSL11" s="495"/>
      <c r="WSM11" s="495"/>
      <c r="WSN11" s="495"/>
      <c r="WSO11" s="495"/>
      <c r="WSP11" s="495"/>
      <c r="WSQ11" s="495"/>
      <c r="WSR11" s="495"/>
      <c r="WSS11" s="495"/>
      <c r="WST11" s="495"/>
      <c r="WSU11" s="495"/>
      <c r="WSV11" s="495"/>
      <c r="WSW11" s="495"/>
      <c r="WSX11" s="495"/>
      <c r="WSY11" s="495"/>
      <c r="WSZ11" s="495"/>
      <c r="WTA11" s="495"/>
      <c r="WTB11" s="495"/>
      <c r="WTC11" s="495"/>
      <c r="WTD11" s="495"/>
      <c r="WTE11" s="495"/>
      <c r="WTF11" s="495"/>
      <c r="WTG11" s="495"/>
      <c r="WTH11" s="495"/>
      <c r="WTI11" s="495"/>
      <c r="WTJ11" s="495"/>
      <c r="WTK11" s="495"/>
      <c r="WTL11" s="495"/>
      <c r="WTM11" s="495"/>
      <c r="WTN11" s="495"/>
      <c r="WTO11" s="495"/>
      <c r="WTP11" s="495"/>
      <c r="WTQ11" s="495"/>
      <c r="WTR11" s="495"/>
      <c r="WTS11" s="495"/>
      <c r="WTT11" s="495"/>
      <c r="WTU11" s="495"/>
      <c r="WTV11" s="495"/>
      <c r="WTW11" s="495"/>
      <c r="WTX11" s="495"/>
      <c r="WTY11" s="495"/>
      <c r="WTZ11" s="495"/>
      <c r="WUA11" s="495"/>
      <c r="WUB11" s="495"/>
      <c r="WUC11" s="495"/>
      <c r="WUD11" s="495"/>
      <c r="WUE11" s="495"/>
      <c r="WUF11" s="495"/>
      <c r="WUG11" s="495"/>
      <c r="WUH11" s="495"/>
      <c r="WUI11" s="495"/>
      <c r="WUJ11" s="495"/>
      <c r="WUK11" s="495"/>
      <c r="WUL11" s="495"/>
      <c r="WUM11" s="495"/>
      <c r="WUN11" s="495"/>
      <c r="WUO11" s="495"/>
      <c r="WUP11" s="495"/>
      <c r="WUQ11" s="495"/>
      <c r="WUR11" s="495"/>
      <c r="WUS11" s="495"/>
      <c r="WUT11" s="495"/>
      <c r="WUU11" s="495"/>
      <c r="WUV11" s="495"/>
      <c r="WUW11" s="495"/>
      <c r="WUX11" s="495"/>
      <c r="WUY11" s="495"/>
      <c r="WUZ11" s="495"/>
      <c r="WVA11" s="495"/>
      <c r="WVB11" s="495"/>
      <c r="WVC11" s="495"/>
      <c r="WVD11" s="495"/>
      <c r="WVE11" s="495"/>
      <c r="WVF11" s="495"/>
      <c r="WVG11" s="495"/>
      <c r="WVH11" s="495"/>
      <c r="WVI11" s="495"/>
      <c r="WVJ11" s="495"/>
      <c r="WVK11" s="495"/>
      <c r="WVL11" s="495"/>
      <c r="WVM11" s="495"/>
      <c r="WVN11" s="495"/>
      <c r="WVO11" s="495"/>
      <c r="WVP11" s="495"/>
      <c r="WVQ11" s="495"/>
      <c r="WVR11" s="495"/>
      <c r="WVS11" s="495"/>
      <c r="WVT11" s="495"/>
      <c r="WVU11" s="495"/>
      <c r="WVV11" s="495"/>
      <c r="WVW11" s="495"/>
      <c r="WVX11" s="495"/>
      <c r="WVY11" s="495"/>
      <c r="WVZ11" s="495"/>
      <c r="WWA11" s="495"/>
      <c r="WWB11" s="495"/>
      <c r="WWC11" s="495"/>
      <c r="WWD11" s="495"/>
      <c r="WWE11" s="495"/>
      <c r="WWF11" s="495"/>
      <c r="WWG11" s="495"/>
      <c r="WWH11" s="495"/>
      <c r="WWI11" s="495"/>
      <c r="WWJ11" s="495"/>
      <c r="WWK11" s="495"/>
      <c r="WWL11" s="495"/>
      <c r="WWM11" s="495"/>
      <c r="WWN11" s="495"/>
      <c r="WWO11" s="495"/>
      <c r="WWP11" s="495"/>
      <c r="WWQ11" s="495"/>
      <c r="WWR11" s="495"/>
      <c r="WWS11" s="495"/>
      <c r="WWT11" s="495"/>
      <c r="WWU11" s="495"/>
      <c r="WWV11" s="495"/>
      <c r="WWW11" s="495"/>
      <c r="WWX11" s="495"/>
      <c r="WWY11" s="495"/>
      <c r="WWZ11" s="495"/>
      <c r="WXA11" s="495"/>
      <c r="WXB11" s="495"/>
      <c r="WXC11" s="495"/>
      <c r="WXD11" s="495"/>
      <c r="WXE11" s="495"/>
      <c r="WXF11" s="495"/>
      <c r="WXG11" s="495"/>
      <c r="WXH11" s="495"/>
      <c r="WXI11" s="495"/>
      <c r="WXJ11" s="495"/>
      <c r="WXK11" s="495"/>
      <c r="WXL11" s="495"/>
      <c r="WXM11" s="495"/>
      <c r="WXN11" s="495"/>
      <c r="WXO11" s="495"/>
      <c r="WXP11" s="495"/>
      <c r="WXQ11" s="495"/>
      <c r="WXR11" s="495"/>
      <c r="WXS11" s="495"/>
      <c r="WXT11" s="495"/>
      <c r="WXU11" s="495"/>
      <c r="WXV11" s="495"/>
      <c r="WXW11" s="495"/>
      <c r="WXX11" s="495"/>
      <c r="WXY11" s="495"/>
      <c r="WXZ11" s="495"/>
      <c r="WYA11" s="495"/>
      <c r="WYB11" s="495"/>
      <c r="WYC11" s="495"/>
      <c r="WYD11" s="495"/>
      <c r="WYE11" s="495"/>
      <c r="WYF11" s="495"/>
      <c r="WYG11" s="495"/>
      <c r="WYH11" s="495"/>
      <c r="WYI11" s="495"/>
      <c r="WYJ11" s="495"/>
      <c r="WYK11" s="495"/>
      <c r="WYL11" s="495"/>
      <c r="WYM11" s="495"/>
      <c r="WYN11" s="495"/>
      <c r="WYO11" s="495"/>
      <c r="WYP11" s="495"/>
      <c r="WYQ11" s="495"/>
      <c r="WYR11" s="495"/>
      <c r="WYS11" s="495"/>
      <c r="WYT11" s="495"/>
      <c r="WYU11" s="495"/>
      <c r="WYV11" s="495"/>
      <c r="WYW11" s="495"/>
      <c r="WYX11" s="495"/>
      <c r="WYY11" s="495"/>
      <c r="WYZ11" s="495"/>
      <c r="WZA11" s="495"/>
      <c r="WZB11" s="495"/>
      <c r="WZC11" s="495"/>
      <c r="WZD11" s="495"/>
      <c r="WZE11" s="495"/>
      <c r="WZF11" s="495"/>
      <c r="WZG11" s="495"/>
      <c r="WZH11" s="495"/>
      <c r="WZI11" s="495"/>
      <c r="WZJ11" s="495"/>
      <c r="WZK11" s="495"/>
      <c r="WZL11" s="495"/>
      <c r="WZM11" s="495"/>
      <c r="WZN11" s="495"/>
      <c r="WZO11" s="495"/>
      <c r="WZP11" s="495"/>
      <c r="WZQ11" s="495"/>
      <c r="WZR11" s="495"/>
      <c r="WZS11" s="495"/>
      <c r="WZT11" s="495"/>
      <c r="WZU11" s="495"/>
      <c r="WZV11" s="495"/>
      <c r="WZW11" s="495"/>
      <c r="WZX11" s="495"/>
      <c r="WZY11" s="495"/>
      <c r="WZZ11" s="495"/>
      <c r="XAA11" s="495"/>
      <c r="XAB11" s="495"/>
      <c r="XAC11" s="495"/>
      <c r="XAD11" s="495"/>
      <c r="XAE11" s="495"/>
      <c r="XAF11" s="495"/>
      <c r="XAG11" s="495"/>
      <c r="XAH11" s="495"/>
      <c r="XAI11" s="495"/>
      <c r="XAJ11" s="495"/>
      <c r="XAK11" s="495"/>
      <c r="XAL11" s="495"/>
      <c r="XAM11" s="495"/>
      <c r="XAN11" s="495"/>
      <c r="XAO11" s="495"/>
      <c r="XAP11" s="495"/>
      <c r="XAQ11" s="495"/>
      <c r="XAR11" s="495"/>
      <c r="XAS11" s="495"/>
      <c r="XAT11" s="495"/>
      <c r="XAU11" s="495"/>
      <c r="XAV11" s="495"/>
      <c r="XAW11" s="495"/>
      <c r="XAX11" s="495"/>
      <c r="XAY11" s="495"/>
      <c r="XAZ11" s="495"/>
      <c r="XBA11" s="495"/>
      <c r="XBB11" s="495"/>
      <c r="XBC11" s="495"/>
      <c r="XBD11" s="495"/>
      <c r="XBE11" s="495"/>
      <c r="XBF11" s="495"/>
      <c r="XBG11" s="495"/>
      <c r="XBH11" s="495"/>
      <c r="XBI11" s="495"/>
      <c r="XBJ11" s="495"/>
      <c r="XBK11" s="495"/>
      <c r="XBL11" s="495"/>
      <c r="XBM11" s="495"/>
      <c r="XBN11" s="495"/>
      <c r="XBO11" s="495"/>
      <c r="XBP11" s="495"/>
      <c r="XBQ11" s="495"/>
      <c r="XBR11" s="495"/>
      <c r="XBS11" s="495"/>
      <c r="XBT11" s="495"/>
      <c r="XBU11" s="495"/>
      <c r="XBV11" s="495"/>
      <c r="XBW11" s="495"/>
      <c r="XBX11" s="495"/>
      <c r="XBY11" s="495"/>
      <c r="XBZ11" s="495"/>
      <c r="XCA11" s="495"/>
      <c r="XCB11" s="495"/>
      <c r="XCC11" s="495"/>
      <c r="XCD11" s="495"/>
      <c r="XCE11" s="495"/>
      <c r="XCF11" s="495"/>
      <c r="XCG11" s="495"/>
      <c r="XCH11" s="495"/>
      <c r="XCI11" s="495"/>
      <c r="XCJ11" s="495"/>
      <c r="XCK11" s="495"/>
      <c r="XCL11" s="495"/>
      <c r="XCM11" s="495"/>
      <c r="XCN11" s="495"/>
      <c r="XCO11" s="495"/>
      <c r="XCP11" s="495"/>
      <c r="XCQ11" s="495"/>
      <c r="XCR11" s="495"/>
      <c r="XCS11" s="495"/>
      <c r="XCT11" s="495"/>
      <c r="XCU11" s="495"/>
      <c r="XCV11" s="495"/>
      <c r="XCW11" s="495"/>
      <c r="XCX11" s="495"/>
      <c r="XCY11" s="495"/>
      <c r="XCZ11" s="495"/>
      <c r="XDA11" s="495"/>
      <c r="XDB11" s="495"/>
      <c r="XDC11" s="495"/>
      <c r="XDD11" s="495"/>
      <c r="XDE11" s="495"/>
      <c r="XDF11" s="495"/>
      <c r="XDG11" s="495"/>
      <c r="XDH11" s="495"/>
      <c r="XDI11" s="495"/>
      <c r="XDJ11" s="495"/>
      <c r="XDK11" s="495"/>
      <c r="XDL11" s="495"/>
      <c r="XDM11" s="495"/>
      <c r="XDN11" s="495"/>
      <c r="XDO11" s="495"/>
      <c r="XDP11" s="495"/>
      <c r="XDQ11" s="495"/>
      <c r="XDR11" s="495"/>
      <c r="XDS11" s="495"/>
      <c r="XDT11" s="495"/>
      <c r="XDU11" s="495"/>
      <c r="XDV11" s="495"/>
      <c r="XDW11" s="495"/>
      <c r="XDX11" s="495"/>
      <c r="XDY11" s="495"/>
      <c r="XDZ11" s="495"/>
      <c r="XEA11" s="495"/>
      <c r="XEB11" s="495"/>
      <c r="XEC11" s="495"/>
      <c r="XED11" s="495"/>
      <c r="XEE11" s="495"/>
      <c r="XEF11" s="495"/>
      <c r="XEG11" s="495"/>
      <c r="XEH11" s="495"/>
      <c r="XEI11" s="495"/>
      <c r="XEJ11" s="495"/>
      <c r="XEK11" s="495"/>
      <c r="XEL11" s="495"/>
      <c r="XEM11" s="495"/>
      <c r="XEN11" s="495"/>
      <c r="XEO11" s="495"/>
      <c r="XEP11" s="495"/>
      <c r="XEQ11" s="495"/>
      <c r="XER11" s="495"/>
      <c r="XES11" s="495"/>
      <c r="XET11" s="495"/>
      <c r="XEU11" s="495"/>
      <c r="XEV11" s="495"/>
      <c r="XEW11" s="495"/>
      <c r="XEX11" s="495"/>
      <c r="XEY11" s="495"/>
      <c r="XEZ11" s="495"/>
      <c r="XFA11" s="495"/>
      <c r="XFB11" s="495"/>
      <c r="XFC11" s="495"/>
      <c r="XFD11" s="495"/>
    </row>
    <row r="12" spans="1:16384" ht="27.75" customHeight="1">
      <c r="H12" s="2788" t="s">
        <v>1744</v>
      </c>
      <c r="I12" s="2728"/>
      <c r="J12" s="2728"/>
      <c r="K12" s="2728"/>
      <c r="L12" s="2728"/>
      <c r="M12" s="2730"/>
    </row>
    <row r="14" spans="1:16384" ht="12.75" customHeight="1">
      <c r="H14" s="2776" t="s">
        <v>962</v>
      </c>
      <c r="I14" s="2776"/>
      <c r="N14" s="270"/>
      <c r="O14" s="270"/>
      <c r="P14" s="270"/>
    </row>
    <row r="15" spans="1:16384" ht="72" customHeight="1">
      <c r="H15" s="2775" t="s">
        <v>1614</v>
      </c>
      <c r="I15" s="2775"/>
      <c r="J15" s="2775"/>
      <c r="K15" s="2775"/>
      <c r="L15" s="2775"/>
      <c r="M15" s="748"/>
    </row>
    <row r="16" spans="1:16384" ht="13.9" customHeight="1" thickBot="1">
      <c r="H16" s="690"/>
      <c r="I16" s="690"/>
      <c r="J16" s="690"/>
      <c r="K16" s="690"/>
      <c r="L16" s="690"/>
      <c r="M16" s="690"/>
    </row>
    <row r="17" spans="8:22" ht="39" customHeight="1">
      <c r="I17" s="2784" t="s">
        <v>1002</v>
      </c>
      <c r="J17" s="2785"/>
      <c r="K17" s="700"/>
      <c r="L17" s="700"/>
      <c r="M17" s="690"/>
    </row>
    <row r="18" spans="8:22" ht="15" customHeight="1">
      <c r="I18" s="2786" t="s">
        <v>960</v>
      </c>
      <c r="J18" s="2787"/>
      <c r="K18" s="241"/>
      <c r="L18" s="275"/>
      <c r="M18" s="274"/>
      <c r="R18" s="276"/>
      <c r="V18" s="274"/>
    </row>
    <row r="19" spans="8:22" ht="18.75" customHeight="1">
      <c r="I19" s="343" t="s">
        <v>959</v>
      </c>
      <c r="J19" s="344">
        <v>78512333.333333328</v>
      </c>
      <c r="K19" s="241"/>
      <c r="L19" s="275"/>
      <c r="M19" s="274"/>
      <c r="R19" s="276"/>
      <c r="V19" s="274"/>
    </row>
    <row r="20" spans="8:22" ht="16.5" customHeight="1">
      <c r="I20" s="343" t="s">
        <v>699</v>
      </c>
      <c r="J20" s="344">
        <v>370966.66666666663</v>
      </c>
      <c r="K20" s="241"/>
      <c r="L20" s="275"/>
      <c r="M20" s="274"/>
      <c r="R20" s="276"/>
      <c r="V20" s="274"/>
    </row>
    <row r="21" spans="8:22" ht="12.75" customHeight="1">
      <c r="I21" s="343" t="s">
        <v>695</v>
      </c>
      <c r="J21" s="344">
        <v>242408.33333333337</v>
      </c>
      <c r="K21" s="241"/>
      <c r="L21" s="275"/>
      <c r="M21" s="274"/>
      <c r="R21" s="276"/>
      <c r="V21" s="274"/>
    </row>
    <row r="22" spans="8:22" ht="12.75" customHeight="1">
      <c r="I22" s="343" t="s">
        <v>697</v>
      </c>
      <c r="J22" s="344">
        <v>973550</v>
      </c>
      <c r="K22" s="241"/>
      <c r="L22" s="275"/>
      <c r="M22" s="274"/>
      <c r="R22" s="276"/>
      <c r="V22" s="274"/>
    </row>
    <row r="23" spans="8:22" ht="12.75" customHeight="1">
      <c r="I23" s="343" t="s">
        <v>703</v>
      </c>
      <c r="J23" s="344">
        <v>1809716.6666666667</v>
      </c>
      <c r="K23" s="241"/>
      <c r="L23" s="275"/>
      <c r="M23" s="274"/>
      <c r="R23" s="276"/>
      <c r="V23" s="274"/>
    </row>
    <row r="24" spans="8:22" ht="34.5" customHeight="1" thickBot="1">
      <c r="I24" s="345" t="s">
        <v>961</v>
      </c>
      <c r="J24" s="346">
        <f>SUM(J20:J23)/J19</f>
        <v>4.3262523510106697E-2</v>
      </c>
      <c r="K24" s="275"/>
      <c r="L24" s="275"/>
      <c r="S24" s="276"/>
      <c r="V24" s="274"/>
    </row>
    <row r="25" spans="8:22" ht="18.75" customHeight="1">
      <c r="H25" s="173"/>
      <c r="I25" s="240"/>
      <c r="K25" s="275"/>
      <c r="L25" s="275"/>
      <c r="S25" s="276"/>
      <c r="V25" s="274"/>
    </row>
    <row r="27" spans="8:22" ht="14.65" customHeight="1">
      <c r="H27" s="2776" t="s">
        <v>958</v>
      </c>
      <c r="I27" s="2776"/>
      <c r="J27" s="294"/>
      <c r="K27" s="294"/>
      <c r="L27" s="294"/>
      <c r="M27" s="294"/>
      <c r="N27" s="294"/>
    </row>
    <row r="28" spans="8:22" ht="12.75" customHeight="1" thickBot="1">
      <c r="J28" s="492"/>
    </row>
    <row r="29" spans="8:22" ht="35.25" customHeight="1">
      <c r="I29" s="1571" t="s">
        <v>2718</v>
      </c>
      <c r="J29" s="1571" t="s">
        <v>2719</v>
      </c>
      <c r="M29" s="274"/>
      <c r="N29" s="274"/>
    </row>
    <row r="30" spans="8:22" ht="12.75" customHeight="1">
      <c r="I30" s="2789">
        <v>0.75</v>
      </c>
      <c r="J30" s="2789">
        <v>0.55000000000000004</v>
      </c>
      <c r="M30" s="274"/>
      <c r="N30" s="274"/>
    </row>
    <row r="31" spans="8:22" ht="12.75" customHeight="1" thickBot="1">
      <c r="I31" s="2790"/>
      <c r="J31" s="2790"/>
      <c r="M31" s="274"/>
      <c r="N31" s="274"/>
    </row>
    <row r="34" spans="8:13">
      <c r="I34" s="1602" t="s">
        <v>1095</v>
      </c>
      <c r="J34" s="1602" t="s">
        <v>2728</v>
      </c>
      <c r="K34" s="1602" t="s">
        <v>2729</v>
      </c>
    </row>
    <row r="35" spans="8:13" ht="30">
      <c r="I35" s="1603" t="s">
        <v>2730</v>
      </c>
      <c r="J35" s="1604">
        <v>32.788506245376851</v>
      </c>
      <c r="K35" s="1605">
        <v>5</v>
      </c>
    </row>
    <row r="36" spans="8:13" ht="30">
      <c r="I36" s="1603" t="s">
        <v>2731</v>
      </c>
      <c r="J36" s="1604">
        <v>39.238145456729526</v>
      </c>
      <c r="K36" s="1606">
        <v>5</v>
      </c>
    </row>
    <row r="37" spans="8:13" ht="15">
      <c r="I37" s="1614"/>
      <c r="J37" s="1615"/>
      <c r="K37" s="1616"/>
    </row>
    <row r="38" spans="8:13" ht="48.75" customHeight="1">
      <c r="I38" s="2780" t="s">
        <v>2732</v>
      </c>
      <c r="J38" s="2780"/>
      <c r="K38" s="2780"/>
    </row>
    <row r="40" spans="8:13" ht="12.75" customHeight="1" thickBot="1"/>
    <row r="41" spans="8:13" ht="13.5" thickBot="1">
      <c r="H41" s="1572"/>
      <c r="I41" s="1620" t="s">
        <v>2733</v>
      </c>
      <c r="J41" s="1628" t="s">
        <v>2735</v>
      </c>
      <c r="K41" s="1617"/>
      <c r="L41" s="1617"/>
      <c r="M41" s="1617"/>
    </row>
    <row r="42" spans="8:13" ht="12.75" customHeight="1">
      <c r="H42" s="1572">
        <v>2021</v>
      </c>
      <c r="I42" s="1621">
        <v>312508.35682067694</v>
      </c>
      <c r="J42" s="1625">
        <f>$J$35*(I66/I42)+$J$36*(K66/I42)</f>
        <v>36.21848474657515</v>
      </c>
      <c r="K42" s="1619"/>
      <c r="L42" s="1619"/>
      <c r="M42" s="1618"/>
    </row>
    <row r="43" spans="8:13" ht="12.75" customHeight="1">
      <c r="H43" s="1572">
        <v>2022</v>
      </c>
      <c r="I43" s="1622">
        <v>293160.97009592928</v>
      </c>
      <c r="J43" s="1626">
        <f t="shared" ref="J43:J46" si="12">$J$35*(I67/I43)+$J$36*(K67/I43)</f>
        <v>36.22082257925026</v>
      </c>
      <c r="K43" s="1619"/>
      <c r="L43" s="1619"/>
      <c r="M43" s="1618"/>
    </row>
    <row r="44" spans="8:13" ht="12.75" customHeight="1">
      <c r="H44" s="1572">
        <v>2023</v>
      </c>
      <c r="I44" s="1622">
        <v>293324.94011525315</v>
      </c>
      <c r="J44" s="1626">
        <f t="shared" si="12"/>
        <v>36.220017613445897</v>
      </c>
      <c r="K44" s="1619"/>
      <c r="L44" s="1619"/>
      <c r="M44" s="1618"/>
    </row>
    <row r="45" spans="8:13" ht="12.75" customHeight="1">
      <c r="H45" s="1572">
        <v>2024</v>
      </c>
      <c r="I45" s="1622">
        <v>284084.11765685293</v>
      </c>
      <c r="J45" s="1626">
        <f t="shared" si="12"/>
        <v>36.221573488568595</v>
      </c>
      <c r="K45" s="1619"/>
      <c r="L45" s="1619"/>
      <c r="M45" s="1618"/>
    </row>
    <row r="46" spans="8:13" ht="12.75" customHeight="1" thickBot="1">
      <c r="H46" s="1572">
        <v>2025</v>
      </c>
      <c r="I46" s="1623">
        <v>279456.92406419874</v>
      </c>
      <c r="J46" s="1627">
        <f t="shared" si="12"/>
        <v>36.2228089408041</v>
      </c>
      <c r="K46" s="1619"/>
      <c r="L46" s="1619"/>
      <c r="M46" s="1618"/>
    </row>
    <row r="47" spans="8:13" ht="12.75" customHeight="1">
      <c r="H47" s="1600"/>
      <c r="I47" s="1600"/>
      <c r="J47" s="1600"/>
      <c r="K47" s="1601"/>
      <c r="L47" s="1601"/>
      <c r="M47" s="1600"/>
    </row>
    <row r="48" spans="8:13" ht="12.75" customHeight="1" thickBot="1">
      <c r="H48" s="1572"/>
      <c r="I48" s="1572" t="s">
        <v>2720</v>
      </c>
      <c r="J48" s="1572"/>
      <c r="K48" s="1572"/>
      <c r="L48" s="1572"/>
    </row>
    <row r="49" spans="8:13" ht="12.75" customHeight="1" thickBot="1">
      <c r="H49" s="1572"/>
      <c r="I49" s="2777" t="s">
        <v>2721</v>
      </c>
      <c r="J49" s="2778"/>
      <c r="K49" s="2778"/>
      <c r="L49" s="2779"/>
    </row>
    <row r="50" spans="8:13" ht="12.75" customHeight="1" thickBot="1">
      <c r="H50" s="1572"/>
      <c r="I50" s="1573" t="s">
        <v>699</v>
      </c>
      <c r="J50" s="1574" t="s">
        <v>695</v>
      </c>
      <c r="K50" s="1574" t="s">
        <v>697</v>
      </c>
      <c r="L50" s="1575" t="s">
        <v>703</v>
      </c>
    </row>
    <row r="51" spans="8:13" ht="12.75" customHeight="1">
      <c r="H51" s="1572">
        <v>2015</v>
      </c>
      <c r="I51" s="1576">
        <v>0.10789444441504704</v>
      </c>
      <c r="J51" s="1577">
        <v>7.3957170297543146E-2</v>
      </c>
      <c r="K51" s="1577">
        <v>0.29038898090284215</v>
      </c>
      <c r="L51" s="1578">
        <v>0.5277594043845677</v>
      </c>
    </row>
    <row r="52" spans="8:13" ht="12.75" customHeight="1">
      <c r="H52" s="1572">
        <v>2016</v>
      </c>
      <c r="I52" s="1579">
        <v>0.10785727690840335</v>
      </c>
      <c r="J52" s="1580">
        <v>7.2978607989675481E-2</v>
      </c>
      <c r="K52" s="1580">
        <v>0.29022795692290287</v>
      </c>
      <c r="L52" s="1581">
        <v>0.52893615817901829</v>
      </c>
    </row>
    <row r="53" spans="8:13" ht="12.75" customHeight="1">
      <c r="H53" s="1572">
        <v>2017</v>
      </c>
      <c r="I53" s="1579">
        <v>0.10874283991558639</v>
      </c>
      <c r="J53" s="1580">
        <v>7.2218872475128135E-2</v>
      </c>
      <c r="K53" s="1580">
        <v>0.2890413023816702</v>
      </c>
      <c r="L53" s="1581">
        <v>0.52999698522761529</v>
      </c>
    </row>
    <row r="54" spans="8:13">
      <c r="H54" s="1572">
        <v>2018</v>
      </c>
      <c r="I54" s="1579">
        <v>0.10921572042973818</v>
      </c>
      <c r="J54" s="1580">
        <v>7.136706109220628E-2</v>
      </c>
      <c r="K54" s="1580">
        <v>0.28662134412176732</v>
      </c>
      <c r="L54" s="1581">
        <v>0.53279587435628817</v>
      </c>
    </row>
    <row r="55" spans="8:13" ht="12.75" customHeight="1">
      <c r="H55" s="1572">
        <v>2019</v>
      </c>
      <c r="I55" s="1579">
        <v>0.11028528183640361</v>
      </c>
      <c r="J55" s="1580">
        <v>7.1113733132490808E-2</v>
      </c>
      <c r="K55" s="1580">
        <v>0.28776013017691393</v>
      </c>
      <c r="L55" s="1581">
        <v>0.53084085485419163</v>
      </c>
    </row>
    <row r="56" spans="8:13" ht="12.75" customHeight="1" thickBot="1">
      <c r="H56" s="1572">
        <v>2020</v>
      </c>
      <c r="I56" s="1579">
        <v>0.11205577328830015</v>
      </c>
      <c r="J56" s="1580">
        <v>7.1953825610968317E-2</v>
      </c>
      <c r="K56" s="1580">
        <v>0.28465990807374686</v>
      </c>
      <c r="L56" s="1581">
        <v>0.53133049302698465</v>
      </c>
    </row>
    <row r="57" spans="8:13" ht="12.75" customHeight="1">
      <c r="H57" s="1572">
        <v>2021</v>
      </c>
      <c r="I57" s="1582">
        <f>I56+((I56-I52)/5)</f>
        <v>0.11289547256427951</v>
      </c>
      <c r="J57" s="1583">
        <f t="shared" ref="J57:L57" si="13">J56+((J56-J52)/5)</f>
        <v>7.1748869135226878E-2</v>
      </c>
      <c r="K57" s="1583">
        <f t="shared" si="13"/>
        <v>0.28354629830391564</v>
      </c>
      <c r="L57" s="1584">
        <f t="shared" si="13"/>
        <v>0.53180935999657797</v>
      </c>
    </row>
    <row r="58" spans="8:13" ht="12.75" customHeight="1">
      <c r="H58" s="1572">
        <v>2022</v>
      </c>
      <c r="I58" s="1585">
        <f t="shared" ref="I58:I61" si="14">I57+((I57-I53)/5)</f>
        <v>0.11372599909401813</v>
      </c>
      <c r="J58" s="1611">
        <f t="shared" ref="J58:L58" si="15">J57+((J57-J53)/5)</f>
        <v>7.1654868467246627E-2</v>
      </c>
      <c r="K58" s="1611">
        <f t="shared" si="15"/>
        <v>0.28244729748836472</v>
      </c>
      <c r="L58" s="1586">
        <f t="shared" si="15"/>
        <v>0.53217183495037046</v>
      </c>
    </row>
    <row r="59" spans="8:13" ht="12.75" customHeight="1">
      <c r="H59" s="1587">
        <v>2023</v>
      </c>
      <c r="I59" s="1585">
        <f t="shared" si="14"/>
        <v>0.11462805482687413</v>
      </c>
      <c r="J59" s="1611">
        <f t="shared" ref="J59:L59" si="16">J58+((J58-J54)/5)</f>
        <v>7.1712429942254699E-2</v>
      </c>
      <c r="K59" s="1611">
        <f t="shared" si="16"/>
        <v>0.28161248816168422</v>
      </c>
      <c r="L59" s="1586">
        <f t="shared" si="16"/>
        <v>0.53204702706918694</v>
      </c>
    </row>
    <row r="60" spans="8:13" ht="12.75" customHeight="1">
      <c r="H60" s="1587">
        <v>2024</v>
      </c>
      <c r="I60" s="1585">
        <f t="shared" si="14"/>
        <v>0.11549660942496824</v>
      </c>
      <c r="J60" s="1611">
        <f t="shared" ref="J60:L60" si="17">J59+((J59-J55)/5)</f>
        <v>7.183216930420748E-2</v>
      </c>
      <c r="K60" s="1611">
        <f t="shared" si="17"/>
        <v>0.28038295975863825</v>
      </c>
      <c r="L60" s="1586">
        <f t="shared" si="17"/>
        <v>0.532288261512186</v>
      </c>
    </row>
    <row r="61" spans="8:13" ht="12.75" customHeight="1" thickBot="1">
      <c r="H61" s="1587">
        <v>2025</v>
      </c>
      <c r="I61" s="1588">
        <f t="shared" si="14"/>
        <v>0.11618477665230185</v>
      </c>
      <c r="J61" s="1589">
        <f t="shared" ref="J61:L61" si="18">J60+((J60-J56)/5)</f>
        <v>7.1807838042855315E-2</v>
      </c>
      <c r="K61" s="1589">
        <f t="shared" si="18"/>
        <v>0.27952757009561652</v>
      </c>
      <c r="L61" s="1590">
        <f t="shared" si="18"/>
        <v>0.53247981520922627</v>
      </c>
    </row>
    <row r="63" spans="8:13" ht="12.75" customHeight="1" thickBot="1">
      <c r="I63" s="1624" t="s">
        <v>2734</v>
      </c>
    </row>
    <row r="64" spans="8:13" ht="12.75" customHeight="1" thickBot="1">
      <c r="H64" s="1572"/>
      <c r="I64" s="2777" t="s">
        <v>2722</v>
      </c>
      <c r="J64" s="2778"/>
      <c r="K64" s="2778"/>
      <c r="L64" s="2778"/>
      <c r="M64" s="2779"/>
    </row>
    <row r="65" spans="8:13" ht="36.75" thickBot="1">
      <c r="H65" s="1572"/>
      <c r="I65" s="1591" t="s">
        <v>2723</v>
      </c>
      <c r="J65" s="1592" t="s">
        <v>2724</v>
      </c>
      <c r="K65" s="1592" t="s">
        <v>2725</v>
      </c>
      <c r="L65" s="1592" t="s">
        <v>2726</v>
      </c>
      <c r="M65" s="1607" t="s">
        <v>2727</v>
      </c>
    </row>
    <row r="66" spans="8:13" ht="12.75" customHeight="1">
      <c r="H66" s="1572">
        <v>2021</v>
      </c>
      <c r="I66" s="1593">
        <f>I42*SUM(I57:K57)</f>
        <v>146313.48758629052</v>
      </c>
      <c r="J66" s="1594">
        <v>0.75</v>
      </c>
      <c r="K66" s="1595">
        <f>I42*L57</f>
        <v>166194.86923438642</v>
      </c>
      <c r="L66" s="1594">
        <v>0.55000000000000004</v>
      </c>
      <c r="M66" s="1608">
        <f>(I66*J66+K66*L66)/I42</f>
        <v>0.64363812800068443</v>
      </c>
    </row>
    <row r="67" spans="8:13" ht="12.75" customHeight="1">
      <c r="H67" s="1572">
        <v>2022</v>
      </c>
      <c r="I67" s="1596">
        <f>I43*SUM(I58:K58)</f>
        <v>137148.9587041479</v>
      </c>
      <c r="J67" s="1612">
        <v>0.75</v>
      </c>
      <c r="K67" s="1613">
        <f>I43*L58</f>
        <v>156012.01139178136</v>
      </c>
      <c r="L67" s="1612">
        <v>0.55000000000000004</v>
      </c>
      <c r="M67" s="1609">
        <f>(I67*J67+K67*L67)/I43</f>
        <v>0.64356563300992586</v>
      </c>
    </row>
    <row r="68" spans="8:13" ht="12.75" customHeight="1">
      <c r="H68" s="1572">
        <v>2023</v>
      </c>
      <c r="I68" s="1596">
        <f>I44*SUM(I59:K59)</f>
        <v>137262.27776168543</v>
      </c>
      <c r="J68" s="1612">
        <v>0.75</v>
      </c>
      <c r="K68" s="1613">
        <f>I44*L59</f>
        <v>156062.66235356772</v>
      </c>
      <c r="L68" s="1612">
        <v>0.55000000000000004</v>
      </c>
      <c r="M68" s="1609">
        <f>(I68*J68+K68*L68)/I44</f>
        <v>0.64359059458616252</v>
      </c>
    </row>
    <row r="69" spans="8:13" ht="12.75" customHeight="1">
      <c r="H69" s="1572">
        <v>2024</v>
      </c>
      <c r="I69" s="1596">
        <f>I45*SUM(I60:K60)</f>
        <v>132869.47654606338</v>
      </c>
      <c r="J69" s="1612">
        <v>0.75</v>
      </c>
      <c r="K69" s="1613">
        <f>I45*L60</f>
        <v>151214.64111078955</v>
      </c>
      <c r="L69" s="1612">
        <v>0.55000000000000004</v>
      </c>
      <c r="M69" s="1609">
        <f>(I69*J69+K69*L69)/I45</f>
        <v>0.6435423476975628</v>
      </c>
    </row>
    <row r="70" spans="8:13" ht="12.75" customHeight="1" thickBot="1">
      <c r="H70" s="1572">
        <v>2025</v>
      </c>
      <c r="I70" s="1597">
        <f>I46*SUM(I61:K61)</f>
        <v>130651.75277955541</v>
      </c>
      <c r="J70" s="1598">
        <v>0.75</v>
      </c>
      <c r="K70" s="1599">
        <f>I46*L61</f>
        <v>148805.17128464332</v>
      </c>
      <c r="L70" s="1598">
        <v>0.55000000000000004</v>
      </c>
      <c r="M70" s="1610">
        <f>(I70*J70+K70*L70)/I46</f>
        <v>0.64350403695815472</v>
      </c>
    </row>
  </sheetData>
  <autoFilter ref="A5:X7" xr:uid="{00000000-0009-0000-0000-00001F000000}"/>
  <dataConsolidate/>
  <mergeCells count="16">
    <mergeCell ref="I49:L49"/>
    <mergeCell ref="I64:M64"/>
    <mergeCell ref="I38:K38"/>
    <mergeCell ref="U4:W4"/>
    <mergeCell ref="I2:L2"/>
    <mergeCell ref="I17:J17"/>
    <mergeCell ref="I18:J18"/>
    <mergeCell ref="H12:M12"/>
    <mergeCell ref="H27:I27"/>
    <mergeCell ref="I30:I31"/>
    <mergeCell ref="J30:J31"/>
    <mergeCell ref="A4:G4"/>
    <mergeCell ref="H4:L4"/>
    <mergeCell ref="M4:R4"/>
    <mergeCell ref="H15:L15"/>
    <mergeCell ref="H14:I14"/>
  </mergeCells>
  <phoneticPr fontId="183" type="noConversion"/>
  <hyperlinks>
    <hyperlink ref="H1" location="'Program Measures Summary'!H1" display="Summary Page" xr:uid="{FD19AF75-7579-4414-A007-D4A05F422FA2}"/>
  </hyperlinks>
  <pageMargins left="0.7" right="0.7" top="0.75" bottom="0.75" header="0.3" footer="0.3"/>
  <pageSetup scale="3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83CA"/>
  </sheetPr>
  <dimension ref="A1:J6"/>
  <sheetViews>
    <sheetView showGridLines="0" workbookViewId="0">
      <selection activeCell="A6" sqref="A6"/>
    </sheetView>
  </sheetViews>
  <sheetFormatPr defaultRowHeight="15"/>
  <cols>
    <col min="1" max="1" width="81.42578125" customWidth="1"/>
    <col min="3" max="3" width="70.42578125" customWidth="1"/>
    <col min="4" max="4" width="16.7109375" customWidth="1"/>
  </cols>
  <sheetData>
    <row r="1" spans="1:10" s="1930" customFormat="1" ht="192.75" customHeight="1">
      <c r="A1" s="1928" t="str">
        <f>'Summary Program Measures'!H3</f>
        <v>Puget Sound Energy's 2022-2023 Savings Forecast</v>
      </c>
      <c r="B1" s="1929"/>
      <c r="C1" s="1929"/>
      <c r="D1" s="1929"/>
      <c r="J1" s="1929"/>
    </row>
    <row r="2" spans="1:10">
      <c r="A2" s="1914"/>
    </row>
    <row r="3" spans="1:10" ht="24" customHeight="1">
      <c r="A3" s="1915" t="s">
        <v>847</v>
      </c>
    </row>
    <row r="4" spans="1:10">
      <c r="A4" s="1915" t="s">
        <v>1029</v>
      </c>
    </row>
    <row r="5" spans="1:10">
      <c r="A5" s="1915"/>
    </row>
    <row r="6" spans="1:10">
      <c r="A6" s="1916">
        <v>44421</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filterMode="1">
    <tabColor rgb="FF0083CA"/>
    <pageSetUpPr fitToPage="1"/>
  </sheetPr>
  <dimension ref="A1:AW248"/>
  <sheetViews>
    <sheetView showGridLines="0" topLeftCell="H1" zoomScale="90" zoomScaleNormal="90" workbookViewId="0">
      <selection activeCell="H1" sqref="H1"/>
    </sheetView>
  </sheetViews>
  <sheetFormatPr defaultColWidth="18.7109375" defaultRowHeight="12.75" customHeight="1" outlineLevelCol="1"/>
  <cols>
    <col min="1" max="1" width="24.7109375" style="272" hidden="1" customWidth="1" outlineLevel="1"/>
    <col min="2" max="2" width="6" style="272" hidden="1" customWidth="1" outlineLevel="1"/>
    <col min="3" max="3" width="10" style="273" hidden="1" customWidth="1" outlineLevel="1"/>
    <col min="4" max="4" width="11.7109375" style="273" hidden="1" customWidth="1" outlineLevel="1"/>
    <col min="5" max="5" width="7" style="273" hidden="1" customWidth="1" outlineLevel="1"/>
    <col min="6" max="6" width="10.42578125" style="273" hidden="1" customWidth="1" outlineLevel="1"/>
    <col min="7" max="7" width="25" style="272" hidden="1" customWidth="1" outlineLevel="1"/>
    <col min="8" max="8" width="16.42578125" style="274" customWidth="1" collapsed="1"/>
    <col min="9" max="9" width="30.42578125" style="274" customWidth="1"/>
    <col min="10" max="10" width="32" style="274" customWidth="1"/>
    <col min="11" max="11" width="8.42578125" style="274" customWidth="1"/>
    <col min="12" max="12" width="13.85546875" style="274" customWidth="1"/>
    <col min="13" max="14" width="14.7109375" style="275" customWidth="1"/>
    <col min="15" max="15" width="41.7109375" style="275" customWidth="1"/>
    <col min="16" max="16" width="12.7109375" style="275" customWidth="1"/>
    <col min="17" max="17" width="13.85546875" style="274" customWidth="1"/>
    <col min="18" max="18" width="35.7109375" style="274" customWidth="1"/>
    <col min="19" max="19" width="9.28515625" style="274" customWidth="1"/>
    <col min="20" max="20" width="8.7109375" style="274" customWidth="1"/>
    <col min="21" max="21" width="9" style="274" customWidth="1"/>
    <col min="22" max="22" width="12.28515625" style="276" customWidth="1"/>
    <col min="23" max="31" width="18.7109375" style="274"/>
    <col min="32" max="32" width="24.5703125" style="274" customWidth="1"/>
    <col min="33" max="33" width="13" style="274" customWidth="1"/>
    <col min="34" max="16384" width="18.7109375" style="274"/>
  </cols>
  <sheetData>
    <row r="1" spans="1:22" ht="12.75" customHeight="1">
      <c r="H1" s="168" t="s">
        <v>674</v>
      </c>
      <c r="P1" s="274"/>
      <c r="U1" s="276"/>
      <c r="V1" s="274"/>
    </row>
    <row r="2" spans="1:22" ht="51.6" customHeight="1">
      <c r="H2" s="691" t="str">
        <f>I7&amp;":"</f>
        <v>Luminaire Level Lighting Controls:</v>
      </c>
      <c r="I2" s="2568" t="str">
        <f>INDEX('AMMO Measures'!$I:$I,MATCH(LEFT(H2,LEN(H2)-1),'AMMO Measures'!$B:$B,0))</f>
        <v>The Luminaire Level Lighting Controls (LLLC) initiative works to bring clarity to the controls market by developing best practice specifications for LLLC, aiming to have the technology adopted as standard industry practice by the commercial office lighting market.</v>
      </c>
      <c r="J2" s="2568"/>
      <c r="K2" s="2568"/>
      <c r="L2" s="2568"/>
      <c r="P2" s="274"/>
      <c r="T2" s="733" t="s">
        <v>1117</v>
      </c>
      <c r="U2" s="276"/>
      <c r="V2" s="274"/>
    </row>
    <row r="3" spans="1:22" ht="42.6" customHeight="1">
      <c r="H3" s="691" t="str">
        <f>I8&amp;":"</f>
        <v>Reduced Wattage Lamp Replacement:</v>
      </c>
      <c r="I3" s="2568" t="str">
        <f>INDEX('AMMO Measures'!$I:$I,MATCH(LEFT(H3,LEN(H3)-1),'AMMO Measures'!$B:$B,0))</f>
        <v>Develop an upstream platform with distributors and manufacturers that influences the stocking and sales practices of efficient lighting products that can be leveraged for lighting initiatives.</v>
      </c>
      <c r="J3" s="2568"/>
      <c r="K3" s="2568"/>
      <c r="L3" s="2568"/>
      <c r="P3" s="274"/>
      <c r="T3" s="733" t="s">
        <v>1111</v>
      </c>
      <c r="U3" s="276"/>
      <c r="V3" s="274"/>
    </row>
    <row r="4" spans="1:22" ht="27" customHeight="1">
      <c r="H4" s="275"/>
      <c r="I4" s="275"/>
      <c r="J4" s="275"/>
      <c r="K4" s="275"/>
      <c r="L4" s="275"/>
      <c r="P4" s="274"/>
      <c r="U4" s="276"/>
      <c r="V4" s="274"/>
    </row>
    <row r="5" spans="1:22" s="270" customFormat="1" ht="15.75" customHeight="1">
      <c r="A5" s="2569" t="s">
        <v>131</v>
      </c>
      <c r="B5" s="2570"/>
      <c r="C5" s="2570"/>
      <c r="D5" s="2570"/>
      <c r="E5" s="2570"/>
      <c r="F5" s="2570"/>
      <c r="G5" s="2571"/>
      <c r="H5" s="2816" t="s">
        <v>7</v>
      </c>
      <c r="I5" s="2817"/>
      <c r="J5" s="2817"/>
      <c r="K5" s="2817"/>
      <c r="L5" s="2818"/>
      <c r="M5" s="1553" t="s">
        <v>127</v>
      </c>
      <c r="N5" s="1554"/>
      <c r="O5" s="1554"/>
      <c r="P5" s="1555"/>
      <c r="Q5" s="2572" t="s">
        <v>129</v>
      </c>
      <c r="R5" s="2573"/>
      <c r="S5" s="2587" t="s">
        <v>130</v>
      </c>
      <c r="T5" s="2588"/>
      <c r="U5" s="2589"/>
    </row>
    <row r="6" spans="1:22" customFormat="1" ht="61.5" customHeight="1" thickBot="1">
      <c r="A6" s="487" t="s">
        <v>0</v>
      </c>
      <c r="B6" s="488" t="s">
        <v>11</v>
      </c>
      <c r="C6" s="489" t="s">
        <v>1</v>
      </c>
      <c r="D6" s="489" t="s">
        <v>2</v>
      </c>
      <c r="E6" s="489" t="s">
        <v>211</v>
      </c>
      <c r="F6" s="489" t="s">
        <v>237</v>
      </c>
      <c r="G6" s="490" t="s">
        <v>12</v>
      </c>
      <c r="H6" s="737" t="s">
        <v>3</v>
      </c>
      <c r="I6" s="737" t="s">
        <v>4</v>
      </c>
      <c r="J6" s="737" t="s">
        <v>5</v>
      </c>
      <c r="K6" s="737" t="s">
        <v>6</v>
      </c>
      <c r="L6" s="737" t="s">
        <v>8</v>
      </c>
      <c r="M6" s="738" t="s">
        <v>13</v>
      </c>
      <c r="N6" s="737" t="s">
        <v>14</v>
      </c>
      <c r="O6" s="737" t="s">
        <v>124</v>
      </c>
      <c r="P6" s="1477" t="str">
        <f>"Funder Share: "&amp;Selection!A3&amp;" "&amp;Selection!A4</f>
        <v xml:space="preserve">Funder Share: Washington </v>
      </c>
      <c r="Q6" s="1561" t="s">
        <v>550</v>
      </c>
      <c r="R6" s="739" t="s">
        <v>125</v>
      </c>
      <c r="S6" s="738" t="s">
        <v>126</v>
      </c>
      <c r="T6" s="737" t="s">
        <v>18</v>
      </c>
      <c r="U6" s="2152" t="s">
        <v>17</v>
      </c>
    </row>
    <row r="7" spans="1:22" s="2132" customFormat="1" ht="13.5" thickTop="1">
      <c r="A7" s="741" t="s">
        <v>29</v>
      </c>
      <c r="B7" s="742" t="str">
        <f>LEFT(A7,10)</f>
        <v>COM_201401</v>
      </c>
      <c r="C7" s="742">
        <v>0</v>
      </c>
      <c r="D7" s="742">
        <v>0</v>
      </c>
      <c r="E7" s="742">
        <f t="shared" ref="E7:E16" si="0">COUNTIFS($A:$A,A7,$L:$L,L7)</f>
        <v>1</v>
      </c>
      <c r="F7" s="742">
        <v>1</v>
      </c>
      <c r="G7" s="743" t="b">
        <v>1</v>
      </c>
      <c r="H7" s="2121" t="str">
        <f>IF(LEFT(A7,3)="Res","Residential",IF(LEFT(A7,3)="Ind","industrial",IF(LEFT(A7,3)="Com","Commercial",IF(LEFT(A7,3)="AGR","Agriculture",""))))</f>
        <v>Commercial</v>
      </c>
      <c r="I7" s="2122" t="s">
        <v>142</v>
      </c>
      <c r="J7" s="2122" t="s">
        <v>142</v>
      </c>
      <c r="K7" s="2122" t="s">
        <v>1382</v>
      </c>
      <c r="L7" s="2123">
        <v>2022</v>
      </c>
      <c r="M7" s="2124">
        <f>0.433812631332355*(1-$I$38)</f>
        <v>0.3904313681991195</v>
      </c>
      <c r="N7" s="2125">
        <f>0.303668841932649*(1-$I$38)</f>
        <v>0.27330195773938409</v>
      </c>
      <c r="O7" s="2126" t="s">
        <v>2895</v>
      </c>
      <c r="P7" s="2120">
        <v>0.13985600000000001</v>
      </c>
      <c r="Q7" s="2127">
        <v>8760000</v>
      </c>
      <c r="R7" s="2128" t="s">
        <v>2702</v>
      </c>
      <c r="S7" s="2129">
        <f>M7*P7*Q7/8760000</f>
        <v>5.460416943085606E-2</v>
      </c>
      <c r="T7" s="2130">
        <f>IFERROR(N7*P7*Q7/8760/1000,0)</f>
        <v>3.8222918601599307E-2</v>
      </c>
      <c r="U7" s="2131">
        <f>S7-T7</f>
        <v>1.6381250829256754E-2</v>
      </c>
    </row>
    <row r="8" spans="1:22" s="2132" customFormat="1" ht="12.75" customHeight="1">
      <c r="A8" s="272" t="s">
        <v>30</v>
      </c>
      <c r="B8" s="311" t="str">
        <f t="shared" ref="B8:B9" si="1">LEFT(A8,10)</f>
        <v>COM_201403</v>
      </c>
      <c r="C8" s="311">
        <v>0</v>
      </c>
      <c r="D8" s="311">
        <v>0</v>
      </c>
      <c r="E8" s="311">
        <f t="shared" si="0"/>
        <v>1</v>
      </c>
      <c r="F8" s="311">
        <v>1</v>
      </c>
      <c r="G8" s="312" t="b">
        <v>1</v>
      </c>
      <c r="H8" s="2133" t="str">
        <f t="shared" ref="H8:H9" si="2">IF(LEFT(A8,3)="Res","Residential",IF(LEFT(A8,3)="Ind","industrial",IF(LEFT(A8,3)="Com","Commercial",IF(LEFT(A8,3)="AGR","Agriculture",""))))</f>
        <v>Commercial</v>
      </c>
      <c r="I8" s="2134" t="s">
        <v>143</v>
      </c>
      <c r="J8" s="2134" t="s">
        <v>323</v>
      </c>
      <c r="K8" s="2134" t="s">
        <v>157</v>
      </c>
      <c r="L8" s="2135">
        <v>2022</v>
      </c>
      <c r="M8" s="2136">
        <f>GETPIVOTDATA("Units",'AMMO Units'!$A$3,"Year",$L8,"Measure Index",$A8,"Savings Category","Regional_Market_2021PP")</f>
        <v>621183.41297454003</v>
      </c>
      <c r="N8" s="2137">
        <f>GETPIVOTDATA("Units",'AMMO Units'!$A$3,"Year",$L8,"Measure Index",$A8,"Savings Category","Local_Incentives_2021PP")</f>
        <v>2565</v>
      </c>
      <c r="O8" s="2126" t="s">
        <v>2896</v>
      </c>
      <c r="P8" s="212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2138">
        <f>AG247</f>
        <v>14.519726669825884</v>
      </c>
      <c r="R8" s="2139" t="s">
        <v>2897</v>
      </c>
      <c r="S8" s="2140">
        <f>(M8)*P8*Q8/8760000</f>
        <v>0.14620510254420374</v>
      </c>
      <c r="T8" s="2141">
        <f>IFERROR(N8*P8*Q8/8760/1000,0)</f>
        <v>6.0371233389847957E-4</v>
      </c>
      <c r="U8" s="2142">
        <f>S8-T8</f>
        <v>0.14560139021030527</v>
      </c>
    </row>
    <row r="9" spans="1:22" s="2132" customFormat="1" ht="12.75" customHeight="1">
      <c r="A9" s="272" t="s">
        <v>31</v>
      </c>
      <c r="B9" s="311" t="str">
        <f t="shared" si="1"/>
        <v>COM_201403</v>
      </c>
      <c r="C9" s="311">
        <v>0</v>
      </c>
      <c r="D9" s="311">
        <v>0</v>
      </c>
      <c r="E9" s="311">
        <f t="shared" si="0"/>
        <v>1</v>
      </c>
      <c r="F9" s="311">
        <v>1</v>
      </c>
      <c r="G9" s="312" t="b">
        <v>1</v>
      </c>
      <c r="H9" s="2133" t="str">
        <f t="shared" si="2"/>
        <v>Commercial</v>
      </c>
      <c r="I9" s="2134" t="s">
        <v>143</v>
      </c>
      <c r="J9" s="2134" t="s">
        <v>321</v>
      </c>
      <c r="K9" s="2134" t="s">
        <v>157</v>
      </c>
      <c r="L9" s="2135">
        <v>2022</v>
      </c>
      <c r="M9" s="2136">
        <f>GETPIVOTDATA("Units",'AMMO Units'!$A$3,"Year",$L9,"Measure Index",$A9,"Savings Category","Regional_Market_2021PP")</f>
        <v>36184.47578501</v>
      </c>
      <c r="N9" s="2137">
        <f>GETPIVOTDATA("Units",'AMMO Units'!$A$3,"Year",$L9,"Measure Index",$A9,"Savings Category","Local_Incentives_2021PP")</f>
        <v>26</v>
      </c>
      <c r="O9" s="2126" t="s">
        <v>2896</v>
      </c>
      <c r="P9" s="212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2138">
        <f>AG248</f>
        <v>24.396715512243979</v>
      </c>
      <c r="R9" s="2139" t="s">
        <v>2897</v>
      </c>
      <c r="S9" s="2140">
        <f>(M9)*P9*Q9/8760000</f>
        <v>1.4309942392636181E-2</v>
      </c>
      <c r="T9" s="2141">
        <f>IFERROR(N9*P9*Q9/8760/1000,0)</f>
        <v>1.0282268683927484E-5</v>
      </c>
      <c r="U9" s="2142">
        <f>S9-T9</f>
        <v>1.4299660123952253E-2</v>
      </c>
    </row>
    <row r="10" spans="1:22" s="2147" customFormat="1" ht="15">
      <c r="A10" s="746" t="s">
        <v>29</v>
      </c>
      <c r="B10" s="742" t="str">
        <f t="shared" ref="B10:B12" si="3">LEFT(A10,10)</f>
        <v>COM_201401</v>
      </c>
      <c r="C10" s="742">
        <v>0</v>
      </c>
      <c r="D10" s="742">
        <v>0</v>
      </c>
      <c r="E10" s="742">
        <f t="shared" si="0"/>
        <v>1</v>
      </c>
      <c r="F10" s="742">
        <v>1</v>
      </c>
      <c r="G10" s="743" t="b">
        <v>1</v>
      </c>
      <c r="H10" s="2143" t="str">
        <f>IF(LEFT(A10,3)="Res","Residential",IF(LEFT(A10,3)="Ind","industrial",IF(LEFT(A10,3)="Com","Commercial",IF(LEFT(A10,3)="AGR","Agriculture",""))))</f>
        <v>Commercial</v>
      </c>
      <c r="I10" s="2144" t="s">
        <v>142</v>
      </c>
      <c r="J10" s="2144" t="s">
        <v>142</v>
      </c>
      <c r="K10" s="2144" t="s">
        <v>1382</v>
      </c>
      <c r="L10" s="2135">
        <v>2023</v>
      </c>
      <c r="M10" s="2124">
        <f>0.672162389652639*(1-$I$38)</f>
        <v>0.60494615068737512</v>
      </c>
      <c r="N10" s="2125">
        <f>0.470513672756847*(1-$I$38)</f>
        <v>0.42346230548116232</v>
      </c>
      <c r="O10" s="2126" t="s">
        <v>2895</v>
      </c>
      <c r="P10" s="2120">
        <v>0.13985600000000001</v>
      </c>
      <c r="Q10" s="2145">
        <v>8760000</v>
      </c>
      <c r="R10" s="2146" t="s">
        <v>2702</v>
      </c>
      <c r="S10" s="2140">
        <f>M10*P10*Q10/8760000</f>
        <v>8.4605348850533543E-2</v>
      </c>
      <c r="T10" s="2141">
        <f>IFERROR(N10*P10*Q10/8760/1000,0)</f>
        <v>5.9223744195373441E-2</v>
      </c>
      <c r="U10" s="2142">
        <f t="shared" ref="U10" si="4">S10-T10</f>
        <v>2.5381604655160102E-2</v>
      </c>
    </row>
    <row r="11" spans="1:22" s="2147" customFormat="1" ht="12.75" customHeight="1">
      <c r="A11" s="417" t="s">
        <v>30</v>
      </c>
      <c r="B11" s="311" t="str">
        <f t="shared" si="3"/>
        <v>COM_201403</v>
      </c>
      <c r="C11" s="311">
        <v>0</v>
      </c>
      <c r="D11" s="311">
        <v>0</v>
      </c>
      <c r="E11" s="311">
        <f t="shared" si="0"/>
        <v>1</v>
      </c>
      <c r="F11" s="311">
        <v>1</v>
      </c>
      <c r="G11" s="312" t="b">
        <v>1</v>
      </c>
      <c r="H11" s="2133" t="str">
        <f t="shared" ref="H11:H12" si="5">IF(LEFT(A11,3)="Res","Residential",IF(LEFT(A11,3)="Ind","industrial",IF(LEFT(A11,3)="Com","Commercial",IF(LEFT(A11,3)="AGR","Agriculture",""))))</f>
        <v>Commercial</v>
      </c>
      <c r="I11" s="2134" t="s">
        <v>143</v>
      </c>
      <c r="J11" s="2134" t="s">
        <v>323</v>
      </c>
      <c r="K11" s="2134" t="s">
        <v>157</v>
      </c>
      <c r="L11" s="2135">
        <v>2023</v>
      </c>
      <c r="M11" s="2136">
        <f>GETPIVOTDATA("Units",'AMMO Units'!$A$3,"Year",$L11,"Measure Index",$A11,"Savings Category","Regional_Market_2021PP")</f>
        <v>603238.11437750002</v>
      </c>
      <c r="N11" s="2137">
        <f>GETPIVOTDATA("Units",'AMMO Units'!$A$3,"Year",$L11,"Measure Index",$A11,"Savings Category","Local_Incentives_2021PP")</f>
        <v>2565</v>
      </c>
      <c r="O11" s="2126" t="s">
        <v>2896</v>
      </c>
      <c r="P11" s="2120">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2138">
        <f>$AG$247</f>
        <v>14.519726669825884</v>
      </c>
      <c r="R11" s="2139" t="s">
        <v>2897</v>
      </c>
      <c r="S11" s="2140">
        <f>(M11)*P11*Q11/8760000</f>
        <v>0.14198139958181621</v>
      </c>
      <c r="T11" s="2141">
        <f t="shared" ref="T11" si="6">IFERROR(N11*P11*Q11/8760/1000,0)</f>
        <v>6.0371233389847957E-4</v>
      </c>
      <c r="U11" s="2142">
        <f>S11-T11</f>
        <v>0.14137768724791774</v>
      </c>
    </row>
    <row r="12" spans="1:22" s="2147" customFormat="1" ht="12.75" customHeight="1" thickBot="1">
      <c r="A12" s="421" t="s">
        <v>31</v>
      </c>
      <c r="B12" s="422" t="str">
        <f t="shared" si="3"/>
        <v>COM_201403</v>
      </c>
      <c r="C12" s="422">
        <v>0</v>
      </c>
      <c r="D12" s="422">
        <v>0</v>
      </c>
      <c r="E12" s="422">
        <f t="shared" si="0"/>
        <v>1</v>
      </c>
      <c r="F12" s="422">
        <v>1</v>
      </c>
      <c r="G12" s="423" t="b">
        <v>1</v>
      </c>
      <c r="H12" s="2133" t="str">
        <f t="shared" si="5"/>
        <v>Commercial</v>
      </c>
      <c r="I12" s="2134" t="s">
        <v>143</v>
      </c>
      <c r="J12" s="2134" t="s">
        <v>321</v>
      </c>
      <c r="K12" s="2134" t="s">
        <v>157</v>
      </c>
      <c r="L12" s="2135">
        <v>2023</v>
      </c>
      <c r="M12" s="2136">
        <f>GETPIVOTDATA("Units",'AMMO Units'!$A$3,"Year",$L12,"Measure Index",$A12,"Savings Category","Regional_Market_2021PP")</f>
        <v>35139.146484550001</v>
      </c>
      <c r="N12" s="2137">
        <f>GETPIVOTDATA("Units",'AMMO Units'!$A$3,"Year",$L12,"Measure Index",$A12,"Savings Category","Local_Incentives_2021PP")</f>
        <v>26</v>
      </c>
      <c r="O12" s="2126" t="s">
        <v>2896</v>
      </c>
      <c r="P12" s="2120">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2138">
        <f>$AG$248</f>
        <v>24.396715512243979</v>
      </c>
      <c r="R12" s="2139" t="s">
        <v>2897</v>
      </c>
      <c r="S12" s="2140">
        <f t="shared" ref="S12:S15" si="7">(M12)*P12*Q12/8760000</f>
        <v>1.3896544056847268E-2</v>
      </c>
      <c r="T12" s="2141">
        <f t="shared" ref="T12:T15" si="8">IFERROR(N12*P12*Q12/8760/1000,0)</f>
        <v>1.0282268683927484E-5</v>
      </c>
      <c r="U12" s="2142">
        <f t="shared" ref="U12:U15" si="9">S12-T12</f>
        <v>1.3886261788163341E-2</v>
      </c>
    </row>
    <row r="13" spans="1:22" s="1375" customFormat="1" ht="12.75" hidden="1" customHeight="1">
      <c r="A13" s="272" t="s">
        <v>29</v>
      </c>
      <c r="B13" s="311" t="str">
        <f t="shared" ref="B13:B15" si="10">LEFT(A13,10)</f>
        <v>COM_201401</v>
      </c>
      <c r="C13" s="311">
        <v>0</v>
      </c>
      <c r="D13" s="311">
        <v>0</v>
      </c>
      <c r="E13" s="311">
        <f t="shared" si="0"/>
        <v>1</v>
      </c>
      <c r="F13" s="311">
        <v>1</v>
      </c>
      <c r="G13" s="311" t="b">
        <v>1</v>
      </c>
      <c r="H13" s="361" t="s">
        <v>525</v>
      </c>
      <c r="I13" s="362" t="s">
        <v>142</v>
      </c>
      <c r="J13" s="362" t="s">
        <v>142</v>
      </c>
      <c r="K13" s="362" t="s">
        <v>1382</v>
      </c>
      <c r="L13" s="125">
        <v>2024</v>
      </c>
      <c r="M13" s="353">
        <f>0.722721429296335*(1-$I$38)</f>
        <v>0.65044928636670152</v>
      </c>
      <c r="N13" s="319">
        <f>0.505905000507435*(1-$I$38)</f>
        <v>0.45531450045669153</v>
      </c>
      <c r="O13" s="745" t="s">
        <v>2895</v>
      </c>
      <c r="P13" s="2120">
        <v>0.13985600000000001</v>
      </c>
      <c r="Q13" s="1560">
        <v>8760000</v>
      </c>
      <c r="R13" s="435" t="s">
        <v>2702</v>
      </c>
      <c r="S13" s="852">
        <f t="shared" si="7"/>
        <v>9.0969235394101414E-2</v>
      </c>
      <c r="T13" s="853">
        <f t="shared" si="8"/>
        <v>6.3678464775871052E-2</v>
      </c>
      <c r="U13" s="854">
        <f t="shared" si="9"/>
        <v>2.7290770618230362E-2</v>
      </c>
    </row>
    <row r="14" spans="1:22" s="1375" customFormat="1" ht="12.75" hidden="1" customHeight="1">
      <c r="A14" s="272" t="s">
        <v>30</v>
      </c>
      <c r="B14" s="311" t="str">
        <f t="shared" si="10"/>
        <v>COM_201403</v>
      </c>
      <c r="C14" s="311">
        <v>0</v>
      </c>
      <c r="D14" s="311">
        <v>0</v>
      </c>
      <c r="E14" s="311">
        <f t="shared" si="0"/>
        <v>1</v>
      </c>
      <c r="F14" s="311">
        <v>1</v>
      </c>
      <c r="G14" s="311" t="b">
        <v>1</v>
      </c>
      <c r="H14" s="361" t="s">
        <v>525</v>
      </c>
      <c r="I14" s="362" t="s">
        <v>143</v>
      </c>
      <c r="J14" s="362" t="s">
        <v>323</v>
      </c>
      <c r="K14" s="362" t="s">
        <v>157</v>
      </c>
      <c r="L14" s="125">
        <v>2024</v>
      </c>
      <c r="M14" s="322">
        <f>GETPIVOTDATA("Units",'AMMO Units'!$A$3,"Year",$L14,"Measure Index",$A14,"Savings Category","Regional_Market_2021PP")</f>
        <v>584188.48971293995</v>
      </c>
      <c r="N14" s="323">
        <f>GETPIVOTDATA("Units",'AMMO Units'!$A$3,"Year",$L14,"Measure Index",$A14,"Savings Category","Local_Incentives_2021PP")</f>
        <v>2565</v>
      </c>
      <c r="O14" s="360" t="s">
        <v>2896</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0.14199999999999999</v>
      </c>
      <c r="Q14" s="1882">
        <v>14.519726669825884</v>
      </c>
      <c r="R14" s="126" t="s">
        <v>2897</v>
      </c>
      <c r="S14" s="852">
        <f t="shared" si="7"/>
        <v>0.13749777643712549</v>
      </c>
      <c r="T14" s="853">
        <f t="shared" si="8"/>
        <v>6.0371233389847957E-4</v>
      </c>
      <c r="U14" s="854">
        <f t="shared" si="9"/>
        <v>0.13689406410322702</v>
      </c>
    </row>
    <row r="15" spans="1:22" s="1375" customFormat="1" ht="12.75" hidden="1" customHeight="1">
      <c r="A15" s="272" t="s">
        <v>31</v>
      </c>
      <c r="B15" s="311" t="str">
        <f t="shared" si="10"/>
        <v>COM_201403</v>
      </c>
      <c r="C15" s="311">
        <v>0</v>
      </c>
      <c r="D15" s="311">
        <v>0</v>
      </c>
      <c r="E15" s="311">
        <f t="shared" si="0"/>
        <v>1</v>
      </c>
      <c r="F15" s="311">
        <v>1</v>
      </c>
      <c r="G15" s="311" t="b">
        <v>1</v>
      </c>
      <c r="H15" s="361" t="s">
        <v>525</v>
      </c>
      <c r="I15" s="362" t="s">
        <v>143</v>
      </c>
      <c r="J15" s="362" t="s">
        <v>321</v>
      </c>
      <c r="K15" s="362" t="s">
        <v>157</v>
      </c>
      <c r="L15" s="125">
        <v>2024</v>
      </c>
      <c r="M15" s="322">
        <f>GETPIVOTDATA("Units",'AMMO Units'!$A$3,"Year",$L15,"Measure Index",$A15,"Savings Category","Regional_Market_2021PP")</f>
        <v>34029.489227149999</v>
      </c>
      <c r="N15" s="323">
        <f>GETPIVOTDATA("Units",'AMMO Units'!$A$3,"Year",$L15,"Measure Index",$A15,"Savings Category","Local_Incentives_2021PP")</f>
        <v>26</v>
      </c>
      <c r="O15" s="360" t="s">
        <v>2896</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0.14199999999999999</v>
      </c>
      <c r="Q15" s="1882">
        <v>24.396715512243979</v>
      </c>
      <c r="R15" s="126" t="s">
        <v>2897</v>
      </c>
      <c r="S15" s="852">
        <f t="shared" si="7"/>
        <v>1.345770582347585E-2</v>
      </c>
      <c r="T15" s="853">
        <f t="shared" si="8"/>
        <v>1.0282268683927484E-5</v>
      </c>
      <c r="U15" s="854">
        <f t="shared" si="9"/>
        <v>1.3447423554791922E-2</v>
      </c>
    </row>
    <row r="16" spans="1:22" customFormat="1" ht="12.75" hidden="1" customHeight="1">
      <c r="A16" s="272" t="s">
        <v>29</v>
      </c>
      <c r="B16" s="311" t="str">
        <f t="shared" ref="B16" si="11">LEFT(A16,10)</f>
        <v>COM_201401</v>
      </c>
      <c r="C16" s="311">
        <v>0</v>
      </c>
      <c r="D16" s="311">
        <v>0</v>
      </c>
      <c r="E16" s="311">
        <f t="shared" si="0"/>
        <v>1</v>
      </c>
      <c r="F16" s="311">
        <v>1</v>
      </c>
      <c r="G16" s="311" t="b">
        <v>1</v>
      </c>
      <c r="H16" s="361" t="str">
        <f>IF(LEFT(A16,3)="Res","Residential",IF(LEFT(A16,3)="Ind","industrial",IF(LEFT(A16,3)="Com","Commercial",IF(LEFT(A16,3)="AGR","Agriculture",""))))</f>
        <v>Commercial</v>
      </c>
      <c r="I16" s="362" t="s">
        <v>142</v>
      </c>
      <c r="J16" s="362" t="s">
        <v>142</v>
      </c>
      <c r="K16" s="362" t="s">
        <v>1382</v>
      </c>
      <c r="L16" s="125">
        <v>2025</v>
      </c>
      <c r="M16" s="353">
        <f>0.80816334127089*(1-$I$38)</f>
        <v>0.72734700714380096</v>
      </c>
      <c r="N16" s="319">
        <f>0.565714338889623*(1-$I$38)</f>
        <v>0.50914290500066073</v>
      </c>
      <c r="O16" s="745" t="s">
        <v>2895</v>
      </c>
      <c r="P16" s="2120">
        <v>0.13985600000000001</v>
      </c>
      <c r="Q16" s="1560">
        <v>8760000</v>
      </c>
      <c r="R16" s="435" t="s">
        <v>2702</v>
      </c>
      <c r="S16" s="852">
        <f t="shared" ref="S16" si="12">(M16)*P16*Q16/8760000</f>
        <v>0.10172384303110343</v>
      </c>
      <c r="T16" s="853">
        <f t="shared" ref="T16" si="13">IFERROR(N16*P16*Q16/8760/1000,0)</f>
        <v>7.1206690121772415E-2</v>
      </c>
      <c r="U16" s="854">
        <f t="shared" ref="U16" si="14">S16-T16</f>
        <v>3.0517152909331019E-2</v>
      </c>
      <c r="V16" s="276"/>
    </row>
    <row r="17" spans="1:22" s="1375" customFormat="1" ht="12.75" hidden="1" customHeight="1">
      <c r="A17" s="272" t="s">
        <v>30</v>
      </c>
      <c r="B17" s="272" t="s">
        <v>245</v>
      </c>
      <c r="C17" s="273">
        <v>0</v>
      </c>
      <c r="D17" s="273">
        <v>0</v>
      </c>
      <c r="E17" s="273">
        <v>1</v>
      </c>
      <c r="F17" s="273">
        <v>1</v>
      </c>
      <c r="G17" s="272" t="b">
        <v>1</v>
      </c>
      <c r="H17" s="361" t="s">
        <v>525</v>
      </c>
      <c r="I17" s="362" t="s">
        <v>143</v>
      </c>
      <c r="J17" s="362" t="s">
        <v>323</v>
      </c>
      <c r="K17" s="362" t="s">
        <v>157</v>
      </c>
      <c r="L17" s="125">
        <v>2025</v>
      </c>
      <c r="M17" s="322">
        <f>GETPIVOTDATA("Units",'AMMO Units'!$A$3,"Year",$L17,"Measure Index",$A17,"Savings Category","Regional_Market_2021PP")</f>
        <v>565740.43214306002</v>
      </c>
      <c r="N17" s="323">
        <f>GETPIVOTDATA("Units",'AMMO Units'!$A$3,"Year",$L17,"Measure Index",$A17,"Savings Category","Local_Incentives_2021PP")</f>
        <v>0</v>
      </c>
      <c r="O17" s="745" t="s">
        <v>2896</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0.14199999999999999</v>
      </c>
      <c r="Q17" s="1882">
        <v>14.519726669825884</v>
      </c>
      <c r="R17" s="435" t="s">
        <v>2702</v>
      </c>
      <c r="S17" s="852">
        <f t="shared" ref="S17:S18" si="15">(M17)*P17*Q17/8760000</f>
        <v>0.13315574139174316</v>
      </c>
      <c r="T17" s="853">
        <f t="shared" ref="T17:T18" si="16">IFERROR(N17*P17*Q17/8760/1000,0)</f>
        <v>0</v>
      </c>
      <c r="U17" s="854">
        <f t="shared" ref="U17:U18" si="17">S17-T17</f>
        <v>0.13315574139174316</v>
      </c>
      <c r="V17" s="276"/>
    </row>
    <row r="18" spans="1:22" s="1375" customFormat="1" ht="12.75" hidden="1" customHeight="1">
      <c r="A18" s="272" t="s">
        <v>31</v>
      </c>
      <c r="B18" s="272" t="s">
        <v>245</v>
      </c>
      <c r="C18" s="273">
        <v>0</v>
      </c>
      <c r="D18" s="273">
        <v>0</v>
      </c>
      <c r="E18" s="273">
        <v>1</v>
      </c>
      <c r="F18" s="273">
        <v>1</v>
      </c>
      <c r="G18" s="272" t="b">
        <v>1</v>
      </c>
      <c r="H18" s="361" t="s">
        <v>525</v>
      </c>
      <c r="I18" s="362" t="s">
        <v>143</v>
      </c>
      <c r="J18" s="362" t="s">
        <v>321</v>
      </c>
      <c r="K18" s="362" t="s">
        <v>157</v>
      </c>
      <c r="L18" s="125">
        <v>2025</v>
      </c>
      <c r="M18" s="322">
        <f>GETPIVOTDATA("Units",'AMMO Units'!$A$3,"Year",$L18,"Measure Index",$A18,"Savings Category","Regional_Market_2021PP")</f>
        <v>32954.873777870002</v>
      </c>
      <c r="N18" s="323">
        <f>GETPIVOTDATA("Units",'AMMO Units'!$A$3,"Year",$L18,"Measure Index",$A18,"Savings Category","Local_Incentives_2021PP")</f>
        <v>0</v>
      </c>
      <c r="O18" s="745" t="s">
        <v>2896</v>
      </c>
      <c r="P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0.14199999999999999</v>
      </c>
      <c r="Q18" s="1882">
        <v>24.396715512243979</v>
      </c>
      <c r="R18" s="435" t="s">
        <v>2702</v>
      </c>
      <c r="S18" s="852">
        <f t="shared" si="15"/>
        <v>1.303272563957599E-2</v>
      </c>
      <c r="T18" s="853">
        <f t="shared" si="16"/>
        <v>0</v>
      </c>
      <c r="U18" s="854">
        <f t="shared" si="17"/>
        <v>1.303272563957599E-2</v>
      </c>
      <c r="V18" s="276"/>
    </row>
    <row r="19" spans="1:22" s="1375" customFormat="1" ht="12.75" customHeight="1">
      <c r="A19" s="272"/>
      <c r="B19" s="272"/>
      <c r="C19" s="273"/>
      <c r="D19" s="273"/>
      <c r="E19" s="273"/>
      <c r="F19" s="273"/>
      <c r="G19" s="272"/>
      <c r="H19" s="274"/>
      <c r="I19" s="274"/>
      <c r="J19" s="274"/>
      <c r="K19" s="274"/>
      <c r="L19" s="274"/>
      <c r="M19" s="275"/>
      <c r="N19" s="275"/>
      <c r="O19" s="275"/>
      <c r="P19" s="275"/>
      <c r="Q19" s="274"/>
      <c r="R19" s="274"/>
      <c r="S19" s="274"/>
      <c r="T19" s="274"/>
      <c r="U19" s="274"/>
      <c r="V19" s="276"/>
    </row>
    <row r="20" spans="1:22" customFormat="1" ht="12.75" customHeight="1">
      <c r="A20" s="272"/>
      <c r="B20" s="272"/>
      <c r="C20" s="273"/>
      <c r="D20" s="273"/>
      <c r="E20" s="273"/>
      <c r="F20" s="273"/>
      <c r="G20" s="272"/>
      <c r="H20" s="495" t="s">
        <v>840</v>
      </c>
      <c r="I20" s="274"/>
      <c r="J20" s="274"/>
      <c r="K20" s="274"/>
      <c r="L20" s="274"/>
      <c r="M20" s="274"/>
      <c r="N20" s="275"/>
      <c r="O20" s="275"/>
      <c r="P20" s="275"/>
      <c r="Q20" s="274"/>
      <c r="R20" s="274"/>
      <c r="S20" s="274"/>
      <c r="T20" s="274"/>
      <c r="U20" s="274"/>
      <c r="V20" s="276"/>
    </row>
    <row r="21" spans="1:22" customFormat="1" ht="12.75" customHeight="1">
      <c r="A21" s="272"/>
      <c r="B21" s="272"/>
      <c r="C21" s="273"/>
      <c r="D21" s="273"/>
      <c r="E21" s="273"/>
      <c r="F21" s="273"/>
      <c r="G21" s="272"/>
      <c r="H21" s="1437" t="s">
        <v>1572</v>
      </c>
      <c r="I21" s="274"/>
      <c r="J21" s="274"/>
      <c r="K21" s="274"/>
      <c r="L21" s="274"/>
      <c r="M21" s="275"/>
      <c r="N21" s="275"/>
      <c r="O21" s="275"/>
      <c r="P21" s="275"/>
      <c r="Q21" s="274"/>
      <c r="R21" s="274"/>
      <c r="S21" s="274"/>
      <c r="T21" s="274"/>
      <c r="U21" s="274"/>
      <c r="V21" s="276"/>
    </row>
    <row r="22" spans="1:22" ht="12.75" customHeight="1">
      <c r="H22" s="2807" t="s">
        <v>2598</v>
      </c>
      <c r="I22" s="2808"/>
      <c r="J22" s="2808"/>
      <c r="K22" s="2808"/>
      <c r="L22" s="2808"/>
      <c r="M22" s="2809"/>
    </row>
    <row r="23" spans="1:22" ht="12.75" customHeight="1">
      <c r="H23" s="2810"/>
      <c r="I23" s="2811"/>
      <c r="J23" s="2811"/>
      <c r="K23" s="2811"/>
      <c r="L23" s="2811"/>
      <c r="M23" s="2812"/>
    </row>
    <row r="24" spans="1:22" ht="12.75" hidden="1" customHeight="1">
      <c r="H24" s="2810"/>
      <c r="I24" s="2811"/>
      <c r="J24" s="2811"/>
      <c r="K24" s="2811"/>
      <c r="L24" s="2811"/>
      <c r="M24" s="2812"/>
    </row>
    <row r="25" spans="1:22" ht="12.75" customHeight="1">
      <c r="H25" s="2813"/>
      <c r="I25" s="2814"/>
      <c r="J25" s="2814"/>
      <c r="K25" s="2814"/>
      <c r="L25" s="2814"/>
      <c r="M25" s="2815"/>
    </row>
    <row r="26" spans="1:22" ht="12.75" customHeight="1">
      <c r="H26" s="635"/>
      <c r="I26" s="275"/>
      <c r="J26" s="275"/>
      <c r="K26" s="275"/>
      <c r="L26" s="275"/>
    </row>
    <row r="27" spans="1:22" ht="12.75" customHeight="1">
      <c r="H27" s="635"/>
      <c r="I27" s="275"/>
      <c r="J27" s="275"/>
      <c r="K27" s="275"/>
      <c r="L27" s="275"/>
    </row>
    <row r="28" spans="1:22" ht="12.75" customHeight="1">
      <c r="H28" s="1437" t="s">
        <v>1573</v>
      </c>
      <c r="M28" s="274"/>
    </row>
    <row r="29" spans="1:22" ht="19.5" customHeight="1">
      <c r="H29" s="2807" t="s">
        <v>2708</v>
      </c>
      <c r="I29" s="2808"/>
      <c r="J29" s="2808"/>
      <c r="K29" s="2808"/>
      <c r="L29" s="2808"/>
      <c r="M29" s="2809"/>
    </row>
    <row r="30" spans="1:22" ht="19.5" hidden="1" customHeight="1">
      <c r="H30" s="2810"/>
      <c r="I30" s="2811"/>
      <c r="J30" s="2811"/>
      <c r="K30" s="2811"/>
      <c r="L30" s="2811"/>
      <c r="M30" s="2812"/>
    </row>
    <row r="31" spans="1:22" ht="19.5" customHeight="1">
      <c r="H31" s="2813"/>
      <c r="I31" s="2814"/>
      <c r="J31" s="2814"/>
      <c r="K31" s="2814"/>
      <c r="L31" s="2814"/>
      <c r="M31" s="2815"/>
    </row>
    <row r="32" spans="1:22" ht="12.75" customHeight="1">
      <c r="H32" s="635"/>
    </row>
    <row r="34" spans="1:49" customFormat="1" ht="15.75">
      <c r="A34" s="272"/>
      <c r="B34" s="272"/>
      <c r="C34" s="273"/>
      <c r="D34" s="273"/>
      <c r="E34" s="273"/>
      <c r="F34" s="273"/>
      <c r="G34" s="272"/>
      <c r="H34" s="1857" t="s">
        <v>519</v>
      </c>
      <c r="I34" s="1556"/>
      <c r="J34" s="1556"/>
      <c r="K34" s="1556"/>
      <c r="L34" s="1556"/>
      <c r="M34" s="1556"/>
      <c r="N34" s="1556"/>
      <c r="O34" s="1556"/>
      <c r="P34" s="1556"/>
      <c r="Q34" s="1556"/>
      <c r="R34" s="1556"/>
      <c r="S34" s="1556"/>
      <c r="T34" s="1556"/>
      <c r="U34" s="1556"/>
      <c r="V34" s="1556"/>
      <c r="W34" s="1556"/>
      <c r="X34" s="1556"/>
    </row>
    <row r="35" spans="1:49" ht="12.75" customHeight="1" thickBot="1">
      <c r="H35" s="270"/>
      <c r="I35" s="270"/>
      <c r="J35" s="270"/>
      <c r="K35" s="270"/>
      <c r="L35" s="270"/>
      <c r="M35" s="270"/>
      <c r="N35" s="270"/>
      <c r="O35" s="270"/>
      <c r="P35" s="270"/>
      <c r="Q35" s="270"/>
      <c r="R35" s="270"/>
      <c r="S35" s="270"/>
      <c r="T35" s="270"/>
      <c r="U35" s="270"/>
      <c r="V35" s="270"/>
      <c r="W35" s="270"/>
      <c r="X35" s="270"/>
      <c r="Y35" s="270"/>
      <c r="Z35" s="270"/>
      <c r="AA35" s="270"/>
    </row>
    <row r="36" spans="1:49" ht="12.75" customHeight="1" thickTop="1" thickBot="1">
      <c r="H36" s="270" t="s">
        <v>520</v>
      </c>
      <c r="I36" s="2580" t="s">
        <v>2599</v>
      </c>
      <c r="J36" s="2582"/>
      <c r="K36" s="270"/>
      <c r="L36" s="270"/>
      <c r="M36" s="270"/>
      <c r="N36" s="270"/>
      <c r="O36" s="270"/>
      <c r="P36" s="270"/>
      <c r="Q36" s="270"/>
      <c r="R36" s="270"/>
      <c r="S36" s="270"/>
      <c r="T36" s="270"/>
      <c r="U36" s="270"/>
      <c r="V36" s="270"/>
      <c r="W36" s="270"/>
      <c r="X36" s="270"/>
      <c r="Y36" s="270"/>
      <c r="Z36" s="270"/>
      <c r="AA36" s="270"/>
    </row>
    <row r="37" spans="1:49" ht="12.75" customHeight="1" thickTop="1">
      <c r="I37" s="270" t="s">
        <v>2600</v>
      </c>
      <c r="J37" s="270"/>
      <c r="K37" s="270"/>
      <c r="L37" s="270"/>
      <c r="M37" s="270"/>
      <c r="N37" s="270"/>
      <c r="O37" s="270"/>
      <c r="P37" s="270"/>
      <c r="Q37" s="270"/>
      <c r="R37" s="270"/>
      <c r="S37" s="270"/>
      <c r="T37" s="270"/>
      <c r="U37" s="270"/>
      <c r="V37" s="270"/>
      <c r="W37" s="270"/>
      <c r="X37" s="270"/>
      <c r="Y37" s="270"/>
      <c r="Z37" s="270"/>
      <c r="AA37" s="270"/>
    </row>
    <row r="38" spans="1:49" ht="12.75" customHeight="1">
      <c r="H38" s="270"/>
      <c r="I38" s="1486">
        <v>0.1</v>
      </c>
      <c r="J38" s="1487" t="s">
        <v>2601</v>
      </c>
      <c r="K38" s="270"/>
      <c r="L38" s="270"/>
      <c r="M38" s="270"/>
      <c r="N38" s="270"/>
      <c r="O38" s="270"/>
      <c r="P38" s="270"/>
      <c r="Q38" s="270"/>
      <c r="R38" s="270"/>
      <c r="S38" s="270"/>
      <c r="T38" s="270"/>
      <c r="U38" s="270"/>
      <c r="V38" s="270"/>
      <c r="W38" s="270"/>
      <c r="X38" s="270"/>
      <c r="Y38" s="270"/>
      <c r="Z38" s="270"/>
      <c r="AA38" s="270"/>
    </row>
    <row r="39" spans="1:49" ht="12.75" customHeight="1">
      <c r="H39" s="270"/>
      <c r="I39" s="270"/>
      <c r="J39" s="1487" t="s">
        <v>2602</v>
      </c>
      <c r="K39" s="270"/>
      <c r="L39" s="270"/>
      <c r="M39" s="270"/>
      <c r="N39" s="270"/>
      <c r="O39" s="270"/>
      <c r="P39" s="270"/>
      <c r="Q39" s="270"/>
      <c r="R39" s="270"/>
      <c r="S39" s="270"/>
      <c r="T39" s="270"/>
      <c r="U39" s="270"/>
      <c r="V39" s="270"/>
      <c r="W39" s="270"/>
      <c r="X39" s="270"/>
      <c r="Y39" s="270"/>
      <c r="Z39" s="270"/>
      <c r="AA39" s="270"/>
    </row>
    <row r="40" spans="1:49" ht="12.75" customHeight="1">
      <c r="M40" s="270"/>
      <c r="N40" s="270"/>
      <c r="O40" s="270"/>
      <c r="P40" s="270"/>
      <c r="Q40" s="270"/>
      <c r="R40" s="270"/>
      <c r="S40" s="270"/>
      <c r="T40" s="270"/>
      <c r="U40" s="270"/>
      <c r="V40" s="270"/>
      <c r="W40" s="270"/>
      <c r="X40" s="270"/>
      <c r="Y40" s="270"/>
      <c r="Z40" s="270"/>
      <c r="AA40" s="270"/>
    </row>
    <row r="41" spans="1:49" ht="12.75" customHeight="1">
      <c r="M41" s="270"/>
      <c r="N41" s="270"/>
      <c r="O41" s="270"/>
      <c r="P41" s="270"/>
      <c r="Q41" s="270"/>
      <c r="R41" s="270"/>
      <c r="S41" s="270"/>
      <c r="T41" s="270"/>
      <c r="U41" s="270"/>
      <c r="V41" s="270"/>
      <c r="W41" s="270"/>
      <c r="X41" s="270"/>
      <c r="Y41" s="270"/>
      <c r="Z41" s="270"/>
      <c r="AA41" s="270"/>
    </row>
    <row r="42" spans="1:49" ht="12.75" customHeight="1">
      <c r="H42" s="1857" t="s">
        <v>2603</v>
      </c>
      <c r="I42" s="1556"/>
      <c r="J42" s="1556"/>
      <c r="K42" s="1556"/>
      <c r="L42" s="1556"/>
      <c r="M42" s="1556"/>
      <c r="N42" s="1556"/>
      <c r="O42" s="1556"/>
      <c r="P42" s="1556"/>
      <c r="Q42" s="1556"/>
      <c r="R42" s="1556"/>
      <c r="S42" s="1556"/>
      <c r="T42" s="1556"/>
      <c r="U42" s="1556"/>
      <c r="V42" s="1556"/>
      <c r="W42" s="1556"/>
      <c r="X42" s="1556"/>
      <c r="Y42" s="270"/>
      <c r="Z42" s="270"/>
      <c r="AA42" s="270"/>
    </row>
    <row r="43" spans="1:49" ht="12.75" customHeight="1">
      <c r="H43" s="270"/>
      <c r="I43" s="270"/>
      <c r="J43" s="270"/>
      <c r="K43" s="270"/>
      <c r="L43" s="270"/>
      <c r="M43" s="270"/>
      <c r="N43" s="270"/>
      <c r="O43" s="270"/>
      <c r="P43" s="270"/>
      <c r="Q43" s="270"/>
      <c r="R43" s="270"/>
      <c r="S43" s="270"/>
      <c r="T43" s="270"/>
      <c r="U43" s="270"/>
      <c r="V43" s="270"/>
      <c r="W43" s="270"/>
      <c r="X43" s="270"/>
      <c r="Y43" s="270"/>
      <c r="Z43" s="270"/>
      <c r="AA43" s="270"/>
    </row>
    <row r="44" spans="1:49" s="1566" customFormat="1" ht="16.5" thickBot="1">
      <c r="A44" s="1562"/>
      <c r="B44" s="1562"/>
      <c r="C44" s="1563"/>
      <c r="D44" s="1563"/>
      <c r="E44" s="1563"/>
      <c r="F44" s="1563"/>
      <c r="G44" s="1562"/>
      <c r="H44" s="1564" t="s">
        <v>2632</v>
      </c>
      <c r="I44" s="1565"/>
      <c r="J44" s="1565"/>
      <c r="K44" s="1565"/>
      <c r="L44" s="1565"/>
      <c r="M44" s="1565"/>
      <c r="N44" s="1565"/>
      <c r="O44" s="1565"/>
      <c r="P44" s="1565"/>
      <c r="Q44" s="1565"/>
      <c r="R44" s="1565"/>
      <c r="S44" s="1565"/>
      <c r="T44" s="1565"/>
      <c r="U44" s="1565"/>
      <c r="V44" s="1565"/>
      <c r="W44" s="1565"/>
      <c r="X44" s="1565"/>
      <c r="Z44" s="1564" t="s">
        <v>2604</v>
      </c>
      <c r="AA44" s="1565"/>
      <c r="AB44" s="1565"/>
      <c r="AC44" s="1565"/>
      <c r="AD44" s="1565"/>
      <c r="AE44" s="1565"/>
      <c r="AF44" s="1565"/>
      <c r="AG44" s="1565"/>
      <c r="AH44" s="1565"/>
      <c r="AI44" s="1565"/>
      <c r="AJ44" s="1565"/>
      <c r="AK44" s="1565"/>
      <c r="AL44" s="1565"/>
      <c r="AM44" s="1565"/>
      <c r="AN44" s="1565"/>
      <c r="AO44" s="1565"/>
      <c r="AP44" s="1565"/>
      <c r="AQ44" s="1565"/>
      <c r="AR44" s="1565"/>
      <c r="AS44" s="1565"/>
      <c r="AT44" s="1565"/>
      <c r="AU44" s="1565"/>
      <c r="AV44" s="1565"/>
      <c r="AW44" s="1565"/>
    </row>
    <row r="45" spans="1:49" ht="12.75" customHeight="1" thickTop="1" thickBot="1">
      <c r="H45" s="1502"/>
      <c r="I45" s="270"/>
      <c r="J45" s="270"/>
      <c r="K45" s="270"/>
      <c r="L45" s="270"/>
      <c r="M45" s="270"/>
      <c r="N45" s="270"/>
      <c r="O45" s="270"/>
      <c r="P45" s="270"/>
      <c r="Q45" s="270"/>
      <c r="R45" s="270"/>
      <c r="S45" s="270"/>
      <c r="T45" s="270"/>
      <c r="U45" s="270"/>
      <c r="V45" s="270"/>
      <c r="W45" s="270"/>
      <c r="X45" s="270"/>
      <c r="Z45" s="270" t="s">
        <v>520</v>
      </c>
      <c r="AA45" s="2580" t="s">
        <v>2599</v>
      </c>
      <c r="AB45" s="2582"/>
      <c r="AC45" s="270"/>
      <c r="AD45" s="270"/>
      <c r="AE45" s="270"/>
      <c r="AF45" s="270"/>
      <c r="AG45" s="270"/>
      <c r="AH45" s="270"/>
      <c r="AI45" s="270"/>
      <c r="AJ45" s="270"/>
      <c r="AK45" s="270"/>
      <c r="AL45" s="270"/>
      <c r="AM45" s="270"/>
      <c r="AN45" s="270"/>
      <c r="AO45" s="270"/>
      <c r="AP45" s="270"/>
      <c r="AQ45" s="270"/>
      <c r="AR45" s="270"/>
      <c r="AS45" s="270"/>
    </row>
    <row r="46" spans="1:49" ht="12.75" customHeight="1" thickTop="1" thickBot="1">
      <c r="H46" s="270" t="s">
        <v>520</v>
      </c>
      <c r="I46" s="2580" t="s">
        <v>2633</v>
      </c>
      <c r="J46" s="2582"/>
      <c r="K46" s="752" t="s">
        <v>2634</v>
      </c>
      <c r="L46" s="270"/>
      <c r="M46" s="270"/>
      <c r="N46" s="270"/>
      <c r="O46" s="270"/>
      <c r="P46" s="270"/>
      <c r="Q46" s="270"/>
      <c r="R46" s="270"/>
      <c r="S46" s="270"/>
      <c r="T46" s="270"/>
      <c r="U46" s="270"/>
      <c r="V46" s="270"/>
      <c r="W46" s="270"/>
      <c r="X46" s="270"/>
      <c r="Z46" s="270"/>
      <c r="AA46" s="270"/>
      <c r="AB46" s="270"/>
      <c r="AC46" s="270"/>
      <c r="AD46" s="270"/>
      <c r="AE46" s="270"/>
      <c r="AF46" s="270"/>
      <c r="AG46" s="270"/>
      <c r="AH46" s="270"/>
      <c r="AI46" s="270"/>
      <c r="AJ46" s="270"/>
      <c r="AK46" s="270"/>
      <c r="AL46" s="270"/>
      <c r="AM46" s="270"/>
      <c r="AN46" s="270"/>
      <c r="AO46" s="270"/>
      <c r="AP46" s="270"/>
      <c r="AQ46" s="270"/>
      <c r="AR46" s="270"/>
      <c r="AS46" s="270"/>
    </row>
    <row r="47" spans="1:49" ht="12.75" customHeight="1" thickTop="1" thickBot="1">
      <c r="H47" s="270"/>
      <c r="I47" s="2580" t="s">
        <v>1735</v>
      </c>
      <c r="J47" s="2582"/>
      <c r="K47" s="752" t="s">
        <v>2635</v>
      </c>
      <c r="L47" s="270"/>
      <c r="M47" s="270"/>
      <c r="N47" s="270"/>
      <c r="O47" s="270"/>
      <c r="P47" s="270"/>
      <c r="Q47" s="270"/>
      <c r="R47" s="270"/>
      <c r="S47" s="270"/>
      <c r="T47" s="270"/>
      <c r="U47" s="270"/>
      <c r="V47" s="270"/>
      <c r="W47" s="270"/>
      <c r="X47" s="270"/>
      <c r="Z47" s="270"/>
      <c r="AA47" s="485" t="s">
        <v>2605</v>
      </c>
      <c r="AC47" s="270"/>
      <c r="AD47" s="270"/>
      <c r="AE47" s="270"/>
      <c r="AF47" s="270"/>
      <c r="AG47" s="270"/>
      <c r="AH47" s="270"/>
      <c r="AI47" s="270"/>
      <c r="AJ47" s="270"/>
      <c r="AK47" s="270"/>
      <c r="AL47" s="270"/>
      <c r="AM47" s="270"/>
      <c r="AN47" s="270"/>
      <c r="AO47" s="270"/>
      <c r="AP47" s="270"/>
      <c r="AQ47" s="270"/>
      <c r="AR47" s="270"/>
      <c r="AS47" s="270"/>
    </row>
    <row r="48" spans="1:49" ht="12.75" customHeight="1" thickTop="1">
      <c r="H48" s="270"/>
      <c r="M48" s="274"/>
      <c r="N48" s="274"/>
      <c r="O48" s="274"/>
      <c r="P48" s="274"/>
      <c r="R48" s="270"/>
      <c r="V48" s="274"/>
      <c r="Z48" s="270"/>
      <c r="AA48" s="270" t="s">
        <v>2606</v>
      </c>
      <c r="AB48" s="270"/>
      <c r="AC48" s="270"/>
      <c r="AD48" s="270"/>
      <c r="AE48" s="270"/>
      <c r="AF48" s="270"/>
      <c r="AG48" s="270"/>
      <c r="AH48" s="270"/>
      <c r="AI48" s="270"/>
      <c r="AJ48" s="270"/>
      <c r="AK48" s="270"/>
      <c r="AL48" s="270"/>
      <c r="AM48" s="270"/>
      <c r="AN48" s="270"/>
      <c r="AO48" s="270"/>
      <c r="AP48" s="270"/>
      <c r="AQ48" s="270"/>
      <c r="AR48" s="270"/>
      <c r="AS48" s="270"/>
    </row>
    <row r="49" spans="8:45" ht="12.75" customHeight="1">
      <c r="H49" s="270"/>
      <c r="I49" s="278" t="s">
        <v>1039</v>
      </c>
      <c r="J49" s="270"/>
      <c r="K49" s="270"/>
      <c r="L49" s="270"/>
      <c r="M49" s="270"/>
      <c r="N49" s="274"/>
      <c r="O49" s="274"/>
      <c r="P49" s="274"/>
      <c r="R49" s="270"/>
      <c r="V49" s="274"/>
      <c r="Z49" s="270"/>
      <c r="AA49" s="270"/>
      <c r="AB49" s="270"/>
      <c r="AC49" s="270"/>
      <c r="AD49" s="270"/>
      <c r="AE49" s="270"/>
      <c r="AF49" s="270"/>
      <c r="AG49" s="270"/>
      <c r="AH49" s="270"/>
      <c r="AI49" s="270"/>
      <c r="AJ49" s="270"/>
      <c r="AK49" s="270"/>
      <c r="AL49" s="270"/>
      <c r="AM49" s="270"/>
      <c r="AN49" s="270"/>
      <c r="AO49" s="270"/>
      <c r="AP49" s="270"/>
      <c r="AQ49" s="270"/>
      <c r="AR49" s="270"/>
      <c r="AS49" s="270"/>
    </row>
    <row r="50" spans="8:45" ht="12.75" customHeight="1">
      <c r="H50" s="270"/>
      <c r="I50" s="1375"/>
      <c r="J50" s="1503" t="s">
        <v>1666</v>
      </c>
      <c r="K50" s="1375"/>
      <c r="M50" s="270"/>
      <c r="N50" s="1375" t="s">
        <v>2636</v>
      </c>
      <c r="O50" s="274"/>
      <c r="P50" s="1375"/>
      <c r="R50" s="270"/>
      <c r="V50" s="274"/>
      <c r="Z50" s="270"/>
      <c r="AA50" s="270"/>
      <c r="AB50" s="270"/>
      <c r="AC50" s="270"/>
      <c r="AD50" s="270"/>
      <c r="AE50" s="270"/>
      <c r="AF50" s="270"/>
      <c r="AG50" s="270"/>
      <c r="AH50" s="270"/>
      <c r="AI50" s="270"/>
      <c r="AJ50" s="270"/>
      <c r="AK50" s="270"/>
      <c r="AL50" s="270"/>
      <c r="AM50" s="270"/>
      <c r="AN50" s="270"/>
      <c r="AO50" s="270"/>
      <c r="AP50" s="270"/>
      <c r="AQ50" s="270"/>
      <c r="AR50" s="270"/>
      <c r="AS50" s="270"/>
    </row>
    <row r="51" spans="8:45" ht="12.75" customHeight="1">
      <c r="H51" s="270"/>
      <c r="I51" s="1493" t="s">
        <v>2637</v>
      </c>
      <c r="J51" s="1504" t="s">
        <v>2638</v>
      </c>
      <c r="K51" s="1505" t="s">
        <v>1647</v>
      </c>
      <c r="M51" s="274"/>
      <c r="N51" s="1506" t="s">
        <v>2639</v>
      </c>
      <c r="O51" s="274"/>
      <c r="P51" s="274"/>
      <c r="R51" s="270"/>
      <c r="V51" s="274"/>
      <c r="Z51" s="270"/>
      <c r="AA51" s="278" t="s">
        <v>1039</v>
      </c>
      <c r="AB51" s="270"/>
      <c r="AC51" s="270"/>
      <c r="AD51" s="270"/>
      <c r="AE51" s="270"/>
      <c r="AF51" s="270"/>
    </row>
    <row r="52" spans="8:45" ht="12.75" customHeight="1">
      <c r="H52" s="270"/>
      <c r="I52" s="1375" t="s">
        <v>2640</v>
      </c>
      <c r="J52" s="1507" t="s">
        <v>1648</v>
      </c>
      <c r="K52" s="1508">
        <v>3100</v>
      </c>
      <c r="M52" s="274"/>
      <c r="N52" s="274"/>
      <c r="O52" s="274"/>
      <c r="P52" s="274"/>
      <c r="R52" s="270"/>
      <c r="V52" s="274"/>
      <c r="Z52" s="270"/>
      <c r="AA52" s="503" t="s">
        <v>2607</v>
      </c>
      <c r="AB52" s="270"/>
      <c r="AC52" s="270"/>
      <c r="AD52" s="270"/>
      <c r="AE52" s="270"/>
      <c r="AF52" s="270"/>
    </row>
    <row r="53" spans="8:45" ht="12.75" customHeight="1">
      <c r="H53" s="270"/>
      <c r="I53" s="1375" t="s">
        <v>2641</v>
      </c>
      <c r="J53" s="1507" t="s">
        <v>207</v>
      </c>
      <c r="K53" s="1508">
        <v>2700</v>
      </c>
      <c r="M53" s="274"/>
      <c r="N53" s="274"/>
      <c r="O53" s="274"/>
      <c r="P53" s="274"/>
      <c r="R53" s="270"/>
      <c r="V53" s="274"/>
      <c r="Z53" s="270"/>
      <c r="AA53" s="1488" t="s">
        <v>2608</v>
      </c>
      <c r="AB53" s="1488" t="s">
        <v>2609</v>
      </c>
      <c r="AC53" s="1488" t="s">
        <v>2610</v>
      </c>
      <c r="AD53" s="1488" t="s">
        <v>2611</v>
      </c>
      <c r="AE53" s="1488" t="s">
        <v>2612</v>
      </c>
      <c r="AF53" s="270"/>
    </row>
    <row r="54" spans="8:45" ht="12.75" customHeight="1">
      <c r="H54" s="270"/>
      <c r="I54" s="1375" t="s">
        <v>2642</v>
      </c>
      <c r="J54" s="1507" t="s">
        <v>207</v>
      </c>
      <c r="K54" s="1508">
        <v>2700</v>
      </c>
      <c r="M54" s="274"/>
      <c r="N54" s="274"/>
      <c r="O54" s="274"/>
      <c r="P54" s="274"/>
      <c r="R54" s="270"/>
      <c r="V54" s="274"/>
      <c r="Z54" s="270"/>
      <c r="AA54" s="1489" t="s">
        <v>191</v>
      </c>
      <c r="AB54" s="1490">
        <v>3300</v>
      </c>
      <c r="AC54" s="1491">
        <v>1</v>
      </c>
      <c r="AD54" s="1492">
        <v>0.11551746847244382</v>
      </c>
      <c r="AE54" s="1492">
        <v>0.15261075363619214</v>
      </c>
      <c r="AF54" s="270"/>
    </row>
    <row r="55" spans="8:45" ht="12.75" customHeight="1">
      <c r="H55" s="270"/>
      <c r="I55" s="1375" t="s">
        <v>2643</v>
      </c>
      <c r="J55" s="1507" t="s">
        <v>203</v>
      </c>
      <c r="K55" s="1508">
        <v>4900</v>
      </c>
      <c r="M55" s="274"/>
      <c r="N55" s="274"/>
      <c r="O55" s="274"/>
      <c r="P55" s="274"/>
      <c r="R55" s="270"/>
      <c r="V55" s="274"/>
      <c r="Z55" s="270"/>
      <c r="AA55" s="1489" t="s">
        <v>192</v>
      </c>
      <c r="AB55" s="1490">
        <v>3300</v>
      </c>
      <c r="AC55" s="1491">
        <v>1</v>
      </c>
      <c r="AD55" s="1492">
        <v>5.7969270321839267E-2</v>
      </c>
      <c r="AE55" s="1492">
        <v>0.12155197952398086</v>
      </c>
      <c r="AF55" s="270"/>
    </row>
    <row r="56" spans="8:45" ht="12.75" customHeight="1">
      <c r="H56" s="270"/>
      <c r="I56" s="1375" t="s">
        <v>2644</v>
      </c>
      <c r="J56" s="1507" t="s">
        <v>203</v>
      </c>
      <c r="K56" s="1508">
        <v>4900</v>
      </c>
      <c r="M56" s="274"/>
      <c r="N56" s="274"/>
      <c r="O56" s="274"/>
      <c r="P56" s="274"/>
      <c r="R56" s="270"/>
      <c r="V56" s="274"/>
      <c r="Z56" s="270"/>
      <c r="AA56" s="1489" t="s">
        <v>193</v>
      </c>
      <c r="AB56" s="1490">
        <v>2600</v>
      </c>
      <c r="AC56" s="1491">
        <v>1</v>
      </c>
      <c r="AD56" s="1492">
        <v>5.5949547036080551E-2</v>
      </c>
      <c r="AE56" s="1492">
        <v>3.1873076735729138E-2</v>
      </c>
      <c r="AF56" s="270"/>
    </row>
    <row r="57" spans="8:45" ht="12.75" customHeight="1">
      <c r="H57" s="270"/>
      <c r="I57" s="1375" t="s">
        <v>2645</v>
      </c>
      <c r="J57" s="1507" t="s">
        <v>203</v>
      </c>
      <c r="K57" s="1508">
        <v>4900</v>
      </c>
      <c r="M57" s="274"/>
      <c r="N57" s="274"/>
      <c r="O57" s="274"/>
      <c r="P57" s="274"/>
      <c r="R57" s="270"/>
      <c r="V57" s="274"/>
      <c r="Z57" s="270"/>
      <c r="AA57" s="1489" t="s">
        <v>194</v>
      </c>
      <c r="AB57" s="1490">
        <v>6000</v>
      </c>
      <c r="AC57" s="1491">
        <v>1</v>
      </c>
      <c r="AD57" s="1492">
        <v>4.0663220589019382E-2</v>
      </c>
      <c r="AE57" s="1492">
        <v>2.7093223866576834E-2</v>
      </c>
      <c r="AF57" s="270"/>
    </row>
    <row r="58" spans="8:45" ht="12.75" customHeight="1">
      <c r="H58" s="270"/>
      <c r="I58" s="1375" t="s">
        <v>2646</v>
      </c>
      <c r="J58" s="1507" t="s">
        <v>204</v>
      </c>
      <c r="K58" s="1508">
        <v>3500</v>
      </c>
      <c r="M58" s="274"/>
      <c r="N58" s="274"/>
      <c r="O58" s="274"/>
      <c r="P58" s="274"/>
      <c r="R58" s="270"/>
      <c r="V58" s="274"/>
      <c r="Z58" s="270"/>
      <c r="AA58" s="1489" t="s">
        <v>195</v>
      </c>
      <c r="AB58" s="1490">
        <v>4400</v>
      </c>
      <c r="AC58" s="1491">
        <v>1</v>
      </c>
      <c r="AD58" s="1492">
        <v>6.2263497749660286E-2</v>
      </c>
      <c r="AE58" s="1492">
        <v>1.0953779286063153E-2</v>
      </c>
      <c r="AF58" s="270"/>
    </row>
    <row r="59" spans="8:45" ht="12.75" customHeight="1">
      <c r="H59" s="270"/>
      <c r="I59" s="1375" t="s">
        <v>2647</v>
      </c>
      <c r="J59" s="1507" t="s">
        <v>1649</v>
      </c>
      <c r="K59" s="1508">
        <v>3900</v>
      </c>
      <c r="M59" s="274"/>
      <c r="N59" s="274"/>
      <c r="O59" s="274"/>
      <c r="P59" s="274"/>
      <c r="R59" s="270"/>
      <c r="V59" s="274"/>
      <c r="Z59" s="270"/>
      <c r="AA59" s="1489" t="s">
        <v>196</v>
      </c>
      <c r="AB59" s="1490">
        <v>3900</v>
      </c>
      <c r="AC59" s="1491">
        <v>1</v>
      </c>
      <c r="AD59" s="1492">
        <v>2.7933058590489612E-2</v>
      </c>
      <c r="AE59" s="1492">
        <v>4.1294462764491953E-2</v>
      </c>
      <c r="AF59" s="270"/>
    </row>
    <row r="60" spans="8:45" ht="12.75" customHeight="1">
      <c r="H60" s="270"/>
      <c r="I60" s="1375" t="s">
        <v>2648</v>
      </c>
      <c r="J60" s="1507" t="s">
        <v>1650</v>
      </c>
      <c r="K60" s="1508">
        <v>8766</v>
      </c>
      <c r="M60" s="274"/>
      <c r="N60" s="274"/>
      <c r="O60" s="274"/>
      <c r="P60" s="274"/>
      <c r="R60" s="270"/>
      <c r="V60" s="274"/>
      <c r="Z60" s="270"/>
      <c r="AA60" s="1489" t="s">
        <v>197</v>
      </c>
      <c r="AB60" s="1490">
        <v>2500</v>
      </c>
      <c r="AC60" s="1491">
        <v>1</v>
      </c>
      <c r="AD60" s="1492">
        <v>3.2426459954666656E-2</v>
      </c>
      <c r="AE60" s="1492">
        <v>1.3160631160068171E-2</v>
      </c>
      <c r="AF60" s="270"/>
    </row>
    <row r="61" spans="8:45" ht="12.75" customHeight="1">
      <c r="H61" s="270"/>
      <c r="I61" s="1375" t="s">
        <v>2648</v>
      </c>
      <c r="J61" s="1507" t="s">
        <v>1651</v>
      </c>
      <c r="K61" s="1508">
        <v>4383</v>
      </c>
      <c r="M61" s="274"/>
      <c r="N61" s="274"/>
      <c r="O61" s="274"/>
      <c r="P61" s="274"/>
      <c r="R61" s="270"/>
      <c r="V61" s="274"/>
      <c r="Z61" s="270"/>
      <c r="AA61" s="1489" t="s">
        <v>198</v>
      </c>
      <c r="AB61" s="1490">
        <v>2500</v>
      </c>
      <c r="AC61" s="1491">
        <v>1</v>
      </c>
      <c r="AD61" s="1492">
        <v>7.1760105743193692E-2</v>
      </c>
      <c r="AE61" s="1492">
        <v>3.533265353502487E-2</v>
      </c>
      <c r="AF61" s="270"/>
    </row>
    <row r="62" spans="8:45" ht="12.75" customHeight="1">
      <c r="H62" s="270"/>
      <c r="I62" s="1375" t="s">
        <v>2649</v>
      </c>
      <c r="J62" s="1507" t="s">
        <v>208</v>
      </c>
      <c r="K62" s="1508">
        <v>3800</v>
      </c>
      <c r="M62" s="274"/>
      <c r="N62" s="274"/>
      <c r="O62" s="274"/>
      <c r="P62" s="274"/>
      <c r="R62" s="270"/>
      <c r="V62" s="274"/>
      <c r="Z62" s="270"/>
      <c r="AA62" s="1489" t="s">
        <v>199</v>
      </c>
      <c r="AB62" s="1490">
        <v>2100</v>
      </c>
      <c r="AC62" s="1491">
        <v>1</v>
      </c>
      <c r="AD62" s="1492">
        <v>3.6354624903363365E-2</v>
      </c>
      <c r="AE62" s="1492">
        <v>2.5887995364489866E-2</v>
      </c>
      <c r="AF62" s="270"/>
    </row>
    <row r="63" spans="8:45" ht="12.75" customHeight="1">
      <c r="H63" s="270"/>
      <c r="I63" s="1375" t="s">
        <v>1629</v>
      </c>
      <c r="J63" s="1507" t="s">
        <v>207</v>
      </c>
      <c r="K63" s="1508">
        <v>2700</v>
      </c>
      <c r="M63" s="274"/>
      <c r="N63" s="274"/>
      <c r="O63" s="274"/>
      <c r="P63" s="274"/>
      <c r="R63" s="270"/>
      <c r="V63" s="274"/>
      <c r="Z63" s="270"/>
      <c r="AA63" s="1489" t="s">
        <v>200</v>
      </c>
      <c r="AB63" s="1490">
        <v>2600</v>
      </c>
      <c r="AC63" s="1491">
        <v>1</v>
      </c>
      <c r="AD63" s="1492">
        <v>0.13456188659840437</v>
      </c>
      <c r="AE63" s="1492">
        <v>9.1847866620061974E-2</v>
      </c>
      <c r="AF63" s="270"/>
    </row>
    <row r="64" spans="8:45" ht="12.75" customHeight="1">
      <c r="H64" s="270"/>
      <c r="I64" s="1375" t="s">
        <v>2650</v>
      </c>
      <c r="J64" s="1507" t="s">
        <v>1652</v>
      </c>
      <c r="K64" s="1508">
        <v>4300</v>
      </c>
      <c r="M64" s="274"/>
      <c r="N64" s="274"/>
      <c r="O64" s="274"/>
      <c r="P64" s="274"/>
      <c r="R64" s="270"/>
      <c r="V64" s="274"/>
      <c r="Z64" s="270"/>
      <c r="AA64" s="1489" t="s">
        <v>201</v>
      </c>
      <c r="AB64" s="1490">
        <v>6800</v>
      </c>
      <c r="AC64" s="1491">
        <v>1</v>
      </c>
      <c r="AD64" s="1492">
        <v>1.4557882368086729E-2</v>
      </c>
      <c r="AE64" s="1492">
        <v>5.8587631754657334E-3</v>
      </c>
      <c r="AF64" s="270"/>
    </row>
    <row r="65" spans="8:49" ht="12.75" customHeight="1">
      <c r="H65" s="270"/>
      <c r="I65" s="1375" t="s">
        <v>205</v>
      </c>
      <c r="J65" s="1507" t="s">
        <v>205</v>
      </c>
      <c r="K65" s="1508">
        <v>4200</v>
      </c>
      <c r="M65" s="274"/>
      <c r="N65" s="274"/>
      <c r="O65" s="274"/>
      <c r="P65" s="274"/>
      <c r="R65" s="270"/>
      <c r="V65" s="274"/>
      <c r="Z65" s="270"/>
      <c r="AA65" s="1489" t="s">
        <v>202</v>
      </c>
      <c r="AB65" s="1490">
        <v>7200</v>
      </c>
      <c r="AC65" s="1491">
        <v>1</v>
      </c>
      <c r="AD65" s="1492">
        <v>6.6149190000804768E-3</v>
      </c>
      <c r="AE65" s="1492">
        <v>2.4269428761010299E-3</v>
      </c>
      <c r="AF65" s="270"/>
    </row>
    <row r="66" spans="8:49" ht="12.75" customHeight="1">
      <c r="H66" s="270"/>
      <c r="I66" s="1375" t="s">
        <v>2651</v>
      </c>
      <c r="J66" s="1507" t="s">
        <v>204</v>
      </c>
      <c r="K66" s="1508">
        <v>3500</v>
      </c>
      <c r="M66" s="274"/>
      <c r="N66" s="274"/>
      <c r="O66" s="274"/>
      <c r="P66" s="274"/>
      <c r="R66" s="270"/>
      <c r="V66" s="274"/>
      <c r="Z66" s="270"/>
      <c r="AA66" s="1489" t="s">
        <v>203</v>
      </c>
      <c r="AB66" s="1490">
        <v>4900</v>
      </c>
      <c r="AC66" s="1491">
        <v>1</v>
      </c>
      <c r="AD66" s="1492">
        <v>1.5161819667695611E-2</v>
      </c>
      <c r="AE66" s="1492">
        <v>1.2248774935940078E-2</v>
      </c>
      <c r="AF66" s="270"/>
    </row>
    <row r="67" spans="8:49" ht="12.75" customHeight="1">
      <c r="H67" s="270"/>
      <c r="I67" s="1375" t="s">
        <v>1633</v>
      </c>
      <c r="J67" s="1507" t="s">
        <v>1633</v>
      </c>
      <c r="K67" s="1508">
        <v>3000</v>
      </c>
      <c r="M67" s="274"/>
      <c r="N67" s="274"/>
      <c r="O67" s="274"/>
      <c r="P67" s="274"/>
      <c r="R67" s="270"/>
      <c r="V67" s="274"/>
      <c r="Z67" s="270"/>
      <c r="AA67" s="1489" t="s">
        <v>204</v>
      </c>
      <c r="AB67" s="1490">
        <v>3500</v>
      </c>
      <c r="AC67" s="1491">
        <v>1</v>
      </c>
      <c r="AD67" s="1492">
        <v>5.2307544430137479E-2</v>
      </c>
      <c r="AE67" s="1492">
        <v>2.5805854439286822E-2</v>
      </c>
      <c r="AF67" s="270"/>
    </row>
    <row r="68" spans="8:49" ht="12.75" customHeight="1">
      <c r="H68" s="270"/>
      <c r="I68" s="1509" t="s">
        <v>2652</v>
      </c>
      <c r="J68" s="1507" t="s">
        <v>1653</v>
      </c>
      <c r="K68" s="1508">
        <v>5500</v>
      </c>
      <c r="M68" s="274"/>
      <c r="N68" s="274"/>
      <c r="O68" s="274"/>
      <c r="P68" s="274"/>
      <c r="R68" s="270"/>
      <c r="V68" s="274"/>
      <c r="Z68" s="270"/>
      <c r="AA68" s="1489" t="s">
        <v>205</v>
      </c>
      <c r="AB68" s="1490">
        <v>4200</v>
      </c>
      <c r="AC68" s="1491">
        <v>1</v>
      </c>
      <c r="AD68" s="1492">
        <v>3.2472805735743446E-2</v>
      </c>
      <c r="AE68" s="1492">
        <v>3.7489958792480564E-2</v>
      </c>
      <c r="AF68" s="270"/>
    </row>
    <row r="69" spans="8:49" ht="12.75" customHeight="1">
      <c r="H69" s="270"/>
      <c r="I69" s="1509" t="s">
        <v>2653</v>
      </c>
      <c r="J69" s="1507" t="s">
        <v>1654</v>
      </c>
      <c r="K69" s="1508">
        <v>5500</v>
      </c>
      <c r="M69" s="274"/>
      <c r="N69" s="274"/>
      <c r="O69" s="274"/>
      <c r="P69" s="274"/>
      <c r="R69" s="270"/>
      <c r="V69" s="274"/>
      <c r="Z69" s="270"/>
      <c r="AA69" s="1489" t="s">
        <v>206</v>
      </c>
      <c r="AB69" s="1490">
        <v>5700</v>
      </c>
      <c r="AC69" s="1491">
        <v>1</v>
      </c>
      <c r="AD69" s="1492">
        <v>3.9579357234666046E-2</v>
      </c>
      <c r="AE69" s="1492">
        <v>5.2183843380759376E-2</v>
      </c>
      <c r="AF69" s="270"/>
    </row>
    <row r="70" spans="8:49" ht="12.75" customHeight="1">
      <c r="H70" s="270"/>
      <c r="I70" s="1509" t="s">
        <v>2654</v>
      </c>
      <c r="J70" s="1507" t="s">
        <v>1655</v>
      </c>
      <c r="K70" s="1508">
        <v>7000</v>
      </c>
      <c r="M70" s="274"/>
      <c r="N70" s="274"/>
      <c r="O70" s="274"/>
      <c r="P70" s="274"/>
      <c r="R70" s="270"/>
      <c r="V70" s="274"/>
      <c r="Z70" s="270"/>
      <c r="AA70" s="1489" t="s">
        <v>207</v>
      </c>
      <c r="AB70" s="1490">
        <v>2700</v>
      </c>
      <c r="AC70" s="1491">
        <v>1</v>
      </c>
      <c r="AD70" s="1492">
        <v>0.11105155292285358</v>
      </c>
      <c r="AE70" s="1492">
        <v>0.10159697295517536</v>
      </c>
      <c r="AF70" s="270"/>
    </row>
    <row r="71" spans="8:49" ht="12.75" customHeight="1">
      <c r="H71" s="270"/>
      <c r="I71" s="1375" t="s">
        <v>2655</v>
      </c>
      <c r="J71" s="1507" t="s">
        <v>207</v>
      </c>
      <c r="K71" s="1508">
        <v>2700</v>
      </c>
      <c r="M71" s="274"/>
      <c r="N71" s="274"/>
      <c r="O71" s="274"/>
      <c r="P71" s="274"/>
      <c r="R71" s="270"/>
      <c r="V71" s="274"/>
      <c r="Z71" s="270"/>
      <c r="AA71" s="1489" t="s">
        <v>208</v>
      </c>
      <c r="AB71" s="1490">
        <v>3800</v>
      </c>
      <c r="AC71" s="1491">
        <v>1</v>
      </c>
      <c r="AD71" s="1492">
        <v>9.2854978681575745E-2</v>
      </c>
      <c r="AE71" s="1492">
        <v>0.21078246695211211</v>
      </c>
      <c r="AF71" s="270"/>
    </row>
    <row r="72" spans="8:49" ht="12.75" customHeight="1">
      <c r="H72" s="270"/>
      <c r="I72" s="1375" t="s">
        <v>2656</v>
      </c>
      <c r="J72" s="1507" t="s">
        <v>204</v>
      </c>
      <c r="K72" s="1508">
        <v>3500</v>
      </c>
      <c r="M72" s="274"/>
      <c r="N72" s="274"/>
      <c r="O72" s="274"/>
      <c r="P72" s="274"/>
      <c r="R72" s="270"/>
      <c r="V72" s="274"/>
      <c r="Z72" s="270"/>
      <c r="AA72" s="1489" t="s">
        <v>2613</v>
      </c>
      <c r="AB72" s="1490">
        <f>SUMPRODUCT(AB54:AB71,AD54:AD71)</f>
        <v>3450.1913051382094</v>
      </c>
      <c r="AC72" s="1491">
        <v>1</v>
      </c>
      <c r="AD72" s="1492">
        <v>1</v>
      </c>
      <c r="AE72" s="1492">
        <v>1</v>
      </c>
      <c r="AF72" s="270"/>
    </row>
    <row r="73" spans="8:49" ht="12.75" customHeight="1">
      <c r="H73" s="270"/>
      <c r="I73" s="1375" t="s">
        <v>2657</v>
      </c>
      <c r="J73" s="1507" t="s">
        <v>207</v>
      </c>
      <c r="K73" s="1508">
        <v>2700</v>
      </c>
      <c r="M73" s="274"/>
      <c r="N73" s="274"/>
      <c r="O73" s="274"/>
      <c r="P73" s="274"/>
      <c r="R73" s="270"/>
      <c r="V73" s="274"/>
      <c r="Z73" s="270"/>
      <c r="AA73" s="1489" t="s">
        <v>2614</v>
      </c>
      <c r="AB73" s="1490">
        <f>SUMPRODUCT(AB54:AB71,AE54:AE71)</f>
        <v>3511.6578526168978</v>
      </c>
      <c r="AC73" s="1491">
        <v>1</v>
      </c>
      <c r="AD73" s="1492">
        <v>1</v>
      </c>
      <c r="AE73" s="1492">
        <v>1</v>
      </c>
      <c r="AF73" s="270"/>
    </row>
    <row r="74" spans="8:49" ht="12.75" customHeight="1">
      <c r="H74" s="270"/>
      <c r="I74" s="1375" t="s">
        <v>2658</v>
      </c>
      <c r="J74" s="1507" t="s">
        <v>1656</v>
      </c>
      <c r="K74" s="1508">
        <v>2600</v>
      </c>
      <c r="M74" s="274"/>
      <c r="N74" s="274"/>
      <c r="O74" s="274"/>
      <c r="P74" s="274"/>
      <c r="R74" s="270"/>
      <c r="V74" s="274"/>
      <c r="Z74" s="270"/>
      <c r="AA74" s="270"/>
      <c r="AB74" s="270"/>
      <c r="AC74" s="270"/>
      <c r="AD74" s="270"/>
      <c r="AE74" s="270"/>
      <c r="AF74" s="270"/>
      <c r="AG74" s="270"/>
      <c r="AH74" s="270"/>
      <c r="AI74" s="270"/>
      <c r="AJ74" s="270"/>
      <c r="AK74" s="270"/>
      <c r="AL74" s="270"/>
      <c r="AM74" s="270"/>
      <c r="AN74" s="270"/>
      <c r="AO74" s="270"/>
      <c r="AP74" s="270"/>
      <c r="AQ74" s="270"/>
      <c r="AR74" s="270"/>
      <c r="AS74" s="270"/>
    </row>
    <row r="75" spans="8:49" ht="12.75" customHeight="1">
      <c r="H75" s="270"/>
      <c r="I75" s="1375" t="s">
        <v>2659</v>
      </c>
      <c r="J75" s="1507" t="s">
        <v>1657</v>
      </c>
      <c r="K75" s="1508">
        <v>3300</v>
      </c>
      <c r="M75" s="274"/>
      <c r="N75" s="274"/>
      <c r="O75" s="274"/>
      <c r="P75" s="274"/>
      <c r="R75" s="270"/>
      <c r="V75" s="274"/>
      <c r="Z75" s="270"/>
      <c r="AA75" s="270"/>
      <c r="AB75" s="270"/>
      <c r="AC75" s="270"/>
      <c r="AD75" s="270"/>
      <c r="AE75" s="270"/>
      <c r="AF75" s="270"/>
      <c r="AG75" s="270"/>
      <c r="AH75" s="270"/>
      <c r="AI75" s="270"/>
      <c r="AJ75" s="270"/>
      <c r="AK75" s="270"/>
      <c r="AL75" s="270"/>
      <c r="AM75" s="270"/>
      <c r="AN75" s="270"/>
      <c r="AO75" s="270"/>
      <c r="AP75" s="270"/>
      <c r="AQ75" s="270"/>
      <c r="AR75" s="270"/>
      <c r="AS75" s="270"/>
    </row>
    <row r="76" spans="8:49" ht="12.75" customHeight="1">
      <c r="H76" s="270"/>
      <c r="I76" s="1375" t="s">
        <v>2660</v>
      </c>
      <c r="J76" s="1507" t="s">
        <v>1658</v>
      </c>
      <c r="K76" s="1508">
        <v>3300</v>
      </c>
      <c r="M76" s="274"/>
      <c r="N76" s="274"/>
      <c r="O76" s="274"/>
      <c r="P76" s="274"/>
      <c r="R76" s="270"/>
      <c r="V76" s="274"/>
      <c r="Z76" s="270"/>
      <c r="AA76" s="270"/>
      <c r="AB76" s="270"/>
      <c r="AC76" s="270"/>
      <c r="AD76" s="270"/>
      <c r="AE76" s="270"/>
      <c r="AF76" s="270"/>
      <c r="AG76" s="270"/>
      <c r="AH76" s="270"/>
      <c r="AI76" s="270"/>
      <c r="AJ76" s="270"/>
      <c r="AK76" s="270"/>
      <c r="AL76" s="270"/>
      <c r="AM76" s="270"/>
      <c r="AN76" s="270"/>
      <c r="AO76" s="270"/>
      <c r="AP76" s="270"/>
      <c r="AQ76" s="270"/>
      <c r="AR76" s="270"/>
      <c r="AS76" s="270"/>
    </row>
    <row r="77" spans="8:49" ht="12.75" customHeight="1">
      <c r="H77" s="270"/>
      <c r="I77" s="1375" t="s">
        <v>208</v>
      </c>
      <c r="J77" s="1507" t="s">
        <v>208</v>
      </c>
      <c r="K77" s="1508">
        <v>3800</v>
      </c>
      <c r="M77" s="274"/>
      <c r="N77" s="270"/>
      <c r="O77" s="270"/>
      <c r="P77" s="270"/>
      <c r="Q77" s="270"/>
      <c r="R77" s="270"/>
      <c r="V77" s="274"/>
      <c r="Z77" s="270"/>
      <c r="AA77" s="1493" t="s">
        <v>2615</v>
      </c>
      <c r="AB77" s="270"/>
      <c r="AC77" s="270"/>
      <c r="AD77" s="270"/>
      <c r="AE77" s="270"/>
      <c r="AF77" s="270"/>
      <c r="AG77" s="270"/>
      <c r="AH77" s="270"/>
      <c r="AI77" s="270"/>
      <c r="AJ77" s="270"/>
      <c r="AK77" s="270"/>
      <c r="AL77" s="270"/>
      <c r="AM77" s="1493" t="s">
        <v>2616</v>
      </c>
    </row>
    <row r="78" spans="8:49" ht="12.75" customHeight="1">
      <c r="H78" s="270"/>
      <c r="I78" s="1375" t="s">
        <v>2661</v>
      </c>
      <c r="J78" s="1507" t="s">
        <v>1637</v>
      </c>
      <c r="K78" s="1508">
        <v>6300</v>
      </c>
      <c r="M78" s="274"/>
      <c r="N78" s="270"/>
      <c r="O78" s="270"/>
      <c r="P78" s="270"/>
      <c r="Q78" s="270"/>
      <c r="R78" s="270"/>
      <c r="U78" s="270"/>
      <c r="V78" s="270"/>
      <c r="W78" s="270"/>
      <c r="X78" s="270"/>
      <c r="Z78" s="270"/>
      <c r="AA78" s="1494" t="s">
        <v>2607</v>
      </c>
      <c r="AB78" s="270"/>
      <c r="AC78" s="270"/>
      <c r="AD78" s="270"/>
      <c r="AE78" s="270"/>
      <c r="AF78" s="270"/>
      <c r="AG78" s="270"/>
      <c r="AH78" s="270"/>
      <c r="AI78" s="270"/>
      <c r="AJ78" s="270"/>
      <c r="AK78" s="270"/>
      <c r="AL78" s="270"/>
      <c r="AM78" s="1494" t="s">
        <v>2607</v>
      </c>
    </row>
    <row r="79" spans="8:49" ht="12.75" customHeight="1">
      <c r="H79" s="1375"/>
      <c r="I79" s="1375" t="s">
        <v>2662</v>
      </c>
      <c r="J79" s="1507" t="s">
        <v>208</v>
      </c>
      <c r="K79" s="1508">
        <v>3800</v>
      </c>
      <c r="M79" s="274"/>
      <c r="N79" s="1375"/>
      <c r="O79" s="1375"/>
      <c r="P79" s="1375"/>
      <c r="Q79" s="1375"/>
      <c r="R79" s="1375"/>
      <c r="S79" s="1375"/>
      <c r="T79" s="1375"/>
      <c r="U79" s="1375"/>
      <c r="V79" s="1375"/>
      <c r="W79" s="1375"/>
      <c r="X79" s="1375"/>
      <c r="Z79" s="270"/>
      <c r="AA79" s="1495" t="s">
        <v>2608</v>
      </c>
      <c r="AB79" s="1495" t="s">
        <v>188</v>
      </c>
      <c r="AC79" s="1495" t="s">
        <v>189</v>
      </c>
      <c r="AD79" s="1495" t="s">
        <v>190</v>
      </c>
      <c r="AE79" s="1495" t="s">
        <v>2617</v>
      </c>
      <c r="AF79" s="1495" t="s">
        <v>2618</v>
      </c>
      <c r="AG79" s="1495" t="s">
        <v>2619</v>
      </c>
      <c r="AH79" s="1495" t="s">
        <v>2620</v>
      </c>
      <c r="AI79" s="1495" t="s">
        <v>2621</v>
      </c>
      <c r="AJ79" s="1495" t="s">
        <v>2622</v>
      </c>
      <c r="AK79" s="1495" t="s">
        <v>2623</v>
      </c>
      <c r="AL79" s="270"/>
      <c r="AM79" s="1488" t="s">
        <v>2608</v>
      </c>
      <c r="AN79" s="1488" t="s">
        <v>188</v>
      </c>
      <c r="AO79" s="1488" t="s">
        <v>189</v>
      </c>
      <c r="AP79" s="1488" t="s">
        <v>190</v>
      </c>
      <c r="AQ79" s="1488" t="s">
        <v>2617</v>
      </c>
      <c r="AR79" s="1488" t="s">
        <v>2618</v>
      </c>
      <c r="AS79" s="1488" t="s">
        <v>2619</v>
      </c>
      <c r="AT79" s="1488" t="s">
        <v>2620</v>
      </c>
      <c r="AU79" s="1488" t="s">
        <v>2621</v>
      </c>
      <c r="AV79" s="1488" t="s">
        <v>2622</v>
      </c>
      <c r="AW79" s="1495" t="s">
        <v>2623</v>
      </c>
    </row>
    <row r="80" spans="8:49" ht="12.75" customHeight="1">
      <c r="H80" s="1375"/>
      <c r="I80" s="1375" t="s">
        <v>2663</v>
      </c>
      <c r="J80" s="1507" t="s">
        <v>207</v>
      </c>
      <c r="K80" s="1508">
        <v>2700</v>
      </c>
      <c r="M80" s="274"/>
      <c r="N80" s="1375"/>
      <c r="O80" s="1375"/>
      <c r="P80" s="1375"/>
      <c r="Q80" s="1375"/>
      <c r="R80" s="1375"/>
      <c r="S80" s="1375"/>
      <c r="T80" s="1375"/>
      <c r="U80" s="1375"/>
      <c r="V80" s="1375"/>
      <c r="W80" s="1375"/>
      <c r="X80" s="1375"/>
      <c r="Z80" s="270"/>
      <c r="AA80" s="1492" t="s">
        <v>191</v>
      </c>
      <c r="AB80" s="1492">
        <v>9.379008321141083E-2</v>
      </c>
      <c r="AC80" s="1492">
        <v>0.80872784176745371</v>
      </c>
      <c r="AD80" s="1492">
        <v>9.7482075021135345E-2</v>
      </c>
      <c r="AE80" s="1492">
        <v>0.92464156437246825</v>
      </c>
      <c r="AF80" s="1492">
        <v>1.0878415643724679</v>
      </c>
      <c r="AG80" s="1492">
        <v>1.02</v>
      </c>
      <c r="AH80" s="1492">
        <v>1.0659216863246577</v>
      </c>
      <c r="AI80" s="1496">
        <v>-8.1887999999999996E-3</v>
      </c>
      <c r="AJ80" s="1497">
        <v>-6.6225105506653248E-3</v>
      </c>
      <c r="AK80" s="1492">
        <v>0.15261075363619214</v>
      </c>
      <c r="AL80" s="270"/>
      <c r="AM80" s="1489" t="s">
        <v>191</v>
      </c>
      <c r="AN80" s="1492">
        <v>0.22069064811101055</v>
      </c>
      <c r="AO80" s="1492">
        <v>0.5156636959372366</v>
      </c>
      <c r="AP80" s="1492">
        <v>0.26364565595175282</v>
      </c>
      <c r="AQ80" s="1492">
        <v>0.90457835398799891</v>
      </c>
      <c r="AR80" s="1492">
        <v>1.0677783539879988</v>
      </c>
      <c r="AS80" s="1492">
        <v>1.02</v>
      </c>
      <c r="AT80" s="1492">
        <v>1.0191650847388209</v>
      </c>
      <c r="AU80" s="1497">
        <v>-8.1887999999999996E-3</v>
      </c>
      <c r="AV80" s="1498">
        <v>-4.2226668732908432E-3</v>
      </c>
      <c r="AW80" s="1492">
        <v>0.11551746847244382</v>
      </c>
    </row>
    <row r="81" spans="8:49" ht="12.75" customHeight="1">
      <c r="H81" s="1375"/>
      <c r="I81" s="1375" t="s">
        <v>2664</v>
      </c>
      <c r="J81" s="1507" t="s">
        <v>208</v>
      </c>
      <c r="K81" s="1508">
        <v>3800</v>
      </c>
      <c r="M81" s="274"/>
      <c r="N81" s="1375"/>
      <c r="O81" s="1375"/>
      <c r="P81" s="1375"/>
      <c r="Q81" s="1375"/>
      <c r="R81" s="1375"/>
      <c r="S81" s="1375"/>
      <c r="T81" s="1375"/>
      <c r="U81" s="1375"/>
      <c r="V81" s="1375"/>
      <c r="W81" s="1375"/>
      <c r="X81" s="1375"/>
      <c r="Z81" s="270"/>
      <c r="AA81" s="1492" t="s">
        <v>192</v>
      </c>
      <c r="AB81" s="1492">
        <v>5.7141018201974592E-2</v>
      </c>
      <c r="AC81" s="1492">
        <v>0.93108561158422598</v>
      </c>
      <c r="AD81" s="1492">
        <v>1.1773370213799438E-2</v>
      </c>
      <c r="AE81" s="1492">
        <v>0.92743246202832574</v>
      </c>
      <c r="AF81" s="1492">
        <v>1.0906324620283256</v>
      </c>
      <c r="AG81" s="1492">
        <v>1.02</v>
      </c>
      <c r="AH81" s="1492">
        <v>1.0804754657331919</v>
      </c>
      <c r="AI81" s="1496">
        <v>-8.1887999999999996E-3</v>
      </c>
      <c r="AJ81" s="1497">
        <v>-7.6244738561409096E-3</v>
      </c>
      <c r="AK81" s="1492">
        <v>0.12155197952398086</v>
      </c>
      <c r="AL81" s="270"/>
      <c r="AM81" s="1489" t="s">
        <v>192</v>
      </c>
      <c r="AN81" s="1492">
        <v>0.21187996172605886</v>
      </c>
      <c r="AO81" s="1492">
        <v>0.53499997192568305</v>
      </c>
      <c r="AP81" s="1492">
        <v>0.25312006634825812</v>
      </c>
      <c r="AQ81" s="1492">
        <v>0.92072187100138758</v>
      </c>
      <c r="AR81" s="1492">
        <v>1.0839218710013874</v>
      </c>
      <c r="AS81" s="1492">
        <v>1.02</v>
      </c>
      <c r="AT81" s="1492">
        <v>1.0331631530187186</v>
      </c>
      <c r="AU81" s="1497">
        <v>-8.1887999999999996E-3</v>
      </c>
      <c r="AV81" s="1498">
        <v>-4.3810077701050328E-3</v>
      </c>
      <c r="AW81" s="1492">
        <v>5.7969270321839267E-2</v>
      </c>
    </row>
    <row r="82" spans="8:49" ht="12.75" customHeight="1">
      <c r="H82" s="1375"/>
      <c r="I82" s="1375" t="s">
        <v>2665</v>
      </c>
      <c r="J82" s="1507" t="s">
        <v>1649</v>
      </c>
      <c r="K82" s="1508">
        <v>3900</v>
      </c>
      <c r="L82" s="1375"/>
      <c r="M82" s="1375"/>
      <c r="N82" s="1375"/>
      <c r="O82" s="1375"/>
      <c r="P82" s="1375"/>
      <c r="Q82" s="1375"/>
      <c r="R82" s="1375"/>
      <c r="S82" s="1375"/>
      <c r="T82" s="1375"/>
      <c r="U82" s="1375"/>
      <c r="V82" s="1375"/>
      <c r="W82" s="1375"/>
      <c r="X82" s="1375"/>
      <c r="Z82" s="270"/>
      <c r="AA82" s="1492" t="s">
        <v>193</v>
      </c>
      <c r="AB82" s="1492">
        <v>6.3540893141458221E-2</v>
      </c>
      <c r="AC82" s="1492">
        <v>0.65879042006554966</v>
      </c>
      <c r="AD82" s="1492">
        <v>0.27766868679299217</v>
      </c>
      <c r="AE82" s="1492">
        <v>0.70313295749949067</v>
      </c>
      <c r="AF82" s="1492">
        <v>1.1292662908328239</v>
      </c>
      <c r="AG82" s="1492">
        <v>0.95500000000000007</v>
      </c>
      <c r="AH82" s="1492">
        <v>1.0538011061076413</v>
      </c>
      <c r="AI82" s="1496">
        <v>-2.1381866666666666E-2</v>
      </c>
      <c r="AJ82" s="1497">
        <v>-1.4086168923118907E-2</v>
      </c>
      <c r="AK82" s="1492">
        <v>3.1873076735729138E-2</v>
      </c>
      <c r="AL82" s="270"/>
      <c r="AM82" s="1489" t="s">
        <v>193</v>
      </c>
      <c r="AN82" s="1492">
        <v>0.30376176003561578</v>
      </c>
      <c r="AO82" s="1492">
        <v>0.33335259363937686</v>
      </c>
      <c r="AP82" s="1492">
        <v>0.36288564632500747</v>
      </c>
      <c r="AQ82" s="1492">
        <v>0.69260011261534127</v>
      </c>
      <c r="AR82" s="1492">
        <v>1.1187334459486746</v>
      </c>
      <c r="AS82" s="1492">
        <v>0.95500000000000007</v>
      </c>
      <c r="AT82" s="1492">
        <v>0.92987391724739221</v>
      </c>
      <c r="AU82" s="1497">
        <v>-2.1381866666666666E-2</v>
      </c>
      <c r="AV82" s="1498">
        <v>-7.1277007101846705E-3</v>
      </c>
      <c r="AW82" s="1492">
        <v>5.5949547036080551E-2</v>
      </c>
    </row>
    <row r="83" spans="8:49" ht="12.75" customHeight="1">
      <c r="H83" s="1375"/>
      <c r="I83" s="1375" t="s">
        <v>2666</v>
      </c>
      <c r="J83" s="1507" t="s">
        <v>207</v>
      </c>
      <c r="K83" s="1508">
        <v>2700</v>
      </c>
      <c r="L83" s="1375"/>
      <c r="M83" s="1375"/>
      <c r="N83" s="1375"/>
      <c r="O83" s="1375"/>
      <c r="P83" s="1375"/>
      <c r="Q83" s="1375"/>
      <c r="R83" s="1375"/>
      <c r="S83" s="1375"/>
      <c r="T83" s="1375"/>
      <c r="U83" s="1375"/>
      <c r="V83" s="1375"/>
      <c r="W83" s="1375"/>
      <c r="X83" s="1375"/>
      <c r="Z83" s="270"/>
      <c r="AA83" s="1492" t="s">
        <v>194</v>
      </c>
      <c r="AB83" s="1492">
        <v>0.52114684573848291</v>
      </c>
      <c r="AC83" s="1492">
        <v>0.30364464955032466</v>
      </c>
      <c r="AD83" s="1492">
        <v>0.17520850471119245</v>
      </c>
      <c r="AE83" s="1492">
        <v>0.85735615745151994</v>
      </c>
      <c r="AF83" s="1492">
        <v>1.15655615745152</v>
      </c>
      <c r="AG83" s="1492">
        <v>1.0249999999999999</v>
      </c>
      <c r="AH83" s="1492">
        <v>0.97757926357393488</v>
      </c>
      <c r="AI83" s="1496">
        <v>-1.50128E-2</v>
      </c>
      <c r="AJ83" s="1497">
        <v>-4.5585563947691142E-3</v>
      </c>
      <c r="AK83" s="1492">
        <v>2.7093223866576834E-2</v>
      </c>
      <c r="AL83" s="270"/>
      <c r="AM83" s="1489" t="s">
        <v>194</v>
      </c>
      <c r="AN83" s="1492">
        <v>4.1603710568328359E-2</v>
      </c>
      <c r="AO83" s="1492">
        <v>0.90869487409441452</v>
      </c>
      <c r="AP83" s="1492">
        <v>4.9701415337257152E-2</v>
      </c>
      <c r="AQ83" s="1492">
        <v>0.85080401212348655</v>
      </c>
      <c r="AR83" s="1492">
        <v>1.1500040121234862</v>
      </c>
      <c r="AS83" s="1492">
        <v>1.0249999999999999</v>
      </c>
      <c r="AT83" s="1492">
        <v>1.1313433055960695</v>
      </c>
      <c r="AU83" s="1497">
        <v>-1.50128E-2</v>
      </c>
      <c r="AV83" s="1498">
        <v>-1.3642054405804627E-2</v>
      </c>
      <c r="AW83" s="1492">
        <v>4.0663220589019382E-2</v>
      </c>
    </row>
    <row r="84" spans="8:49" ht="12.75" customHeight="1">
      <c r="H84" s="1375"/>
      <c r="I84" s="1375" t="s">
        <v>2667</v>
      </c>
      <c r="J84" s="1507" t="s">
        <v>1649</v>
      </c>
      <c r="K84" s="1508">
        <v>3900</v>
      </c>
      <c r="L84" s="1375"/>
      <c r="M84" s="1375"/>
      <c r="N84" s="1375"/>
      <c r="O84" s="1375"/>
      <c r="P84" s="1375"/>
      <c r="Q84" s="1375"/>
      <c r="R84" s="1375"/>
      <c r="S84" s="1375"/>
      <c r="T84" s="1375"/>
      <c r="U84" s="1375"/>
      <c r="V84" s="1375"/>
      <c r="W84" s="1375"/>
      <c r="X84" s="1375"/>
      <c r="Z84" s="270"/>
      <c r="AA84" s="1492" t="s">
        <v>195</v>
      </c>
      <c r="AB84" s="1492">
        <v>0.64094486042254439</v>
      </c>
      <c r="AC84" s="1492">
        <v>0.20980203614718312</v>
      </c>
      <c r="AD84" s="1492">
        <v>0.14925310343027248</v>
      </c>
      <c r="AE84" s="1492">
        <v>0.70892672045214944</v>
      </c>
      <c r="AF84" s="1492">
        <v>1.0987933871188158</v>
      </c>
      <c r="AG84" s="1492">
        <v>0.96499999999999986</v>
      </c>
      <c r="AH84" s="1492">
        <v>0.82894127262281558</v>
      </c>
      <c r="AI84" s="1496">
        <v>-1.9562133333333332E-2</v>
      </c>
      <c r="AJ84" s="1497">
        <v>-4.1041754047160157E-3</v>
      </c>
      <c r="AK84" s="1492">
        <v>1.0953779286063153E-2</v>
      </c>
      <c r="AL84" s="270"/>
      <c r="AM84" s="1489" t="s">
        <v>195</v>
      </c>
      <c r="AN84" s="1492">
        <v>0</v>
      </c>
      <c r="AO84" s="1492">
        <v>1</v>
      </c>
      <c r="AP84" s="1492">
        <v>0</v>
      </c>
      <c r="AQ84" s="1492">
        <v>0.74734858139182614</v>
      </c>
      <c r="AR84" s="1492">
        <v>1.1372152480584925</v>
      </c>
      <c r="AS84" s="1492">
        <v>0.96499999999999986</v>
      </c>
      <c r="AT84" s="1492">
        <v>1.1372152480584925</v>
      </c>
      <c r="AU84" s="1497">
        <v>-1.9562133333333332E-2</v>
      </c>
      <c r="AV84" s="1498">
        <v>-1.9562133333333332E-2</v>
      </c>
      <c r="AW84" s="1492">
        <v>6.2263497749660286E-2</v>
      </c>
    </row>
    <row r="85" spans="8:49" ht="12.75" customHeight="1">
      <c r="H85" s="1375"/>
      <c r="I85" s="1375" t="s">
        <v>2668</v>
      </c>
      <c r="J85" s="1507" t="s">
        <v>1659</v>
      </c>
      <c r="K85" s="1508">
        <v>4400</v>
      </c>
      <c r="L85" s="1375"/>
      <c r="M85" s="1375"/>
      <c r="N85" s="1375"/>
      <c r="O85" s="1375"/>
      <c r="P85" s="1375"/>
      <c r="Q85" s="1375"/>
      <c r="R85" s="1375"/>
      <c r="S85" s="1375"/>
      <c r="T85" s="1375"/>
      <c r="U85" s="1375"/>
      <c r="V85" s="1375"/>
      <c r="W85" s="1375"/>
      <c r="X85" s="1375"/>
      <c r="Z85" s="270"/>
      <c r="AA85" s="1492" t="s">
        <v>196</v>
      </c>
      <c r="AB85" s="1492">
        <v>0.56159710090996928</v>
      </c>
      <c r="AC85" s="1492">
        <v>0.42422729730852854</v>
      </c>
      <c r="AD85" s="1492">
        <v>1.4175601781502387E-2</v>
      </c>
      <c r="AE85" s="1492">
        <v>0.71863304264352112</v>
      </c>
      <c r="AF85" s="1492">
        <v>1.0722330426435214</v>
      </c>
      <c r="AG85" s="1492">
        <v>0.92500000000000004</v>
      </c>
      <c r="AH85" s="1492">
        <v>0.8715651907801627</v>
      </c>
      <c r="AI85" s="1496">
        <v>-1.7742399999999998E-2</v>
      </c>
      <c r="AJ85" s="1497">
        <v>-7.5268103997668361E-3</v>
      </c>
      <c r="AK85" s="1492">
        <v>4.1294462764491953E-2</v>
      </c>
      <c r="AL85" s="270"/>
      <c r="AM85" s="1489" t="s">
        <v>196</v>
      </c>
      <c r="AN85" s="1492">
        <v>6.5150627855912913E-2</v>
      </c>
      <c r="AO85" s="1492">
        <v>0.85701789100175707</v>
      </c>
      <c r="AP85" s="1492">
        <v>7.7831481142329989E-2</v>
      </c>
      <c r="AQ85" s="1492">
        <v>0.68828098220470324</v>
      </c>
      <c r="AR85" s="1492">
        <v>1.0418809822047033</v>
      </c>
      <c r="AS85" s="1492">
        <v>0.92500000000000004</v>
      </c>
      <c r="AT85" s="1492">
        <v>1.00974670023249</v>
      </c>
      <c r="AU85" s="1497">
        <v>-1.7742399999999998E-2</v>
      </c>
      <c r="AV85" s="1498">
        <v>-1.5205554229309573E-2</v>
      </c>
      <c r="AW85" s="1492">
        <v>2.7933058590489612E-2</v>
      </c>
    </row>
    <row r="86" spans="8:49" ht="12.75" customHeight="1">
      <c r="H86" s="1375"/>
      <c r="I86" s="1375" t="s">
        <v>2669</v>
      </c>
      <c r="J86" s="1507" t="s">
        <v>1660</v>
      </c>
      <c r="K86" s="1508">
        <v>6000</v>
      </c>
      <c r="L86" s="1375"/>
      <c r="M86" s="1375"/>
      <c r="N86" s="1375"/>
      <c r="O86" s="1375"/>
      <c r="P86" s="1375"/>
      <c r="Q86" s="1375"/>
      <c r="R86" s="1375"/>
      <c r="S86" s="1375"/>
      <c r="T86" s="1375"/>
      <c r="U86" s="1375"/>
      <c r="V86" s="1375"/>
      <c r="W86" s="1375"/>
      <c r="X86" s="1375"/>
      <c r="Z86" s="270"/>
      <c r="AA86" s="1492" t="s">
        <v>197</v>
      </c>
      <c r="AB86" s="1492">
        <v>0.19952525247533903</v>
      </c>
      <c r="AC86" s="1492">
        <v>0.44747439425166918</v>
      </c>
      <c r="AD86" s="1492">
        <v>0.35300035327299167</v>
      </c>
      <c r="AE86" s="1492">
        <v>0.75976868046444901</v>
      </c>
      <c r="AF86" s="1492">
        <v>1.0408353471311158</v>
      </c>
      <c r="AG86" s="1492">
        <v>0.97499999999999987</v>
      </c>
      <c r="AH86" s="1492">
        <v>0.96151554870691303</v>
      </c>
      <c r="AI86" s="1496">
        <v>-1.4102933333333333E-2</v>
      </c>
      <c r="AJ86" s="1497">
        <v>-6.3107015505050072E-3</v>
      </c>
      <c r="AK86" s="1492">
        <v>1.3160631160068171E-2</v>
      </c>
      <c r="AL86" s="270"/>
      <c r="AM86" s="1489" t="s">
        <v>197</v>
      </c>
      <c r="AN86" s="1492">
        <v>0.16071159162747994</v>
      </c>
      <c r="AO86" s="1492">
        <v>0.64729607269201594</v>
      </c>
      <c r="AP86" s="1492">
        <v>0.19199233568050422</v>
      </c>
      <c r="AQ86" s="1492">
        <v>0.77581880028359507</v>
      </c>
      <c r="AR86" s="1492">
        <v>1.0568854669502619</v>
      </c>
      <c r="AS86" s="1492">
        <v>0.97499999999999987</v>
      </c>
      <c r="AT86" s="1492">
        <v>0.99599341353876203</v>
      </c>
      <c r="AU86" s="1497">
        <v>-1.4102933333333333E-2</v>
      </c>
      <c r="AV86" s="1498">
        <v>-9.128773360103988E-3</v>
      </c>
      <c r="AW86" s="1492">
        <v>3.2426459954666656E-2</v>
      </c>
    </row>
    <row r="87" spans="8:49" ht="12.75" customHeight="1">
      <c r="H87" s="1375"/>
      <c r="I87" s="1375" t="s">
        <v>2670</v>
      </c>
      <c r="J87" s="1507" t="s">
        <v>1661</v>
      </c>
      <c r="K87" s="1508">
        <v>2500</v>
      </c>
      <c r="L87" s="1375"/>
      <c r="M87" s="1375"/>
      <c r="N87" s="1375"/>
      <c r="O87" s="1375"/>
      <c r="P87" s="1375"/>
      <c r="Q87" s="1375"/>
      <c r="R87" s="1375"/>
      <c r="S87" s="1375"/>
      <c r="T87" s="1375"/>
      <c r="U87" s="1375"/>
      <c r="V87" s="1375"/>
      <c r="W87" s="1375"/>
      <c r="X87" s="1375"/>
      <c r="Z87" s="270"/>
      <c r="AA87" s="1492" t="s">
        <v>198</v>
      </c>
      <c r="AB87" s="1492">
        <v>0.22286467137317267</v>
      </c>
      <c r="AC87" s="1492">
        <v>0.53090550528653346</v>
      </c>
      <c r="AD87" s="1492">
        <v>0.24622982334029381</v>
      </c>
      <c r="AE87" s="1492">
        <v>0.61612853517840882</v>
      </c>
      <c r="AF87" s="1492">
        <v>1.051328535178409</v>
      </c>
      <c r="AG87" s="1492">
        <v>0.8600000000000001</v>
      </c>
      <c r="AH87" s="1492">
        <v>0.90722703877986732</v>
      </c>
      <c r="AI87" s="1496">
        <v>-2.18368E-2</v>
      </c>
      <c r="AJ87" s="1497">
        <v>-1.1593277337840975E-2</v>
      </c>
      <c r="AK87" s="1492">
        <v>3.533265353502487E-2</v>
      </c>
      <c r="AL87" s="270"/>
      <c r="AM87" s="1489" t="s">
        <v>198</v>
      </c>
      <c r="AN87" s="1492">
        <v>6.2193365516441515E-2</v>
      </c>
      <c r="AO87" s="1492">
        <v>0.86350801427568535</v>
      </c>
      <c r="AP87" s="1492">
        <v>7.4298620207873131E-2</v>
      </c>
      <c r="AQ87" s="1492">
        <v>0.58961830873923127</v>
      </c>
      <c r="AR87" s="1492">
        <v>1.0248183087392313</v>
      </c>
      <c r="AS87" s="1492">
        <v>0.8600000000000001</v>
      </c>
      <c r="AT87" s="1492">
        <v>0.98550598314215598</v>
      </c>
      <c r="AU87" s="1497">
        <v>-2.18368E-2</v>
      </c>
      <c r="AV87" s="1498">
        <v>-1.8856251806135284E-2</v>
      </c>
      <c r="AW87" s="1492">
        <v>7.1760105743193692E-2</v>
      </c>
    </row>
    <row r="88" spans="8:49" ht="12.75" customHeight="1">
      <c r="H88" s="1375"/>
      <c r="I88" s="1375" t="s">
        <v>1662</v>
      </c>
      <c r="J88" s="1507" t="s">
        <v>1662</v>
      </c>
      <c r="K88" s="1508">
        <v>7200</v>
      </c>
      <c r="L88" s="1375"/>
      <c r="M88" s="1375"/>
      <c r="N88" s="1375"/>
      <c r="O88" s="1375"/>
      <c r="P88" s="1375"/>
      <c r="Q88" s="1375"/>
      <c r="R88" s="1375"/>
      <c r="S88" s="1375"/>
      <c r="T88" s="1375"/>
      <c r="U88" s="1375"/>
      <c r="V88" s="1375"/>
      <c r="W88" s="1375"/>
      <c r="X88" s="1375"/>
      <c r="Z88" s="270"/>
      <c r="AA88" s="1492" t="s">
        <v>199</v>
      </c>
      <c r="AB88" s="1492">
        <v>0.15885643507420852</v>
      </c>
      <c r="AC88" s="1492">
        <v>0.73038501205930684</v>
      </c>
      <c r="AD88" s="1492">
        <v>0.1107585528664846</v>
      </c>
      <c r="AE88" s="1492">
        <v>0.6725000000000001</v>
      </c>
      <c r="AF88" s="1492">
        <v>1.0986333333333334</v>
      </c>
      <c r="AG88" s="1492">
        <v>0.95500000000000007</v>
      </c>
      <c r="AH88" s="1492">
        <v>1.0150306909903213</v>
      </c>
      <c r="AI88" s="1496">
        <v>-2.1381866666666666E-2</v>
      </c>
      <c r="AJ88" s="1497">
        <v>-1.5616994943183823E-2</v>
      </c>
      <c r="AK88" s="1492">
        <v>2.5887995364489866E-2</v>
      </c>
      <c r="AL88" s="270"/>
      <c r="AM88" s="1489" t="s">
        <v>199</v>
      </c>
      <c r="AN88" s="1492">
        <v>0.1</v>
      </c>
      <c r="AO88" s="1492">
        <v>0.8</v>
      </c>
      <c r="AP88" s="1492">
        <v>0.1</v>
      </c>
      <c r="AQ88" s="1492">
        <v>0.6725000000000001</v>
      </c>
      <c r="AR88" s="1492">
        <v>1.0986333333333334</v>
      </c>
      <c r="AS88" s="1492">
        <v>0.95500000000000007</v>
      </c>
      <c r="AT88" s="1492">
        <v>1.0416566666666667</v>
      </c>
      <c r="AU88" s="1497">
        <v>-2.1381866666666666E-2</v>
      </c>
      <c r="AV88" s="1498">
        <v>-1.7105493333333333E-2</v>
      </c>
      <c r="AW88" s="1492">
        <v>3.6354624903363365E-2</v>
      </c>
    </row>
    <row r="89" spans="8:49" ht="12.75" customHeight="1">
      <c r="H89" s="1375"/>
      <c r="I89" s="1375" t="s">
        <v>1663</v>
      </c>
      <c r="J89" s="1507" t="s">
        <v>1663</v>
      </c>
      <c r="K89" s="1508">
        <v>6800</v>
      </c>
      <c r="L89" s="1375"/>
      <c r="M89" s="1375"/>
      <c r="N89" s="1375"/>
      <c r="O89" s="1375"/>
      <c r="P89" s="1375"/>
      <c r="Q89" s="1375"/>
      <c r="R89" s="1375"/>
      <c r="S89" s="1375"/>
      <c r="T89" s="1375"/>
      <c r="U89" s="1375"/>
      <c r="V89" s="1375"/>
      <c r="W89" s="1375"/>
      <c r="X89" s="1375"/>
      <c r="Z89" s="270"/>
      <c r="AA89" s="1492" t="s">
        <v>200</v>
      </c>
      <c r="AB89" s="1492">
        <v>0.52114684573848291</v>
      </c>
      <c r="AC89" s="1492">
        <v>0.30364464955032466</v>
      </c>
      <c r="AD89" s="1492">
        <v>0.17520850471119245</v>
      </c>
      <c r="AE89" s="1492">
        <v>0.61</v>
      </c>
      <c r="AF89" s="1492">
        <v>0.96360000000000001</v>
      </c>
      <c r="AG89" s="1492">
        <v>0.80499999999999994</v>
      </c>
      <c r="AH89" s="1492">
        <v>0.7515344064996774</v>
      </c>
      <c r="AI89" s="1496">
        <v>-1.7742399999999998E-2</v>
      </c>
      <c r="AJ89" s="1497">
        <v>-5.3873848301816797E-3</v>
      </c>
      <c r="AK89" s="1492">
        <v>9.1847866620061974E-2</v>
      </c>
      <c r="AL89" s="270"/>
      <c r="AM89" s="1489" t="s">
        <v>200</v>
      </c>
      <c r="AN89" s="1492">
        <v>5.9543317157699324E-2</v>
      </c>
      <c r="AO89" s="1492">
        <v>0.8693239137650699</v>
      </c>
      <c r="AP89" s="1492">
        <v>7.113276907723072E-2</v>
      </c>
      <c r="AQ89" s="1492">
        <v>0.61</v>
      </c>
      <c r="AR89" s="1492">
        <v>0.96360000000000012</v>
      </c>
      <c r="AS89" s="1492">
        <v>0.80499999999999994</v>
      </c>
      <c r="AT89" s="1492">
        <v>0.93126382587738876</v>
      </c>
      <c r="AU89" s="1497">
        <v>-1.7742399999999998E-2</v>
      </c>
      <c r="AV89" s="1498">
        <v>-1.5423892607585374E-2</v>
      </c>
      <c r="AW89" s="1492">
        <v>0.13456188659840437</v>
      </c>
    </row>
    <row r="90" spans="8:49" ht="12.75" customHeight="1">
      <c r="H90" s="1375"/>
      <c r="I90" s="1509" t="s">
        <v>198</v>
      </c>
      <c r="J90" s="1507" t="s">
        <v>198</v>
      </c>
      <c r="K90" s="1508">
        <v>2500</v>
      </c>
      <c r="L90" s="1375"/>
      <c r="M90" s="1375"/>
      <c r="N90" s="1375"/>
      <c r="O90" s="1375"/>
      <c r="P90" s="1375"/>
      <c r="Q90" s="1375"/>
      <c r="R90" s="1375"/>
      <c r="S90" s="1375"/>
      <c r="T90" s="1375"/>
      <c r="U90" s="1375"/>
      <c r="V90" s="1375"/>
      <c r="W90" s="1375"/>
      <c r="X90" s="1375"/>
      <c r="Z90" s="270"/>
      <c r="AA90" s="1492" t="s">
        <v>201</v>
      </c>
      <c r="AB90" s="1492">
        <v>1.5377816133020691E-2</v>
      </c>
      <c r="AC90" s="1492">
        <v>0.88455863187555051</v>
      </c>
      <c r="AD90" s="1492">
        <v>0.1000635519914288</v>
      </c>
      <c r="AE90" s="1492">
        <v>0.85371835595722523</v>
      </c>
      <c r="AF90" s="1492">
        <v>1.0531850226238919</v>
      </c>
      <c r="AG90" s="1492">
        <v>0.9700000000000002</v>
      </c>
      <c r="AH90" s="1492">
        <v>1.0417938720629913</v>
      </c>
      <c r="AI90" s="1496">
        <v>-1.0008533333333333E-2</v>
      </c>
      <c r="AJ90" s="1497">
        <v>-8.8531345524141755E-3</v>
      </c>
      <c r="AK90" s="1492">
        <v>5.8587631754657334E-3</v>
      </c>
      <c r="AL90" s="270"/>
      <c r="AM90" s="1489" t="s">
        <v>201</v>
      </c>
      <c r="AN90" s="1492">
        <v>4.5427666440647281E-2</v>
      </c>
      <c r="AO90" s="1492">
        <v>0.88228764584203367</v>
      </c>
      <c r="AP90" s="1492">
        <v>7.2284687717319038E-2</v>
      </c>
      <c r="AQ90" s="1492">
        <v>0.85155275453545742</v>
      </c>
      <c r="AR90" s="1492">
        <v>1.051019421202124</v>
      </c>
      <c r="AS90" s="1492">
        <v>0.9700000000000002</v>
      </c>
      <c r="AT90" s="1492">
        <v>1.0361016524421294</v>
      </c>
      <c r="AU90" s="1497">
        <v>-1.0008533333333333E-2</v>
      </c>
      <c r="AV90" s="1498">
        <v>-8.8304053129981894E-3</v>
      </c>
      <c r="AW90" s="1492">
        <v>1.4557882368086729E-2</v>
      </c>
    </row>
    <row r="91" spans="8:49" ht="12.75" customHeight="1">
      <c r="H91" s="1375"/>
      <c r="I91" s="1375" t="s">
        <v>2671</v>
      </c>
      <c r="J91" s="1507" t="s">
        <v>207</v>
      </c>
      <c r="K91" s="1508">
        <v>2700</v>
      </c>
      <c r="L91" s="1375"/>
      <c r="M91" s="1375"/>
      <c r="N91" s="1375"/>
      <c r="O91" s="1375"/>
      <c r="P91" s="1375"/>
      <c r="Q91" s="1375"/>
      <c r="R91" s="1375"/>
      <c r="S91" s="1375"/>
      <c r="T91" s="1375"/>
      <c r="U91" s="1375"/>
      <c r="V91" s="1375"/>
      <c r="W91" s="1375"/>
      <c r="X91" s="1375"/>
      <c r="Z91" s="270"/>
      <c r="AA91" s="1492" t="s">
        <v>202</v>
      </c>
      <c r="AB91" s="1492">
        <v>0</v>
      </c>
      <c r="AC91" s="1492">
        <v>0.99620809267302346</v>
      </c>
      <c r="AD91" s="1492">
        <v>3.7919073269764856E-3</v>
      </c>
      <c r="AE91" s="1492">
        <v>0.72741659807956105</v>
      </c>
      <c r="AF91" s="1492">
        <v>1.0810165980795612</v>
      </c>
      <c r="AG91" s="1492">
        <v>0.94500000000000006</v>
      </c>
      <c r="AH91" s="1492">
        <v>1.0805008357447128</v>
      </c>
      <c r="AI91" s="1496">
        <v>-1.7742399999999998E-2</v>
      </c>
      <c r="AJ91" s="1497">
        <v>-1.7675122463441849E-2</v>
      </c>
      <c r="AK91" s="1492">
        <v>2.4269428761010299E-3</v>
      </c>
      <c r="AL91" s="270"/>
      <c r="AM91" s="1489" t="s">
        <v>202</v>
      </c>
      <c r="AN91" s="1492">
        <v>0.20392805668119085</v>
      </c>
      <c r="AO91" s="1492">
        <v>0.47158078960174449</v>
      </c>
      <c r="AP91" s="1492">
        <v>0.32449115371706461</v>
      </c>
      <c r="AQ91" s="1492">
        <v>0.73794885515417397</v>
      </c>
      <c r="AR91" s="1492">
        <v>1.0915488551541741</v>
      </c>
      <c r="AS91" s="1492">
        <v>0.94500000000000006</v>
      </c>
      <c r="AT91" s="1492">
        <v>0.97188608722681202</v>
      </c>
      <c r="AU91" s="1497">
        <v>-1.7742399999999998E-2</v>
      </c>
      <c r="AV91" s="1498">
        <v>-8.3669750014299903E-3</v>
      </c>
      <c r="AW91" s="1492">
        <v>6.6149190000804768E-3</v>
      </c>
    </row>
    <row r="92" spans="8:49" ht="12.75" customHeight="1">
      <c r="H92" s="1375"/>
      <c r="I92" s="1375" t="s">
        <v>2672</v>
      </c>
      <c r="J92" s="1507" t="s">
        <v>207</v>
      </c>
      <c r="K92" s="1508">
        <v>2700</v>
      </c>
      <c r="L92" s="1375"/>
      <c r="M92" s="1375"/>
      <c r="N92" s="1375"/>
      <c r="O92" s="1375"/>
      <c r="P92" s="1375"/>
      <c r="Q92" s="1375"/>
      <c r="R92" s="1375"/>
      <c r="S92" s="1375"/>
      <c r="T92" s="1375"/>
      <c r="U92" s="1375"/>
      <c r="V92" s="1375"/>
      <c r="W92" s="1375"/>
      <c r="X92" s="1375"/>
      <c r="Z92" s="270"/>
      <c r="AA92" s="1492" t="s">
        <v>203</v>
      </c>
      <c r="AB92" s="1492">
        <v>5.5212362541074519E-2</v>
      </c>
      <c r="AC92" s="1492">
        <v>0.88366906107173016</v>
      </c>
      <c r="AD92" s="1492">
        <v>6.1118576387195395E-2</v>
      </c>
      <c r="AE92" s="1492">
        <v>0.42999999950248563</v>
      </c>
      <c r="AF92" s="1492">
        <v>0.96493333283581861</v>
      </c>
      <c r="AG92" s="1492">
        <v>0.72500000000000009</v>
      </c>
      <c r="AH92" s="1492">
        <v>0.92073401596975291</v>
      </c>
      <c r="AI92" s="1496">
        <v>-2.6841066666666667E-2</v>
      </c>
      <c r="AJ92" s="1497">
        <v>-2.3718620179497048E-2</v>
      </c>
      <c r="AK92" s="1492">
        <v>1.2248774935940078E-2</v>
      </c>
      <c r="AL92" s="270"/>
      <c r="AM92" s="1489" t="s">
        <v>203</v>
      </c>
      <c r="AN92" s="1492">
        <v>9.3741517360656335E-2</v>
      </c>
      <c r="AO92" s="1492">
        <v>0.79427120974850918</v>
      </c>
      <c r="AP92" s="1492">
        <v>0.11198727289083449</v>
      </c>
      <c r="AQ92" s="1492">
        <v>0.4291621128262455</v>
      </c>
      <c r="AR92" s="1492">
        <v>0.96409544615957854</v>
      </c>
      <c r="AS92" s="1492">
        <v>0.72500000000000009</v>
      </c>
      <c r="AT92" s="1492">
        <v>0.8871743368300895</v>
      </c>
      <c r="AU92" s="1497">
        <v>-2.6841066666666667E-2</v>
      </c>
      <c r="AV92" s="1498">
        <v>-2.1319086492273719E-2</v>
      </c>
      <c r="AW92" s="1492">
        <v>1.5161819667695611E-2</v>
      </c>
    </row>
    <row r="93" spans="8:49" ht="12.75" customHeight="1">
      <c r="H93" s="1375"/>
      <c r="I93" s="1375" t="s">
        <v>2673</v>
      </c>
      <c r="J93" s="1507" t="s">
        <v>1648</v>
      </c>
      <c r="K93" s="1508">
        <v>3100</v>
      </c>
      <c r="L93" s="1375"/>
      <c r="M93" s="1375"/>
      <c r="N93" s="1375"/>
      <c r="O93" s="1375"/>
      <c r="P93" s="1375"/>
      <c r="Q93" s="1375"/>
      <c r="R93" s="1375"/>
      <c r="S93" s="1375"/>
      <c r="T93" s="1375"/>
      <c r="U93" s="1375"/>
      <c r="V93" s="1375"/>
      <c r="W93" s="1375"/>
      <c r="X93" s="1375"/>
      <c r="Z93" s="270"/>
      <c r="AA93" s="1492" t="s">
        <v>204</v>
      </c>
      <c r="AB93" s="1492">
        <v>0.34342063041492848</v>
      </c>
      <c r="AC93" s="1492">
        <v>0.53617368361870132</v>
      </c>
      <c r="AD93" s="1492">
        <v>0.12040568596637012</v>
      </c>
      <c r="AE93" s="1492">
        <v>0.69443885908037739</v>
      </c>
      <c r="AF93" s="1492">
        <v>1.0571055257470443</v>
      </c>
      <c r="AG93" s="1492">
        <v>0.90000000000000013</v>
      </c>
      <c r="AH93" s="1492">
        <v>0.91364191185321664</v>
      </c>
      <c r="AI93" s="1496">
        <v>-1.8197333333333333E-2</v>
      </c>
      <c r="AJ93" s="1497">
        <v>-9.7569312453707133E-3</v>
      </c>
      <c r="AK93" s="1492">
        <v>2.5805854439286822E-2</v>
      </c>
      <c r="AL93" s="270"/>
      <c r="AM93" s="1489" t="s">
        <v>204</v>
      </c>
      <c r="AN93" s="1492">
        <v>0.37375847463011663</v>
      </c>
      <c r="AO93" s="1492">
        <v>0.17973507367005076</v>
      </c>
      <c r="AP93" s="1492">
        <v>0.44650645169983255</v>
      </c>
      <c r="AQ93" s="1492">
        <v>0.68264459114012044</v>
      </c>
      <c r="AR93" s="1492">
        <v>1.0453112578067871</v>
      </c>
      <c r="AS93" s="1492">
        <v>0.90000000000000013</v>
      </c>
      <c r="AT93" s="1492">
        <v>0.84487910355891671</v>
      </c>
      <c r="AU93" s="1497">
        <v>-1.8197333333333333E-2</v>
      </c>
      <c r="AV93" s="1498">
        <v>-3.2706990472651369E-3</v>
      </c>
      <c r="AW93" s="1492">
        <v>5.2307544430137479E-2</v>
      </c>
    </row>
    <row r="94" spans="8:49" ht="12.75" customHeight="1">
      <c r="H94" s="1375"/>
      <c r="I94" s="1509" t="s">
        <v>199</v>
      </c>
      <c r="J94" s="1507" t="s">
        <v>1664</v>
      </c>
      <c r="K94" s="1508">
        <v>2100</v>
      </c>
      <c r="L94" s="1375"/>
      <c r="M94" s="1375"/>
      <c r="N94" s="1375"/>
      <c r="O94" s="1375"/>
      <c r="P94" s="1375"/>
      <c r="Q94" s="1375"/>
      <c r="R94" s="1375"/>
      <c r="S94" s="1375"/>
      <c r="T94" s="1375"/>
      <c r="U94" s="1375"/>
      <c r="V94" s="1375"/>
      <c r="W94" s="1375"/>
      <c r="X94" s="1375"/>
      <c r="Z94" s="270"/>
      <c r="AA94" s="1492" t="s">
        <v>205</v>
      </c>
      <c r="AB94" s="1492">
        <v>0.10311447532768504</v>
      </c>
      <c r="AC94" s="1492">
        <v>0.74192623135844471</v>
      </c>
      <c r="AD94" s="1492">
        <v>0.15495929331387026</v>
      </c>
      <c r="AE94" s="1492">
        <v>0.28950000000000004</v>
      </c>
      <c r="AF94" s="1492">
        <v>0.94230000000000003</v>
      </c>
      <c r="AG94" s="1492">
        <v>0.64999999999999991</v>
      </c>
      <c r="AH94" s="1492">
        <v>0.82969226907044291</v>
      </c>
      <c r="AI94" s="1496">
        <v>-3.2755199999999998E-2</v>
      </c>
      <c r="AJ94" s="1497">
        <v>-2.4301942093392127E-2</v>
      </c>
      <c r="AK94" s="1492">
        <v>3.7489958792480564E-2</v>
      </c>
      <c r="AL94" s="270"/>
      <c r="AM94" s="1489" t="s">
        <v>205</v>
      </c>
      <c r="AN94" s="1492">
        <v>0.08</v>
      </c>
      <c r="AO94" s="1492">
        <v>0.91</v>
      </c>
      <c r="AP94" s="1492">
        <v>0.01</v>
      </c>
      <c r="AQ94" s="1492">
        <v>0.28950000000000004</v>
      </c>
      <c r="AR94" s="1492">
        <v>0.94230000000000003</v>
      </c>
      <c r="AS94" s="1492">
        <v>0.64999999999999991</v>
      </c>
      <c r="AT94" s="1492">
        <v>0.88715299999999997</v>
      </c>
      <c r="AU94" s="1497">
        <v>-3.2755199999999998E-2</v>
      </c>
      <c r="AV94" s="1498">
        <v>-2.9807231999999999E-2</v>
      </c>
      <c r="AW94" s="1492">
        <v>3.2472805735743446E-2</v>
      </c>
    </row>
    <row r="95" spans="8:49" ht="12.75" customHeight="1">
      <c r="H95" s="1375"/>
      <c r="I95" s="1375" t="s">
        <v>200</v>
      </c>
      <c r="J95" s="1507" t="s">
        <v>200</v>
      </c>
      <c r="K95" s="1508">
        <v>2600</v>
      </c>
      <c r="L95" s="1375"/>
      <c r="M95" s="1375"/>
      <c r="N95" s="1375"/>
      <c r="O95" s="1375"/>
      <c r="P95" s="1375"/>
      <c r="Q95" s="1375"/>
      <c r="R95" s="1375"/>
      <c r="S95" s="1375"/>
      <c r="T95" s="1375"/>
      <c r="U95" s="1375"/>
      <c r="V95" s="1375"/>
      <c r="W95" s="1375"/>
      <c r="X95" s="1375"/>
      <c r="Z95" s="270"/>
      <c r="AA95" s="1492" t="s">
        <v>206</v>
      </c>
      <c r="AB95" s="1492">
        <v>5.6083613809662864E-3</v>
      </c>
      <c r="AC95" s="1492">
        <v>0.98575716289794368</v>
      </c>
      <c r="AD95" s="1492">
        <v>8.6344757210899958E-3</v>
      </c>
      <c r="AE95" s="1492">
        <v>0.68423386600487623</v>
      </c>
      <c r="AF95" s="1492">
        <v>1.0469005326715428</v>
      </c>
      <c r="AG95" s="1492">
        <v>0.90000000000000013</v>
      </c>
      <c r="AH95" s="1492">
        <v>1.0435981578612779</v>
      </c>
      <c r="AI95" s="1496">
        <v>-1.8197333333333333E-2</v>
      </c>
      <c r="AJ95" s="1497">
        <v>-1.7938151678974848E-2</v>
      </c>
      <c r="AK95" s="1492">
        <v>5.2183843380759376E-2</v>
      </c>
      <c r="AL95" s="270"/>
      <c r="AM95" s="1489" t="s">
        <v>206</v>
      </c>
      <c r="AN95" s="1492">
        <v>0.31821272614516344</v>
      </c>
      <c r="AO95" s="1492">
        <v>0.30163793977640957</v>
      </c>
      <c r="AP95" s="1492">
        <v>0.38014933407842694</v>
      </c>
      <c r="AQ95" s="1492">
        <v>0.68264844025809879</v>
      </c>
      <c r="AR95" s="1492">
        <v>1.0453151069247655</v>
      </c>
      <c r="AS95" s="1492">
        <v>0.90000000000000013</v>
      </c>
      <c r="AT95" s="1492">
        <v>0.87466851711380122</v>
      </c>
      <c r="AU95" s="1497">
        <v>-1.8197333333333333E-2</v>
      </c>
      <c r="AV95" s="1498">
        <v>-5.4890061360912505E-3</v>
      </c>
      <c r="AW95" s="1492">
        <v>3.9579357234666046E-2</v>
      </c>
    </row>
    <row r="96" spans="8:49" ht="12.75" customHeight="1">
      <c r="H96" s="1375"/>
      <c r="I96" s="1375" t="s">
        <v>2674</v>
      </c>
      <c r="J96" s="1507" t="s">
        <v>1665</v>
      </c>
      <c r="K96" s="1508">
        <v>5500</v>
      </c>
      <c r="L96" s="1375"/>
      <c r="M96" s="1375"/>
      <c r="N96" s="1375"/>
      <c r="O96" s="1375"/>
      <c r="P96" s="1375"/>
      <c r="Q96" s="1375"/>
      <c r="R96" s="1375"/>
      <c r="S96" s="1375"/>
      <c r="T96" s="1375"/>
      <c r="U96" s="1375"/>
      <c r="V96" s="1375"/>
      <c r="W96" s="1375"/>
      <c r="X96" s="1375"/>
      <c r="Z96" s="270"/>
      <c r="AA96" s="1492" t="s">
        <v>207</v>
      </c>
      <c r="AB96" s="1492">
        <v>5.6083613809662864E-3</v>
      </c>
      <c r="AC96" s="1492">
        <v>0.98575716289794368</v>
      </c>
      <c r="AD96" s="1492">
        <v>8.6344757210899958E-3</v>
      </c>
      <c r="AE96" s="1492">
        <v>0.92029495818919216</v>
      </c>
      <c r="AF96" s="1492">
        <v>1.0834949581891919</v>
      </c>
      <c r="AG96" s="1492">
        <v>1.02</v>
      </c>
      <c r="AH96" s="1492">
        <v>1.0820314279369219</v>
      </c>
      <c r="AI96" s="1496">
        <v>-8.1887999999999996E-3</v>
      </c>
      <c r="AJ96" s="1497">
        <v>-8.0721682555386816E-3</v>
      </c>
      <c r="AK96" s="1492">
        <v>0.10159697295517536</v>
      </c>
      <c r="AL96" s="270"/>
      <c r="AM96" s="1489" t="s">
        <v>207</v>
      </c>
      <c r="AN96" s="1492">
        <v>8.609125345492806E-2</v>
      </c>
      <c r="AO96" s="1492">
        <v>0.81106077730345771</v>
      </c>
      <c r="AP96" s="1492">
        <v>0.1028479692416142</v>
      </c>
      <c r="AQ96" s="1492">
        <v>0.90490285805758242</v>
      </c>
      <c r="AR96" s="1492">
        <v>1.0681028580575822</v>
      </c>
      <c r="AS96" s="1492">
        <v>1.02</v>
      </c>
      <c r="AT96" s="1492">
        <v>1.049105484227798</v>
      </c>
      <c r="AU96" s="1497">
        <v>-8.1887999999999996E-3</v>
      </c>
      <c r="AV96" s="1498">
        <v>-6.6416144931825544E-3</v>
      </c>
      <c r="AW96" s="1492">
        <v>0.11105155292285358</v>
      </c>
    </row>
    <row r="97" spans="8:49" ht="12.75" customHeight="1">
      <c r="H97" s="1375"/>
      <c r="I97" s="1375"/>
      <c r="J97" s="1375"/>
      <c r="K97" s="1375"/>
      <c r="L97" s="1375"/>
      <c r="M97" s="1375"/>
      <c r="N97" s="1375"/>
      <c r="O97" s="1375"/>
      <c r="P97" s="1375"/>
      <c r="Q97" s="1375"/>
      <c r="R97" s="1375"/>
      <c r="S97" s="1375"/>
      <c r="T97" s="1375"/>
      <c r="U97" s="1375"/>
      <c r="V97" s="1375"/>
      <c r="W97" s="1375"/>
      <c r="X97" s="1375"/>
      <c r="Z97" s="270"/>
      <c r="AA97" s="1492" t="s">
        <v>208</v>
      </c>
      <c r="AB97" s="1492">
        <v>0.24031041917780901</v>
      </c>
      <c r="AC97" s="1492">
        <v>0.6783643954380898</v>
      </c>
      <c r="AD97" s="1492">
        <v>8.1325185384101065E-2</v>
      </c>
      <c r="AE97" s="1492">
        <v>0.91648952677163908</v>
      </c>
      <c r="AF97" s="1492">
        <v>1.0796895267716389</v>
      </c>
      <c r="AG97" s="1492">
        <v>1.02</v>
      </c>
      <c r="AH97" s="1492">
        <v>1.0356166045316277</v>
      </c>
      <c r="AI97" s="1496">
        <v>-8.1887999999999996E-3</v>
      </c>
      <c r="AJ97" s="1497">
        <v>-5.5549903613634297E-3</v>
      </c>
      <c r="AK97" s="1492">
        <v>0.21078246695211211</v>
      </c>
      <c r="AL97" s="270"/>
      <c r="AM97" s="1489" t="s">
        <v>208</v>
      </c>
      <c r="AN97" s="1492">
        <v>0.17417505642831174</v>
      </c>
      <c r="AO97" s="1492">
        <v>0.61774862771721151</v>
      </c>
      <c r="AP97" s="1492">
        <v>0.20807631585447675</v>
      </c>
      <c r="AQ97" s="1492">
        <v>0.89844108480853846</v>
      </c>
      <c r="AR97" s="1492">
        <v>1.0616410848085382</v>
      </c>
      <c r="AS97" s="1492">
        <v>1.02</v>
      </c>
      <c r="AT97" s="1492">
        <v>1.0245511920842933</v>
      </c>
      <c r="AU97" s="1497">
        <v>-8.1887999999999996E-3</v>
      </c>
      <c r="AV97" s="1498">
        <v>-5.0586199626507016E-3</v>
      </c>
      <c r="AW97" s="1492">
        <v>9.2854978681575745E-2</v>
      </c>
    </row>
    <row r="98" spans="8:49" ht="12.75" customHeight="1">
      <c r="H98" s="1375"/>
      <c r="I98" s="1375"/>
      <c r="J98" s="1375"/>
      <c r="K98" s="1375"/>
      <c r="L98" s="1375"/>
      <c r="M98" s="1375"/>
      <c r="N98" s="1375"/>
      <c r="O98" s="1375"/>
      <c r="P98" s="1375"/>
      <c r="Q98" s="1375"/>
      <c r="R98" s="1375"/>
      <c r="S98" s="1375"/>
      <c r="T98" s="1375"/>
      <c r="U98" s="1375"/>
      <c r="V98" s="1375"/>
      <c r="W98" s="1375"/>
      <c r="X98" s="1375"/>
      <c r="Z98" s="270"/>
      <c r="AA98" s="1492" t="s">
        <v>2624</v>
      </c>
      <c r="AB98" s="1492"/>
      <c r="AC98" s="1492"/>
      <c r="AD98" s="1492"/>
      <c r="AE98" s="1492"/>
      <c r="AF98" s="1492"/>
      <c r="AG98" s="1492"/>
      <c r="AH98" s="1492">
        <v>0.99652853239437589</v>
      </c>
      <c r="AI98" s="1497">
        <v>-1.3056223817104643E-2</v>
      </c>
      <c r="AJ98" s="1497">
        <v>-8.7327079911054782E-3</v>
      </c>
      <c r="AK98" s="1492">
        <v>1</v>
      </c>
      <c r="AL98" s="270"/>
      <c r="AM98" s="1489" t="s">
        <v>2624</v>
      </c>
      <c r="AN98" s="1492"/>
      <c r="AO98" s="1492"/>
      <c r="AP98" s="1492"/>
      <c r="AQ98" s="1492"/>
      <c r="AR98" s="1492"/>
      <c r="AS98" s="1492"/>
      <c r="AT98" s="1492">
        <v>0.99508745242816266</v>
      </c>
      <c r="AU98" s="1497">
        <v>-1.5205655575550136E-2</v>
      </c>
      <c r="AV98" s="1498">
        <v>-1.0755166581507075E-2</v>
      </c>
      <c r="AW98" s="1492">
        <v>1</v>
      </c>
    </row>
    <row r="99" spans="8:49" ht="12.75" customHeight="1">
      <c r="H99" s="1375"/>
      <c r="I99" s="1493" t="s">
        <v>2615</v>
      </c>
      <c r="J99" s="1375"/>
      <c r="K99" s="1375"/>
      <c r="L99" s="1375"/>
      <c r="M99" s="1375"/>
      <c r="N99" s="1375"/>
      <c r="O99" s="1375"/>
      <c r="P99" s="1375"/>
      <c r="Q99" s="1375"/>
      <c r="R99" s="1375"/>
      <c r="S99" s="1375"/>
      <c r="T99" s="1375"/>
      <c r="U99" s="1375"/>
      <c r="V99" s="1375"/>
      <c r="W99" s="1375"/>
      <c r="X99" s="1375"/>
      <c r="Z99" s="270"/>
      <c r="AA99" s="270"/>
      <c r="AB99" s="270"/>
      <c r="AC99" s="270"/>
      <c r="AD99" s="270"/>
      <c r="AE99" s="270"/>
      <c r="AF99" s="270"/>
      <c r="AG99" s="270"/>
      <c r="AH99" s="270"/>
      <c r="AI99" s="270"/>
      <c r="AJ99" s="270"/>
      <c r="AK99" s="270"/>
      <c r="AL99" s="270"/>
      <c r="AM99" s="270"/>
    </row>
    <row r="100" spans="8:49" ht="12.75" customHeight="1">
      <c r="H100" s="1375"/>
      <c r="I100" s="1375"/>
      <c r="J100" s="1375"/>
      <c r="K100" s="1375"/>
      <c r="L100" s="1375"/>
      <c r="M100" s="1375"/>
      <c r="N100" s="1375"/>
      <c r="O100" s="1375"/>
      <c r="P100" s="1375"/>
      <c r="Q100" s="1375"/>
      <c r="R100" s="1375"/>
      <c r="S100" s="1375"/>
      <c r="T100" s="1375"/>
      <c r="U100" s="1375"/>
      <c r="V100" s="1375"/>
      <c r="W100" s="1375"/>
      <c r="X100" s="1375"/>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row>
    <row r="101" spans="8:49" ht="12.75" customHeight="1" thickBot="1">
      <c r="H101" s="1375"/>
      <c r="I101" s="1375"/>
      <c r="J101" s="1375"/>
      <c r="K101" s="1510"/>
      <c r="L101" s="1510"/>
      <c r="M101" s="1511" t="s">
        <v>2675</v>
      </c>
      <c r="N101" s="1511" t="s">
        <v>2675</v>
      </c>
      <c r="O101" s="1511" t="s">
        <v>2676</v>
      </c>
      <c r="P101" s="1511" t="s">
        <v>2676</v>
      </c>
      <c r="Q101" s="1511" t="s">
        <v>2677</v>
      </c>
      <c r="R101" s="1512"/>
      <c r="S101" s="1375"/>
      <c r="T101" s="1375"/>
      <c r="U101" s="1375"/>
      <c r="V101" s="1375"/>
      <c r="W101" s="1375"/>
      <c r="X101" s="1375"/>
      <c r="Z101" s="270"/>
      <c r="AA101" s="1493" t="s">
        <v>2625</v>
      </c>
      <c r="AB101" s="270"/>
      <c r="AC101" s="270"/>
      <c r="AD101" s="270"/>
      <c r="AE101" s="270"/>
      <c r="AF101" s="270"/>
      <c r="AG101" s="270"/>
      <c r="AH101" s="270"/>
      <c r="AI101" s="270"/>
      <c r="AJ101" s="270"/>
      <c r="AK101" s="270"/>
      <c r="AL101" s="270"/>
      <c r="AM101" s="270"/>
      <c r="AN101" s="270"/>
      <c r="AO101" s="270"/>
      <c r="AP101" s="270"/>
      <c r="AQ101" s="270"/>
      <c r="AR101" s="270"/>
      <c r="AS101" s="270"/>
    </row>
    <row r="102" spans="8:49" ht="12.75" customHeight="1" thickBot="1">
      <c r="H102" s="1375"/>
      <c r="I102" s="1493" t="s">
        <v>2637</v>
      </c>
      <c r="J102" s="1513" t="s">
        <v>2678</v>
      </c>
      <c r="K102" s="1514" t="s">
        <v>2679</v>
      </c>
      <c r="L102" s="1515" t="s">
        <v>2680</v>
      </c>
      <c r="M102" s="1513" t="s">
        <v>2681</v>
      </c>
      <c r="N102" s="1514" t="s">
        <v>2682</v>
      </c>
      <c r="O102" s="1514" t="s">
        <v>645</v>
      </c>
      <c r="P102" s="1515" t="s">
        <v>2683</v>
      </c>
      <c r="Q102" s="1516" t="s">
        <v>2684</v>
      </c>
      <c r="R102" s="1517" t="s">
        <v>734</v>
      </c>
      <c r="S102" s="1375"/>
      <c r="T102" s="1375"/>
      <c r="U102" s="1375"/>
      <c r="V102" s="1375"/>
      <c r="W102" s="1375"/>
      <c r="X102" s="1375"/>
      <c r="Z102" s="270"/>
      <c r="AA102" s="1499" t="s">
        <v>2626</v>
      </c>
      <c r="AB102" s="270"/>
      <c r="AC102" s="270"/>
      <c r="AD102" s="270"/>
      <c r="AE102" s="270"/>
      <c r="AF102" s="270"/>
      <c r="AG102" s="270"/>
      <c r="AH102" s="270"/>
      <c r="AI102" s="270"/>
      <c r="AJ102" s="270"/>
      <c r="AK102" s="270"/>
      <c r="AL102" s="270"/>
      <c r="AM102" s="270"/>
      <c r="AN102" s="270"/>
      <c r="AO102" s="270"/>
      <c r="AP102" s="270"/>
      <c r="AQ102" s="270"/>
      <c r="AR102" s="270"/>
      <c r="AS102" s="270"/>
    </row>
    <row r="103" spans="8:49" ht="12.75" customHeight="1">
      <c r="H103" s="1375"/>
      <c r="I103" s="1375" t="s">
        <v>2640</v>
      </c>
      <c r="J103" s="1518" t="s">
        <v>1648</v>
      </c>
      <c r="K103" s="1519" t="s">
        <v>735</v>
      </c>
      <c r="L103" s="1520" t="s">
        <v>208</v>
      </c>
      <c r="M103" s="1521">
        <v>-0.39</v>
      </c>
      <c r="N103" s="1522">
        <v>-0.19500000000000006</v>
      </c>
      <c r="O103" s="1522">
        <v>0</v>
      </c>
      <c r="P103" s="1523">
        <v>0.30000000000000004</v>
      </c>
      <c r="Q103" s="1524">
        <v>-1.7742399999999998E-2</v>
      </c>
      <c r="R103" s="1540" t="s">
        <v>2685</v>
      </c>
      <c r="S103" s="1375"/>
      <c r="T103" s="1375"/>
      <c r="U103" s="1375"/>
      <c r="V103" s="1375"/>
      <c r="W103" s="1375"/>
      <c r="X103" s="1375"/>
      <c r="Z103" s="270"/>
      <c r="AA103" s="1488" t="s">
        <v>2608</v>
      </c>
      <c r="AB103" s="1488" t="s">
        <v>2627</v>
      </c>
      <c r="AC103" s="1488" t="s">
        <v>2628</v>
      </c>
      <c r="AD103" s="1488" t="s">
        <v>2629</v>
      </c>
      <c r="AE103" s="1488" t="s">
        <v>734</v>
      </c>
      <c r="AF103" s="270"/>
      <c r="AG103" s="270"/>
      <c r="AH103" s="270"/>
      <c r="AI103" s="270"/>
      <c r="AJ103" s="270"/>
      <c r="AK103" s="270"/>
      <c r="AL103" s="270"/>
      <c r="AM103" s="270"/>
      <c r="AN103" s="270"/>
      <c r="AO103" s="270"/>
      <c r="AP103" s="270"/>
      <c r="AQ103" s="270"/>
      <c r="AR103" s="270"/>
      <c r="AS103" s="270"/>
    </row>
    <row r="104" spans="8:49" ht="12.75" customHeight="1">
      <c r="H104" s="1375"/>
      <c r="I104" s="1375" t="s">
        <v>2641</v>
      </c>
      <c r="J104" s="1518" t="s">
        <v>207</v>
      </c>
      <c r="K104" s="1519" t="s">
        <v>735</v>
      </c>
      <c r="L104" s="1520" t="s">
        <v>207</v>
      </c>
      <c r="M104" s="1521">
        <v>-0.17999999999999994</v>
      </c>
      <c r="N104" s="1522">
        <v>-8.9999999999999969E-2</v>
      </c>
      <c r="O104" s="1522">
        <v>0.1100000000000001</v>
      </c>
      <c r="P104" s="1523">
        <v>0.30000000000000004</v>
      </c>
      <c r="Q104" s="1524">
        <v>-8.1887999999999996E-3</v>
      </c>
      <c r="R104" s="1540" t="s">
        <v>2685</v>
      </c>
      <c r="S104" s="1375"/>
      <c r="T104" s="1375"/>
      <c r="U104" s="1375"/>
      <c r="V104" s="1375"/>
      <c r="W104" s="1375"/>
      <c r="X104" s="1375"/>
      <c r="Z104" s="270"/>
      <c r="AA104" s="1489" t="s">
        <v>191</v>
      </c>
      <c r="AB104" s="1500">
        <v>0.37</v>
      </c>
      <c r="AC104" s="1500">
        <v>0.53</v>
      </c>
      <c r="AD104" s="1500">
        <v>0.22999999999999998</v>
      </c>
      <c r="AE104" s="1489" t="s">
        <v>2630</v>
      </c>
      <c r="AF104" s="270"/>
      <c r="AG104" s="270"/>
      <c r="AH104" s="270"/>
      <c r="AI104" s="270"/>
      <c r="AJ104" s="270"/>
      <c r="AK104" s="270"/>
      <c r="AL104" s="270"/>
      <c r="AM104" s="270"/>
      <c r="AN104" s="270"/>
      <c r="AO104" s="270"/>
      <c r="AP104" s="270"/>
      <c r="AQ104" s="270"/>
      <c r="AR104" s="270"/>
      <c r="AS104" s="270"/>
    </row>
    <row r="105" spans="8:49" ht="12.75" customHeight="1">
      <c r="H105" s="1375"/>
      <c r="I105" s="1375" t="s">
        <v>2642</v>
      </c>
      <c r="J105" s="1518" t="s">
        <v>207</v>
      </c>
      <c r="K105" s="1519" t="s">
        <v>735</v>
      </c>
      <c r="L105" s="1520" t="s">
        <v>207</v>
      </c>
      <c r="M105" s="1521">
        <v>-0.17999999999999994</v>
      </c>
      <c r="N105" s="1522">
        <v>-8.9999999999999969E-2</v>
      </c>
      <c r="O105" s="1522">
        <v>0.1100000000000001</v>
      </c>
      <c r="P105" s="1523">
        <v>0.30000000000000004</v>
      </c>
      <c r="Q105" s="1524">
        <v>-8.1887999999999996E-3</v>
      </c>
      <c r="R105" s="1540" t="s">
        <v>2685</v>
      </c>
      <c r="S105" s="1375"/>
      <c r="T105" s="1375"/>
      <c r="U105" s="1375"/>
      <c r="V105" s="1375"/>
      <c r="W105" s="1375"/>
      <c r="X105" s="1375"/>
      <c r="Z105" s="270"/>
      <c r="AA105" s="1489" t="s">
        <v>192</v>
      </c>
      <c r="AB105" s="1500">
        <v>0.37</v>
      </c>
      <c r="AC105" s="1500">
        <v>0.53</v>
      </c>
      <c r="AD105" s="1500">
        <v>0.22999999999999998</v>
      </c>
      <c r="AE105" s="1489" t="s">
        <v>2630</v>
      </c>
      <c r="AF105" s="270"/>
      <c r="AG105" s="270"/>
      <c r="AH105" s="270"/>
      <c r="AI105" s="270"/>
      <c r="AJ105" s="270"/>
      <c r="AK105" s="270"/>
      <c r="AL105" s="270"/>
      <c r="AM105" s="270"/>
      <c r="AN105" s="270"/>
      <c r="AO105" s="270"/>
      <c r="AP105" s="270"/>
      <c r="AQ105" s="270"/>
      <c r="AR105" s="270"/>
      <c r="AS105" s="270"/>
    </row>
    <row r="106" spans="8:49" ht="12.75" customHeight="1">
      <c r="H106" s="1375"/>
      <c r="I106" s="1375" t="s">
        <v>2643</v>
      </c>
      <c r="J106" s="1518" t="s">
        <v>203</v>
      </c>
      <c r="K106" s="1519" t="s">
        <v>203</v>
      </c>
      <c r="L106" s="1520" t="s">
        <v>203</v>
      </c>
      <c r="M106" s="1521">
        <v>-0.24955005569991828</v>
      </c>
      <c r="N106" s="1522">
        <v>-0.11883335985710397</v>
      </c>
      <c r="O106" s="1522">
        <v>5.9128258676408252E-2</v>
      </c>
      <c r="P106" s="1523">
        <v>0.3</v>
      </c>
      <c r="Q106" s="1524">
        <v>-1.1182420714742333E-2</v>
      </c>
      <c r="R106" s="1540" t="s">
        <v>2686</v>
      </c>
      <c r="S106" s="1375"/>
      <c r="T106" s="1375"/>
      <c r="U106" s="1375"/>
      <c r="V106" s="1375"/>
      <c r="W106" s="1375"/>
      <c r="X106" s="1375"/>
      <c r="Z106" s="270"/>
      <c r="AA106" s="1489" t="s">
        <v>193</v>
      </c>
      <c r="AB106" s="1500">
        <v>0.37</v>
      </c>
      <c r="AC106" s="1500">
        <v>0.53</v>
      </c>
      <c r="AD106" s="1500">
        <v>0.22999999999999998</v>
      </c>
      <c r="AE106" s="1489" t="s">
        <v>2630</v>
      </c>
      <c r="AF106" s="270"/>
      <c r="AG106" s="270"/>
      <c r="AH106" s="270"/>
      <c r="AI106" s="270"/>
      <c r="AJ106" s="270"/>
      <c r="AK106" s="270"/>
      <c r="AL106" s="270"/>
      <c r="AM106" s="270"/>
      <c r="AN106" s="270"/>
      <c r="AO106" s="270"/>
      <c r="AP106" s="270"/>
      <c r="AQ106" s="270"/>
      <c r="AR106" s="270"/>
      <c r="AS106" s="270"/>
    </row>
    <row r="107" spans="8:49" ht="12.75" customHeight="1">
      <c r="H107" s="1375"/>
      <c r="I107" s="1375" t="s">
        <v>2644</v>
      </c>
      <c r="J107" s="1526" t="s">
        <v>203</v>
      </c>
      <c r="K107" s="1527" t="s">
        <v>203</v>
      </c>
      <c r="L107" s="1528" t="s">
        <v>203</v>
      </c>
      <c r="M107" s="1529">
        <v>-0.24955005569991828</v>
      </c>
      <c r="N107" s="1530">
        <v>-0.11883335985710397</v>
      </c>
      <c r="O107" s="1530">
        <v>5.9128258676408252E-2</v>
      </c>
      <c r="P107" s="1531">
        <v>0.3</v>
      </c>
      <c r="Q107" s="1532">
        <v>-1.1182420714742333E-2</v>
      </c>
      <c r="R107" s="1540" t="s">
        <v>2686</v>
      </c>
      <c r="S107" s="1375"/>
      <c r="T107" s="1375"/>
      <c r="U107" s="1375"/>
      <c r="V107" s="1375"/>
      <c r="W107" s="1375"/>
      <c r="X107" s="1375"/>
      <c r="Z107" s="270"/>
      <c r="AA107" s="1489" t="s">
        <v>194</v>
      </c>
      <c r="AB107" s="1500">
        <v>0.49</v>
      </c>
      <c r="AC107" s="1500">
        <v>0.6</v>
      </c>
      <c r="AD107" s="1500">
        <v>0.35</v>
      </c>
      <c r="AE107" s="1489" t="s">
        <v>2630</v>
      </c>
      <c r="AF107" s="270"/>
      <c r="AG107" s="270"/>
      <c r="AH107" s="270"/>
      <c r="AI107" s="270"/>
      <c r="AJ107" s="270"/>
      <c r="AK107" s="270"/>
      <c r="AL107" s="270"/>
      <c r="AM107" s="270"/>
      <c r="AN107" s="270"/>
      <c r="AO107" s="270"/>
      <c r="AP107" s="270"/>
      <c r="AQ107" s="270"/>
      <c r="AR107" s="270"/>
      <c r="AS107" s="270"/>
    </row>
    <row r="108" spans="8:49" ht="12.75" customHeight="1">
      <c r="H108" s="1375"/>
      <c r="I108" s="1375" t="s">
        <v>2645</v>
      </c>
      <c r="J108" s="1526" t="s">
        <v>203</v>
      </c>
      <c r="K108" s="1527" t="s">
        <v>203</v>
      </c>
      <c r="L108" s="1528" t="s">
        <v>203</v>
      </c>
      <c r="M108" s="1529">
        <v>-0.24955005569991828</v>
      </c>
      <c r="N108" s="1530">
        <v>-0.11883335985710397</v>
      </c>
      <c r="O108" s="1530">
        <v>5.9128258676408252E-2</v>
      </c>
      <c r="P108" s="1531">
        <v>0.3</v>
      </c>
      <c r="Q108" s="1532">
        <v>-1.1182420714742333E-2</v>
      </c>
      <c r="R108" s="1540" t="s">
        <v>2686</v>
      </c>
      <c r="S108" s="1375"/>
      <c r="T108" s="1375"/>
      <c r="U108" s="1375"/>
      <c r="V108" s="1375"/>
      <c r="W108" s="1375"/>
      <c r="X108" s="1375"/>
      <c r="Z108" s="270"/>
      <c r="AA108" s="1489" t="s">
        <v>195</v>
      </c>
      <c r="AB108" s="1500">
        <v>0.49</v>
      </c>
      <c r="AC108" s="1500">
        <v>0.6</v>
      </c>
      <c r="AD108" s="1500">
        <v>0.35</v>
      </c>
      <c r="AE108" s="1489" t="s">
        <v>2630</v>
      </c>
      <c r="AF108" s="270"/>
      <c r="AG108" s="270"/>
      <c r="AH108" s="270"/>
      <c r="AI108" s="270"/>
      <c r="AJ108" s="270"/>
      <c r="AK108" s="270"/>
      <c r="AL108" s="270"/>
      <c r="AM108" s="270"/>
      <c r="AN108" s="270"/>
      <c r="AO108" s="270"/>
      <c r="AP108" s="270"/>
      <c r="AQ108" s="270"/>
      <c r="AR108" s="270"/>
      <c r="AS108" s="270"/>
    </row>
    <row r="109" spans="8:49" ht="12.75" customHeight="1">
      <c r="H109" s="1375"/>
      <c r="I109" s="1375" t="s">
        <v>2646</v>
      </c>
      <c r="J109" s="1526" t="s">
        <v>204</v>
      </c>
      <c r="K109" s="1527" t="s">
        <v>735</v>
      </c>
      <c r="L109" s="1528" t="s">
        <v>204</v>
      </c>
      <c r="M109" s="1529">
        <v>-0.21989158997379088</v>
      </c>
      <c r="N109" s="1530">
        <v>-0.10471028093990054</v>
      </c>
      <c r="O109" s="1530">
        <v>0.27648006751537391</v>
      </c>
      <c r="P109" s="1531">
        <v>0.3</v>
      </c>
      <c r="Q109" s="1532">
        <v>-1.0294798139927173E-2</v>
      </c>
      <c r="R109" s="1540"/>
      <c r="S109" s="1375"/>
      <c r="T109" s="1375"/>
      <c r="U109" s="1375"/>
      <c r="V109" s="1375"/>
      <c r="W109" s="1375"/>
      <c r="X109" s="1375"/>
      <c r="Z109" s="270"/>
      <c r="AA109" s="1489" t="s">
        <v>196</v>
      </c>
      <c r="AB109" s="1500">
        <v>0.49</v>
      </c>
      <c r="AC109" s="1500">
        <v>0.6</v>
      </c>
      <c r="AD109" s="1500">
        <v>0.35</v>
      </c>
      <c r="AE109" s="1489" t="s">
        <v>2630</v>
      </c>
      <c r="AF109" s="270"/>
      <c r="AG109" s="270"/>
      <c r="AH109" s="270"/>
      <c r="AI109" s="270"/>
      <c r="AJ109" s="270"/>
      <c r="AK109" s="270"/>
      <c r="AL109" s="270"/>
      <c r="AM109" s="270"/>
      <c r="AN109" s="270"/>
      <c r="AO109" s="270"/>
      <c r="AP109" s="270"/>
      <c r="AQ109" s="270"/>
      <c r="AR109" s="270"/>
      <c r="AS109" s="270"/>
    </row>
    <row r="110" spans="8:49" ht="12.75" customHeight="1">
      <c r="H110" s="1375"/>
      <c r="I110" s="1375" t="s">
        <v>2647</v>
      </c>
      <c r="J110" s="1526" t="s">
        <v>1649</v>
      </c>
      <c r="K110" s="1527" t="s">
        <v>2687</v>
      </c>
      <c r="L110" s="1528" t="s">
        <v>196</v>
      </c>
      <c r="M110" s="1529">
        <v>-0.32139598680676418</v>
      </c>
      <c r="N110" s="1530">
        <v>-0.15304570800322104</v>
      </c>
      <c r="O110" s="1530">
        <v>0.13414676389262903</v>
      </c>
      <c r="P110" s="1531">
        <v>0.3</v>
      </c>
      <c r="Q110" s="1532">
        <v>-1.4681907484768998E-2</v>
      </c>
      <c r="R110" s="1540" t="s">
        <v>2688</v>
      </c>
      <c r="S110" s="1375"/>
      <c r="T110" s="1375"/>
      <c r="U110" s="1375"/>
      <c r="V110" s="1375"/>
      <c r="W110" s="1375"/>
      <c r="X110" s="1375"/>
      <c r="Z110" s="270"/>
      <c r="AA110" s="1489" t="s">
        <v>197</v>
      </c>
      <c r="AB110" s="1500">
        <v>0.49</v>
      </c>
      <c r="AC110" s="1500">
        <v>0.6</v>
      </c>
      <c r="AD110" s="1500">
        <v>0.35</v>
      </c>
      <c r="AE110" s="1489" t="s">
        <v>2630</v>
      </c>
      <c r="AF110" s="270"/>
      <c r="AG110" s="270"/>
      <c r="AH110" s="270"/>
      <c r="AI110" s="270"/>
      <c r="AJ110" s="270"/>
      <c r="AK110" s="270"/>
      <c r="AL110" s="270"/>
      <c r="AM110" s="270"/>
      <c r="AN110" s="270"/>
      <c r="AO110" s="270"/>
      <c r="AP110" s="270"/>
      <c r="AQ110" s="270"/>
      <c r="AR110" s="270"/>
      <c r="AS110" s="270"/>
    </row>
    <row r="111" spans="8:49" ht="12.75" customHeight="1">
      <c r="H111" s="1375"/>
      <c r="I111" s="1375" t="s">
        <v>2648</v>
      </c>
      <c r="J111" s="1526" t="s">
        <v>1650</v>
      </c>
      <c r="K111" s="1527" t="s">
        <v>735</v>
      </c>
      <c r="L111" s="1528" t="s">
        <v>2689</v>
      </c>
      <c r="M111" s="1529">
        <v>0</v>
      </c>
      <c r="N111" s="1530">
        <v>0</v>
      </c>
      <c r="O111" s="1530">
        <v>0</v>
      </c>
      <c r="P111" s="1531">
        <v>0.30000000000000004</v>
      </c>
      <c r="Q111" s="1532">
        <v>0</v>
      </c>
      <c r="R111" s="1540" t="s">
        <v>2685</v>
      </c>
      <c r="S111" s="1375"/>
      <c r="T111" s="1375"/>
      <c r="U111" s="1375"/>
      <c r="V111" s="1375"/>
      <c r="W111" s="1375"/>
      <c r="X111" s="1375"/>
      <c r="Z111" s="270"/>
      <c r="AA111" s="1489" t="s">
        <v>198</v>
      </c>
      <c r="AB111" s="1500">
        <v>0.52</v>
      </c>
      <c r="AC111" s="1500">
        <v>0.64</v>
      </c>
      <c r="AD111" s="1500">
        <v>0.38</v>
      </c>
      <c r="AE111" s="1489" t="s">
        <v>2630</v>
      </c>
      <c r="AF111" s="270"/>
      <c r="AG111" s="270"/>
      <c r="AH111" s="270"/>
      <c r="AI111" s="270"/>
      <c r="AJ111" s="270"/>
      <c r="AK111" s="270"/>
      <c r="AL111" s="270"/>
      <c r="AM111" s="270"/>
      <c r="AN111" s="270"/>
      <c r="AO111" s="270"/>
      <c r="AP111" s="270"/>
      <c r="AQ111" s="270"/>
      <c r="AR111" s="270"/>
      <c r="AS111" s="270"/>
    </row>
    <row r="112" spans="8:49" ht="12.75" customHeight="1">
      <c r="H112" s="1375"/>
      <c r="I112" s="1375" t="s">
        <v>2648</v>
      </c>
      <c r="J112" s="1526" t="s">
        <v>1651</v>
      </c>
      <c r="K112" s="1527" t="s">
        <v>735</v>
      </c>
      <c r="L112" s="1528" t="s">
        <v>2689</v>
      </c>
      <c r="M112" s="1529">
        <v>0</v>
      </c>
      <c r="N112" s="1530">
        <v>0</v>
      </c>
      <c r="O112" s="1530">
        <v>0</v>
      </c>
      <c r="P112" s="1531">
        <v>0.30000000000000004</v>
      </c>
      <c r="Q112" s="1532">
        <v>0</v>
      </c>
      <c r="R112" s="1540" t="s">
        <v>2685</v>
      </c>
      <c r="S112" s="1375"/>
      <c r="T112" s="1375"/>
      <c r="U112" s="1375"/>
      <c r="V112" s="1375"/>
      <c r="W112" s="1375"/>
      <c r="X112" s="1375"/>
      <c r="Z112" s="270"/>
      <c r="AA112" s="1489" t="s">
        <v>199</v>
      </c>
      <c r="AB112" s="1500">
        <v>0.52</v>
      </c>
      <c r="AC112" s="1500">
        <v>0.64</v>
      </c>
      <c r="AD112" s="1500">
        <v>0.38</v>
      </c>
      <c r="AE112" s="1489" t="s">
        <v>2630</v>
      </c>
      <c r="AF112" s="270"/>
      <c r="AG112" s="270"/>
      <c r="AH112" s="270"/>
      <c r="AI112" s="270"/>
      <c r="AJ112" s="270"/>
      <c r="AK112" s="270"/>
      <c r="AL112" s="270"/>
      <c r="AM112" s="270"/>
      <c r="AN112" s="270"/>
      <c r="AO112" s="270"/>
      <c r="AP112" s="270"/>
      <c r="AQ112" s="270"/>
      <c r="AR112" s="270"/>
      <c r="AS112" s="270"/>
    </row>
    <row r="113" spans="8:45" ht="12.75" customHeight="1">
      <c r="H113" s="1375"/>
      <c r="I113" s="1375" t="s">
        <v>2649</v>
      </c>
      <c r="J113" s="1526" t="s">
        <v>208</v>
      </c>
      <c r="K113" s="1527" t="s">
        <v>735</v>
      </c>
      <c r="L113" s="1528" t="s">
        <v>208</v>
      </c>
      <c r="M113" s="1529">
        <v>-0.18070685555076693</v>
      </c>
      <c r="N113" s="1530">
        <v>-8.6050883595603533E-2</v>
      </c>
      <c r="O113" s="1530">
        <v>-5.4390629870755269E-3</v>
      </c>
      <c r="P113" s="1531">
        <v>0.3</v>
      </c>
      <c r="Q113" s="1532">
        <v>-8.1045006306802551E-3</v>
      </c>
      <c r="R113" s="1540" t="s">
        <v>2690</v>
      </c>
      <c r="S113" s="1375"/>
      <c r="T113" s="1375"/>
      <c r="U113" s="1375"/>
      <c r="V113" s="1375"/>
      <c r="W113" s="1375"/>
      <c r="X113" s="1375"/>
      <c r="Z113" s="270"/>
      <c r="AA113" s="1489" t="s">
        <v>200</v>
      </c>
      <c r="AB113" s="1500">
        <v>0.44</v>
      </c>
      <c r="AC113" s="1500">
        <v>0.56999999999999995</v>
      </c>
      <c r="AD113" s="1500">
        <v>0.29000000000000004</v>
      </c>
      <c r="AE113" s="1489" t="s">
        <v>2630</v>
      </c>
      <c r="AF113" s="270"/>
      <c r="AG113" s="270"/>
      <c r="AH113" s="270"/>
      <c r="AI113" s="270"/>
      <c r="AJ113" s="270"/>
      <c r="AK113" s="270"/>
      <c r="AL113" s="270"/>
      <c r="AM113" s="270"/>
      <c r="AN113" s="270"/>
      <c r="AO113" s="270"/>
      <c r="AP113" s="270"/>
      <c r="AQ113" s="270"/>
      <c r="AR113" s="270"/>
      <c r="AS113" s="270"/>
    </row>
    <row r="114" spans="8:45" ht="12.75" customHeight="1">
      <c r="H114" s="1375"/>
      <c r="I114" s="1375" t="s">
        <v>1629</v>
      </c>
      <c r="J114" s="1526" t="s">
        <v>207</v>
      </c>
      <c r="K114" s="1527" t="s">
        <v>735</v>
      </c>
      <c r="L114" s="1528" t="s">
        <v>207</v>
      </c>
      <c r="M114" s="1529">
        <v>-0.17999999999999994</v>
      </c>
      <c r="N114" s="1530">
        <v>-8.9999999999999969E-2</v>
      </c>
      <c r="O114" s="1530">
        <v>0.1100000000000001</v>
      </c>
      <c r="P114" s="1531">
        <v>0.30000000000000004</v>
      </c>
      <c r="Q114" s="1532">
        <v>-8.1887999999999996E-3</v>
      </c>
      <c r="R114" s="1540" t="s">
        <v>2685</v>
      </c>
      <c r="S114" s="1375"/>
      <c r="T114" s="1375"/>
      <c r="U114" s="1375"/>
      <c r="V114" s="1375"/>
      <c r="W114" s="1375"/>
      <c r="X114" s="1375"/>
      <c r="Z114" s="270"/>
      <c r="AA114" s="1489" t="s">
        <v>201</v>
      </c>
      <c r="AB114" s="1500">
        <v>0.49</v>
      </c>
      <c r="AC114" s="1500">
        <v>0.6</v>
      </c>
      <c r="AD114" s="1500">
        <v>0.35</v>
      </c>
      <c r="AE114" s="1489" t="s">
        <v>2630</v>
      </c>
      <c r="AF114" s="270"/>
      <c r="AG114" s="270"/>
      <c r="AH114" s="270"/>
      <c r="AI114" s="270"/>
      <c r="AJ114" s="270"/>
      <c r="AK114" s="270"/>
      <c r="AL114" s="270"/>
      <c r="AM114" s="270"/>
      <c r="AN114" s="270"/>
      <c r="AO114" s="270"/>
      <c r="AP114" s="270"/>
      <c r="AQ114" s="270"/>
      <c r="AR114" s="270"/>
      <c r="AS114" s="270"/>
    </row>
    <row r="115" spans="8:45" ht="12.75" customHeight="1">
      <c r="H115" s="1375"/>
      <c r="I115" s="1375" t="s">
        <v>2650</v>
      </c>
      <c r="J115" s="1526" t="s">
        <v>1652</v>
      </c>
      <c r="K115" s="1527" t="s">
        <v>206</v>
      </c>
      <c r="L115" s="1528" t="s">
        <v>206</v>
      </c>
      <c r="M115" s="1529">
        <v>-0.18748487437024697</v>
      </c>
      <c r="N115" s="1530">
        <v>-8.9278511604879651E-2</v>
      </c>
      <c r="O115" s="1530">
        <v>0.1979872127405039</v>
      </c>
      <c r="P115" s="1531">
        <v>0.3</v>
      </c>
      <c r="Q115" s="1532">
        <v>-8.6005082734784168E-3</v>
      </c>
      <c r="R115" s="1540" t="s">
        <v>2690</v>
      </c>
      <c r="S115" s="1375"/>
      <c r="T115" s="1375"/>
      <c r="U115" s="1375"/>
      <c r="V115" s="1375"/>
      <c r="W115" s="1375"/>
      <c r="X115" s="1375"/>
      <c r="Z115" s="270"/>
      <c r="AA115" s="1489" t="s">
        <v>202</v>
      </c>
      <c r="AB115" s="1500">
        <v>0.49</v>
      </c>
      <c r="AC115" s="1500">
        <v>0.6</v>
      </c>
      <c r="AD115" s="1500">
        <v>0.35</v>
      </c>
      <c r="AE115" s="1489" t="s">
        <v>2630</v>
      </c>
      <c r="AF115" s="270"/>
      <c r="AG115" s="270"/>
      <c r="AH115" s="270"/>
      <c r="AI115" s="270"/>
      <c r="AJ115" s="270"/>
      <c r="AK115" s="270"/>
      <c r="AL115" s="270"/>
      <c r="AM115" s="270"/>
      <c r="AN115" s="270"/>
      <c r="AO115" s="270"/>
      <c r="AP115" s="270"/>
      <c r="AQ115" s="270"/>
      <c r="AR115" s="270"/>
      <c r="AS115" s="270"/>
    </row>
    <row r="116" spans="8:45" ht="12.75" customHeight="1">
      <c r="H116" s="1375"/>
      <c r="I116" s="1375" t="s">
        <v>205</v>
      </c>
      <c r="J116" s="1526" t="s">
        <v>205</v>
      </c>
      <c r="K116" s="1527" t="s">
        <v>205</v>
      </c>
      <c r="L116" s="1528" t="s">
        <v>205</v>
      </c>
      <c r="M116" s="1529">
        <v>-0.6447618194589062</v>
      </c>
      <c r="N116" s="1530">
        <v>-0.30702943783757453</v>
      </c>
      <c r="O116" s="1530">
        <v>2.7443935655953045E-2</v>
      </c>
      <c r="P116" s="1531">
        <v>0.3</v>
      </c>
      <c r="Q116" s="1532">
        <v>-3.3091308145183677E-2</v>
      </c>
      <c r="R116" s="1540" t="s">
        <v>2690</v>
      </c>
      <c r="S116" s="1375"/>
      <c r="T116" s="1375"/>
      <c r="U116" s="1375"/>
      <c r="V116" s="1375"/>
      <c r="W116" s="1375"/>
      <c r="X116" s="1375"/>
      <c r="Z116" s="270"/>
      <c r="AA116" s="1489" t="s">
        <v>203</v>
      </c>
      <c r="AB116" s="1500">
        <v>0.49</v>
      </c>
      <c r="AC116" s="1500">
        <v>0.3</v>
      </c>
      <c r="AD116" s="1500">
        <v>0.35</v>
      </c>
      <c r="AE116" s="1489" t="s">
        <v>2630</v>
      </c>
      <c r="AF116" s="270"/>
      <c r="AG116" s="270"/>
      <c r="AH116" s="270"/>
      <c r="AI116" s="270"/>
      <c r="AJ116" s="270"/>
      <c r="AK116" s="270"/>
      <c r="AL116" s="270"/>
      <c r="AM116" s="270"/>
      <c r="AN116" s="270"/>
      <c r="AO116" s="270"/>
      <c r="AP116" s="270"/>
      <c r="AQ116" s="270"/>
      <c r="AR116" s="270"/>
      <c r="AS116" s="270"/>
    </row>
    <row r="117" spans="8:45" ht="12.75" customHeight="1">
      <c r="H117" s="1375"/>
      <c r="I117" s="1375" t="s">
        <v>2651</v>
      </c>
      <c r="J117" s="1526" t="s">
        <v>204</v>
      </c>
      <c r="K117" s="1527" t="s">
        <v>735</v>
      </c>
      <c r="L117" s="1528" t="s">
        <v>204</v>
      </c>
      <c r="M117" s="1529">
        <v>-0.21989158997379088</v>
      </c>
      <c r="N117" s="1530">
        <v>-0.10471028093990054</v>
      </c>
      <c r="O117" s="1530">
        <v>0.27648006751537391</v>
      </c>
      <c r="P117" s="1531">
        <v>0.3</v>
      </c>
      <c r="Q117" s="1532">
        <v>-1.0294798139927173E-2</v>
      </c>
      <c r="R117" s="1540" t="s">
        <v>2691</v>
      </c>
      <c r="S117" s="1375"/>
      <c r="T117" s="1375"/>
      <c r="U117" s="1375"/>
      <c r="V117" s="1375"/>
      <c r="W117" s="1375"/>
      <c r="X117" s="1375"/>
      <c r="Z117" s="270"/>
      <c r="AA117" s="1489" t="s">
        <v>204</v>
      </c>
      <c r="AB117" s="1500">
        <v>0.63</v>
      </c>
      <c r="AC117" s="1500">
        <v>0.72</v>
      </c>
      <c r="AD117" s="1500">
        <v>0.55000000000000004</v>
      </c>
      <c r="AE117" s="1489" t="s">
        <v>2630</v>
      </c>
      <c r="AF117" s="270"/>
      <c r="AG117" s="270"/>
      <c r="AH117" s="270"/>
      <c r="AI117" s="270"/>
      <c r="AJ117" s="270"/>
      <c r="AK117" s="270"/>
      <c r="AL117" s="270"/>
      <c r="AM117" s="270"/>
      <c r="AN117" s="270"/>
      <c r="AO117" s="270"/>
      <c r="AP117" s="270"/>
      <c r="AQ117" s="270"/>
      <c r="AR117" s="270"/>
      <c r="AS117" s="270"/>
    </row>
    <row r="118" spans="8:45" ht="12.75" customHeight="1">
      <c r="H118" s="1375"/>
      <c r="I118" s="1375" t="s">
        <v>1633</v>
      </c>
      <c r="J118" s="1526" t="s">
        <v>1633</v>
      </c>
      <c r="K118" s="1527" t="s">
        <v>735</v>
      </c>
      <c r="L118" s="1528" t="s">
        <v>208</v>
      </c>
      <c r="M118" s="1529">
        <v>-0.47</v>
      </c>
      <c r="N118" s="1530">
        <v>-0.23499999999999999</v>
      </c>
      <c r="O118" s="1530">
        <v>0.18999999999999995</v>
      </c>
      <c r="P118" s="1531">
        <v>0.30000000000000004</v>
      </c>
      <c r="Q118" s="1532">
        <v>-2.1381866666666666E-2</v>
      </c>
      <c r="R118" s="1540" t="s">
        <v>2685</v>
      </c>
      <c r="S118" s="1375"/>
      <c r="T118" s="1375"/>
      <c r="U118" s="1375"/>
      <c r="V118" s="1375"/>
      <c r="W118" s="1375"/>
      <c r="X118" s="1375"/>
      <c r="Z118" s="270"/>
      <c r="AA118" s="1489" t="s">
        <v>205</v>
      </c>
      <c r="AB118" s="1500">
        <v>0.46</v>
      </c>
      <c r="AC118" s="1500">
        <v>0.59</v>
      </c>
      <c r="AD118" s="1500">
        <v>0.32</v>
      </c>
      <c r="AE118" s="1489" t="s">
        <v>2630</v>
      </c>
      <c r="AF118" s="270"/>
      <c r="AG118" s="270"/>
      <c r="AH118" s="270"/>
      <c r="AI118" s="270"/>
      <c r="AJ118" s="270"/>
      <c r="AK118" s="270"/>
      <c r="AL118" s="270"/>
      <c r="AM118" s="270"/>
      <c r="AN118" s="270"/>
      <c r="AO118" s="270"/>
      <c r="AP118" s="270"/>
      <c r="AQ118" s="270"/>
      <c r="AR118" s="270"/>
      <c r="AS118" s="270"/>
    </row>
    <row r="119" spans="8:45" ht="12.75" customHeight="1">
      <c r="H119" s="1375"/>
      <c r="I119" s="1375" t="s">
        <v>2652</v>
      </c>
      <c r="J119" s="1526" t="s">
        <v>1653</v>
      </c>
      <c r="K119" s="1527" t="s">
        <v>735</v>
      </c>
      <c r="L119" s="1528" t="s">
        <v>33</v>
      </c>
      <c r="M119" s="1529">
        <v>-0.39</v>
      </c>
      <c r="N119" s="1530">
        <v>-0.19500000000000006</v>
      </c>
      <c r="O119" s="1530">
        <v>7.999999999999996E-2</v>
      </c>
      <c r="P119" s="1531">
        <v>0.30000000000000004</v>
      </c>
      <c r="Q119" s="1532">
        <v>-1.7742399999999998E-2</v>
      </c>
      <c r="R119" s="1540" t="s">
        <v>2685</v>
      </c>
      <c r="S119" s="1375"/>
      <c r="T119" s="1375"/>
      <c r="U119" s="1375"/>
      <c r="V119" s="1375"/>
      <c r="W119" s="1375"/>
      <c r="X119" s="1375"/>
      <c r="Z119" s="270"/>
      <c r="AA119" s="1489" t="s">
        <v>206</v>
      </c>
      <c r="AB119" s="1500">
        <v>0.46</v>
      </c>
      <c r="AC119" s="1500">
        <v>0.28999999999999998</v>
      </c>
      <c r="AD119" s="1500">
        <v>0.32</v>
      </c>
      <c r="AE119" s="1489" t="s">
        <v>2630</v>
      </c>
      <c r="AF119" s="270"/>
      <c r="AG119" s="270"/>
      <c r="AH119" s="270"/>
      <c r="AI119" s="270"/>
      <c r="AJ119" s="270"/>
      <c r="AK119" s="270"/>
      <c r="AL119" s="270"/>
      <c r="AM119" s="270"/>
      <c r="AN119" s="270"/>
      <c r="AO119" s="270"/>
      <c r="AP119" s="270"/>
      <c r="AQ119" s="270"/>
      <c r="AR119" s="270"/>
      <c r="AS119" s="270"/>
    </row>
    <row r="120" spans="8:45" ht="12.75" customHeight="1">
      <c r="H120" s="1375"/>
      <c r="I120" s="1375" t="s">
        <v>2653</v>
      </c>
      <c r="J120" s="1526" t="s">
        <v>1655</v>
      </c>
      <c r="K120" s="1527" t="s">
        <v>735</v>
      </c>
      <c r="L120" s="1528" t="s">
        <v>33</v>
      </c>
      <c r="M120" s="1529">
        <v>-0.39</v>
      </c>
      <c r="N120" s="1530">
        <v>-0.19500000000000006</v>
      </c>
      <c r="O120" s="1530">
        <v>7.999999999999996E-2</v>
      </c>
      <c r="P120" s="1531">
        <v>0.30000000000000004</v>
      </c>
      <c r="Q120" s="1532">
        <v>-1.7742399999999998E-2</v>
      </c>
      <c r="R120" s="1540" t="s">
        <v>2685</v>
      </c>
      <c r="S120" s="1375"/>
      <c r="T120" s="1375"/>
      <c r="U120" s="1375"/>
      <c r="V120" s="1375"/>
      <c r="W120" s="1375"/>
      <c r="X120" s="1375"/>
      <c r="Z120" s="270"/>
      <c r="AA120" s="1489" t="s">
        <v>207</v>
      </c>
      <c r="AB120" s="1500">
        <v>0.37</v>
      </c>
      <c r="AC120" s="1500">
        <v>0.25</v>
      </c>
      <c r="AD120" s="1500">
        <v>0.22999999999999998</v>
      </c>
      <c r="AE120" s="1489" t="s">
        <v>2631</v>
      </c>
      <c r="AF120" s="270"/>
      <c r="AG120" s="270"/>
      <c r="AH120" s="270"/>
      <c r="AI120" s="270"/>
      <c r="AJ120" s="270"/>
      <c r="AK120" s="270"/>
      <c r="AL120" s="270"/>
      <c r="AM120" s="270"/>
      <c r="AN120" s="270"/>
      <c r="AO120" s="270"/>
      <c r="AP120" s="270"/>
      <c r="AQ120" s="270"/>
      <c r="AR120" s="270"/>
      <c r="AS120" s="270"/>
    </row>
    <row r="121" spans="8:45" ht="12.75" customHeight="1" thickBot="1">
      <c r="H121" s="1375"/>
      <c r="I121" s="1375" t="s">
        <v>2654</v>
      </c>
      <c r="J121" s="1533" t="s">
        <v>1654</v>
      </c>
      <c r="K121" s="1534" t="s">
        <v>735</v>
      </c>
      <c r="L121" s="1535" t="s">
        <v>33</v>
      </c>
      <c r="M121" s="1536">
        <v>-0.39</v>
      </c>
      <c r="N121" s="1537">
        <v>-0.19500000000000006</v>
      </c>
      <c r="O121" s="1537">
        <v>7.999999999999996E-2</v>
      </c>
      <c r="P121" s="1538">
        <v>0.30000000000000004</v>
      </c>
      <c r="Q121" s="1539">
        <v>-1.7742399999999998E-2</v>
      </c>
      <c r="R121" s="1540" t="s">
        <v>2685</v>
      </c>
      <c r="S121" s="1375"/>
      <c r="T121" s="1375"/>
      <c r="U121" s="1375"/>
      <c r="V121" s="1375"/>
      <c r="W121" s="1375"/>
      <c r="X121" s="1375"/>
      <c r="Z121" s="270"/>
      <c r="AA121" s="1489" t="s">
        <v>208</v>
      </c>
      <c r="AB121" s="1500">
        <v>0.37</v>
      </c>
      <c r="AC121" s="1500">
        <v>0.5</v>
      </c>
      <c r="AD121" s="1500">
        <v>0.22999999999999998</v>
      </c>
      <c r="AE121" s="1489" t="s">
        <v>2631</v>
      </c>
      <c r="AF121" s="270"/>
      <c r="AG121" s="270"/>
      <c r="AH121" s="270"/>
      <c r="AI121" s="270"/>
      <c r="AJ121" s="270"/>
      <c r="AK121" s="270"/>
      <c r="AL121" s="270"/>
      <c r="AM121" s="270"/>
      <c r="AN121" s="270"/>
      <c r="AO121" s="270"/>
      <c r="AP121" s="270"/>
      <c r="AQ121" s="270"/>
      <c r="AR121" s="270"/>
      <c r="AS121" s="270"/>
    </row>
    <row r="122" spans="8:45" ht="12.75" customHeight="1">
      <c r="H122" s="1375"/>
      <c r="I122" s="1375" t="s">
        <v>2655</v>
      </c>
      <c r="J122" s="1526" t="s">
        <v>207</v>
      </c>
      <c r="K122" s="1527" t="s">
        <v>735</v>
      </c>
      <c r="L122" s="1528" t="s">
        <v>207</v>
      </c>
      <c r="M122" s="1529">
        <v>-0.17999999999999994</v>
      </c>
      <c r="N122" s="1530">
        <v>-8.9999999999999969E-2</v>
      </c>
      <c r="O122" s="1530">
        <v>0.1100000000000001</v>
      </c>
      <c r="P122" s="1531">
        <v>0.30000000000000004</v>
      </c>
      <c r="Q122" s="1532">
        <v>-8.1887999999999996E-3</v>
      </c>
      <c r="R122" s="1540" t="s">
        <v>2685</v>
      </c>
      <c r="S122" s="1375"/>
      <c r="T122" s="1375"/>
      <c r="U122" s="1375"/>
      <c r="V122" s="1375"/>
      <c r="W122" s="1375"/>
      <c r="X122" s="1375"/>
      <c r="Z122" s="270"/>
      <c r="AA122" s="1489" t="s">
        <v>2624</v>
      </c>
      <c r="AB122" s="1501">
        <v>0.4396757008284084</v>
      </c>
      <c r="AC122" s="1501">
        <v>0.52520768185983224</v>
      </c>
      <c r="AD122" s="1501">
        <v>0.30146853462823253</v>
      </c>
      <c r="AE122" s="1489"/>
      <c r="AF122" s="270"/>
      <c r="AG122" s="270"/>
      <c r="AH122" s="270"/>
      <c r="AI122" s="270"/>
      <c r="AJ122" s="270"/>
      <c r="AK122" s="270"/>
      <c r="AL122" s="270"/>
      <c r="AM122" s="270"/>
      <c r="AN122" s="270"/>
      <c r="AO122" s="270"/>
      <c r="AP122" s="270"/>
      <c r="AQ122" s="270"/>
      <c r="AR122" s="270"/>
      <c r="AS122" s="270"/>
    </row>
    <row r="123" spans="8:45" ht="12.75" customHeight="1">
      <c r="H123" s="1375"/>
      <c r="I123" s="1375" t="s">
        <v>2656</v>
      </c>
      <c r="J123" s="1526" t="s">
        <v>204</v>
      </c>
      <c r="K123" s="1527" t="s">
        <v>735</v>
      </c>
      <c r="L123" s="1528" t="s">
        <v>204</v>
      </c>
      <c r="M123" s="1529">
        <v>-0.21989158997379088</v>
      </c>
      <c r="N123" s="1530">
        <v>-0.10471028093990054</v>
      </c>
      <c r="O123" s="1530">
        <v>0.27648006751537391</v>
      </c>
      <c r="P123" s="1531">
        <v>0.3</v>
      </c>
      <c r="Q123" s="1532">
        <v>-1.0294798139927173E-2</v>
      </c>
      <c r="R123" s="1540"/>
      <c r="S123" s="1375"/>
      <c r="T123" s="1375"/>
      <c r="U123" s="1375"/>
      <c r="V123" s="1375"/>
      <c r="W123" s="1375"/>
      <c r="X123" s="1375"/>
    </row>
    <row r="124" spans="8:45" ht="12.75" customHeight="1">
      <c r="H124" s="1375"/>
      <c r="I124" s="1375" t="s">
        <v>2657</v>
      </c>
      <c r="J124" s="1526" t="s">
        <v>207</v>
      </c>
      <c r="K124" s="1527" t="s">
        <v>735</v>
      </c>
      <c r="L124" s="1528" t="s">
        <v>207</v>
      </c>
      <c r="M124" s="1529">
        <v>-0.17999999999999994</v>
      </c>
      <c r="N124" s="1530">
        <v>-8.9999999999999969E-2</v>
      </c>
      <c r="O124" s="1530">
        <v>0.1100000000000001</v>
      </c>
      <c r="P124" s="1531">
        <v>0.30000000000000004</v>
      </c>
      <c r="Q124" s="1532">
        <v>-8.1887999999999996E-3</v>
      </c>
      <c r="R124" s="1540" t="s">
        <v>2685</v>
      </c>
      <c r="S124" s="1375"/>
      <c r="T124" s="1375"/>
      <c r="U124" s="1375"/>
      <c r="V124" s="1375"/>
      <c r="W124" s="1375"/>
      <c r="X124" s="1375"/>
    </row>
    <row r="125" spans="8:45" ht="12.75" customHeight="1">
      <c r="H125" s="1375"/>
      <c r="I125" s="1375" t="s">
        <v>2658</v>
      </c>
      <c r="J125" s="1526" t="s">
        <v>1656</v>
      </c>
      <c r="K125" s="1527" t="s">
        <v>2692</v>
      </c>
      <c r="L125" s="1528" t="s">
        <v>193</v>
      </c>
      <c r="M125" s="1529">
        <v>-0.32345083358017601</v>
      </c>
      <c r="N125" s="1530">
        <v>-0.15402420646675052</v>
      </c>
      <c r="O125" s="1530">
        <v>4.2689509461461106E-2</v>
      </c>
      <c r="P125" s="1531">
        <v>0.3</v>
      </c>
      <c r="Q125" s="1532">
        <v>-1.4525486709657287E-2</v>
      </c>
      <c r="R125" s="1540" t="s">
        <v>2690</v>
      </c>
      <c r="S125" s="1375"/>
      <c r="T125" s="1375"/>
      <c r="U125" s="1375"/>
      <c r="V125" s="1375"/>
      <c r="W125" s="1375"/>
      <c r="X125" s="1375"/>
    </row>
    <row r="126" spans="8:45" ht="12.75" customHeight="1">
      <c r="H126" s="1375"/>
      <c r="I126" s="1375" t="s">
        <v>2659</v>
      </c>
      <c r="J126" s="1526" t="s">
        <v>1657</v>
      </c>
      <c r="K126" s="1527" t="s">
        <v>2693</v>
      </c>
      <c r="L126" s="1528" t="s">
        <v>191</v>
      </c>
      <c r="M126" s="1529">
        <v>-0.25162646101562691</v>
      </c>
      <c r="N126" s="1530">
        <v>-0.11982212429315553</v>
      </c>
      <c r="O126" s="1530">
        <v>6.2415487912376499E-2</v>
      </c>
      <c r="P126" s="1531">
        <v>0.3</v>
      </c>
      <c r="Q126" s="1532">
        <v>-1.2761735848449291E-2</v>
      </c>
      <c r="R126" s="1540" t="s">
        <v>2690</v>
      </c>
      <c r="S126" s="1375"/>
      <c r="T126" s="1375"/>
      <c r="U126" s="1375"/>
      <c r="V126" s="1375"/>
      <c r="W126" s="1375"/>
      <c r="X126" s="1375"/>
    </row>
    <row r="127" spans="8:45" ht="12.75" customHeight="1">
      <c r="H127" s="1375"/>
      <c r="I127" s="1375" t="s">
        <v>2660</v>
      </c>
      <c r="J127" s="1526" t="s">
        <v>1658</v>
      </c>
      <c r="K127" s="1527" t="s">
        <v>2694</v>
      </c>
      <c r="L127" s="1528" t="s">
        <v>192</v>
      </c>
      <c r="M127" s="1529">
        <v>-0.40979156547590434</v>
      </c>
      <c r="N127" s="1530">
        <v>-0.19513884070281173</v>
      </c>
      <c r="O127" s="1530">
        <v>2.9320935886457566E-2</v>
      </c>
      <c r="P127" s="1531">
        <v>0.3</v>
      </c>
      <c r="Q127" s="1532">
        <v>-2.0873705020855594E-2</v>
      </c>
      <c r="R127" s="1540" t="s">
        <v>2690</v>
      </c>
      <c r="S127" s="1375"/>
      <c r="T127" s="1375"/>
      <c r="U127" s="1375"/>
      <c r="V127" s="1375"/>
      <c r="W127" s="1375"/>
      <c r="X127" s="1375"/>
    </row>
    <row r="128" spans="8:45" ht="12.75" customHeight="1">
      <c r="H128" s="1375"/>
      <c r="I128" s="1375" t="s">
        <v>208</v>
      </c>
      <c r="J128" s="1526" t="s">
        <v>208</v>
      </c>
      <c r="K128" s="1527" t="s">
        <v>735</v>
      </c>
      <c r="L128" s="1528" t="s">
        <v>208</v>
      </c>
      <c r="M128" s="1529">
        <v>-0.18070685555076693</v>
      </c>
      <c r="N128" s="1530">
        <v>-8.6050883595603533E-2</v>
      </c>
      <c r="O128" s="1530">
        <v>-5.4390629870755269E-3</v>
      </c>
      <c r="P128" s="1531">
        <v>0.3</v>
      </c>
      <c r="Q128" s="1532">
        <v>-8.1045006306802551E-3</v>
      </c>
      <c r="R128" s="1540" t="s">
        <v>2695</v>
      </c>
      <c r="S128" s="1375"/>
      <c r="T128" s="1375"/>
      <c r="U128" s="1375"/>
      <c r="V128" s="1375"/>
      <c r="W128" s="1375"/>
      <c r="X128" s="1375"/>
    </row>
    <row r="129" spans="8:24" ht="12.75" customHeight="1">
      <c r="H129" s="1375"/>
      <c r="I129" s="1375" t="s">
        <v>2661</v>
      </c>
      <c r="J129" s="1526" t="s">
        <v>1637</v>
      </c>
      <c r="K129" s="1527" t="s">
        <v>735</v>
      </c>
      <c r="L129" s="1528" t="s">
        <v>1637</v>
      </c>
      <c r="M129" s="1529">
        <v>0</v>
      </c>
      <c r="N129" s="1530">
        <v>0</v>
      </c>
      <c r="O129" s="1530">
        <v>0</v>
      </c>
      <c r="P129" s="1531">
        <v>0.30000000000000004</v>
      </c>
      <c r="Q129" s="1532">
        <v>0</v>
      </c>
      <c r="R129" s="1540" t="s">
        <v>2685</v>
      </c>
      <c r="S129" s="1375"/>
      <c r="T129" s="1375"/>
      <c r="U129" s="1375"/>
      <c r="V129" s="1375"/>
      <c r="W129" s="1375"/>
      <c r="X129" s="1375"/>
    </row>
    <row r="130" spans="8:24" ht="12.75" customHeight="1">
      <c r="H130" s="1375"/>
      <c r="I130" s="1375" t="s">
        <v>2662</v>
      </c>
      <c r="J130" s="1526" t="s">
        <v>208</v>
      </c>
      <c r="K130" s="1527" t="s">
        <v>735</v>
      </c>
      <c r="L130" s="1528" t="s">
        <v>208</v>
      </c>
      <c r="M130" s="1529">
        <v>-0.18070685555076693</v>
      </c>
      <c r="N130" s="1530">
        <v>-8.6050883595603533E-2</v>
      </c>
      <c r="O130" s="1530">
        <v>-5.4390629870755269E-3</v>
      </c>
      <c r="P130" s="1531">
        <v>0.3</v>
      </c>
      <c r="Q130" s="1532">
        <v>-8.1045006306802551E-3</v>
      </c>
      <c r="R130" s="1540" t="s">
        <v>2690</v>
      </c>
      <c r="S130" s="1375"/>
      <c r="T130" s="1375"/>
      <c r="U130" s="1375"/>
      <c r="V130" s="1375"/>
      <c r="W130" s="1375"/>
      <c r="X130" s="1375"/>
    </row>
    <row r="131" spans="8:24" ht="12.75" customHeight="1">
      <c r="H131" s="1375"/>
      <c r="I131" s="1375" t="s">
        <v>2663</v>
      </c>
      <c r="J131" s="1526" t="s">
        <v>207</v>
      </c>
      <c r="K131" s="1527" t="s">
        <v>735</v>
      </c>
      <c r="L131" s="1528" t="s">
        <v>207</v>
      </c>
      <c r="M131" s="1529">
        <v>-0.17999999999999994</v>
      </c>
      <c r="N131" s="1530">
        <v>-8.9999999999999969E-2</v>
      </c>
      <c r="O131" s="1530">
        <v>0.1100000000000001</v>
      </c>
      <c r="P131" s="1531">
        <v>0.30000000000000004</v>
      </c>
      <c r="Q131" s="1532">
        <v>-8.1887999999999996E-3</v>
      </c>
      <c r="R131" s="1540" t="s">
        <v>2685</v>
      </c>
      <c r="S131" s="1375"/>
      <c r="T131" s="1375"/>
      <c r="U131" s="1375"/>
      <c r="V131" s="1375"/>
      <c r="W131" s="1375"/>
      <c r="X131" s="1375"/>
    </row>
    <row r="132" spans="8:24" ht="12.75" customHeight="1">
      <c r="H132" s="1375"/>
      <c r="I132" s="1375" t="s">
        <v>2664</v>
      </c>
      <c r="J132" s="1526" t="s">
        <v>208</v>
      </c>
      <c r="K132" s="1527" t="s">
        <v>735</v>
      </c>
      <c r="L132" s="1528" t="s">
        <v>208</v>
      </c>
      <c r="M132" s="1529">
        <v>-0.18070685555076693</v>
      </c>
      <c r="N132" s="1530">
        <v>-8.6050883595603533E-2</v>
      </c>
      <c r="O132" s="1530">
        <v>-5.4390629870755269E-3</v>
      </c>
      <c r="P132" s="1531">
        <v>0.3</v>
      </c>
      <c r="Q132" s="1532">
        <v>-8.1045006306802551E-3</v>
      </c>
      <c r="R132" s="1540" t="s">
        <v>2690</v>
      </c>
      <c r="S132" s="1375"/>
      <c r="T132" s="1375"/>
      <c r="U132" s="1375"/>
      <c r="V132" s="1375"/>
      <c r="W132" s="1375"/>
      <c r="X132" s="1375"/>
    </row>
    <row r="133" spans="8:24" ht="12.75" customHeight="1">
      <c r="H133" s="1375"/>
      <c r="I133" s="1375" t="s">
        <v>2665</v>
      </c>
      <c r="J133" s="1526" t="s">
        <v>1649</v>
      </c>
      <c r="K133" s="1527" t="s">
        <v>2687</v>
      </c>
      <c r="L133" s="1528" t="s">
        <v>196</v>
      </c>
      <c r="M133" s="1529">
        <v>-0.32139598680676418</v>
      </c>
      <c r="N133" s="1530">
        <v>-0.15304570800322104</v>
      </c>
      <c r="O133" s="1530">
        <v>0.13414676389262903</v>
      </c>
      <c r="P133" s="1531">
        <v>0.3</v>
      </c>
      <c r="Q133" s="1532">
        <v>-1.4681907484768998E-2</v>
      </c>
      <c r="R133" s="1540" t="s">
        <v>2688</v>
      </c>
      <c r="S133" s="1375"/>
      <c r="T133" s="1375"/>
      <c r="U133" s="1375"/>
      <c r="V133" s="1375"/>
      <c r="W133" s="1375"/>
      <c r="X133" s="1375"/>
    </row>
    <row r="134" spans="8:24" ht="12.75" customHeight="1">
      <c r="H134" s="1375"/>
      <c r="I134" s="1375" t="s">
        <v>2666</v>
      </c>
      <c r="J134" s="1526" t="s">
        <v>207</v>
      </c>
      <c r="K134" s="1527" t="s">
        <v>735</v>
      </c>
      <c r="L134" s="1528" t="s">
        <v>207</v>
      </c>
      <c r="M134" s="1529">
        <v>-0.17999999999999994</v>
      </c>
      <c r="N134" s="1530">
        <v>-8.9999999999999969E-2</v>
      </c>
      <c r="O134" s="1530">
        <v>0.1100000000000001</v>
      </c>
      <c r="P134" s="1531">
        <v>0.30000000000000004</v>
      </c>
      <c r="Q134" s="1532">
        <v>-8.1887999999999996E-3</v>
      </c>
      <c r="R134" s="1540" t="s">
        <v>2685</v>
      </c>
      <c r="S134" s="1375"/>
      <c r="T134" s="1375"/>
      <c r="U134" s="1375"/>
      <c r="V134" s="1375"/>
      <c r="W134" s="1375"/>
      <c r="X134" s="1375"/>
    </row>
    <row r="135" spans="8:24" ht="12.75" customHeight="1">
      <c r="H135" s="1375"/>
      <c r="I135" s="1375" t="s">
        <v>2667</v>
      </c>
      <c r="J135" s="1526" t="s">
        <v>1649</v>
      </c>
      <c r="K135" s="1527" t="s">
        <v>2687</v>
      </c>
      <c r="L135" s="1528" t="s">
        <v>196</v>
      </c>
      <c r="M135" s="1529">
        <v>-0.32139598680676418</v>
      </c>
      <c r="N135" s="1530">
        <v>-0.15304570800322104</v>
      </c>
      <c r="O135" s="1530">
        <v>0.13414676389262903</v>
      </c>
      <c r="P135" s="1531">
        <v>0.3</v>
      </c>
      <c r="Q135" s="1532">
        <v>-1.4681907484768998E-2</v>
      </c>
      <c r="R135" s="1540" t="s">
        <v>2688</v>
      </c>
      <c r="S135" s="1375"/>
      <c r="T135" s="1375"/>
      <c r="U135" s="1375"/>
      <c r="V135" s="1375"/>
      <c r="W135" s="1375"/>
      <c r="X135" s="1375"/>
    </row>
    <row r="136" spans="8:24" ht="12.75" customHeight="1">
      <c r="H136" s="1375"/>
      <c r="I136" s="1375" t="s">
        <v>2668</v>
      </c>
      <c r="J136" s="1518" t="s">
        <v>1659</v>
      </c>
      <c r="K136" s="1519" t="s">
        <v>2687</v>
      </c>
      <c r="L136" s="1520" t="s">
        <v>194</v>
      </c>
      <c r="M136" s="1521">
        <v>-0.32139598680676418</v>
      </c>
      <c r="N136" s="1522">
        <v>-0.15304570800322104</v>
      </c>
      <c r="O136" s="1522">
        <v>0.13414676389262903</v>
      </c>
      <c r="P136" s="1523">
        <v>0.3</v>
      </c>
      <c r="Q136" s="1524">
        <v>-1.4681907484768998E-2</v>
      </c>
      <c r="R136" s="1540" t="s">
        <v>2688</v>
      </c>
      <c r="S136" s="1375"/>
      <c r="T136" s="1375"/>
      <c r="U136" s="1375"/>
      <c r="V136" s="1375"/>
      <c r="W136" s="1375"/>
      <c r="X136" s="1375"/>
    </row>
    <row r="137" spans="8:24" ht="12.75" customHeight="1">
      <c r="H137" s="1375"/>
      <c r="I137" s="1375" t="s">
        <v>2669</v>
      </c>
      <c r="J137" s="1526" t="s">
        <v>1660</v>
      </c>
      <c r="K137" s="1527" t="s">
        <v>2687</v>
      </c>
      <c r="L137" s="1528" t="s">
        <v>195</v>
      </c>
      <c r="M137" s="1529">
        <v>-0.32139598680676418</v>
      </c>
      <c r="N137" s="1530">
        <v>-0.15304570800322104</v>
      </c>
      <c r="O137" s="1530">
        <v>0.13414676389262903</v>
      </c>
      <c r="P137" s="1531">
        <v>0.3</v>
      </c>
      <c r="Q137" s="1532">
        <v>-1.4681907484768998E-2</v>
      </c>
      <c r="R137" s="1540" t="s">
        <v>2688</v>
      </c>
      <c r="S137" s="1375"/>
      <c r="T137" s="1375"/>
      <c r="U137" s="1375"/>
      <c r="V137" s="1375"/>
      <c r="W137" s="1375"/>
      <c r="X137" s="1375"/>
    </row>
    <row r="138" spans="8:24" ht="12.75" customHeight="1">
      <c r="H138" s="1375"/>
      <c r="I138" s="1375" t="s">
        <v>2670</v>
      </c>
      <c r="J138" s="1526" t="s">
        <v>1661</v>
      </c>
      <c r="K138" s="1527" t="s">
        <v>2696</v>
      </c>
      <c r="L138" s="1528" t="s">
        <v>197</v>
      </c>
      <c r="M138" s="1529">
        <v>-0.32139598680676418</v>
      </c>
      <c r="N138" s="1530">
        <v>-0.15304570800322104</v>
      </c>
      <c r="O138" s="1530">
        <v>0.13414676389262903</v>
      </c>
      <c r="P138" s="1531">
        <v>0.3</v>
      </c>
      <c r="Q138" s="1532">
        <v>-1.4681907484768998E-2</v>
      </c>
      <c r="R138" s="1540" t="s">
        <v>2688</v>
      </c>
      <c r="S138" s="1375"/>
      <c r="T138" s="1375"/>
      <c r="U138" s="1375"/>
      <c r="V138" s="1375"/>
      <c r="W138" s="1375"/>
      <c r="X138" s="1375"/>
    </row>
    <row r="139" spans="8:24" ht="12.75" customHeight="1" thickBot="1">
      <c r="H139" s="1375"/>
      <c r="I139" s="1375" t="s">
        <v>1662</v>
      </c>
      <c r="J139" s="1533" t="s">
        <v>1662</v>
      </c>
      <c r="K139" s="1534" t="s">
        <v>478</v>
      </c>
      <c r="L139" s="1535" t="s">
        <v>202</v>
      </c>
      <c r="M139" s="1536">
        <v>-0.55909781035551198</v>
      </c>
      <c r="N139" s="1537">
        <v>-0.26623705255024399</v>
      </c>
      <c r="O139" s="1537">
        <v>5.0538652272833051E-2</v>
      </c>
      <c r="P139" s="1538">
        <v>0.3</v>
      </c>
      <c r="Q139" s="1539">
        <v>-2.5042029877402502E-2</v>
      </c>
      <c r="R139" s="1540" t="s">
        <v>2697</v>
      </c>
      <c r="S139" s="1375"/>
      <c r="T139" s="1375"/>
      <c r="U139" s="1375"/>
      <c r="V139" s="1375"/>
      <c r="W139" s="1375"/>
      <c r="X139" s="1375"/>
    </row>
    <row r="140" spans="8:24" ht="12.75" customHeight="1">
      <c r="H140" s="1375"/>
      <c r="I140" s="1375" t="s">
        <v>1663</v>
      </c>
      <c r="J140" s="1518" t="s">
        <v>1663</v>
      </c>
      <c r="K140" s="1519" t="s">
        <v>478</v>
      </c>
      <c r="L140" s="1520" t="s">
        <v>201</v>
      </c>
      <c r="M140" s="1521">
        <v>-0.55909781035551198</v>
      </c>
      <c r="N140" s="1522">
        <v>-0.26623705255024399</v>
      </c>
      <c r="O140" s="1522">
        <v>5.0538652272833051E-2</v>
      </c>
      <c r="P140" s="1523">
        <v>0.3</v>
      </c>
      <c r="Q140" s="1524">
        <v>-2.5042029877402502E-2</v>
      </c>
      <c r="R140" s="1540" t="s">
        <v>2697</v>
      </c>
      <c r="S140" s="1375"/>
      <c r="T140" s="1375"/>
      <c r="U140" s="1375"/>
      <c r="V140" s="1375"/>
      <c r="W140" s="1375"/>
      <c r="X140" s="1375"/>
    </row>
    <row r="141" spans="8:24" ht="12.75" customHeight="1">
      <c r="H141" s="1375"/>
      <c r="I141" s="1375" t="s">
        <v>198</v>
      </c>
      <c r="J141" s="1518" t="s">
        <v>1664</v>
      </c>
      <c r="K141" s="1519" t="s">
        <v>735</v>
      </c>
      <c r="L141" s="1520" t="s">
        <v>199</v>
      </c>
      <c r="M141" s="1521">
        <v>-0.47</v>
      </c>
      <c r="N141" s="1522">
        <v>-0.23499999999999999</v>
      </c>
      <c r="O141" s="1522">
        <v>0.18999999999999995</v>
      </c>
      <c r="P141" s="1523">
        <v>0.30000000000000004</v>
      </c>
      <c r="Q141" s="1524">
        <v>-2.1381866666666666E-2</v>
      </c>
      <c r="R141" s="1540" t="s">
        <v>2685</v>
      </c>
      <c r="S141" s="1375"/>
      <c r="T141" s="1375"/>
      <c r="U141" s="1375"/>
      <c r="V141" s="1375"/>
      <c r="W141" s="1375"/>
      <c r="X141" s="1375"/>
    </row>
    <row r="142" spans="8:24" ht="12.75" customHeight="1">
      <c r="H142" s="1375"/>
      <c r="I142" s="1375" t="s">
        <v>2671</v>
      </c>
      <c r="J142" s="1526" t="s">
        <v>207</v>
      </c>
      <c r="K142" s="1527" t="s">
        <v>735</v>
      </c>
      <c r="L142" s="1528" t="s">
        <v>207</v>
      </c>
      <c r="M142" s="1529">
        <v>-0.17999999999999994</v>
      </c>
      <c r="N142" s="1530">
        <v>-8.9999999999999969E-2</v>
      </c>
      <c r="O142" s="1530">
        <v>0.1100000000000001</v>
      </c>
      <c r="P142" s="1531">
        <v>0.30000000000000004</v>
      </c>
      <c r="Q142" s="1532">
        <v>-8.1887999999999996E-3</v>
      </c>
      <c r="R142" s="1540" t="s">
        <v>2685</v>
      </c>
      <c r="S142" s="1375"/>
      <c r="T142" s="1375"/>
      <c r="U142" s="1375"/>
      <c r="V142" s="1375"/>
      <c r="W142" s="1375"/>
      <c r="X142" s="1375"/>
    </row>
    <row r="143" spans="8:24" ht="12.75" customHeight="1">
      <c r="H143" s="1375"/>
      <c r="I143" s="1375" t="s">
        <v>2672</v>
      </c>
      <c r="J143" s="1518" t="s">
        <v>207</v>
      </c>
      <c r="K143" s="1519" t="s">
        <v>735</v>
      </c>
      <c r="L143" s="1520" t="s">
        <v>207</v>
      </c>
      <c r="M143" s="1521">
        <v>-0.17999999999999994</v>
      </c>
      <c r="N143" s="1522">
        <v>-8.9999999999999969E-2</v>
      </c>
      <c r="O143" s="1522">
        <v>0.1100000000000001</v>
      </c>
      <c r="P143" s="1523">
        <v>0.30000000000000004</v>
      </c>
      <c r="Q143" s="1524">
        <v>-8.1887999999999996E-3</v>
      </c>
      <c r="R143" s="1540" t="s">
        <v>2685</v>
      </c>
      <c r="S143" s="1375"/>
      <c r="T143" s="1375"/>
      <c r="U143" s="1375"/>
      <c r="V143" s="1375"/>
      <c r="W143" s="1375"/>
      <c r="X143" s="1375"/>
    </row>
    <row r="144" spans="8:24" ht="12.75" customHeight="1" thickBot="1">
      <c r="H144" s="1375"/>
      <c r="I144" s="1375" t="s">
        <v>2673</v>
      </c>
      <c r="J144" s="1533" t="s">
        <v>1648</v>
      </c>
      <c r="K144" s="1534" t="s">
        <v>735</v>
      </c>
      <c r="L144" s="1535" t="s">
        <v>208</v>
      </c>
      <c r="M144" s="1536">
        <v>-0.39</v>
      </c>
      <c r="N144" s="1537">
        <v>-0.19500000000000006</v>
      </c>
      <c r="O144" s="1537">
        <v>0</v>
      </c>
      <c r="P144" s="1538">
        <v>0.30000000000000004</v>
      </c>
      <c r="Q144" s="1539">
        <v>-1.7742399999999998E-2</v>
      </c>
      <c r="R144" s="1540" t="s">
        <v>2685</v>
      </c>
      <c r="S144" s="1375"/>
      <c r="T144" s="1375"/>
      <c r="U144" s="1375"/>
      <c r="V144" s="1375"/>
      <c r="W144" s="1375"/>
      <c r="X144" s="1375"/>
    </row>
    <row r="145" spans="8:24" ht="12.75" customHeight="1">
      <c r="H145" s="1375"/>
      <c r="I145" s="1375" t="s">
        <v>199</v>
      </c>
      <c r="J145" s="1518" t="s">
        <v>198</v>
      </c>
      <c r="K145" s="1519" t="s">
        <v>523</v>
      </c>
      <c r="L145" s="1520" t="s">
        <v>198</v>
      </c>
      <c r="M145" s="1521">
        <v>-0.41501821011599249</v>
      </c>
      <c r="N145" s="1522">
        <v>-0.20198144949449748</v>
      </c>
      <c r="O145" s="1522">
        <v>3.391741731958875E-2</v>
      </c>
      <c r="P145" s="1523">
        <v>0.3</v>
      </c>
      <c r="Q145" s="1524">
        <v>-2.0139331192153279E-2</v>
      </c>
      <c r="R145" s="1540" t="s">
        <v>2698</v>
      </c>
      <c r="S145" s="1375"/>
      <c r="T145" s="1375"/>
      <c r="U145" s="1375"/>
      <c r="V145" s="1375"/>
      <c r="W145" s="1375"/>
      <c r="X145" s="1375"/>
    </row>
    <row r="146" spans="8:24" ht="12.75" customHeight="1" thickBot="1">
      <c r="H146" s="1375"/>
      <c r="I146" s="1375" t="s">
        <v>200</v>
      </c>
      <c r="J146" s="1533" t="s">
        <v>200</v>
      </c>
      <c r="K146" s="1534" t="s">
        <v>200</v>
      </c>
      <c r="L146" s="1535" t="s">
        <v>200</v>
      </c>
      <c r="M146" s="1536">
        <v>-0.181833587977828</v>
      </c>
      <c r="N146" s="1537">
        <v>-8.6587422846584938E-2</v>
      </c>
      <c r="O146" s="1537">
        <v>-2.7919602405361843E-3</v>
      </c>
      <c r="P146" s="1538">
        <v>0.30000000000000004</v>
      </c>
      <c r="Q146" s="1539">
        <v>-8.3809589816051817E-3</v>
      </c>
      <c r="R146" s="1540" t="s">
        <v>2690</v>
      </c>
      <c r="S146" s="1375"/>
      <c r="T146" s="1375"/>
      <c r="U146" s="1375"/>
      <c r="V146" s="1375"/>
      <c r="W146" s="1375"/>
      <c r="X146" s="1375"/>
    </row>
    <row r="147" spans="8:24" ht="12.75" customHeight="1">
      <c r="H147" s="1375"/>
      <c r="I147" s="1375" t="s">
        <v>2674</v>
      </c>
      <c r="J147" s="1526" t="s">
        <v>1665</v>
      </c>
      <c r="K147" s="1527" t="s">
        <v>735</v>
      </c>
      <c r="L147" s="1528" t="s">
        <v>33</v>
      </c>
      <c r="M147" s="1529">
        <v>-0.39</v>
      </c>
      <c r="N147" s="1530">
        <v>-0.19500000000000006</v>
      </c>
      <c r="O147" s="1530">
        <v>7.999999999999996E-2</v>
      </c>
      <c r="P147" s="1531">
        <v>0.30000000000000004</v>
      </c>
      <c r="Q147" s="1532">
        <v>-1.7742399999999998E-2</v>
      </c>
      <c r="R147" s="1540" t="s">
        <v>2685</v>
      </c>
      <c r="S147" s="1375"/>
      <c r="T147" s="1375"/>
      <c r="U147" s="1375"/>
      <c r="V147" s="1375"/>
      <c r="W147" s="1375"/>
      <c r="X147" s="1375"/>
    </row>
    <row r="148" spans="8:24" ht="12.75" customHeight="1">
      <c r="H148" s="1375"/>
      <c r="I148" s="1375"/>
      <c r="J148" s="1540"/>
      <c r="K148" s="1540"/>
      <c r="L148" s="1540"/>
      <c r="M148" s="1541"/>
      <c r="N148" s="1541"/>
      <c r="O148" s="1541"/>
      <c r="P148" s="1541"/>
      <c r="Q148" s="1542"/>
      <c r="R148" s="1525"/>
      <c r="S148" s="1375"/>
      <c r="T148" s="1375"/>
      <c r="U148" s="1375"/>
      <c r="V148" s="1375"/>
      <c r="W148" s="1375"/>
      <c r="X148" s="1375"/>
    </row>
    <row r="149" spans="8:24" ht="12.75" customHeight="1">
      <c r="H149" s="1375"/>
      <c r="I149" s="1375"/>
      <c r="J149" s="1543" t="s">
        <v>2699</v>
      </c>
      <c r="K149" s="1375"/>
      <c r="L149" s="1375"/>
      <c r="M149" s="1375"/>
      <c r="N149" s="1375"/>
      <c r="O149" s="1375"/>
      <c r="P149" s="1375"/>
      <c r="Q149" s="1375"/>
      <c r="R149" s="1375"/>
      <c r="S149" s="1375"/>
      <c r="T149" s="1375"/>
      <c r="U149" s="1375"/>
      <c r="V149" s="1375"/>
      <c r="W149" s="1375"/>
      <c r="X149" s="1375"/>
    </row>
    <row r="150" spans="8:24" ht="12.75" customHeight="1">
      <c r="H150" s="1375"/>
      <c r="I150" s="1375"/>
      <c r="J150" s="1540" t="s">
        <v>2700</v>
      </c>
      <c r="K150" s="1375"/>
      <c r="L150" s="1375"/>
      <c r="M150" s="1375"/>
      <c r="N150" s="1375"/>
      <c r="O150" s="1375"/>
      <c r="P150" s="1375"/>
      <c r="Q150" s="1375"/>
      <c r="R150" s="1375"/>
      <c r="S150" s="1375"/>
      <c r="T150" s="1375"/>
      <c r="U150" s="1375"/>
      <c r="V150" s="1375"/>
      <c r="W150" s="1375"/>
      <c r="X150" s="1375"/>
    </row>
    <row r="151" spans="8:24" ht="12.75" customHeight="1">
      <c r="H151" s="1375"/>
      <c r="I151" s="1375"/>
      <c r="J151" s="1375"/>
      <c r="K151" s="1375"/>
      <c r="L151" s="1375"/>
      <c r="M151" s="1375"/>
      <c r="N151" s="1375"/>
      <c r="O151" s="1375"/>
      <c r="P151" s="1375"/>
      <c r="Q151" s="1375"/>
      <c r="R151" s="1375"/>
      <c r="S151" s="1375"/>
      <c r="T151" s="1375"/>
      <c r="U151" s="1375"/>
      <c r="V151" s="1375"/>
      <c r="W151" s="1375"/>
      <c r="X151" s="1375"/>
    </row>
    <row r="152" spans="8:24" ht="12.75" customHeight="1">
      <c r="H152" s="1375"/>
      <c r="I152" s="1375"/>
      <c r="J152" s="1375"/>
      <c r="K152" s="1375"/>
      <c r="L152" s="1375"/>
      <c r="M152" s="1375"/>
      <c r="N152" s="1375"/>
      <c r="O152" s="1375"/>
      <c r="P152" s="1375"/>
      <c r="Q152" s="1375"/>
      <c r="R152" s="1375"/>
      <c r="S152" s="1375"/>
      <c r="T152" s="1375"/>
      <c r="U152" s="1375"/>
      <c r="V152" s="1375"/>
      <c r="W152" s="1375"/>
      <c r="X152" s="1375"/>
    </row>
    <row r="153" spans="8:24" ht="12.75" customHeight="1">
      <c r="H153" s="1375"/>
      <c r="I153" s="1375"/>
      <c r="J153" s="1375"/>
      <c r="K153" s="1375"/>
      <c r="L153" s="1375"/>
      <c r="M153" s="1375"/>
      <c r="N153" s="1375"/>
      <c r="O153" s="1375"/>
      <c r="P153" s="1375"/>
      <c r="Q153" s="1375"/>
      <c r="R153" s="1375"/>
      <c r="S153" s="1375"/>
      <c r="T153" s="1375"/>
      <c r="U153" s="1375"/>
      <c r="V153" s="1375"/>
      <c r="W153" s="1375"/>
      <c r="X153" s="1375"/>
    </row>
    <row r="154" spans="8:24" ht="12.75" customHeight="1">
      <c r="H154" s="1375"/>
      <c r="I154" s="1375"/>
      <c r="J154" s="1375"/>
      <c r="K154" s="1375"/>
      <c r="L154" s="1375"/>
      <c r="M154" s="1375"/>
      <c r="N154" s="1375"/>
      <c r="O154" s="1375"/>
      <c r="P154" s="1375"/>
      <c r="Q154" s="1375"/>
      <c r="R154" s="1375"/>
      <c r="S154" s="1375"/>
      <c r="T154" s="1375"/>
      <c r="U154" s="1375"/>
      <c r="V154" s="1375"/>
      <c r="W154" s="1375"/>
      <c r="X154" s="1375"/>
    </row>
    <row r="155" spans="8:24" ht="12.75" customHeight="1">
      <c r="H155" s="1375"/>
      <c r="I155" s="485" t="s">
        <v>1646</v>
      </c>
      <c r="J155" s="270"/>
      <c r="K155" s="270"/>
      <c r="L155" s="270"/>
      <c r="M155" s="270"/>
      <c r="N155" s="270"/>
      <c r="O155" s="270"/>
      <c r="P155" s="270"/>
      <c r="Q155" s="270"/>
      <c r="R155" s="1375"/>
      <c r="S155" s="1375"/>
      <c r="T155" s="1375"/>
      <c r="U155" s="1375"/>
      <c r="V155" s="1375"/>
      <c r="W155" s="1375"/>
      <c r="X155" s="1375"/>
    </row>
    <row r="156" spans="8:24" ht="12.75" customHeight="1">
      <c r="H156" s="1375"/>
      <c r="I156" s="2806" t="s">
        <v>1615</v>
      </c>
      <c r="J156" s="2806" t="s">
        <v>1616</v>
      </c>
      <c r="K156" s="2806"/>
      <c r="L156" s="2806"/>
      <c r="M156" s="2806"/>
      <c r="N156" s="2806"/>
      <c r="O156" s="2806"/>
      <c r="P156" s="2806"/>
      <c r="Q156" s="2806"/>
      <c r="R156" s="1375"/>
      <c r="S156" s="1375"/>
      <c r="T156" s="1375"/>
      <c r="U156" s="1375"/>
      <c r="V156" s="1375"/>
      <c r="W156" s="1375"/>
      <c r="X156" s="1375"/>
    </row>
    <row r="157" spans="8:24" ht="12.75" customHeight="1">
      <c r="H157" s="1375"/>
      <c r="I157" s="2806"/>
      <c r="J157" s="1544" t="s">
        <v>1617</v>
      </c>
      <c r="K157" s="1544" t="s">
        <v>1618</v>
      </c>
      <c r="L157" s="1544" t="s">
        <v>1619</v>
      </c>
      <c r="M157" s="1544" t="s">
        <v>1620</v>
      </c>
      <c r="N157" s="1544" t="s">
        <v>1621</v>
      </c>
      <c r="O157" s="1544" t="s">
        <v>1622</v>
      </c>
      <c r="P157" s="1544" t="s">
        <v>2701</v>
      </c>
      <c r="Q157" s="1544" t="s">
        <v>1623</v>
      </c>
      <c r="R157" s="1375"/>
      <c r="S157" s="1375"/>
      <c r="T157" s="1375"/>
      <c r="U157" s="1375"/>
      <c r="V157" s="1375"/>
      <c r="W157" s="1375"/>
      <c r="X157" s="1375"/>
    </row>
    <row r="158" spans="8:24" ht="12.75" customHeight="1">
      <c r="H158" s="1375"/>
      <c r="I158" s="1545" t="s">
        <v>207</v>
      </c>
      <c r="J158" s="1546">
        <v>0</v>
      </c>
      <c r="K158" s="1546">
        <v>0.15</v>
      </c>
      <c r="L158" s="1546">
        <v>0.1</v>
      </c>
      <c r="M158" s="1546">
        <v>0.3</v>
      </c>
      <c r="N158" s="1546">
        <v>0.25</v>
      </c>
      <c r="O158" s="1546">
        <v>0.33</v>
      </c>
      <c r="P158" s="1546">
        <v>0.35</v>
      </c>
      <c r="Q158" s="1546">
        <v>0.6</v>
      </c>
      <c r="R158" s="1375"/>
      <c r="S158" s="1375"/>
      <c r="T158" s="1375"/>
      <c r="U158" s="1375"/>
      <c r="V158" s="1375"/>
      <c r="W158" s="1375"/>
      <c r="X158" s="1375"/>
    </row>
    <row r="159" spans="8:24" ht="12.75" customHeight="1">
      <c r="H159" s="1375"/>
      <c r="I159" s="1545" t="s">
        <v>1624</v>
      </c>
      <c r="J159" s="1546">
        <v>0</v>
      </c>
      <c r="K159" s="1546">
        <v>0.15</v>
      </c>
      <c r="L159" s="1546">
        <v>0.1</v>
      </c>
      <c r="M159" s="1546">
        <v>0.3</v>
      </c>
      <c r="N159" s="1546">
        <v>0.25</v>
      </c>
      <c r="O159" s="1546">
        <v>0.4</v>
      </c>
      <c r="P159" s="1546">
        <v>0.35</v>
      </c>
      <c r="Q159" s="1546">
        <v>0.6</v>
      </c>
      <c r="R159" s="1375"/>
      <c r="S159" s="1375"/>
      <c r="T159" s="1375"/>
      <c r="U159" s="1375"/>
      <c r="V159" s="1375"/>
      <c r="W159" s="1375"/>
      <c r="X159" s="1375"/>
    </row>
    <row r="160" spans="8:24" ht="12.75" customHeight="1">
      <c r="H160" s="1375"/>
      <c r="I160" s="1545" t="s">
        <v>1625</v>
      </c>
      <c r="J160" s="1546">
        <v>0</v>
      </c>
      <c r="K160" s="1546">
        <v>0.1</v>
      </c>
      <c r="L160" s="1546">
        <v>0.1</v>
      </c>
      <c r="M160" s="1546">
        <v>0.3</v>
      </c>
      <c r="N160" s="1546">
        <v>0.15</v>
      </c>
      <c r="O160" s="1546">
        <v>0.25</v>
      </c>
      <c r="P160" s="1546">
        <v>0.35</v>
      </c>
      <c r="Q160" s="1546">
        <v>0.6</v>
      </c>
      <c r="R160" s="1375"/>
      <c r="S160" s="1375"/>
      <c r="T160" s="1375"/>
      <c r="U160" s="1375"/>
      <c r="V160" s="1375"/>
      <c r="W160" s="1375"/>
      <c r="X160" s="1375"/>
    </row>
    <row r="161" spans="8:24" ht="12.75" customHeight="1">
      <c r="H161" s="1375"/>
      <c r="I161" s="1545" t="s">
        <v>1626</v>
      </c>
      <c r="J161" s="1546">
        <v>0</v>
      </c>
      <c r="K161" s="1546">
        <v>0.15</v>
      </c>
      <c r="L161" s="1546">
        <v>0.1</v>
      </c>
      <c r="M161" s="1546">
        <v>0.3</v>
      </c>
      <c r="N161" s="1546">
        <v>0.25</v>
      </c>
      <c r="O161" s="1546">
        <v>0.4</v>
      </c>
      <c r="P161" s="1546">
        <v>0.35</v>
      </c>
      <c r="Q161" s="1546">
        <v>0.6</v>
      </c>
      <c r="R161" s="1375"/>
      <c r="S161" s="1375"/>
      <c r="T161" s="1375"/>
      <c r="U161" s="1375"/>
      <c r="V161" s="1375"/>
      <c r="W161" s="1375"/>
      <c r="X161" s="1375"/>
    </row>
    <row r="162" spans="8:24" ht="12.75" customHeight="1">
      <c r="H162" s="1375"/>
      <c r="I162" s="1545" t="s">
        <v>1627</v>
      </c>
      <c r="J162" s="1546">
        <v>0</v>
      </c>
      <c r="K162" s="1546">
        <v>0.15</v>
      </c>
      <c r="L162" s="1546">
        <v>0.1</v>
      </c>
      <c r="M162" s="1546">
        <v>0.3</v>
      </c>
      <c r="N162" s="1546">
        <v>0.25</v>
      </c>
      <c r="O162" s="1546">
        <v>0.4</v>
      </c>
      <c r="P162" s="1546">
        <v>0.35</v>
      </c>
      <c r="Q162" s="1546">
        <v>0.6</v>
      </c>
      <c r="R162" s="1375"/>
      <c r="S162" s="1375"/>
      <c r="T162" s="1375"/>
      <c r="U162" s="1375"/>
      <c r="V162" s="1375"/>
      <c r="W162" s="1375"/>
      <c r="X162" s="1375"/>
    </row>
    <row r="163" spans="8:24" ht="12.75" customHeight="1">
      <c r="H163" s="1375"/>
      <c r="I163" s="1545" t="s">
        <v>1628</v>
      </c>
      <c r="J163" s="1546">
        <v>0</v>
      </c>
      <c r="K163" s="1546">
        <v>0.15</v>
      </c>
      <c r="L163" s="1546">
        <v>0.1</v>
      </c>
      <c r="M163" s="1546">
        <v>0.3</v>
      </c>
      <c r="N163" s="1546">
        <v>0.15</v>
      </c>
      <c r="O163" s="1546">
        <v>0.4</v>
      </c>
      <c r="P163" s="1546">
        <v>0.35</v>
      </c>
      <c r="Q163" s="1546">
        <v>0.6</v>
      </c>
      <c r="R163" s="1375"/>
      <c r="S163" s="1375"/>
      <c r="T163" s="1375"/>
      <c r="U163" s="1375"/>
      <c r="V163" s="1375"/>
      <c r="W163" s="1375"/>
      <c r="X163" s="1375"/>
    </row>
    <row r="164" spans="8:24" ht="12.75" customHeight="1">
      <c r="H164" s="1375"/>
      <c r="I164" s="1545" t="s">
        <v>1629</v>
      </c>
      <c r="J164" s="1546">
        <v>0</v>
      </c>
      <c r="K164" s="1546">
        <v>0.15</v>
      </c>
      <c r="L164" s="1546">
        <v>0.1</v>
      </c>
      <c r="M164" s="1546">
        <v>0.3</v>
      </c>
      <c r="N164" s="1546">
        <v>0.25</v>
      </c>
      <c r="O164" s="1546">
        <v>0.4</v>
      </c>
      <c r="P164" s="1546">
        <v>0.35</v>
      </c>
      <c r="Q164" s="1546">
        <v>0.6</v>
      </c>
      <c r="R164" s="1375"/>
      <c r="S164" s="1375"/>
      <c r="T164" s="1375"/>
      <c r="U164" s="1375"/>
      <c r="V164" s="1375"/>
      <c r="W164" s="1375"/>
      <c r="X164" s="1375"/>
    </row>
    <row r="165" spans="8:24" ht="12.75" customHeight="1">
      <c r="H165" s="1375"/>
      <c r="I165" s="1545" t="s">
        <v>1630</v>
      </c>
      <c r="J165" s="1546">
        <v>0</v>
      </c>
      <c r="K165" s="1546">
        <v>0.15</v>
      </c>
      <c r="L165" s="1546">
        <v>0.1</v>
      </c>
      <c r="M165" s="1546">
        <v>0.3</v>
      </c>
      <c r="N165" s="1546">
        <v>0.6</v>
      </c>
      <c r="O165" s="1546">
        <v>0.64</v>
      </c>
      <c r="P165" s="1546">
        <v>0.35</v>
      </c>
      <c r="Q165" s="1546">
        <v>0.6</v>
      </c>
      <c r="R165" s="1375"/>
      <c r="S165" s="1375"/>
      <c r="T165" s="1375"/>
      <c r="U165" s="1375"/>
      <c r="V165" s="1375"/>
      <c r="W165" s="1375"/>
      <c r="X165" s="1375"/>
    </row>
    <row r="166" spans="8:24" ht="12.75" customHeight="1">
      <c r="H166" s="1375"/>
      <c r="I166" s="1545" t="s">
        <v>1631</v>
      </c>
      <c r="J166" s="1546">
        <v>0</v>
      </c>
      <c r="K166" s="1546">
        <v>0.15</v>
      </c>
      <c r="L166" s="1546">
        <v>0.1</v>
      </c>
      <c r="M166" s="1546">
        <v>0.3</v>
      </c>
      <c r="N166" s="1546">
        <v>0.25</v>
      </c>
      <c r="O166" s="1546">
        <v>0.4</v>
      </c>
      <c r="P166" s="1546">
        <v>0.35</v>
      </c>
      <c r="Q166" s="1546">
        <v>0.6</v>
      </c>
      <c r="R166" s="1375"/>
      <c r="S166" s="1375"/>
      <c r="T166" s="1375"/>
      <c r="U166" s="1375"/>
      <c r="V166" s="1375"/>
      <c r="W166" s="1375"/>
      <c r="X166" s="1375"/>
    </row>
    <row r="167" spans="8:24" ht="12.75" customHeight="1">
      <c r="H167" s="1375"/>
      <c r="I167" s="1545" t="s">
        <v>33</v>
      </c>
      <c r="J167" s="1546">
        <v>0</v>
      </c>
      <c r="K167" s="1546">
        <v>0.15</v>
      </c>
      <c r="L167" s="1546">
        <v>0.1</v>
      </c>
      <c r="M167" s="1546">
        <v>0.3</v>
      </c>
      <c r="N167" s="1546">
        <v>0.25</v>
      </c>
      <c r="O167" s="1546">
        <v>0.4</v>
      </c>
      <c r="P167" s="1546">
        <v>0.35</v>
      </c>
      <c r="Q167" s="1546">
        <v>0.6</v>
      </c>
      <c r="R167" s="1375"/>
      <c r="S167" s="1375"/>
      <c r="T167" s="1375"/>
      <c r="U167" s="1375"/>
      <c r="V167" s="1375"/>
      <c r="W167" s="1375"/>
      <c r="X167" s="1375"/>
    </row>
    <row r="168" spans="8:24" ht="12.75" customHeight="1">
      <c r="H168" s="1375"/>
      <c r="I168" s="1545" t="s">
        <v>1632</v>
      </c>
      <c r="J168" s="1546">
        <v>0</v>
      </c>
      <c r="K168" s="1546">
        <v>0.15</v>
      </c>
      <c r="L168" s="1546">
        <v>0.1</v>
      </c>
      <c r="M168" s="1546">
        <v>0.3</v>
      </c>
      <c r="N168" s="1546">
        <v>0.25</v>
      </c>
      <c r="O168" s="1546">
        <v>0.4</v>
      </c>
      <c r="P168" s="1546">
        <v>0.35</v>
      </c>
      <c r="Q168" s="1546">
        <v>0.6</v>
      </c>
      <c r="R168" s="1375"/>
      <c r="S168" s="1375"/>
      <c r="T168" s="1375"/>
      <c r="U168" s="1375"/>
      <c r="V168" s="1375"/>
      <c r="W168" s="1375"/>
      <c r="X168" s="1375"/>
    </row>
    <row r="169" spans="8:24" ht="12.75" customHeight="1">
      <c r="H169" s="1375"/>
      <c r="I169" s="1545" t="s">
        <v>1633</v>
      </c>
      <c r="J169" s="1546">
        <v>0</v>
      </c>
      <c r="K169" s="1546">
        <v>0.15</v>
      </c>
      <c r="L169" s="1546">
        <v>0.1</v>
      </c>
      <c r="M169" s="1546">
        <v>0.3</v>
      </c>
      <c r="N169" s="1546">
        <v>0.25</v>
      </c>
      <c r="O169" s="1546">
        <v>0.4</v>
      </c>
      <c r="P169" s="1546">
        <v>0.35</v>
      </c>
      <c r="Q169" s="1546">
        <v>0.6</v>
      </c>
      <c r="R169" s="1375"/>
      <c r="S169" s="1375"/>
      <c r="T169" s="1375"/>
      <c r="U169" s="1375"/>
      <c r="V169" s="1375"/>
      <c r="W169" s="1375"/>
      <c r="X169" s="1375"/>
    </row>
    <row r="170" spans="8:24" ht="12.75" customHeight="1">
      <c r="H170" s="1375"/>
      <c r="I170" s="1545" t="s">
        <v>1634</v>
      </c>
      <c r="J170" s="1546">
        <v>0</v>
      </c>
      <c r="K170" s="1546">
        <v>0.15</v>
      </c>
      <c r="L170" s="1546">
        <v>0.1</v>
      </c>
      <c r="M170" s="1546">
        <v>0.3</v>
      </c>
      <c r="N170" s="1546">
        <v>0.25</v>
      </c>
      <c r="O170" s="1546">
        <v>0.4</v>
      </c>
      <c r="P170" s="1546">
        <v>0.35</v>
      </c>
      <c r="Q170" s="1546">
        <v>0.6</v>
      </c>
      <c r="R170" s="1375"/>
      <c r="S170" s="1375"/>
      <c r="T170" s="1375"/>
      <c r="U170" s="1375"/>
      <c r="V170" s="1375"/>
      <c r="W170" s="1375"/>
      <c r="X170" s="1375"/>
    </row>
    <row r="171" spans="8:24" ht="12.75" customHeight="1">
      <c r="H171" s="1375"/>
      <c r="I171" s="1545" t="s">
        <v>1635</v>
      </c>
      <c r="J171" s="1546">
        <v>0</v>
      </c>
      <c r="K171" s="1546">
        <v>0.15</v>
      </c>
      <c r="L171" s="1546">
        <v>0.1</v>
      </c>
      <c r="M171" s="1546">
        <v>0.3</v>
      </c>
      <c r="N171" s="1546">
        <v>0.25</v>
      </c>
      <c r="O171" s="1546">
        <v>0.4</v>
      </c>
      <c r="P171" s="1546">
        <v>0.35</v>
      </c>
      <c r="Q171" s="1546">
        <v>0.6</v>
      </c>
      <c r="R171" s="1375"/>
      <c r="S171" s="1375"/>
      <c r="T171" s="1375"/>
      <c r="U171" s="1375"/>
      <c r="V171" s="1375"/>
      <c r="W171" s="1375"/>
      <c r="X171" s="1375"/>
    </row>
    <row r="172" spans="8:24" ht="12.75" customHeight="1">
      <c r="H172" s="1375"/>
      <c r="I172" s="1545" t="s">
        <v>1636</v>
      </c>
      <c r="J172" s="1546">
        <v>0</v>
      </c>
      <c r="K172" s="1546">
        <v>0.15</v>
      </c>
      <c r="L172" s="1546">
        <v>0.1</v>
      </c>
      <c r="M172" s="1546">
        <v>0.3</v>
      </c>
      <c r="N172" s="1546">
        <v>0.15</v>
      </c>
      <c r="O172" s="1546">
        <v>0.4</v>
      </c>
      <c r="P172" s="1546">
        <v>0.35</v>
      </c>
      <c r="Q172" s="1546">
        <v>0.6</v>
      </c>
      <c r="R172" s="1375"/>
      <c r="S172" s="1375"/>
      <c r="T172" s="1375"/>
      <c r="U172" s="1375"/>
      <c r="V172" s="1375"/>
      <c r="W172" s="1375"/>
      <c r="X172" s="1375"/>
    </row>
    <row r="173" spans="8:24" ht="12.75" customHeight="1">
      <c r="H173" s="1375"/>
      <c r="I173" s="1545" t="s">
        <v>1637</v>
      </c>
      <c r="J173" s="1546">
        <v>0</v>
      </c>
      <c r="K173" s="1546">
        <v>0.15</v>
      </c>
      <c r="L173" s="1546">
        <v>0.1</v>
      </c>
      <c r="M173" s="1546">
        <v>0.3</v>
      </c>
      <c r="N173" s="1546">
        <v>0.25</v>
      </c>
      <c r="O173" s="1546">
        <v>0.4</v>
      </c>
      <c r="P173" s="1546">
        <v>0.35</v>
      </c>
      <c r="Q173" s="1546">
        <v>0.6</v>
      </c>
      <c r="R173" s="1375"/>
      <c r="S173" s="1375"/>
      <c r="T173" s="1375"/>
      <c r="U173" s="1375"/>
      <c r="V173" s="1375"/>
      <c r="W173" s="1375"/>
      <c r="X173" s="1375"/>
    </row>
    <row r="174" spans="8:24" ht="12.75" customHeight="1">
      <c r="H174" s="1375"/>
      <c r="I174" s="1545" t="s">
        <v>1638</v>
      </c>
      <c r="J174" s="1546">
        <v>0</v>
      </c>
      <c r="K174" s="1546">
        <v>0.2</v>
      </c>
      <c r="L174" s="1546">
        <v>0.1</v>
      </c>
      <c r="M174" s="1546">
        <v>0.3</v>
      </c>
      <c r="N174" s="1546">
        <v>0.15</v>
      </c>
      <c r="O174" s="1546">
        <v>0.4</v>
      </c>
      <c r="P174" s="1546">
        <v>0.35</v>
      </c>
      <c r="Q174" s="1546">
        <v>0.6</v>
      </c>
      <c r="R174" s="1375"/>
      <c r="S174" s="1375"/>
      <c r="T174" s="1375"/>
      <c r="U174" s="1375"/>
      <c r="V174" s="1375"/>
      <c r="W174" s="1375"/>
      <c r="X174" s="1375"/>
    </row>
    <row r="175" spans="8:24" ht="12.75" customHeight="1">
      <c r="H175" s="1375"/>
      <c r="I175" s="1545" t="s">
        <v>1639</v>
      </c>
      <c r="J175" s="1546">
        <v>0</v>
      </c>
      <c r="K175" s="1546">
        <v>0.15</v>
      </c>
      <c r="L175" s="1546">
        <v>0.1</v>
      </c>
      <c r="M175" s="1546">
        <v>0.3</v>
      </c>
      <c r="N175" s="1546">
        <v>0.25</v>
      </c>
      <c r="O175" s="1546">
        <v>0.4</v>
      </c>
      <c r="P175" s="1546">
        <v>0.35</v>
      </c>
      <c r="Q175" s="1546">
        <v>0.6</v>
      </c>
      <c r="R175" s="1375"/>
      <c r="S175" s="1375"/>
      <c r="T175" s="1375"/>
      <c r="U175" s="1375"/>
      <c r="V175" s="1375"/>
      <c r="W175" s="1375"/>
      <c r="X175" s="1375"/>
    </row>
    <row r="176" spans="8:24" ht="12.75" customHeight="1">
      <c r="H176" s="1375"/>
      <c r="I176" s="1545" t="s">
        <v>1640</v>
      </c>
      <c r="J176" s="1546">
        <v>0</v>
      </c>
      <c r="K176" s="1546">
        <v>0.15</v>
      </c>
      <c r="L176" s="1546">
        <v>0.1</v>
      </c>
      <c r="M176" s="1546">
        <v>0.3</v>
      </c>
      <c r="N176" s="1546">
        <v>0.25</v>
      </c>
      <c r="O176" s="1546">
        <v>0.4</v>
      </c>
      <c r="P176" s="1546">
        <v>0.35</v>
      </c>
      <c r="Q176" s="1546">
        <v>0.6</v>
      </c>
      <c r="R176" s="1375"/>
      <c r="S176" s="1375"/>
      <c r="T176" s="1375"/>
      <c r="U176" s="1375"/>
      <c r="V176" s="1375"/>
      <c r="W176" s="1375"/>
      <c r="X176" s="1375"/>
    </row>
    <row r="177" spans="8:34" ht="12.75" customHeight="1">
      <c r="H177" s="1375"/>
      <c r="I177" s="1545" t="s">
        <v>1641</v>
      </c>
      <c r="J177" s="1546">
        <v>0</v>
      </c>
      <c r="K177" s="1546">
        <v>0.15</v>
      </c>
      <c r="L177" s="1546">
        <v>0.1</v>
      </c>
      <c r="M177" s="1546">
        <v>0.3</v>
      </c>
      <c r="N177" s="1546">
        <v>0.5</v>
      </c>
      <c r="O177" s="1546">
        <v>0.55000000000000004</v>
      </c>
      <c r="P177" s="1546">
        <v>0.35</v>
      </c>
      <c r="Q177" s="1546">
        <v>0.6</v>
      </c>
      <c r="R177" s="1375"/>
      <c r="S177" s="1375"/>
      <c r="T177" s="1375"/>
      <c r="U177" s="1375"/>
      <c r="V177" s="1375"/>
      <c r="W177" s="1375"/>
      <c r="X177" s="1375"/>
    </row>
    <row r="178" spans="8:34" ht="12.75" customHeight="1">
      <c r="H178" s="1375"/>
      <c r="I178" s="1545" t="s">
        <v>522</v>
      </c>
      <c r="J178" s="1546">
        <v>0</v>
      </c>
      <c r="K178" s="1546">
        <v>0.15</v>
      </c>
      <c r="L178" s="1546">
        <v>0.1</v>
      </c>
      <c r="M178" s="1546">
        <v>0.3</v>
      </c>
      <c r="N178" s="1546">
        <v>0.25</v>
      </c>
      <c r="O178" s="1546">
        <v>0.4</v>
      </c>
      <c r="P178" s="1546">
        <v>0.35</v>
      </c>
      <c r="Q178" s="1546">
        <v>0.6</v>
      </c>
      <c r="R178" s="1375"/>
      <c r="S178" s="1375"/>
      <c r="T178" s="1375"/>
      <c r="U178" s="1375"/>
      <c r="V178" s="1375"/>
      <c r="W178" s="1375"/>
      <c r="X178" s="1375"/>
    </row>
    <row r="179" spans="8:34" ht="12.75" customHeight="1">
      <c r="H179" s="1375"/>
      <c r="I179" s="1545" t="s">
        <v>1642</v>
      </c>
      <c r="J179" s="1546">
        <v>0</v>
      </c>
      <c r="K179" s="1546">
        <v>0.15</v>
      </c>
      <c r="L179" s="1546">
        <v>0.1</v>
      </c>
      <c r="M179" s="1546">
        <v>0.3</v>
      </c>
      <c r="N179" s="1546">
        <v>0.64</v>
      </c>
      <c r="O179" s="1546">
        <v>0.68</v>
      </c>
      <c r="P179" s="1546">
        <v>0.35</v>
      </c>
      <c r="Q179" s="1546">
        <v>0.6</v>
      </c>
      <c r="R179" s="1375"/>
      <c r="S179" s="1375"/>
      <c r="T179" s="1375"/>
      <c r="U179" s="1375"/>
      <c r="V179" s="1375"/>
      <c r="W179" s="1375"/>
      <c r="X179" s="1375"/>
    </row>
    <row r="180" spans="8:34" ht="12.75" customHeight="1">
      <c r="H180" s="1375"/>
      <c r="I180" s="1545" t="s">
        <v>1643</v>
      </c>
      <c r="J180" s="1546">
        <v>0</v>
      </c>
      <c r="K180" s="1546">
        <v>0.15</v>
      </c>
      <c r="L180" s="1546">
        <v>0.1</v>
      </c>
      <c r="M180" s="1546">
        <v>0.3</v>
      </c>
      <c r="N180" s="1546">
        <v>0.5</v>
      </c>
      <c r="O180" s="1546">
        <v>0.55000000000000004</v>
      </c>
      <c r="P180" s="1546">
        <v>0.35</v>
      </c>
      <c r="Q180" s="1546">
        <v>0.6</v>
      </c>
      <c r="R180" s="1375"/>
      <c r="S180" s="1375"/>
      <c r="T180" s="1375"/>
      <c r="U180" s="1375"/>
      <c r="V180" s="1375"/>
      <c r="W180" s="1375"/>
      <c r="X180" s="1375"/>
    </row>
    <row r="181" spans="8:34" ht="12.75" customHeight="1">
      <c r="H181" s="1375"/>
      <c r="I181" s="1545" t="s">
        <v>1644</v>
      </c>
      <c r="J181" s="1546">
        <v>0</v>
      </c>
      <c r="K181" s="1546">
        <v>0.15</v>
      </c>
      <c r="L181" s="1546">
        <v>0.1</v>
      </c>
      <c r="M181" s="1546">
        <v>0.3</v>
      </c>
      <c r="N181" s="1546">
        <v>0.25</v>
      </c>
      <c r="O181" s="1546">
        <v>0.33</v>
      </c>
      <c r="P181" s="1546">
        <v>0.35</v>
      </c>
      <c r="Q181" s="1546">
        <v>0.6</v>
      </c>
      <c r="R181" s="1375"/>
      <c r="S181" s="1375"/>
      <c r="T181" s="1375"/>
      <c r="U181" s="1375"/>
      <c r="V181" s="1375"/>
      <c r="W181" s="1375"/>
      <c r="X181" s="1375"/>
    </row>
    <row r="182" spans="8:34" ht="12.75" customHeight="1">
      <c r="H182" s="1375"/>
      <c r="I182" s="1545" t="s">
        <v>1645</v>
      </c>
      <c r="J182" s="1546">
        <v>0</v>
      </c>
      <c r="K182" s="1546">
        <v>0.15</v>
      </c>
      <c r="L182" s="1546">
        <v>0.1</v>
      </c>
      <c r="M182" s="1546">
        <v>0.3</v>
      </c>
      <c r="N182" s="1546">
        <v>0.5</v>
      </c>
      <c r="O182" s="1546">
        <v>0.6</v>
      </c>
      <c r="P182" s="1546">
        <v>0.35</v>
      </c>
      <c r="Q182" s="1546">
        <v>0.7</v>
      </c>
      <c r="R182" s="1375"/>
      <c r="S182" s="1375"/>
      <c r="T182" s="1375"/>
      <c r="U182" s="1375"/>
      <c r="V182" s="1375"/>
      <c r="W182" s="1375"/>
      <c r="X182" s="1375"/>
    </row>
    <row r="183" spans="8:34" ht="12.75" customHeight="1">
      <c r="H183" s="1375"/>
      <c r="I183" s="1545" t="s">
        <v>208</v>
      </c>
      <c r="J183" s="1546">
        <v>0</v>
      </c>
      <c r="K183" s="1546">
        <v>0.15</v>
      </c>
      <c r="L183" s="1546">
        <v>0.1</v>
      </c>
      <c r="M183" s="1546">
        <v>0.3</v>
      </c>
      <c r="N183" s="1546">
        <v>0.25</v>
      </c>
      <c r="O183" s="1546">
        <v>0.4</v>
      </c>
      <c r="P183" s="1546">
        <v>0.35</v>
      </c>
      <c r="Q183" s="1546">
        <v>0.6</v>
      </c>
      <c r="R183" s="1375"/>
      <c r="S183" s="1375"/>
      <c r="T183" s="1375"/>
      <c r="U183" s="1375"/>
      <c r="V183" s="1375"/>
      <c r="W183" s="1375"/>
      <c r="X183" s="1375"/>
    </row>
    <row r="184" spans="8:34" ht="12.75" customHeight="1">
      <c r="H184" s="1375"/>
      <c r="I184" s="1375"/>
      <c r="J184" s="1375"/>
      <c r="K184" s="1375"/>
      <c r="L184" s="1375"/>
      <c r="M184" s="1375"/>
      <c r="N184" s="1375"/>
      <c r="O184" s="1375"/>
      <c r="P184" s="1375"/>
      <c r="Q184" s="1375"/>
      <c r="R184" s="1375"/>
      <c r="S184" s="1375"/>
      <c r="T184" s="1375"/>
      <c r="U184" s="1375"/>
      <c r="V184" s="1375"/>
      <c r="W184" s="1375"/>
      <c r="X184" s="1375"/>
    </row>
    <row r="185" spans="8:34" ht="12.75" customHeight="1">
      <c r="H185" s="1375"/>
      <c r="I185" s="1375" t="s">
        <v>2636</v>
      </c>
      <c r="J185" s="1506" t="s">
        <v>2639</v>
      </c>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row>
    <row r="186" spans="8:34" ht="12.75" customHeight="1">
      <c r="H186" s="1375"/>
      <c r="I186" s="1375"/>
      <c r="J186" s="1375"/>
      <c r="K186" s="1375"/>
      <c r="L186" s="1375"/>
      <c r="M186" s="1375"/>
      <c r="N186" s="1375"/>
      <c r="O186" s="1375"/>
      <c r="P186" s="1375"/>
      <c r="Q186" s="1375"/>
      <c r="R186" s="1375"/>
      <c r="S186" s="1375"/>
      <c r="T186" s="1375"/>
      <c r="U186" s="1375"/>
      <c r="V186" s="1375"/>
      <c r="W186" s="1375"/>
      <c r="X186" s="1375"/>
      <c r="Y186" s="1375"/>
      <c r="Z186" s="1375"/>
      <c r="AA186" s="1375"/>
      <c r="AB186" s="1375"/>
      <c r="AC186" s="1375"/>
      <c r="AD186" s="1375"/>
      <c r="AE186" s="1375"/>
    </row>
    <row r="187" spans="8:34" ht="12.75" customHeight="1">
      <c r="H187" s="1375"/>
      <c r="I187" s="1375"/>
      <c r="J187" s="1375"/>
      <c r="K187" s="1375"/>
      <c r="L187" s="1375"/>
      <c r="M187" s="1375"/>
      <c r="N187" s="1375"/>
      <c r="O187" s="1375"/>
      <c r="P187" s="1375"/>
      <c r="Q187" s="1375"/>
      <c r="R187" s="1375"/>
      <c r="S187" s="1375"/>
      <c r="T187" s="1375"/>
      <c r="U187" s="1375"/>
      <c r="V187" s="1375"/>
      <c r="W187" s="1375"/>
      <c r="X187" s="1375"/>
      <c r="Y187" s="1375"/>
      <c r="Z187" s="1375"/>
      <c r="AA187" s="1375"/>
      <c r="AB187" s="1375"/>
      <c r="AC187" s="1375"/>
      <c r="AD187" s="1375"/>
      <c r="AE187" s="1375"/>
    </row>
    <row r="188" spans="8:34" ht="12.75" customHeight="1">
      <c r="H188" s="270"/>
      <c r="I188" s="270"/>
      <c r="J188" s="270"/>
      <c r="K188" s="270"/>
      <c r="L188" s="270"/>
      <c r="M188" s="270"/>
      <c r="N188" s="270"/>
      <c r="O188" s="270"/>
      <c r="P188" s="270"/>
      <c r="Q188" s="270"/>
      <c r="R188" s="270"/>
      <c r="S188" s="270"/>
      <c r="T188" s="270"/>
      <c r="U188" s="270"/>
      <c r="V188" s="270"/>
      <c r="W188" s="270"/>
      <c r="X188" s="270"/>
      <c r="Y188" s="270"/>
      <c r="Z188" s="270"/>
      <c r="AA188" s="270"/>
    </row>
    <row r="189" spans="8:34" ht="15.75">
      <c r="H189" s="1857" t="s">
        <v>2704</v>
      </c>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C189" s="1556"/>
      <c r="AD189" s="1556"/>
      <c r="AE189" s="1556"/>
      <c r="AF189" s="1556"/>
      <c r="AG189" s="1556"/>
      <c r="AH189" s="1556"/>
    </row>
    <row r="190" spans="8:34" ht="13.5" thickBot="1">
      <c r="H190" s="270"/>
      <c r="I190" s="270"/>
      <c r="J190" s="270"/>
      <c r="K190" s="270"/>
      <c r="L190" s="270"/>
      <c r="M190" s="270"/>
      <c r="N190" s="270"/>
      <c r="O190" s="270"/>
      <c r="P190" s="270"/>
      <c r="Q190" s="270"/>
      <c r="R190" s="270"/>
      <c r="U190" s="270"/>
      <c r="V190" s="270"/>
      <c r="W190" s="270"/>
      <c r="X190" s="270"/>
      <c r="Y190" s="270"/>
      <c r="Z190" s="270"/>
      <c r="AA190" s="270"/>
    </row>
    <row r="191" spans="8:34" ht="12.75" customHeight="1" thickTop="1" thickBot="1">
      <c r="H191" s="270" t="s">
        <v>520</v>
      </c>
      <c r="I191" s="2800" t="s">
        <v>2599</v>
      </c>
      <c r="J191" s="2801"/>
      <c r="K191" s="1487" t="s">
        <v>2802</v>
      </c>
      <c r="L191" s="1375"/>
      <c r="M191" s="1375"/>
      <c r="N191" s="1375"/>
      <c r="O191" s="1375"/>
      <c r="P191" s="1375"/>
      <c r="Q191" s="1375"/>
      <c r="R191" s="1375"/>
      <c r="S191" s="1375"/>
      <c r="T191" s="1375"/>
      <c r="U191" s="1375"/>
      <c r="V191" s="1375"/>
      <c r="W191" s="1375"/>
      <c r="X191" s="1375"/>
      <c r="Y191" s="1375"/>
      <c r="Z191" s="1375"/>
      <c r="AA191" s="1375"/>
      <c r="AB191" s="1375"/>
      <c r="AC191" s="1375"/>
      <c r="AD191" s="1375"/>
      <c r="AE191" s="1375"/>
      <c r="AF191" s="1375"/>
      <c r="AG191" s="1375"/>
      <c r="AH191" s="1375"/>
    </row>
    <row r="192" spans="8:34" ht="12.75" customHeight="1" thickTop="1" thickBot="1">
      <c r="H192" s="270" t="s">
        <v>520</v>
      </c>
      <c r="I192" s="2800" t="s">
        <v>2705</v>
      </c>
      <c r="J192" s="2801"/>
      <c r="K192" s="1487" t="s">
        <v>2706</v>
      </c>
      <c r="L192" s="1375"/>
      <c r="M192" s="1375"/>
      <c r="N192" s="1375"/>
      <c r="O192" s="1375"/>
      <c r="P192" s="1375"/>
      <c r="Q192" s="1375"/>
      <c r="R192" s="1375"/>
      <c r="S192" s="1375"/>
      <c r="T192" s="1375"/>
      <c r="U192" s="1375"/>
      <c r="V192" s="1375"/>
      <c r="W192" s="1375"/>
      <c r="X192" s="1375"/>
      <c r="Y192" s="1375"/>
      <c r="Z192" s="1375"/>
      <c r="AA192" s="1375"/>
      <c r="AB192" s="1375"/>
      <c r="AC192" s="1375"/>
      <c r="AD192" s="1375"/>
      <c r="AE192" s="1375"/>
      <c r="AF192" s="1375"/>
      <c r="AG192" s="1375"/>
      <c r="AH192" s="1375"/>
    </row>
    <row r="193" spans="8:34" ht="12.75" customHeight="1" thickTop="1">
      <c r="H193" s="270"/>
      <c r="I193" s="752" t="s">
        <v>2803</v>
      </c>
      <c r="J193" s="270"/>
      <c r="K193" s="1487"/>
      <c r="L193" s="270"/>
      <c r="M193" s="270"/>
      <c r="N193" s="270"/>
      <c r="O193" s="270"/>
      <c r="P193" s="270"/>
      <c r="Q193" s="1375"/>
      <c r="R193" s="1375"/>
      <c r="S193" s="1375"/>
      <c r="T193" s="1375"/>
      <c r="U193" s="1375"/>
      <c r="V193" s="1375"/>
      <c r="W193" s="1375"/>
      <c r="X193" s="1375"/>
      <c r="Y193" s="1375"/>
      <c r="Z193" s="1375"/>
      <c r="AA193" s="1375"/>
      <c r="AB193" s="1375"/>
      <c r="AC193" s="1375"/>
      <c r="AD193" s="1375"/>
      <c r="AE193" s="1375"/>
      <c r="AF193" s="1375"/>
      <c r="AG193" s="1375"/>
      <c r="AH193" s="1375"/>
    </row>
    <row r="194" spans="8:34" ht="12.75" customHeight="1">
      <c r="H194" s="1375"/>
      <c r="I194" s="752" t="s">
        <v>2804</v>
      </c>
      <c r="J194" s="270"/>
      <c r="K194" s="270"/>
      <c r="L194" s="270"/>
      <c r="M194" s="270"/>
      <c r="N194" s="270"/>
      <c r="O194" s="270"/>
      <c r="P194" s="270"/>
      <c r="Q194" s="1375"/>
      <c r="R194" s="1375"/>
      <c r="S194" s="1375"/>
      <c r="T194" s="1375"/>
      <c r="U194" s="1375"/>
      <c r="V194" s="1375"/>
      <c r="W194" s="1375"/>
      <c r="X194" s="1375"/>
      <c r="Y194" s="1375"/>
      <c r="Z194" s="1375"/>
      <c r="AA194" s="1375"/>
      <c r="AB194" s="1375"/>
      <c r="AC194" s="1375"/>
      <c r="AD194" s="1375"/>
      <c r="AE194" s="1375"/>
      <c r="AF194" s="1375"/>
      <c r="AG194" s="1375"/>
      <c r="AH194" s="1375"/>
    </row>
    <row r="195" spans="8:34" ht="12.75" customHeight="1">
      <c r="H195" s="1493"/>
      <c r="I195" s="752" t="s">
        <v>2805</v>
      </c>
      <c r="J195" s="270"/>
      <c r="K195" s="270"/>
      <c r="L195" s="270"/>
      <c r="M195" s="270"/>
      <c r="N195" s="270"/>
      <c r="O195" s="270"/>
      <c r="P195" s="270"/>
      <c r="Q195" s="1375"/>
      <c r="R195" s="1375"/>
      <c r="S195" s="1375"/>
      <c r="T195" s="1375"/>
      <c r="U195" s="1375"/>
      <c r="V195" s="1375"/>
      <c r="W195" s="1375"/>
      <c r="X195" s="1375"/>
      <c r="Y195" s="1375"/>
      <c r="Z195" s="1375"/>
      <c r="AA195" s="1375"/>
      <c r="AB195" s="1375"/>
      <c r="AC195" s="1375"/>
      <c r="AD195" s="1375"/>
      <c r="AE195" s="1375"/>
      <c r="AF195" s="1375"/>
      <c r="AG195" s="1375"/>
      <c r="AH195" s="1375"/>
    </row>
    <row r="196" spans="8:34" ht="12.75" customHeight="1">
      <c r="H196" s="1493"/>
      <c r="I196" s="1858" t="s">
        <v>2894</v>
      </c>
      <c r="J196" s="270"/>
      <c r="K196" s="270"/>
      <c r="L196" s="270"/>
      <c r="M196" s="270"/>
      <c r="N196" s="270"/>
      <c r="O196" s="270"/>
      <c r="P196" s="270"/>
      <c r="Q196" s="1375"/>
      <c r="R196" s="1375"/>
      <c r="S196" s="1375"/>
      <c r="T196" s="1375"/>
      <c r="U196" s="1375"/>
      <c r="V196" s="1375"/>
      <c r="W196" s="1375"/>
      <c r="X196" s="1375"/>
      <c r="Y196" s="1375"/>
      <c r="Z196" s="1375"/>
      <c r="AA196" s="1375"/>
      <c r="AB196" s="1375"/>
      <c r="AC196" s="1375"/>
      <c r="AD196" s="1375"/>
      <c r="AE196" s="1375"/>
      <c r="AF196" s="1375"/>
      <c r="AG196" s="1375"/>
      <c r="AH196" s="1375"/>
    </row>
    <row r="197" spans="8:34" ht="12.75" customHeight="1">
      <c r="H197" s="1493"/>
      <c r="I197" s="1818"/>
      <c r="J197" s="1375"/>
      <c r="K197" s="1375"/>
      <c r="L197" s="1375"/>
      <c r="M197" s="1375"/>
      <c r="N197" s="1375"/>
      <c r="O197" s="1375"/>
      <c r="P197" s="1375"/>
      <c r="Q197" s="1375"/>
      <c r="R197" s="1375"/>
      <c r="S197" s="1375"/>
      <c r="T197" s="1375"/>
      <c r="U197" s="1375"/>
      <c r="V197" s="1375"/>
      <c r="W197" s="1375"/>
      <c r="X197" s="1375"/>
      <c r="Y197" s="1375"/>
      <c r="Z197" s="1375"/>
      <c r="AA197" s="1375"/>
      <c r="AB197" s="1375"/>
      <c r="AC197" s="1375"/>
      <c r="AD197" s="1375"/>
      <c r="AE197" s="1375"/>
      <c r="AF197" s="1375"/>
      <c r="AG197" s="1375"/>
      <c r="AH197" s="1375"/>
    </row>
    <row r="198" spans="8:34" ht="12.75" customHeight="1">
      <c r="H198" s="1493" t="s">
        <v>2806</v>
      </c>
      <c r="I198" s="1818"/>
      <c r="J198" s="1375"/>
      <c r="K198" s="1375"/>
      <c r="L198" s="1375"/>
      <c r="M198" s="1375"/>
      <c r="N198" s="1375"/>
      <c r="O198" s="1375"/>
      <c r="P198" s="1375"/>
      <c r="Q198" s="1375"/>
      <c r="R198" s="1375"/>
      <c r="S198" s="1375"/>
      <c r="T198" s="1375"/>
      <c r="U198" s="1375"/>
      <c r="V198" s="1375"/>
      <c r="W198" s="1375"/>
      <c r="X198" s="1375"/>
      <c r="Y198" s="1375"/>
      <c r="Z198" s="1375"/>
      <c r="AA198" s="1375"/>
      <c r="AB198" s="1375"/>
      <c r="AC198" s="1375"/>
      <c r="AD198" s="1375"/>
      <c r="AE198" s="1375"/>
      <c r="AF198" s="1375"/>
      <c r="AG198" s="1375"/>
      <c r="AH198" s="1375"/>
    </row>
    <row r="199" spans="8:34" ht="12.75" customHeight="1">
      <c r="H199" s="752" t="s">
        <v>2807</v>
      </c>
      <c r="I199" s="1375"/>
      <c r="J199" s="1375"/>
      <c r="K199" s="1375"/>
      <c r="L199" s="1375"/>
      <c r="M199" s="1375"/>
      <c r="N199" s="1375"/>
      <c r="O199" s="1375"/>
      <c r="P199" s="1375"/>
      <c r="Q199" s="1375"/>
      <c r="R199" s="1375"/>
      <c r="S199" s="1375"/>
      <c r="T199" s="1375"/>
      <c r="U199" s="1375"/>
      <c r="V199" s="1375"/>
      <c r="W199" s="1375"/>
      <c r="X199" s="1375"/>
      <c r="Y199" s="1375"/>
      <c r="Z199" s="1375"/>
      <c r="AA199" s="1375"/>
      <c r="AB199" s="1375"/>
      <c r="AC199" s="1375"/>
      <c r="AD199" s="1375"/>
      <c r="AE199" s="1375"/>
      <c r="AF199" s="1375"/>
      <c r="AG199" s="1375"/>
      <c r="AH199" s="1375"/>
    </row>
    <row r="200" spans="8:34" ht="12.75" customHeight="1">
      <c r="H200" s="270" t="s">
        <v>2808</v>
      </c>
      <c r="I200" s="1375"/>
      <c r="J200" s="1375"/>
      <c r="K200" s="236"/>
      <c r="L200" s="236"/>
      <c r="M200" s="236"/>
      <c r="N200" s="236"/>
      <c r="O200" s="1375"/>
      <c r="P200" s="1375"/>
      <c r="Q200" s="1375"/>
      <c r="R200" s="1375"/>
      <c r="S200" s="1375"/>
      <c r="T200" s="1375"/>
      <c r="U200" s="1375"/>
      <c r="V200" s="1375"/>
      <c r="W200" s="1375"/>
      <c r="X200" s="1375"/>
      <c r="Y200" s="1375"/>
      <c r="Z200" s="1375"/>
      <c r="AA200" s="1375"/>
      <c r="AB200" s="1375"/>
      <c r="AC200" s="1375"/>
      <c r="AD200" s="1375"/>
      <c r="AE200" s="1375"/>
      <c r="AF200" s="1375"/>
      <c r="AG200" s="1375"/>
      <c r="AH200" s="1375"/>
    </row>
    <row r="201" spans="8:34" ht="12.75" customHeight="1">
      <c r="H201" s="1819" t="s">
        <v>2809</v>
      </c>
      <c r="I201" s="1820"/>
      <c r="J201" s="1819" t="s">
        <v>2810</v>
      </c>
      <c r="K201" s="1819" t="s">
        <v>2811</v>
      </c>
      <c r="L201" s="1819" t="s">
        <v>2812</v>
      </c>
      <c r="M201" s="1819" t="s">
        <v>2813</v>
      </c>
      <c r="N201" s="1819" t="s">
        <v>2814</v>
      </c>
      <c r="O201" s="1821" t="s">
        <v>2815</v>
      </c>
      <c r="P201" s="1375"/>
      <c r="Q201" s="1375"/>
      <c r="R201" s="1375"/>
      <c r="S201" s="1375"/>
      <c r="T201" s="1375"/>
      <c r="U201" s="1375"/>
      <c r="V201" s="1375"/>
      <c r="W201" s="1375"/>
      <c r="X201" s="1375"/>
      <c r="Y201" s="1375"/>
      <c r="Z201" s="1375"/>
      <c r="AA201" s="1375"/>
      <c r="AB201" s="1375"/>
      <c r="AC201" s="1375"/>
      <c r="AD201" s="1375"/>
      <c r="AE201" s="1375"/>
      <c r="AF201" s="1375"/>
      <c r="AG201" s="1375"/>
      <c r="AH201" s="1375"/>
    </row>
    <row r="202" spans="8:34" ht="15">
      <c r="H202" s="1822" t="s">
        <v>2816</v>
      </c>
      <c r="I202" s="1823" t="s">
        <v>2817</v>
      </c>
      <c r="J202" s="1824">
        <v>139.82842724978951</v>
      </c>
      <c r="K202" s="1825">
        <v>0.8</v>
      </c>
      <c r="L202" s="1826">
        <v>0.03</v>
      </c>
      <c r="M202" s="1827">
        <v>0.95</v>
      </c>
      <c r="N202" s="1828">
        <f>J202*K202*(1-L202)*M202</f>
        <v>103.08151656854483</v>
      </c>
      <c r="O202" s="1824">
        <v>2090</v>
      </c>
      <c r="P202" s="1375"/>
      <c r="Q202" s="1375"/>
      <c r="R202" s="1375"/>
      <c r="S202" s="1375"/>
      <c r="T202" s="1375"/>
      <c r="U202" s="1375"/>
      <c r="V202" s="1375"/>
      <c r="W202" s="1375"/>
      <c r="X202" s="1375"/>
      <c r="Y202" s="1375"/>
      <c r="Z202" s="1375"/>
      <c r="AA202" s="1375"/>
      <c r="AB202" s="1375"/>
      <c r="AC202" s="1375"/>
      <c r="AD202" s="1375"/>
      <c r="AE202" s="1375"/>
      <c r="AF202" s="1375"/>
      <c r="AG202" s="1375"/>
      <c r="AH202" s="1375"/>
    </row>
    <row r="203" spans="8:34" ht="15">
      <c r="H203" s="1822" t="s">
        <v>2816</v>
      </c>
      <c r="I203" s="1823" t="s">
        <v>2818</v>
      </c>
      <c r="J203" s="1824">
        <v>98.089530332681051</v>
      </c>
      <c r="K203" s="1825">
        <v>0.73</v>
      </c>
      <c r="L203" s="1829" t="s">
        <v>735</v>
      </c>
      <c r="M203" s="1825">
        <v>0.95</v>
      </c>
      <c r="N203" s="1828">
        <f>J203*K203*M203</f>
        <v>68.025089285714301</v>
      </c>
      <c r="O203" s="270"/>
      <c r="P203" s="1375"/>
      <c r="Q203" s="1375"/>
      <c r="R203" s="1375"/>
      <c r="S203" s="1375"/>
      <c r="T203" s="1375"/>
      <c r="U203" s="1375"/>
      <c r="V203" s="1375"/>
      <c r="W203" s="1375"/>
      <c r="X203" s="1375"/>
      <c r="Y203" s="1375"/>
      <c r="Z203" s="1375"/>
      <c r="AA203" s="1375"/>
      <c r="AB203" s="1375"/>
      <c r="AC203" s="1375"/>
      <c r="AD203" s="1375"/>
      <c r="AE203" s="1375"/>
      <c r="AF203" s="1375"/>
      <c r="AG203" s="1375"/>
      <c r="AH203" s="1375"/>
    </row>
    <row r="204" spans="8:34" ht="15">
      <c r="H204" s="1822" t="s">
        <v>2816</v>
      </c>
      <c r="I204" s="1823" t="s">
        <v>2819</v>
      </c>
      <c r="J204" s="1824">
        <v>98.077777777777769</v>
      </c>
      <c r="K204" s="1825">
        <v>0.73</v>
      </c>
      <c r="L204" s="1829" t="s">
        <v>735</v>
      </c>
      <c r="M204" s="1825">
        <v>0.95</v>
      </c>
      <c r="N204" s="1828">
        <f t="shared" ref="N204:N205" si="18">J204*K204*M204</f>
        <v>68.016938888888888</v>
      </c>
      <c r="O204" s="270"/>
      <c r="P204" s="1375"/>
      <c r="Q204" s="1375"/>
      <c r="R204" s="1375"/>
      <c r="S204" s="1375"/>
      <c r="T204" s="1375"/>
      <c r="U204" s="1375"/>
      <c r="V204" s="1375"/>
      <c r="W204" s="1375"/>
      <c r="X204" s="1375"/>
      <c r="Y204" s="1375"/>
      <c r="Z204" s="1375"/>
      <c r="AA204" s="1375"/>
      <c r="AB204" s="1375"/>
      <c r="AC204" s="1375"/>
      <c r="AD204" s="1375"/>
      <c r="AE204" s="1375"/>
      <c r="AF204" s="1375"/>
      <c r="AG204" s="1375"/>
      <c r="AH204" s="1375"/>
    </row>
    <row r="205" spans="8:34" ht="15">
      <c r="H205" s="1822" t="s">
        <v>2816</v>
      </c>
      <c r="I205" s="1823" t="s">
        <v>2820</v>
      </c>
      <c r="J205" s="1824">
        <v>93.092224231464741</v>
      </c>
      <c r="K205" s="1825">
        <v>0.73</v>
      </c>
      <c r="L205" s="1829" t="s">
        <v>735</v>
      </c>
      <c r="M205" s="1825">
        <v>0.93</v>
      </c>
      <c r="N205" s="1828">
        <f t="shared" si="18"/>
        <v>63.20031103074141</v>
      </c>
      <c r="O205" s="270"/>
      <c r="P205" s="1375"/>
      <c r="Q205" s="1375"/>
      <c r="R205" s="1375"/>
      <c r="S205" s="1375"/>
      <c r="T205" s="1375"/>
      <c r="U205" s="1375"/>
      <c r="V205" s="1375"/>
      <c r="W205" s="1375"/>
      <c r="X205" s="1375"/>
      <c r="Y205" s="1375"/>
      <c r="Z205" s="1375"/>
      <c r="AA205" s="1375"/>
      <c r="AB205" s="1375"/>
      <c r="AC205" s="1375"/>
      <c r="AD205" s="1375"/>
      <c r="AE205" s="1375"/>
      <c r="AF205" s="1375"/>
      <c r="AG205" s="1375"/>
      <c r="AH205" s="1375"/>
    </row>
    <row r="206" spans="8:34" ht="12.75" customHeight="1">
      <c r="H206" s="1375"/>
      <c r="I206" s="1375"/>
      <c r="J206" s="1375"/>
      <c r="K206" s="1375"/>
      <c r="L206" s="1375"/>
      <c r="M206" s="1375"/>
      <c r="N206" s="1375"/>
      <c r="O206" s="1375"/>
      <c r="P206" s="1375"/>
      <c r="Q206" s="1375"/>
      <c r="R206" s="1375"/>
      <c r="S206" s="1375"/>
      <c r="T206" s="1375"/>
      <c r="U206" s="1375"/>
      <c r="V206" s="1375"/>
      <c r="W206" s="1375"/>
      <c r="X206" s="1375"/>
      <c r="Y206" s="1375"/>
      <c r="Z206" s="1375"/>
      <c r="AA206" s="1375"/>
      <c r="AB206" s="1375"/>
      <c r="AC206" s="1375"/>
      <c r="AD206" s="1375"/>
      <c r="AE206" s="1375"/>
      <c r="AF206" s="1375"/>
      <c r="AG206" s="1375"/>
      <c r="AH206" s="1375"/>
    </row>
    <row r="207" spans="8:34" ht="12.75" customHeight="1">
      <c r="H207" s="1830" t="s">
        <v>2821</v>
      </c>
      <c r="I207" s="270"/>
      <c r="J207" s="270"/>
      <c r="K207" s="270"/>
      <c r="L207" s="270"/>
      <c r="M207" s="270"/>
      <c r="N207" s="270"/>
      <c r="O207" s="270"/>
      <c r="P207" s="270"/>
      <c r="Q207" s="270"/>
      <c r="R207" s="270"/>
      <c r="S207" s="270"/>
      <c r="T207" s="1375"/>
      <c r="U207" s="1375"/>
      <c r="V207" s="1375"/>
      <c r="W207" s="1375"/>
      <c r="X207" s="1375"/>
      <c r="Y207" s="1375"/>
      <c r="Z207" s="1375"/>
      <c r="AA207" s="1375"/>
      <c r="AB207" s="1375"/>
      <c r="AC207" s="1375"/>
      <c r="AD207" s="1375"/>
      <c r="AE207" s="1375"/>
      <c r="AF207" s="1375"/>
      <c r="AG207" s="1375"/>
      <c r="AH207" s="1375"/>
    </row>
    <row r="208" spans="8:34" ht="12.75" customHeight="1">
      <c r="H208" s="1831" t="s">
        <v>2822</v>
      </c>
      <c r="I208" s="1832" t="s">
        <v>2823</v>
      </c>
      <c r="J208" s="1832" t="s">
        <v>2824</v>
      </c>
      <c r="K208" s="1832" t="s">
        <v>2825</v>
      </c>
      <c r="L208" s="1832" t="s">
        <v>2826</v>
      </c>
      <c r="M208" s="1832" t="s">
        <v>2827</v>
      </c>
      <c r="N208" s="270"/>
      <c r="O208" s="270"/>
      <c r="P208" s="270"/>
      <c r="Q208" s="270"/>
      <c r="R208" s="270"/>
      <c r="S208" s="270"/>
      <c r="T208" s="1375"/>
      <c r="U208" s="1375"/>
      <c r="V208" s="1375"/>
      <c r="W208" s="1375"/>
      <c r="X208" s="1375"/>
      <c r="Y208" s="1375"/>
      <c r="Z208" s="1375"/>
      <c r="AA208" s="1375"/>
      <c r="AB208" s="1375"/>
      <c r="AC208" s="1375"/>
      <c r="AD208" s="1375"/>
      <c r="AE208" s="1375"/>
      <c r="AF208" s="1375"/>
      <c r="AG208" s="1375"/>
      <c r="AH208" s="1375"/>
    </row>
    <row r="209" spans="8:34" ht="26.25">
      <c r="H209" s="1833" t="s">
        <v>2828</v>
      </c>
      <c r="I209" s="1834">
        <v>32</v>
      </c>
      <c r="J209" s="1834">
        <v>55.3</v>
      </c>
      <c r="K209" s="1835">
        <v>4796</v>
      </c>
      <c r="L209" s="1836">
        <v>86.726943942133815</v>
      </c>
      <c r="M209" s="1836">
        <v>92.296564195298373</v>
      </c>
      <c r="N209" s="270"/>
      <c r="O209" s="270"/>
      <c r="P209" s="270"/>
      <c r="Q209" s="270"/>
      <c r="R209" s="270"/>
      <c r="S209" s="270"/>
      <c r="T209" s="1375"/>
      <c r="U209" s="1375"/>
      <c r="V209" s="1375"/>
      <c r="W209" s="1375"/>
      <c r="X209" s="1375"/>
      <c r="Y209" s="1375"/>
      <c r="Z209" s="1375"/>
      <c r="AA209" s="1375"/>
      <c r="AB209" s="1375"/>
      <c r="AC209" s="1375"/>
      <c r="AD209" s="1375"/>
      <c r="AE209" s="1375"/>
      <c r="AF209" s="1375"/>
      <c r="AG209" s="1375"/>
      <c r="AH209" s="1375"/>
    </row>
    <row r="210" spans="8:34" ht="26.25">
      <c r="H210" s="1833" t="s">
        <v>2829</v>
      </c>
      <c r="I210" s="1834">
        <v>32</v>
      </c>
      <c r="J210" s="1834">
        <v>55.3</v>
      </c>
      <c r="K210" s="1835">
        <v>5130</v>
      </c>
      <c r="L210" s="1836">
        <v>92.766726943942132</v>
      </c>
      <c r="M210" s="1836">
        <v>93.092224231464741</v>
      </c>
      <c r="N210" s="270"/>
      <c r="O210" s="270"/>
      <c r="P210" s="270"/>
      <c r="Q210" s="270"/>
      <c r="R210" s="270"/>
      <c r="S210" s="270"/>
      <c r="T210" s="1375"/>
      <c r="U210" s="1375"/>
      <c r="V210" s="1375"/>
      <c r="W210" s="1375"/>
      <c r="X210" s="1375"/>
      <c r="Y210" s="1375"/>
      <c r="Z210" s="1375"/>
      <c r="AA210" s="1375"/>
      <c r="AB210" s="1375"/>
      <c r="AC210" s="1375"/>
      <c r="AD210" s="1375"/>
      <c r="AE210" s="1375"/>
      <c r="AF210" s="1375"/>
      <c r="AG210" s="1375"/>
      <c r="AH210" s="1375"/>
    </row>
    <row r="211" spans="8:34" ht="26.25">
      <c r="H211" s="1833" t="s">
        <v>2830</v>
      </c>
      <c r="I211" s="1834">
        <v>28</v>
      </c>
      <c r="J211" s="1834">
        <v>49.7</v>
      </c>
      <c r="K211" s="1835">
        <v>4558</v>
      </c>
      <c r="L211" s="1836">
        <v>91.710261569416488</v>
      </c>
      <c r="M211" s="1836">
        <v>87.645875251509054</v>
      </c>
      <c r="N211" s="270"/>
      <c r="O211" s="270"/>
      <c r="P211" s="270"/>
      <c r="Q211" s="270"/>
      <c r="R211" s="270"/>
      <c r="S211" s="270"/>
      <c r="T211" s="1375"/>
      <c r="U211" s="1375"/>
      <c r="V211" s="1375"/>
      <c r="W211" s="1375"/>
      <c r="X211" s="1375"/>
      <c r="Y211" s="1375"/>
      <c r="Z211" s="1375"/>
      <c r="AA211" s="1375"/>
      <c r="AB211" s="1375"/>
      <c r="AC211" s="1375"/>
      <c r="AD211" s="1375"/>
      <c r="AE211" s="1375"/>
      <c r="AF211" s="1375"/>
      <c r="AG211" s="1375"/>
      <c r="AH211" s="1375"/>
    </row>
    <row r="212" spans="8:34" ht="26.25">
      <c r="H212" s="1833" t="s">
        <v>2831</v>
      </c>
      <c r="I212" s="1834">
        <v>25</v>
      </c>
      <c r="J212" s="1834">
        <v>46.3</v>
      </c>
      <c r="K212" s="1835">
        <v>4136</v>
      </c>
      <c r="L212" s="1836">
        <v>89.330453563714912</v>
      </c>
      <c r="M212" s="1836">
        <v>117.84017278617711</v>
      </c>
      <c r="N212" s="270"/>
      <c r="O212" s="270"/>
      <c r="P212" s="270"/>
      <c r="Q212" s="270"/>
      <c r="R212" s="270"/>
      <c r="S212" s="270"/>
      <c r="T212" s="1375"/>
      <c r="U212" s="1375"/>
      <c r="V212" s="1375"/>
      <c r="W212" s="1375"/>
      <c r="X212" s="1375"/>
      <c r="Y212" s="1375"/>
      <c r="Z212" s="1375"/>
      <c r="AA212" s="1375"/>
      <c r="AB212" s="1375"/>
      <c r="AC212" s="1375"/>
      <c r="AD212" s="1375"/>
      <c r="AE212" s="1375"/>
      <c r="AF212" s="1375"/>
      <c r="AG212" s="1375"/>
      <c r="AH212" s="1375"/>
    </row>
    <row r="213" spans="8:34" ht="12.75" customHeight="1">
      <c r="H213" s="270"/>
      <c r="I213" s="270"/>
      <c r="J213" s="270"/>
      <c r="K213" s="270"/>
      <c r="L213" s="270"/>
      <c r="M213" s="270"/>
      <c r="N213" s="270"/>
      <c r="O213" s="270"/>
      <c r="P213" s="270"/>
      <c r="Q213" s="270"/>
      <c r="R213" s="270"/>
      <c r="S213" s="270"/>
      <c r="T213" s="1375"/>
      <c r="U213" s="1375"/>
      <c r="V213" s="1375"/>
      <c r="W213" s="1375"/>
      <c r="X213" s="1375"/>
      <c r="Y213" s="1375"/>
      <c r="Z213" s="1375"/>
      <c r="AA213" s="1375"/>
      <c r="AB213" s="1375"/>
      <c r="AC213" s="1375"/>
      <c r="AD213" s="1375"/>
      <c r="AE213" s="1375"/>
      <c r="AF213" s="1375"/>
      <c r="AG213" s="1375"/>
      <c r="AH213" s="1375"/>
    </row>
    <row r="214" spans="8:34" ht="12.75" customHeight="1">
      <c r="H214" s="752" t="s">
        <v>2832</v>
      </c>
      <c r="I214" s="270"/>
      <c r="J214" s="270"/>
      <c r="K214" s="270"/>
      <c r="L214" s="270"/>
      <c r="M214" s="752" t="s">
        <v>2833</v>
      </c>
      <c r="N214" s="270"/>
      <c r="O214" s="270"/>
      <c r="P214" s="270"/>
      <c r="Q214" s="270"/>
      <c r="R214" s="270"/>
      <c r="S214" s="270"/>
      <c r="T214" s="1375"/>
      <c r="U214" s="1375"/>
      <c r="V214" s="1375"/>
      <c r="W214" s="1375"/>
      <c r="X214" s="1375"/>
      <c r="Y214" s="1375"/>
      <c r="Z214" s="1375"/>
      <c r="AA214" s="1375"/>
      <c r="AB214" s="1375"/>
      <c r="AC214" s="1375"/>
      <c r="AD214" s="1375"/>
      <c r="AE214" s="1375"/>
      <c r="AF214" s="1375"/>
      <c r="AG214" s="1375"/>
      <c r="AH214" s="1375"/>
    </row>
    <row r="215" spans="8:34" ht="12.75" customHeight="1">
      <c r="H215" s="1837" t="s">
        <v>2834</v>
      </c>
      <c r="I215" s="270"/>
      <c r="J215" s="270"/>
      <c r="K215" s="270"/>
      <c r="L215" s="270"/>
      <c r="M215" s="270"/>
      <c r="N215" s="270"/>
      <c r="O215" s="270"/>
      <c r="P215" s="270"/>
      <c r="Q215" s="270"/>
      <c r="R215" s="270"/>
      <c r="S215" s="270"/>
      <c r="T215" s="1375"/>
      <c r="U215" s="1375"/>
      <c r="V215" s="1375"/>
      <c r="W215" s="1375"/>
      <c r="X215" s="1375"/>
      <c r="Y215" s="1375"/>
      <c r="Z215" s="1375"/>
      <c r="AA215" s="1375"/>
      <c r="AB215" s="1375"/>
      <c r="AC215" s="1375"/>
      <c r="AD215" s="1375"/>
      <c r="AE215" s="1375"/>
      <c r="AF215" s="1375"/>
      <c r="AG215" s="1375"/>
      <c r="AH215" s="1375"/>
    </row>
    <row r="216" spans="8:34" ht="12.75" customHeight="1">
      <c r="H216" s="270"/>
      <c r="I216" s="2802" t="s">
        <v>2835</v>
      </c>
      <c r="J216" s="2802"/>
      <c r="K216" s="270"/>
      <c r="L216" s="2803" t="s">
        <v>2836</v>
      </c>
      <c r="M216" s="2804"/>
      <c r="N216" s="2804"/>
      <c r="O216" s="2805"/>
      <c r="P216" s="270"/>
      <c r="Q216" s="270"/>
      <c r="R216" s="270"/>
      <c r="S216" s="270"/>
      <c r="T216" s="1375"/>
      <c r="U216" s="1375"/>
      <c r="V216" s="1375"/>
      <c r="W216" s="1375"/>
      <c r="X216" s="1375"/>
      <c r="Y216" s="1375"/>
      <c r="Z216" s="1375"/>
      <c r="AA216" s="1375"/>
      <c r="AB216" s="1375"/>
      <c r="AC216" s="1375"/>
      <c r="AD216" s="1375"/>
      <c r="AE216" s="1375"/>
      <c r="AF216" s="1375"/>
      <c r="AG216" s="1375"/>
      <c r="AH216" s="1375"/>
    </row>
    <row r="217" spans="8:34" ht="12.75" customHeight="1">
      <c r="H217" s="270"/>
      <c r="I217" s="270"/>
      <c r="J217" s="270"/>
      <c r="K217" s="270"/>
      <c r="L217" s="270"/>
      <c r="M217" s="270"/>
      <c r="N217" s="270"/>
      <c r="O217" s="270"/>
      <c r="P217" s="270"/>
      <c r="Q217" s="270"/>
      <c r="R217" s="270"/>
      <c r="S217" s="270"/>
      <c r="T217" s="1375"/>
      <c r="U217" s="1375"/>
      <c r="V217" s="1375"/>
      <c r="W217" s="1375"/>
      <c r="X217" s="1375"/>
      <c r="Y217" s="1375"/>
      <c r="Z217" s="1375"/>
      <c r="AA217" s="1375"/>
      <c r="AB217" s="1375"/>
      <c r="AC217" s="1375"/>
      <c r="AD217" s="1375"/>
      <c r="AE217" s="1375"/>
      <c r="AF217" s="1375"/>
      <c r="AG217" s="1375"/>
      <c r="AH217" s="1375"/>
    </row>
    <row r="218" spans="8:34" ht="12.75" customHeight="1">
      <c r="H218" s="1838"/>
      <c r="I218" s="1859" t="s">
        <v>2837</v>
      </c>
      <c r="J218" s="1860" t="s">
        <v>2838</v>
      </c>
      <c r="K218" s="270"/>
      <c r="L218" s="1838" t="s">
        <v>2839</v>
      </c>
      <c r="M218" s="1853" t="s">
        <v>2840</v>
      </c>
      <c r="N218" s="1853" t="s">
        <v>2815</v>
      </c>
      <c r="O218" s="1861" t="s">
        <v>2841</v>
      </c>
      <c r="P218" s="270"/>
      <c r="Q218" s="270"/>
      <c r="R218" s="270"/>
      <c r="S218" s="270"/>
      <c r="T218" s="1375"/>
      <c r="U218" s="1375"/>
      <c r="V218" s="1375"/>
      <c r="W218" s="1375"/>
      <c r="X218" s="1375"/>
      <c r="Y218" s="1375"/>
      <c r="Z218" s="1375"/>
      <c r="AA218" s="1375"/>
      <c r="AB218" s="1375"/>
      <c r="AC218" s="1375"/>
      <c r="AD218" s="1375"/>
      <c r="AE218" s="1375"/>
      <c r="AF218" s="1375"/>
      <c r="AG218" s="1375"/>
      <c r="AH218" s="1375"/>
    </row>
    <row r="219" spans="8:34" ht="12.75" customHeight="1">
      <c r="H219" s="1838" t="s">
        <v>2842</v>
      </c>
      <c r="I219" s="1862">
        <v>0.56999999999999995</v>
      </c>
      <c r="J219" s="1863">
        <v>0.4865426356589147</v>
      </c>
      <c r="K219" s="1864"/>
      <c r="L219" s="1838" t="s">
        <v>2842</v>
      </c>
      <c r="M219" s="1865">
        <f>N205</f>
        <v>63.20031103074141</v>
      </c>
      <c r="N219" s="1865">
        <f>K210</f>
        <v>5130</v>
      </c>
      <c r="O219" s="1866">
        <f>N219/M219</f>
        <v>81.170486605749531</v>
      </c>
      <c r="P219" s="270"/>
      <c r="Q219" s="270"/>
      <c r="R219" s="270"/>
      <c r="S219" s="270"/>
      <c r="T219" s="1375"/>
      <c r="U219" s="1375"/>
      <c r="V219" s="1375"/>
      <c r="W219" s="1375"/>
      <c r="X219" s="1375"/>
      <c r="Y219" s="1375"/>
      <c r="Z219" s="1375"/>
      <c r="AA219" s="1375"/>
      <c r="AB219" s="1375"/>
      <c r="AC219" s="1375"/>
      <c r="AD219" s="1375"/>
      <c r="AE219" s="1375"/>
      <c r="AF219" s="1375"/>
      <c r="AG219" s="1375"/>
      <c r="AH219" s="1375"/>
    </row>
    <row r="220" spans="8:34" ht="12.75" customHeight="1">
      <c r="H220" s="1838" t="s">
        <v>2712</v>
      </c>
      <c r="I220" s="1862">
        <v>0.4</v>
      </c>
      <c r="J220" s="1863">
        <v>0.25012403100775188</v>
      </c>
      <c r="K220" s="1864"/>
      <c r="L220" s="1838" t="s">
        <v>2712</v>
      </c>
      <c r="M220" s="1865">
        <f>N203</f>
        <v>68.025089285714301</v>
      </c>
      <c r="N220" s="1865">
        <f>K211</f>
        <v>4558</v>
      </c>
      <c r="O220" s="1866">
        <f>N220/M220</f>
        <v>67.004689708760282</v>
      </c>
      <c r="P220" s="270"/>
      <c r="Q220" s="270"/>
      <c r="R220" s="270"/>
      <c r="S220" s="270"/>
      <c r="T220" s="1375"/>
      <c r="U220" s="1375"/>
      <c r="V220" s="1375"/>
      <c r="W220" s="1375"/>
      <c r="X220" s="1375"/>
      <c r="Y220" s="1375"/>
      <c r="Z220" s="1375"/>
      <c r="AA220" s="1375"/>
      <c r="AB220" s="1375"/>
      <c r="AC220" s="1375"/>
      <c r="AD220" s="1375"/>
      <c r="AE220" s="1375"/>
      <c r="AF220" s="1375"/>
      <c r="AG220" s="1375"/>
      <c r="AH220" s="1375"/>
    </row>
    <row r="221" spans="8:34" ht="12.75" customHeight="1">
      <c r="H221" s="1838" t="s">
        <v>2713</v>
      </c>
      <c r="I221" s="1862">
        <v>0.02</v>
      </c>
      <c r="J221" s="1863">
        <v>0</v>
      </c>
      <c r="K221" s="1864"/>
      <c r="L221" s="1838" t="s">
        <v>2713</v>
      </c>
      <c r="M221" s="1865">
        <f>N203</f>
        <v>68.025089285714301</v>
      </c>
      <c r="N221" s="1865">
        <f>K212</f>
        <v>4136</v>
      </c>
      <c r="O221" s="1866">
        <f t="shared" ref="O221:O223" si="19">N221/M221</f>
        <v>60.80109623418879</v>
      </c>
      <c r="P221" s="270"/>
      <c r="Q221" s="270"/>
      <c r="R221" s="270"/>
      <c r="S221" s="270"/>
      <c r="T221" s="1375"/>
      <c r="U221" s="1375"/>
      <c r="V221" s="1375"/>
      <c r="W221" s="1375"/>
      <c r="X221" s="1375"/>
      <c r="Y221" s="1375"/>
      <c r="Z221" s="1375"/>
      <c r="AA221" s="1375"/>
      <c r="AB221" s="1375"/>
      <c r="AC221" s="1375"/>
      <c r="AD221" s="1375"/>
      <c r="AE221" s="1375"/>
      <c r="AF221" s="1375"/>
      <c r="AG221" s="1375"/>
      <c r="AH221" s="1375"/>
    </row>
    <row r="222" spans="8:34" ht="12.75" customHeight="1">
      <c r="H222" s="1838" t="s">
        <v>2707</v>
      </c>
      <c r="I222" s="1867"/>
      <c r="J222" s="1863">
        <v>0.26333333333333336</v>
      </c>
      <c r="K222" s="270"/>
      <c r="L222" s="1868" t="s">
        <v>2843</v>
      </c>
      <c r="M222" s="1869">
        <f>SUMPRODUCT(J219:J221,M219:M221)/SUM(J219:J221)</f>
        <v>64.838491554522889</v>
      </c>
      <c r="N222" s="1870">
        <f>SUMPRODUCT(J219:J221,N219:N221)/SUM(J219:J221)</f>
        <v>4935.7860465116273</v>
      </c>
      <c r="O222" s="1871">
        <f t="shared" si="19"/>
        <v>76.124319492551876</v>
      </c>
      <c r="P222" s="270"/>
      <c r="Q222" s="270"/>
      <c r="R222" s="270"/>
      <c r="S222" s="270"/>
      <c r="T222" s="1375"/>
      <c r="U222" s="1375"/>
      <c r="V222" s="1375"/>
      <c r="W222" s="1375"/>
      <c r="X222" s="1375"/>
      <c r="Y222" s="1375"/>
      <c r="Z222" s="1375"/>
      <c r="AA222" s="1375"/>
      <c r="AB222" s="1375"/>
      <c r="AC222" s="1375"/>
      <c r="AD222" s="1375"/>
      <c r="AE222" s="1375"/>
      <c r="AF222" s="1375"/>
      <c r="AG222" s="1375"/>
      <c r="AH222" s="1375"/>
    </row>
    <row r="223" spans="8:34" ht="12.75" customHeight="1">
      <c r="H223" s="270"/>
      <c r="I223" s="270"/>
      <c r="J223" s="270"/>
      <c r="K223" s="270"/>
      <c r="L223" s="1867" t="s">
        <v>2844</v>
      </c>
      <c r="M223" s="1872">
        <f>SUMPRODUCT(I219:I221,M219:M221)</f>
        <v>64.594714787522605</v>
      </c>
      <c r="N223" s="1873">
        <f>SUMPRODUCT(I219:I221,N219:N221)</f>
        <v>4830.0200000000004</v>
      </c>
      <c r="O223" s="1871">
        <f t="shared" si="19"/>
        <v>74.774229066384663</v>
      </c>
      <c r="P223" s="752"/>
      <c r="Q223" s="270"/>
      <c r="R223" s="270"/>
      <c r="S223" s="270"/>
      <c r="T223" s="1375"/>
      <c r="U223" s="1375"/>
      <c r="V223" s="1375"/>
      <c r="W223" s="1375"/>
      <c r="X223" s="1375"/>
      <c r="Y223" s="1375"/>
      <c r="Z223" s="1375"/>
      <c r="AA223" s="1375"/>
      <c r="AB223" s="1375"/>
      <c r="AC223" s="1375"/>
      <c r="AD223" s="1375"/>
      <c r="AE223" s="1375"/>
      <c r="AF223" s="1375"/>
      <c r="AG223" s="1375"/>
      <c r="AH223" s="1375"/>
    </row>
    <row r="224" spans="8:34" ht="12.75" customHeight="1">
      <c r="H224" s="270"/>
      <c r="I224" s="270"/>
      <c r="J224" s="270"/>
      <c r="K224" s="270"/>
      <c r="L224" s="1874"/>
      <c r="M224" s="1875"/>
      <c r="N224" s="1876"/>
      <c r="O224" s="1877"/>
      <c r="P224" s="752"/>
      <c r="Q224" s="270"/>
      <c r="R224" s="270"/>
      <c r="S224" s="270"/>
      <c r="T224" s="1375"/>
      <c r="U224" s="1375"/>
      <c r="V224" s="1375"/>
      <c r="W224" s="1375"/>
      <c r="X224" s="1375"/>
      <c r="Y224" s="1375"/>
      <c r="Z224" s="1375"/>
      <c r="AA224" s="1375"/>
      <c r="AB224" s="1375"/>
      <c r="AC224" s="1375"/>
      <c r="AD224" s="1375"/>
      <c r="AE224" s="1375"/>
      <c r="AF224" s="1375"/>
      <c r="AG224" s="1375"/>
      <c r="AH224" s="1375"/>
    </row>
    <row r="225" spans="8:34" ht="12.75" customHeight="1">
      <c r="H225" s="270"/>
      <c r="I225" s="270"/>
      <c r="J225" s="270"/>
      <c r="K225" s="270"/>
      <c r="L225" s="1874"/>
      <c r="M225" s="1875"/>
      <c r="N225" s="1876"/>
      <c r="O225" s="1877"/>
      <c r="P225" s="752"/>
      <c r="Q225" s="270"/>
      <c r="R225" s="270"/>
      <c r="S225" s="270"/>
      <c r="T225" s="1375"/>
      <c r="U225" s="1375"/>
      <c r="V225" s="1375"/>
      <c r="W225" s="1375"/>
      <c r="X225" s="1375"/>
      <c r="Y225" s="1375"/>
      <c r="Z225" s="1375"/>
      <c r="AA225" s="1375"/>
      <c r="AB225" s="1375"/>
      <c r="AC225" s="1375"/>
      <c r="AD225" s="1375"/>
      <c r="AE225" s="1375"/>
      <c r="AF225" s="1375"/>
      <c r="AG225" s="1375"/>
      <c r="AH225" s="1375"/>
    </row>
    <row r="226" spans="8:34" ht="12.75" customHeight="1">
      <c r="H226" s="270"/>
      <c r="I226" s="270"/>
      <c r="J226" s="270"/>
      <c r="K226" s="270"/>
      <c r="L226" s="1874"/>
      <c r="M226" s="1875"/>
      <c r="N226" s="1876"/>
      <c r="O226" s="1877"/>
      <c r="P226" s="752"/>
      <c r="Q226" s="270"/>
      <c r="R226" s="270"/>
      <c r="S226" s="270"/>
      <c r="T226" s="1375"/>
      <c r="U226" s="1375"/>
      <c r="V226" s="1375"/>
      <c r="W226" s="1375"/>
      <c r="X226" s="1375"/>
      <c r="Y226" s="1375"/>
      <c r="Z226" s="1375"/>
      <c r="AA226" s="1375"/>
      <c r="AB226" s="1375"/>
      <c r="AC226" s="1375"/>
      <c r="AD226" s="1375"/>
      <c r="AE226" s="1375"/>
      <c r="AF226" s="1375"/>
      <c r="AG226" s="1375"/>
      <c r="AH226" s="1375"/>
    </row>
    <row r="227" spans="8:34" ht="12.75" customHeight="1">
      <c r="H227" s="270"/>
      <c r="I227" s="270"/>
      <c r="J227" s="270"/>
      <c r="K227" s="270"/>
      <c r="L227" s="1874"/>
      <c r="M227" s="1875"/>
      <c r="N227" s="1876"/>
      <c r="O227" s="1877"/>
      <c r="P227" s="752"/>
      <c r="Q227" s="270"/>
      <c r="R227" s="270"/>
      <c r="S227" s="270"/>
      <c r="T227" s="1375"/>
      <c r="U227" s="1375"/>
      <c r="V227" s="1375"/>
      <c r="W227" s="1375"/>
      <c r="X227" s="1375"/>
      <c r="Y227" s="1375"/>
      <c r="Z227" s="1375"/>
      <c r="AA227" s="1375"/>
      <c r="AB227" s="1375"/>
      <c r="AC227" s="1375"/>
      <c r="AD227" s="1375"/>
      <c r="AE227" s="1375"/>
      <c r="AF227" s="1375"/>
      <c r="AG227" s="1375"/>
      <c r="AH227" s="1375"/>
    </row>
    <row r="228" spans="8:34" ht="12.75" customHeight="1">
      <c r="H228" s="485" t="s">
        <v>2845</v>
      </c>
      <c r="I228" s="270"/>
      <c r="J228" s="270"/>
      <c r="K228" s="270"/>
      <c r="L228" s="1874"/>
      <c r="M228" s="1875"/>
      <c r="N228" s="1876"/>
      <c r="O228" s="1877"/>
      <c r="P228" s="752"/>
      <c r="Q228" s="270"/>
      <c r="R228" s="270"/>
      <c r="S228" s="270"/>
      <c r="T228" s="1375"/>
      <c r="U228" s="1375"/>
      <c r="V228" s="1375"/>
      <c r="W228" s="1375"/>
      <c r="X228" s="1375"/>
      <c r="Y228" s="1375"/>
      <c r="Z228" s="1375"/>
      <c r="AA228" s="1375"/>
      <c r="AB228" s="1375"/>
      <c r="AC228" s="1375"/>
      <c r="AD228" s="1375"/>
      <c r="AE228" s="1375"/>
      <c r="AF228" s="1375"/>
      <c r="AG228" s="1375"/>
      <c r="AH228" s="1375"/>
    </row>
    <row r="229" spans="8:34" ht="12.75" customHeight="1">
      <c r="H229" s="752" t="s">
        <v>2846</v>
      </c>
      <c r="I229" s="270"/>
      <c r="J229" s="270"/>
      <c r="K229" s="270"/>
      <c r="L229" s="1874"/>
      <c r="M229" s="1875"/>
      <c r="N229" s="1876"/>
      <c r="O229" s="1877"/>
      <c r="P229" s="752"/>
      <c r="Q229" s="270"/>
      <c r="R229" s="270"/>
      <c r="S229" s="270"/>
      <c r="T229" s="1375"/>
      <c r="U229" s="1375"/>
      <c r="V229" s="1375"/>
      <c r="W229" s="1375"/>
      <c r="X229" s="1375"/>
      <c r="Y229" s="1375"/>
      <c r="Z229" s="1375"/>
      <c r="AA229" s="1375"/>
      <c r="AB229" s="1375"/>
      <c r="AC229" s="1375"/>
      <c r="AD229" s="1375"/>
      <c r="AE229" s="1375"/>
      <c r="AF229" s="1375"/>
      <c r="AG229" s="1375"/>
      <c r="AH229" s="1375"/>
    </row>
    <row r="230" spans="8:34" ht="24" customHeight="1">
      <c r="H230" s="1854" t="s">
        <v>985</v>
      </c>
      <c r="I230" s="1855" t="s">
        <v>2847</v>
      </c>
      <c r="J230" s="1856" t="s">
        <v>734</v>
      </c>
      <c r="K230" s="1878"/>
      <c r="L230" s="1879"/>
      <c r="M230" s="1880"/>
      <c r="N230" s="1881"/>
      <c r="O230" s="1877"/>
      <c r="P230" s="752"/>
      <c r="Q230" s="270"/>
      <c r="R230" s="270"/>
      <c r="S230" s="270"/>
      <c r="T230" s="1375"/>
      <c r="U230" s="1375"/>
      <c r="V230" s="1375"/>
      <c r="W230" s="1375"/>
      <c r="X230" s="1375"/>
      <c r="Y230" s="1375"/>
      <c r="Z230" s="1375"/>
      <c r="AA230" s="1375"/>
      <c r="AB230" s="1375"/>
      <c r="AC230" s="1375"/>
      <c r="AD230" s="1375"/>
      <c r="AE230" s="1375"/>
      <c r="AF230" s="1375"/>
      <c r="AG230" s="1375"/>
      <c r="AH230" s="1375"/>
    </row>
    <row r="231" spans="8:34" ht="24" customHeight="1">
      <c r="H231" s="1838" t="s">
        <v>2848</v>
      </c>
      <c r="I231" s="1838">
        <v>2500</v>
      </c>
      <c r="J231" s="2791" t="s">
        <v>2849</v>
      </c>
      <c r="K231" s="2792"/>
      <c r="L231" s="2792"/>
      <c r="M231" s="2792"/>
      <c r="N231" s="2793"/>
      <c r="O231" s="1877"/>
      <c r="P231" s="752"/>
      <c r="Q231" s="270"/>
      <c r="R231" s="270"/>
      <c r="S231" s="270"/>
      <c r="T231" s="1375"/>
      <c r="U231" s="1375"/>
      <c r="V231" s="1375"/>
      <c r="W231" s="1375"/>
      <c r="X231" s="1375"/>
      <c r="Y231" s="1375"/>
      <c r="Z231" s="1375"/>
      <c r="AA231" s="1375"/>
      <c r="AB231" s="1375"/>
      <c r="AC231" s="1375"/>
      <c r="AD231" s="1375"/>
      <c r="AE231" s="1375"/>
      <c r="AF231" s="1375"/>
      <c r="AG231" s="1375"/>
      <c r="AH231" s="1375"/>
    </row>
    <row r="232" spans="8:34" ht="24" customHeight="1">
      <c r="H232" s="1838" t="s">
        <v>2850</v>
      </c>
      <c r="I232" s="1838">
        <v>2800</v>
      </c>
      <c r="J232" s="2791" t="s">
        <v>2851</v>
      </c>
      <c r="K232" s="2792"/>
      <c r="L232" s="2792"/>
      <c r="M232" s="2792"/>
      <c r="N232" s="2793"/>
      <c r="O232" s="1877"/>
      <c r="P232" s="752"/>
      <c r="Q232" s="270"/>
      <c r="R232" s="270"/>
      <c r="S232" s="270"/>
      <c r="T232" s="1375"/>
      <c r="U232" s="1375"/>
      <c r="V232" s="1375"/>
      <c r="W232" s="1375"/>
      <c r="X232" s="1375"/>
      <c r="Y232" s="1375"/>
      <c r="Z232" s="1375"/>
      <c r="AA232" s="1375"/>
      <c r="AB232" s="1375"/>
      <c r="AC232" s="1375"/>
      <c r="AD232" s="1375"/>
      <c r="AE232" s="1375"/>
      <c r="AF232" s="1375"/>
      <c r="AG232" s="1375"/>
      <c r="AH232" s="1375"/>
    </row>
    <row r="233" spans="8:34" ht="15.75" customHeight="1">
      <c r="H233" s="1838" t="s">
        <v>2852</v>
      </c>
      <c r="I233" s="1838">
        <v>3200</v>
      </c>
      <c r="J233" s="2791" t="s">
        <v>2853</v>
      </c>
      <c r="K233" s="2792"/>
      <c r="L233" s="2792"/>
      <c r="M233" s="2792"/>
      <c r="N233" s="2793"/>
      <c r="O233" s="1877"/>
      <c r="P233" s="752"/>
      <c r="Q233" s="270"/>
      <c r="R233" s="270"/>
      <c r="S233" s="270"/>
      <c r="T233" s="1375"/>
      <c r="U233" s="1375"/>
      <c r="V233" s="1375"/>
      <c r="W233" s="1375"/>
      <c r="X233" s="1375"/>
      <c r="Y233" s="1375"/>
      <c r="Z233" s="1375"/>
      <c r="AA233" s="1375"/>
      <c r="AB233" s="1375"/>
      <c r="AC233" s="1375"/>
      <c r="AD233" s="1375"/>
      <c r="AE233" s="1375"/>
      <c r="AF233" s="1375"/>
      <c r="AG233" s="1375"/>
      <c r="AH233" s="1375"/>
    </row>
    <row r="234" spans="8:34" ht="12.75" customHeight="1">
      <c r="H234" s="1838" t="s">
        <v>2854</v>
      </c>
      <c r="I234" s="1838">
        <v>4400</v>
      </c>
      <c r="J234" s="2791" t="s">
        <v>2855</v>
      </c>
      <c r="K234" s="2792"/>
      <c r="L234" s="2792"/>
      <c r="M234" s="2792"/>
      <c r="N234" s="2793"/>
      <c r="O234" s="1877"/>
      <c r="P234" s="752"/>
      <c r="Q234" s="270"/>
      <c r="R234" s="270"/>
      <c r="S234" s="270"/>
      <c r="T234" s="1375"/>
      <c r="U234" s="1375"/>
      <c r="V234" s="1375"/>
      <c r="W234" s="1375"/>
      <c r="X234" s="1375"/>
      <c r="Y234" s="1375"/>
      <c r="Z234" s="1375"/>
      <c r="AA234" s="1375"/>
      <c r="AB234" s="1375"/>
      <c r="AC234" s="1375"/>
      <c r="AD234" s="1375"/>
      <c r="AE234" s="1375"/>
      <c r="AF234" s="1375"/>
      <c r="AG234" s="1375"/>
      <c r="AH234" s="1375"/>
    </row>
    <row r="235" spans="8:34" ht="12.75" customHeight="1">
      <c r="H235" s="270"/>
      <c r="I235" s="270"/>
      <c r="J235" s="270"/>
      <c r="K235" s="270"/>
      <c r="L235" s="1874"/>
      <c r="M235" s="1875"/>
      <c r="N235" s="1876"/>
      <c r="O235" s="1877"/>
      <c r="P235" s="752"/>
      <c r="Q235" s="270"/>
      <c r="R235" s="270"/>
      <c r="S235" s="270"/>
      <c r="T235" s="1375"/>
      <c r="U235" s="1375"/>
      <c r="V235" s="1375"/>
      <c r="W235" s="1375"/>
      <c r="X235" s="1375"/>
      <c r="Y235" s="1375"/>
      <c r="Z235" s="1375"/>
      <c r="AA235" s="1375"/>
      <c r="AB235" s="1375"/>
      <c r="AC235" s="1375"/>
      <c r="AD235" s="1375"/>
      <c r="AE235" s="1375"/>
      <c r="AF235" s="1375"/>
      <c r="AG235" s="1375"/>
      <c r="AH235" s="1375"/>
    </row>
    <row r="236" spans="8:34" ht="12.75" customHeight="1">
      <c r="H236" s="752" t="s">
        <v>2856</v>
      </c>
      <c r="I236" s="270"/>
      <c r="J236" s="270"/>
      <c r="K236" s="270"/>
      <c r="L236" s="1874"/>
      <c r="M236" s="1875"/>
      <c r="N236" s="1876"/>
      <c r="O236" s="1877"/>
      <c r="P236" s="752"/>
      <c r="Q236" s="270"/>
      <c r="R236" s="270"/>
      <c r="S236" s="270"/>
      <c r="T236" s="1375"/>
      <c r="U236" s="1375"/>
      <c r="V236" s="1375"/>
      <c r="W236" s="1375"/>
      <c r="X236" s="1375"/>
      <c r="Y236" s="1375"/>
      <c r="Z236" s="1375"/>
      <c r="AA236" s="1375"/>
      <c r="AB236" s="1375"/>
      <c r="AC236" s="1375"/>
      <c r="AD236" s="1375"/>
      <c r="AE236" s="1375"/>
      <c r="AF236" s="1375"/>
      <c r="AG236" s="1375"/>
      <c r="AH236" s="1375"/>
    </row>
    <row r="237" spans="8:34" ht="12.75" customHeight="1">
      <c r="H237" s="1838" t="s">
        <v>2857</v>
      </c>
      <c r="I237" s="1838" t="s">
        <v>733</v>
      </c>
      <c r="J237" s="1838" t="s">
        <v>2858</v>
      </c>
      <c r="K237" s="2797" t="s">
        <v>734</v>
      </c>
      <c r="L237" s="2798"/>
      <c r="M237" s="2799"/>
      <c r="N237" s="1838" t="s">
        <v>2859</v>
      </c>
      <c r="O237" s="1877"/>
      <c r="P237" s="752"/>
      <c r="Q237" s="270"/>
      <c r="R237" s="270"/>
      <c r="S237" s="270"/>
      <c r="T237" s="1375"/>
      <c r="U237" s="1375"/>
      <c r="V237" s="1375"/>
      <c r="W237" s="1375"/>
      <c r="X237" s="1375"/>
      <c r="Y237" s="1375"/>
      <c r="Z237" s="1375"/>
      <c r="AA237" s="1375"/>
      <c r="AB237" s="1375"/>
      <c r="AC237" s="1375"/>
      <c r="AD237" s="1375"/>
      <c r="AE237" s="1375"/>
      <c r="AF237" s="1375"/>
      <c r="AG237" s="1375"/>
      <c r="AH237" s="1375"/>
    </row>
    <row r="238" spans="8:34" ht="85.5" customHeight="1">
      <c r="H238" s="1855" t="s">
        <v>2860</v>
      </c>
      <c r="I238" s="1855" t="s">
        <v>2861</v>
      </c>
      <c r="J238" s="1855">
        <v>8</v>
      </c>
      <c r="K238" s="2794" t="s">
        <v>2862</v>
      </c>
      <c r="L238" s="2795"/>
      <c r="M238" s="2796"/>
      <c r="N238" s="1855" t="s">
        <v>2863</v>
      </c>
      <c r="O238" s="1877"/>
      <c r="P238" s="752"/>
      <c r="Q238" s="270"/>
      <c r="R238" s="270"/>
      <c r="S238" s="270"/>
      <c r="T238" s="1375"/>
      <c r="U238" s="1375"/>
      <c r="V238" s="1375"/>
      <c r="W238" s="1375"/>
      <c r="X238" s="1375"/>
      <c r="Y238" s="1375"/>
      <c r="Z238" s="1375"/>
      <c r="AA238" s="1375"/>
      <c r="AB238" s="1375"/>
      <c r="AC238" s="1375"/>
      <c r="AD238" s="1375"/>
      <c r="AE238" s="1375"/>
      <c r="AF238" s="1375"/>
      <c r="AG238" s="1375"/>
      <c r="AH238" s="1375"/>
    </row>
    <row r="239" spans="8:34" ht="12.75" customHeight="1">
      <c r="H239" s="270"/>
      <c r="I239" s="270"/>
      <c r="J239" s="270"/>
      <c r="K239" s="270"/>
      <c r="L239" s="1874"/>
      <c r="M239" s="1875"/>
      <c r="N239" s="1876"/>
      <c r="O239" s="1877"/>
      <c r="P239" s="752"/>
      <c r="Q239" s="270"/>
      <c r="R239" s="270"/>
      <c r="S239" s="270"/>
      <c r="T239" s="1375"/>
      <c r="U239" s="1375"/>
      <c r="V239" s="1375"/>
      <c r="W239" s="1375"/>
      <c r="X239" s="1375"/>
      <c r="Y239" s="1375"/>
      <c r="Z239" s="1375"/>
      <c r="AA239" s="1375"/>
      <c r="AB239" s="1375"/>
      <c r="AC239" s="1375"/>
      <c r="AD239" s="1375"/>
      <c r="AE239" s="1375"/>
      <c r="AF239" s="1375"/>
      <c r="AG239" s="1375"/>
      <c r="AH239" s="1375"/>
    </row>
    <row r="240" spans="8:34" ht="12.75" customHeight="1">
      <c r="H240" s="270"/>
      <c r="I240" s="270"/>
      <c r="J240" s="270"/>
      <c r="K240" s="270"/>
      <c r="L240" s="1874"/>
      <c r="M240" s="1875"/>
      <c r="N240" s="1876"/>
      <c r="O240" s="1877"/>
      <c r="P240" s="752"/>
      <c r="Q240" s="270"/>
      <c r="R240" s="270"/>
      <c r="S240" s="270"/>
      <c r="T240" s="1375"/>
      <c r="U240" s="1375"/>
      <c r="V240" s="1375"/>
      <c r="W240" s="1375"/>
      <c r="X240" s="1375"/>
      <c r="Y240" s="1375"/>
      <c r="Z240" s="1375"/>
      <c r="AA240" s="1375"/>
      <c r="AB240" s="1375"/>
      <c r="AC240" s="1375"/>
      <c r="AD240" s="1375"/>
      <c r="AE240" s="1375"/>
      <c r="AF240" s="1375"/>
      <c r="AG240" s="1375"/>
      <c r="AH240" s="1375"/>
    </row>
    <row r="241" spans="8:34" ht="12.75" customHeight="1">
      <c r="H241" s="270"/>
      <c r="I241" s="270"/>
      <c r="J241" s="270"/>
      <c r="K241" s="270"/>
      <c r="L241" s="270"/>
      <c r="M241" s="270"/>
      <c r="N241" s="270"/>
      <c r="O241" s="270"/>
      <c r="P241" s="270"/>
      <c r="Q241" s="270"/>
      <c r="R241" s="270"/>
      <c r="S241" s="270"/>
      <c r="T241" s="1375"/>
      <c r="U241" s="1375"/>
      <c r="V241" s="1375"/>
      <c r="W241" s="1375"/>
      <c r="X241" s="1375"/>
      <c r="Y241" s="1375"/>
      <c r="Z241" s="1375"/>
      <c r="AA241" s="1375"/>
      <c r="AB241" s="1375"/>
      <c r="AC241" s="1375"/>
      <c r="AD241" s="1375"/>
      <c r="AE241" s="1375"/>
      <c r="AF241" s="1375"/>
      <c r="AG241" s="1375"/>
      <c r="AH241" s="1375"/>
    </row>
    <row r="242" spans="8:34" ht="12.75" customHeight="1">
      <c r="H242" s="1493" t="s">
        <v>2864</v>
      </c>
      <c r="I242" s="1375"/>
      <c r="J242" s="1375"/>
      <c r="K242" s="1375"/>
      <c r="L242" s="1375"/>
      <c r="M242" s="1375"/>
      <c r="N242" s="1375"/>
      <c r="O242" s="1375"/>
      <c r="P242" s="1375"/>
      <c r="Q242" s="1375"/>
      <c r="R242" s="1375"/>
      <c r="S242" s="1375"/>
      <c r="T242" s="1375"/>
      <c r="U242" s="1375"/>
      <c r="V242" s="1375"/>
      <c r="W242" s="1375"/>
      <c r="X242" s="1375"/>
      <c r="Y242" s="1375"/>
      <c r="Z242" s="1375"/>
      <c r="AA242" s="1375"/>
      <c r="AB242" s="1375"/>
      <c r="AC242" s="1375"/>
      <c r="AD242" s="1375"/>
      <c r="AE242" s="1375"/>
      <c r="AF242" s="1375"/>
      <c r="AG242" s="1375"/>
      <c r="AH242" s="1375"/>
    </row>
    <row r="243" spans="8:34" ht="12.75" customHeight="1">
      <c r="H243" s="752" t="s">
        <v>2865</v>
      </c>
      <c r="I243" s="1375"/>
      <c r="J243" s="1375"/>
      <c r="K243" s="1375"/>
      <c r="L243" s="1375"/>
      <c r="M243" s="1375"/>
      <c r="N243" s="1375"/>
      <c r="O243" s="1375"/>
      <c r="P243" s="1375"/>
      <c r="Q243" s="1375"/>
      <c r="R243" s="1375"/>
      <c r="S243" s="1375"/>
      <c r="T243" s="1375"/>
      <c r="U243" s="1375"/>
      <c r="V243" s="1375"/>
      <c r="W243" s="1375"/>
      <c r="X243" s="1375"/>
      <c r="Y243" s="1375"/>
      <c r="Z243" s="1375"/>
      <c r="AA243" s="1375"/>
      <c r="AB243" s="1375"/>
      <c r="AC243" s="1375"/>
      <c r="AD243" s="1375"/>
      <c r="AE243" s="1375"/>
      <c r="AF243" s="1375"/>
      <c r="AG243" s="1375"/>
      <c r="AH243" s="1375"/>
    </row>
    <row r="244" spans="8:34" ht="12.75" customHeight="1">
      <c r="H244" s="752" t="s">
        <v>2866</v>
      </c>
      <c r="I244" s="1375"/>
      <c r="J244" s="1375"/>
      <c r="K244" s="1375"/>
      <c r="L244" s="1375"/>
      <c r="M244" s="1375"/>
      <c r="N244" s="1375"/>
      <c r="O244" s="1375"/>
      <c r="P244" s="1375"/>
      <c r="Q244" s="1375"/>
      <c r="R244" s="1375"/>
      <c r="S244" s="1375"/>
      <c r="T244" s="1375"/>
      <c r="U244" s="1375"/>
      <c r="V244" s="1375"/>
      <c r="W244" s="1375"/>
      <c r="X244" s="1375"/>
      <c r="Y244" s="1375"/>
      <c r="Z244" s="1375"/>
      <c r="AA244" s="1375"/>
      <c r="AB244" s="1375"/>
      <c r="AC244" s="1375"/>
      <c r="AD244" s="1375"/>
      <c r="AE244" s="1375"/>
      <c r="AF244" s="1375"/>
      <c r="AG244" s="1375"/>
      <c r="AH244" s="1375"/>
    </row>
    <row r="245" spans="8:34" ht="12.75" customHeight="1">
      <c r="H245" s="482"/>
      <c r="I245" s="1375"/>
      <c r="J245" s="1375"/>
      <c r="K245" s="1375"/>
      <c r="L245" s="1375"/>
      <c r="M245" s="1375"/>
      <c r="N245" s="1375"/>
      <c r="O245" s="1375"/>
      <c r="P245" s="1375"/>
      <c r="Q245" s="1375"/>
      <c r="R245" s="1375"/>
      <c r="S245" s="1375"/>
      <c r="T245" s="1375"/>
      <c r="U245" s="1375"/>
      <c r="V245" s="752" t="s">
        <v>2867</v>
      </c>
      <c r="W245" s="1375"/>
      <c r="X245" s="1375"/>
      <c r="Y245" s="1375"/>
      <c r="Z245" s="1375"/>
      <c r="AA245" s="1375"/>
      <c r="AB245" s="1375"/>
      <c r="AC245" s="1375"/>
      <c r="AD245" s="1375"/>
      <c r="AE245" s="1375"/>
      <c r="AF245" s="1375"/>
      <c r="AG245" s="1375"/>
      <c r="AH245" s="1375"/>
    </row>
    <row r="246" spans="8:34" ht="63.75">
      <c r="H246" s="1839" t="s">
        <v>2868</v>
      </c>
      <c r="I246" s="1839" t="s">
        <v>2869</v>
      </c>
      <c r="J246" s="1839" t="s">
        <v>2608</v>
      </c>
      <c r="K246" s="1840" t="s">
        <v>2870</v>
      </c>
      <c r="L246" s="1840" t="s">
        <v>2871</v>
      </c>
      <c r="M246" s="1841" t="s">
        <v>2872</v>
      </c>
      <c r="N246" s="1841" t="s">
        <v>2873</v>
      </c>
      <c r="O246" s="1841" t="s">
        <v>2874</v>
      </c>
      <c r="P246" s="1840" t="s">
        <v>2875</v>
      </c>
      <c r="Q246" s="1840" t="s">
        <v>2876</v>
      </c>
      <c r="R246" s="1841" t="s">
        <v>2877</v>
      </c>
      <c r="S246" s="1841" t="s">
        <v>2878</v>
      </c>
      <c r="T246" s="1841" t="s">
        <v>2879</v>
      </c>
      <c r="U246" s="1841" t="s">
        <v>2880</v>
      </c>
      <c r="V246" s="1842" t="s">
        <v>2609</v>
      </c>
      <c r="W246" s="1841" t="s">
        <v>2881</v>
      </c>
      <c r="X246" s="1841" t="s">
        <v>210</v>
      </c>
      <c r="Y246" s="1841" t="s">
        <v>2882</v>
      </c>
      <c r="Z246" s="1841" t="s">
        <v>2883</v>
      </c>
      <c r="AA246" s="1841" t="s">
        <v>2884</v>
      </c>
      <c r="AB246" s="1841" t="s">
        <v>2620</v>
      </c>
      <c r="AC246" s="1841" t="s">
        <v>2885</v>
      </c>
      <c r="AD246" s="1841" t="s">
        <v>2622</v>
      </c>
      <c r="AE246" s="1841" t="s">
        <v>2886</v>
      </c>
      <c r="AF246" s="1841" t="s">
        <v>2887</v>
      </c>
      <c r="AG246" s="1840" t="s">
        <v>2888</v>
      </c>
    </row>
    <row r="247" spans="8:34" ht="12.75" customHeight="1">
      <c r="H247" s="1838" t="s">
        <v>2889</v>
      </c>
      <c r="I247" s="1838" t="s">
        <v>2890</v>
      </c>
      <c r="J247" s="1838" t="s">
        <v>2624</v>
      </c>
      <c r="K247" s="1843">
        <f>M222</f>
        <v>64.838491554522889</v>
      </c>
      <c r="L247" s="1843">
        <f>M220</f>
        <v>68.025089285714301</v>
      </c>
      <c r="M247" s="1838" t="s">
        <v>2891</v>
      </c>
      <c r="N247" s="1838">
        <v>2</v>
      </c>
      <c r="O247" s="1838">
        <v>1</v>
      </c>
      <c r="P247" s="1844">
        <f>N222</f>
        <v>4935.7860465116273</v>
      </c>
      <c r="Q247" s="1844">
        <f>N220</f>
        <v>4558</v>
      </c>
      <c r="R247" s="1845">
        <f t="shared" ref="R247:R248" si="20">Q247/P247</f>
        <v>0.92345980094120406</v>
      </c>
      <c r="S247" s="1846">
        <f t="shared" ref="S247:T248" si="21">P247/K247</f>
        <v>76.124319492551876</v>
      </c>
      <c r="T247" s="1846">
        <f t="shared" si="21"/>
        <v>67.004689708760282</v>
      </c>
      <c r="U247" s="1845">
        <f>(S247-T247)/S247</f>
        <v>0.1197991633236718</v>
      </c>
      <c r="V247" s="1847">
        <f>I233</f>
        <v>3200</v>
      </c>
      <c r="W247" s="1846">
        <f>S247/1000*V247</f>
        <v>243.59782237616599</v>
      </c>
      <c r="X247" s="1848">
        <v>0</v>
      </c>
      <c r="Y247" s="1846">
        <f>T247/1000*V247</f>
        <v>214.41500706803288</v>
      </c>
      <c r="Z247" s="1846">
        <f>W247-Y247</f>
        <v>29.182815308133115</v>
      </c>
      <c r="AA247" s="1845">
        <f>Z247/W247</f>
        <v>0.11979916332367185</v>
      </c>
      <c r="AB247" s="1845">
        <v>0.99508745242816266</v>
      </c>
      <c r="AC247" s="1849">
        <f t="shared" ref="AC247:AC248" si="22">Z247*AB247</f>
        <v>29.039453339651768</v>
      </c>
      <c r="AD247" s="1850">
        <v>-1.0755166581507075E-2</v>
      </c>
      <c r="AE247" s="1850">
        <f t="shared" ref="AE247:AE248" si="23">Z247*AD247</f>
        <v>-0.31386603995632639</v>
      </c>
      <c r="AF247" s="1851" t="s">
        <v>2892</v>
      </c>
      <c r="AG247" s="1852">
        <f>AC247/N247</f>
        <v>14.519726669825884</v>
      </c>
    </row>
    <row r="248" spans="8:34" ht="12.75" customHeight="1">
      <c r="H248" s="1838" t="s">
        <v>2889</v>
      </c>
      <c r="I248" s="1838" t="s">
        <v>2893</v>
      </c>
      <c r="J248" s="1838" t="s">
        <v>2624</v>
      </c>
      <c r="K248" s="1843">
        <f>M222</f>
        <v>64.838491554522889</v>
      </c>
      <c r="L248" s="1843">
        <f>M221</f>
        <v>68.025089285714301</v>
      </c>
      <c r="M248" s="1838" t="s">
        <v>2891</v>
      </c>
      <c r="N248" s="1838">
        <v>2</v>
      </c>
      <c r="O248" s="1838">
        <v>1</v>
      </c>
      <c r="P248" s="1844">
        <f>N222</f>
        <v>4935.7860465116273</v>
      </c>
      <c r="Q248" s="1844">
        <f>N221</f>
        <v>4136</v>
      </c>
      <c r="R248" s="1845">
        <f t="shared" si="20"/>
        <v>0.83796176759386132</v>
      </c>
      <c r="S248" s="1846">
        <f t="shared" si="21"/>
        <v>76.124319492551876</v>
      </c>
      <c r="T248" s="1846">
        <f t="shared" si="21"/>
        <v>60.80109623418879</v>
      </c>
      <c r="U248" s="1845">
        <f t="shared" ref="U248" si="24">(S248-T248)/S248</f>
        <v>0.20129208852714059</v>
      </c>
      <c r="V248" s="1847">
        <f>I233</f>
        <v>3200</v>
      </c>
      <c r="W248" s="1846">
        <f>S248/1000*V248</f>
        <v>243.59782237616599</v>
      </c>
      <c r="X248" s="1848">
        <v>0</v>
      </c>
      <c r="Y248" s="1846">
        <f>T248/1000*V248</f>
        <v>194.56350794940414</v>
      </c>
      <c r="Z248" s="1846">
        <f>W248-Y248</f>
        <v>49.034314426761853</v>
      </c>
      <c r="AA248" s="1845">
        <f>Z248/W248</f>
        <v>0.20129208852714051</v>
      </c>
      <c r="AB248" s="1845">
        <v>0.99508745242816266</v>
      </c>
      <c r="AC248" s="1849">
        <f t="shared" si="22"/>
        <v>48.793431024487958</v>
      </c>
      <c r="AD248" s="1850">
        <v>-1.0755166581507075E-2</v>
      </c>
      <c r="AE248" s="1850">
        <f t="shared" si="23"/>
        <v>-0.5273722198698193</v>
      </c>
      <c r="AF248" s="1851" t="s">
        <v>2892</v>
      </c>
      <c r="AG248" s="1852">
        <f>AC248/N248</f>
        <v>24.396715512243979</v>
      </c>
    </row>
  </sheetData>
  <autoFilter ref="A6:AA18" xr:uid="{00000000-0009-0000-0000-00001D000000}">
    <filterColumn colId="11">
      <filters>
        <filter val="2022"/>
        <filter val="2023"/>
      </filters>
    </filterColumn>
  </autoFilter>
  <dataConsolidate/>
  <mergeCells count="24">
    <mergeCell ref="I3:L3"/>
    <mergeCell ref="I2:L2"/>
    <mergeCell ref="A5:G5"/>
    <mergeCell ref="H5:L5"/>
    <mergeCell ref="H22:M25"/>
    <mergeCell ref="I191:J191"/>
    <mergeCell ref="Q5:R5"/>
    <mergeCell ref="S5:U5"/>
    <mergeCell ref="H29:M31"/>
    <mergeCell ref="I36:J36"/>
    <mergeCell ref="AA45:AB45"/>
    <mergeCell ref="I46:J46"/>
    <mergeCell ref="I47:J47"/>
    <mergeCell ref="I156:I157"/>
    <mergeCell ref="J156:Q156"/>
    <mergeCell ref="J233:N233"/>
    <mergeCell ref="J234:N234"/>
    <mergeCell ref="K238:M238"/>
    <mergeCell ref="K237:M237"/>
    <mergeCell ref="I192:J192"/>
    <mergeCell ref="I216:J216"/>
    <mergeCell ref="L216:O216"/>
    <mergeCell ref="J231:N231"/>
    <mergeCell ref="J232:N232"/>
  </mergeCells>
  <phoneticPr fontId="183" type="noConversion"/>
  <conditionalFormatting sqref="M103:P107 M109:P131 M133:P135 M148:P148">
    <cfRule type="colorScale" priority="31">
      <colorScale>
        <cfvo type="min"/>
        <cfvo type="percentile" val="50"/>
        <cfvo type="max"/>
        <color rgb="FFF8696B"/>
        <color rgb="FFFFEB84"/>
        <color rgb="FF63BE7B"/>
      </colorScale>
    </cfRule>
  </conditionalFormatting>
  <conditionalFormatting sqref="Q103:Q107 Q109:Q131 Q133:Q135 Q148">
    <cfRule type="colorScale" priority="30">
      <colorScale>
        <cfvo type="min"/>
        <cfvo type="percentile" val="50"/>
        <cfvo type="max"/>
        <color rgb="FFF8696B"/>
        <color rgb="FFFFEB84"/>
        <color rgb="FF63BE7B"/>
      </colorScale>
    </cfRule>
  </conditionalFormatting>
  <conditionalFormatting sqref="M132:P132">
    <cfRule type="colorScale" priority="29">
      <colorScale>
        <cfvo type="min"/>
        <cfvo type="percentile" val="50"/>
        <cfvo type="max"/>
        <color rgb="FFF8696B"/>
        <color rgb="FFFFEB84"/>
        <color rgb="FF63BE7B"/>
      </colorScale>
    </cfRule>
  </conditionalFormatting>
  <conditionalFormatting sqref="Q132">
    <cfRule type="colorScale" priority="28">
      <colorScale>
        <cfvo type="min"/>
        <cfvo type="percentile" val="50"/>
        <cfvo type="max"/>
        <color rgb="FFF8696B"/>
        <color rgb="FFFFEB84"/>
        <color rgb="FF63BE7B"/>
      </colorScale>
    </cfRule>
  </conditionalFormatting>
  <conditionalFormatting sqref="M108:P108">
    <cfRule type="colorScale" priority="27">
      <colorScale>
        <cfvo type="min"/>
        <cfvo type="percentile" val="50"/>
        <cfvo type="max"/>
        <color rgb="FFF8696B"/>
        <color rgb="FFFFEB84"/>
        <color rgb="FF63BE7B"/>
      </colorScale>
    </cfRule>
  </conditionalFormatting>
  <conditionalFormatting sqref="Q108">
    <cfRule type="colorScale" priority="26">
      <colorScale>
        <cfvo type="min"/>
        <cfvo type="percentile" val="50"/>
        <cfvo type="max"/>
        <color rgb="FFF8696B"/>
        <color rgb="FFFFEB84"/>
        <color rgb="FF63BE7B"/>
      </colorScale>
    </cfRule>
  </conditionalFormatting>
  <conditionalFormatting sqref="M136:P136">
    <cfRule type="colorScale" priority="25">
      <colorScale>
        <cfvo type="min"/>
        <cfvo type="percentile" val="50"/>
        <cfvo type="max"/>
        <color rgb="FFF8696B"/>
        <color rgb="FFFFEB84"/>
        <color rgb="FF63BE7B"/>
      </colorScale>
    </cfRule>
  </conditionalFormatting>
  <conditionalFormatting sqref="Q136">
    <cfRule type="colorScale" priority="24">
      <colorScale>
        <cfvo type="min"/>
        <cfvo type="percentile" val="50"/>
        <cfvo type="max"/>
        <color rgb="FFF8696B"/>
        <color rgb="FFFFEB84"/>
        <color rgb="FF63BE7B"/>
      </colorScale>
    </cfRule>
  </conditionalFormatting>
  <conditionalFormatting sqref="M140:P140">
    <cfRule type="colorScale" priority="23">
      <colorScale>
        <cfvo type="min"/>
        <cfvo type="percentile" val="50"/>
        <cfvo type="max"/>
        <color rgb="FFF8696B"/>
        <color rgb="FFFFEB84"/>
        <color rgb="FF63BE7B"/>
      </colorScale>
    </cfRule>
  </conditionalFormatting>
  <conditionalFormatting sqref="Q140">
    <cfRule type="colorScale" priority="22">
      <colorScale>
        <cfvo type="min"/>
        <cfvo type="percentile" val="50"/>
        <cfvo type="max"/>
        <color rgb="FFF8696B"/>
        <color rgb="FFFFEB84"/>
        <color rgb="FF63BE7B"/>
      </colorScale>
    </cfRule>
  </conditionalFormatting>
  <conditionalFormatting sqref="M141:P141">
    <cfRule type="colorScale" priority="21">
      <colorScale>
        <cfvo type="min"/>
        <cfvo type="percentile" val="50"/>
        <cfvo type="max"/>
        <color rgb="FFF8696B"/>
        <color rgb="FFFFEB84"/>
        <color rgb="FF63BE7B"/>
      </colorScale>
    </cfRule>
  </conditionalFormatting>
  <conditionalFormatting sqref="Q141">
    <cfRule type="colorScale" priority="20">
      <colorScale>
        <cfvo type="min"/>
        <cfvo type="percentile" val="50"/>
        <cfvo type="max"/>
        <color rgb="FFF8696B"/>
        <color rgb="FFFFEB84"/>
        <color rgb="FF63BE7B"/>
      </colorScale>
    </cfRule>
  </conditionalFormatting>
  <conditionalFormatting sqref="M143:P143">
    <cfRule type="colorScale" priority="19">
      <colorScale>
        <cfvo type="min"/>
        <cfvo type="percentile" val="50"/>
        <cfvo type="max"/>
        <color rgb="FFF8696B"/>
        <color rgb="FFFFEB84"/>
        <color rgb="FF63BE7B"/>
      </colorScale>
    </cfRule>
  </conditionalFormatting>
  <conditionalFormatting sqref="Q143">
    <cfRule type="colorScale" priority="18">
      <colorScale>
        <cfvo type="min"/>
        <cfvo type="percentile" val="50"/>
        <cfvo type="max"/>
        <color rgb="FFF8696B"/>
        <color rgb="FFFFEB84"/>
        <color rgb="FF63BE7B"/>
      </colorScale>
    </cfRule>
  </conditionalFormatting>
  <conditionalFormatting sqref="M145:P145">
    <cfRule type="colorScale" priority="17">
      <colorScale>
        <cfvo type="min"/>
        <cfvo type="percentile" val="50"/>
        <cfvo type="max"/>
        <color rgb="FFF8696B"/>
        <color rgb="FFFFEB84"/>
        <color rgb="FF63BE7B"/>
      </colorScale>
    </cfRule>
  </conditionalFormatting>
  <conditionalFormatting sqref="Q145">
    <cfRule type="colorScale" priority="16">
      <colorScale>
        <cfvo type="min"/>
        <cfvo type="percentile" val="50"/>
        <cfvo type="max"/>
        <color rgb="FFF8696B"/>
        <color rgb="FFFFEB84"/>
        <color rgb="FF63BE7B"/>
      </colorScale>
    </cfRule>
  </conditionalFormatting>
  <conditionalFormatting sqref="M138:P138">
    <cfRule type="colorScale" priority="15">
      <colorScale>
        <cfvo type="min"/>
        <cfvo type="percentile" val="50"/>
        <cfvo type="max"/>
        <color rgb="FFF8696B"/>
        <color rgb="FFFFEB84"/>
        <color rgb="FF63BE7B"/>
      </colorScale>
    </cfRule>
  </conditionalFormatting>
  <conditionalFormatting sqref="Q138">
    <cfRule type="colorScale" priority="14">
      <colorScale>
        <cfvo type="min"/>
        <cfvo type="percentile" val="50"/>
        <cfvo type="max"/>
        <color rgb="FFF8696B"/>
        <color rgb="FFFFEB84"/>
        <color rgb="FF63BE7B"/>
      </colorScale>
    </cfRule>
  </conditionalFormatting>
  <conditionalFormatting sqref="M147:P147">
    <cfRule type="colorScale" priority="13">
      <colorScale>
        <cfvo type="min"/>
        <cfvo type="percentile" val="50"/>
        <cfvo type="max"/>
        <color rgb="FFF8696B"/>
        <color rgb="FFFFEB84"/>
        <color rgb="FF63BE7B"/>
      </colorScale>
    </cfRule>
  </conditionalFormatting>
  <conditionalFormatting sqref="Q147">
    <cfRule type="colorScale" priority="12">
      <colorScale>
        <cfvo type="min"/>
        <cfvo type="percentile" val="50"/>
        <cfvo type="max"/>
        <color rgb="FFF8696B"/>
        <color rgb="FFFFEB84"/>
        <color rgb="FF63BE7B"/>
      </colorScale>
    </cfRule>
  </conditionalFormatting>
  <conditionalFormatting sqref="M137:P137">
    <cfRule type="colorScale" priority="11">
      <colorScale>
        <cfvo type="min"/>
        <cfvo type="percentile" val="50"/>
        <cfvo type="max"/>
        <color rgb="FFF8696B"/>
        <color rgb="FFFFEB84"/>
        <color rgb="FF63BE7B"/>
      </colorScale>
    </cfRule>
  </conditionalFormatting>
  <conditionalFormatting sqref="Q137">
    <cfRule type="colorScale" priority="10">
      <colorScale>
        <cfvo type="min"/>
        <cfvo type="percentile" val="50"/>
        <cfvo type="max"/>
        <color rgb="FFF8696B"/>
        <color rgb="FFFFEB84"/>
        <color rgb="FF63BE7B"/>
      </colorScale>
    </cfRule>
  </conditionalFormatting>
  <conditionalFormatting sqref="M142:P142">
    <cfRule type="colorScale" priority="9">
      <colorScale>
        <cfvo type="min"/>
        <cfvo type="percentile" val="50"/>
        <cfvo type="max"/>
        <color rgb="FFF8696B"/>
        <color rgb="FFFFEB84"/>
        <color rgb="FF63BE7B"/>
      </colorScale>
    </cfRule>
  </conditionalFormatting>
  <conditionalFormatting sqref="Q142">
    <cfRule type="colorScale" priority="8">
      <colorScale>
        <cfvo type="min"/>
        <cfvo type="percentile" val="50"/>
        <cfvo type="max"/>
        <color rgb="FFF8696B"/>
        <color rgb="FFFFEB84"/>
        <color rgb="FF63BE7B"/>
      </colorScale>
    </cfRule>
  </conditionalFormatting>
  <conditionalFormatting sqref="M139:P139">
    <cfRule type="colorScale" priority="7">
      <colorScale>
        <cfvo type="min"/>
        <cfvo type="percentile" val="50"/>
        <cfvo type="max"/>
        <color rgb="FFF8696B"/>
        <color rgb="FFFFEB84"/>
        <color rgb="FF63BE7B"/>
      </colorScale>
    </cfRule>
  </conditionalFormatting>
  <conditionalFormatting sqref="Q139">
    <cfRule type="colorScale" priority="6">
      <colorScale>
        <cfvo type="min"/>
        <cfvo type="percentile" val="50"/>
        <cfvo type="max"/>
        <color rgb="FFF8696B"/>
        <color rgb="FFFFEB84"/>
        <color rgb="FF63BE7B"/>
      </colorScale>
    </cfRule>
  </conditionalFormatting>
  <conditionalFormatting sqref="M144:P144">
    <cfRule type="colorScale" priority="5">
      <colorScale>
        <cfvo type="min"/>
        <cfvo type="percentile" val="50"/>
        <cfvo type="max"/>
        <color rgb="FFF8696B"/>
        <color rgb="FFFFEB84"/>
        <color rgb="FF63BE7B"/>
      </colorScale>
    </cfRule>
  </conditionalFormatting>
  <conditionalFormatting sqref="Q144">
    <cfRule type="colorScale" priority="4">
      <colorScale>
        <cfvo type="min"/>
        <cfvo type="percentile" val="50"/>
        <cfvo type="max"/>
        <color rgb="FFF8696B"/>
        <color rgb="FFFFEB84"/>
        <color rgb="FF63BE7B"/>
      </colorScale>
    </cfRule>
  </conditionalFormatting>
  <conditionalFormatting sqref="M146:P146">
    <cfRule type="colorScale" priority="3">
      <colorScale>
        <cfvo type="min"/>
        <cfvo type="percentile" val="50"/>
        <cfvo type="max"/>
        <color rgb="FFF8696B"/>
        <color rgb="FFFFEB84"/>
        <color rgb="FF63BE7B"/>
      </colorScale>
    </cfRule>
  </conditionalFormatting>
  <conditionalFormatting sqref="Q146">
    <cfRule type="colorScale" priority="2">
      <colorScale>
        <cfvo type="min"/>
        <cfvo type="percentile" val="50"/>
        <cfvo type="max"/>
        <color rgb="FFF8696B"/>
        <color rgb="FFFFEB84"/>
        <color rgb="FF63BE7B"/>
      </colorScale>
    </cfRule>
  </conditionalFormatting>
  <conditionalFormatting sqref="J158:Q183">
    <cfRule type="colorScale" priority="1">
      <colorScale>
        <cfvo type="min"/>
        <cfvo type="percentile" val="50"/>
        <cfvo type="max"/>
        <color rgb="FFF8696B"/>
        <color rgb="FFFFEB84"/>
        <color rgb="FF63BE7B"/>
      </colorScale>
    </cfRule>
  </conditionalFormatting>
  <hyperlinks>
    <hyperlink ref="N51" r:id="rId1" xr:uid="{6B2F2AC4-F873-475A-8ADC-B7628FE6D628}"/>
    <hyperlink ref="H1" location="'Summary ALL'!A1" display="Summary Page" xr:uid="{958CC42D-63CA-4F85-832F-D4CAF8E597A4}"/>
  </hyperlinks>
  <pageMargins left="0.7" right="0.7" top="0.75" bottom="0.75" header="0.3" footer="0.3"/>
  <pageSetup scale="28" orientation="portrait" r:id="rId2"/>
  <ignoredErrors>
    <ignoredError sqref="M10:N10 S10 M13:N13 M16:N16" formula="1"/>
  </ignoredErrors>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filterMode="1">
    <tabColor rgb="FF0083CA"/>
    <pageSetUpPr fitToPage="1"/>
  </sheetPr>
  <dimension ref="A1:AH82"/>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8.5703125" style="272" hidden="1" customWidth="1" outlineLevel="1"/>
    <col min="3" max="4" width="9.5703125" style="273" hidden="1" customWidth="1" outlineLevel="1"/>
    <col min="5" max="5" width="9.7109375" style="273" hidden="1" customWidth="1" outlineLevel="1"/>
    <col min="6" max="6" width="5.42578125" style="273" hidden="1" customWidth="1" outlineLevel="1"/>
    <col min="7" max="7" width="11.5703125" style="272" hidden="1" customWidth="1" outlineLevel="1"/>
    <col min="8" max="8" width="16.28515625" style="274" customWidth="1" collapsed="1"/>
    <col min="9" max="9" width="33.5703125" style="274" customWidth="1"/>
    <col min="10" max="10" width="31.28515625" style="274" customWidth="1"/>
    <col min="11" max="11" width="10.5703125" style="274" customWidth="1"/>
    <col min="12" max="12" width="12.85546875" style="274" customWidth="1"/>
    <col min="13" max="14" width="16.7109375" style="275" customWidth="1"/>
    <col min="15" max="15" width="20.7109375" style="275" customWidth="1"/>
    <col min="16" max="16" width="12.7109375" style="275" customWidth="1"/>
    <col min="17" max="17" width="12.7109375" style="274" customWidth="1"/>
    <col min="18" max="18" width="18.5703125" style="274" customWidth="1"/>
    <col min="19" max="21" width="12.7109375" style="274" customWidth="1"/>
    <col min="22" max="22" width="12.28515625" style="276" customWidth="1"/>
    <col min="23" max="31" width="18.7109375" style="274"/>
    <col min="32" max="32" width="20.5703125" style="274" bestFit="1" customWidth="1"/>
    <col min="33" max="33" width="3.5703125" style="274" customWidth="1"/>
    <col min="34" max="16384" width="18.7109375" style="274"/>
  </cols>
  <sheetData>
    <row r="1" spans="1:22" ht="12.75" customHeight="1">
      <c r="H1" s="168" t="s">
        <v>674</v>
      </c>
      <c r="U1" s="733" t="s">
        <v>1117</v>
      </c>
    </row>
    <row r="2" spans="1:22" ht="50.25" customHeight="1">
      <c r="H2" s="691" t="str">
        <f>I6&amp;":"</f>
        <v>Reduced Wattage Lamp Replacement:</v>
      </c>
      <c r="I2" s="2568" t="str">
        <f>INDEX('AMMO Measures'!$I:$I,MATCH(LEFT(H2,LEN(H2)-1),'AMMO Measures'!$B:$B,0))</f>
        <v>Develop an upstream platform with distributors and manufacturers that influences the stocking and sales practices of efficient lighting products that can be leveraged for lighting initiatives.</v>
      </c>
      <c r="J2" s="2568"/>
      <c r="K2" s="2568"/>
      <c r="L2" s="2568"/>
      <c r="U2" s="733" t="s">
        <v>1111</v>
      </c>
    </row>
    <row r="3" spans="1:22" ht="21.75" customHeight="1">
      <c r="H3" s="270"/>
      <c r="I3" s="270"/>
      <c r="J3" s="270"/>
      <c r="K3" s="270"/>
      <c r="L3" s="270"/>
    </row>
    <row r="4" spans="1:22" s="270" customFormat="1" ht="15.75" customHeight="1">
      <c r="A4" s="2569" t="s">
        <v>131</v>
      </c>
      <c r="B4" s="2570"/>
      <c r="C4" s="2570"/>
      <c r="D4" s="2570"/>
      <c r="E4" s="2570"/>
      <c r="F4" s="2570"/>
      <c r="G4" s="2571"/>
      <c r="H4" s="2816" t="s">
        <v>7</v>
      </c>
      <c r="I4" s="2817"/>
      <c r="J4" s="2817"/>
      <c r="K4" s="2817"/>
      <c r="L4" s="2817"/>
      <c r="M4" s="1553" t="s">
        <v>127</v>
      </c>
      <c r="N4" s="1554"/>
      <c r="O4" s="1554"/>
      <c r="P4" s="1555"/>
      <c r="Q4" s="2572" t="s">
        <v>129</v>
      </c>
      <c r="R4" s="2573"/>
      <c r="S4" s="2587" t="s">
        <v>130</v>
      </c>
      <c r="T4" s="2588"/>
      <c r="U4" s="2589"/>
    </row>
    <row r="5" spans="1:22" customFormat="1" ht="51.75"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696" t="s">
        <v>124</v>
      </c>
      <c r="P5" s="1477" t="str">
        <f>"Funder Share: "&amp;Selection!A2&amp;" "&amp;Selection!A3</f>
        <v>Funder Share: Puget Sound Energy Washington</v>
      </c>
      <c r="Q5" s="1478" t="s">
        <v>550</v>
      </c>
      <c r="R5" s="698" t="s">
        <v>125</v>
      </c>
      <c r="S5" s="697" t="s">
        <v>126</v>
      </c>
      <c r="T5" s="696" t="s">
        <v>18</v>
      </c>
      <c r="U5" s="2153" t="s">
        <v>17</v>
      </c>
    </row>
    <row r="6" spans="1:22" ht="13.5" thickTop="1">
      <c r="A6" s="272" t="s">
        <v>93</v>
      </c>
      <c r="B6" s="311" t="str">
        <f t="shared" ref="B6:B7" si="0">LEFT(A6,10)</f>
        <v>COM_201403</v>
      </c>
      <c r="C6" s="311">
        <v>0</v>
      </c>
      <c r="D6" s="311">
        <v>0</v>
      </c>
      <c r="E6" s="311">
        <f t="shared" ref="E6:E13" si="1">COUNTIFS($A:$A,A6,$L:$L,L6)</f>
        <v>1</v>
      </c>
      <c r="F6" s="311">
        <v>1</v>
      </c>
      <c r="G6" s="312" t="b">
        <v>1</v>
      </c>
      <c r="H6" s="313" t="s">
        <v>33</v>
      </c>
      <c r="I6" s="314" t="s">
        <v>143</v>
      </c>
      <c r="J6" s="314" t="s">
        <v>324</v>
      </c>
      <c r="K6" s="314" t="s">
        <v>157</v>
      </c>
      <c r="L6" s="24">
        <v>2022</v>
      </c>
      <c r="M6" s="744">
        <f>GETPIVOTDATA("Units",'AMMO Units'!$A$3,"Year",$L6,"Measure Index",$A6,"Savings Category","Regional_Market_2021PP")</f>
        <v>154473.90875418001</v>
      </c>
      <c r="N6" s="443">
        <f>GETPIVOTDATA("Units",'AMMO Units'!$A$3,"Year",$L6,"Measure Index",$A6,"Savings Category","Local_Incentives_2021PP")</f>
        <v>2460</v>
      </c>
      <c r="O6" s="2819" t="s">
        <v>2896</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1883">
        <f>AH81</f>
        <v>14.519726669825884</v>
      </c>
      <c r="R6" s="2821" t="s">
        <v>2897</v>
      </c>
      <c r="S6" s="318">
        <f>(M6)*P6*Q6/8760000</f>
        <v>3.6357818315948066E-2</v>
      </c>
      <c r="T6" s="319">
        <f>IFERROR((N6/M6*N6)*P6*Q6/8760/1000,0)</f>
        <v>9.220569749994723E-6</v>
      </c>
      <c r="U6" s="320">
        <f>S6-T6</f>
        <v>3.6348597746198072E-2</v>
      </c>
      <c r="V6" s="274"/>
    </row>
    <row r="7" spans="1:22">
      <c r="A7" s="272" t="s">
        <v>94</v>
      </c>
      <c r="B7" s="311" t="str">
        <f t="shared" si="0"/>
        <v>COM_201403</v>
      </c>
      <c r="C7" s="311">
        <v>0</v>
      </c>
      <c r="D7" s="311">
        <v>0</v>
      </c>
      <c r="E7" s="311">
        <f t="shared" si="1"/>
        <v>1</v>
      </c>
      <c r="F7" s="311">
        <v>1</v>
      </c>
      <c r="G7" s="312" t="b">
        <v>1</v>
      </c>
      <c r="H7" s="313" t="s">
        <v>33</v>
      </c>
      <c r="I7" s="314" t="s">
        <v>143</v>
      </c>
      <c r="J7" s="314" t="s">
        <v>322</v>
      </c>
      <c r="K7" s="314" t="s">
        <v>157</v>
      </c>
      <c r="L7" s="24">
        <v>2022</v>
      </c>
      <c r="M7" s="322">
        <f>GETPIVOTDATA("Units",'AMMO Units'!$A$3,"Year",$L7,"Measure Index",$A7,"Savings Category","Regional_Market_2021PP")</f>
        <v>3103.6185383799998</v>
      </c>
      <c r="N7" s="323">
        <f>GETPIVOTDATA("Units",'AMMO Units'!$A$3,"Year",$L7,"Measure Index",$A7,"Savings Category","Local_Incentives_2021PP")</f>
        <v>0</v>
      </c>
      <c r="O7" s="2820"/>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1884">
        <f>AH82</f>
        <v>24.396715512243979</v>
      </c>
      <c r="R7" s="2822"/>
      <c r="S7" s="318">
        <f t="shared" ref="S7:S8" si="2">(M7)*P7*Q7/8760000</f>
        <v>1.2273938347708254E-3</v>
      </c>
      <c r="T7" s="319">
        <f t="shared" ref="T7:T8" si="3">IFERROR((N7/M7*N7)*P7*Q7/8760/1000,0)</f>
        <v>0</v>
      </c>
      <c r="U7" s="320">
        <f t="shared" ref="U7:U13" si="4">S7-T7</f>
        <v>1.2273938347708254E-3</v>
      </c>
      <c r="V7" s="274"/>
    </row>
    <row r="8" spans="1:22" customFormat="1" ht="15">
      <c r="A8" s="417" t="s">
        <v>93</v>
      </c>
      <c r="B8" s="311" t="str">
        <f t="shared" ref="B8" si="5">LEFT(A8,10)</f>
        <v>COM_201403</v>
      </c>
      <c r="C8" s="311">
        <v>0</v>
      </c>
      <c r="D8" s="311">
        <v>0</v>
      </c>
      <c r="E8" s="311">
        <f t="shared" si="1"/>
        <v>1</v>
      </c>
      <c r="F8" s="311">
        <v>1</v>
      </c>
      <c r="G8" s="312" t="b">
        <v>1</v>
      </c>
      <c r="H8" s="313" t="s">
        <v>33</v>
      </c>
      <c r="I8" s="314" t="s">
        <v>143</v>
      </c>
      <c r="J8" s="314" t="s">
        <v>324</v>
      </c>
      <c r="K8" s="314" t="s">
        <v>157</v>
      </c>
      <c r="L8" s="24">
        <v>2023</v>
      </c>
      <c r="M8" s="322">
        <f>GETPIVOTDATA("Units",'AMMO Units'!$A$3,"Year",$L8,"Measure Index",$A8,"Savings Category","Regional_Market_2021PP")</f>
        <v>150011.32916795</v>
      </c>
      <c r="N8" s="323">
        <f>GETPIVOTDATA("Units",'AMMO Units'!$A$3,"Year",$L8,"Measure Index",$A8,"Savings Category","Local_Incentives_2021PP")</f>
        <v>2460</v>
      </c>
      <c r="O8" s="2820"/>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1884">
        <f>AH81</f>
        <v>14.519726669825884</v>
      </c>
      <c r="R8" s="2822"/>
      <c r="S8" s="318">
        <f t="shared" si="2"/>
        <v>3.530748134237667E-2</v>
      </c>
      <c r="T8" s="319">
        <f t="shared" si="3"/>
        <v>9.4948658752804919E-6</v>
      </c>
      <c r="U8" s="320">
        <f t="shared" si="4"/>
        <v>3.529798647650139E-2</v>
      </c>
    </row>
    <row r="9" spans="1:22" customFormat="1" ht="15.75" thickBot="1">
      <c r="A9" s="421" t="s">
        <v>94</v>
      </c>
      <c r="B9" s="311" t="str">
        <f t="shared" ref="B9:B11" si="6">LEFT(A9,10)</f>
        <v>COM_201403</v>
      </c>
      <c r="C9" s="311">
        <v>0</v>
      </c>
      <c r="D9" s="311">
        <v>0</v>
      </c>
      <c r="E9" s="311">
        <f t="shared" si="1"/>
        <v>1</v>
      </c>
      <c r="F9" s="311">
        <v>1</v>
      </c>
      <c r="G9" s="312" t="b">
        <v>1</v>
      </c>
      <c r="H9" s="313" t="s">
        <v>33</v>
      </c>
      <c r="I9" s="314" t="s">
        <v>143</v>
      </c>
      <c r="J9" s="314" t="s">
        <v>322</v>
      </c>
      <c r="K9" s="314" t="s">
        <v>157</v>
      </c>
      <c r="L9" s="24">
        <v>2023</v>
      </c>
      <c r="M9" s="322">
        <f>GETPIVOTDATA("Units",'AMMO Units'!$A$3,"Year",$L9,"Measure Index",$A9,"Savings Category","Regional_Market_2021PP")</f>
        <v>3013.9584472800002</v>
      </c>
      <c r="N9" s="323">
        <f>GETPIVOTDATA("Units",'AMMO Units'!$A$3,"Year",$L9,"Measure Index",$A9,"Savings Category","Local_Incentives_2021PP")</f>
        <v>0</v>
      </c>
      <c r="O9" s="2820"/>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1884">
        <f t="shared" ref="Q9" si="7">AH82</f>
        <v>24.396715512243979</v>
      </c>
      <c r="R9" s="2822"/>
      <c r="S9" s="318">
        <f t="shared" ref="S9:S11" si="8">(M9)*P9*Q9/8760000</f>
        <v>1.1919357906586866E-3</v>
      </c>
      <c r="T9" s="319">
        <f t="shared" ref="T9:T11" si="9">IFERROR((N9/M9*N9)*P9*Q9/8760/1000,0)</f>
        <v>0</v>
      </c>
      <c r="U9" s="320">
        <f t="shared" si="4"/>
        <v>1.1919357906586866E-3</v>
      </c>
    </row>
    <row r="10" spans="1:22" s="1375" customFormat="1" ht="12.75" hidden="1" customHeight="1">
      <c r="A10" s="272" t="s">
        <v>93</v>
      </c>
      <c r="B10" s="311" t="str">
        <f t="shared" si="6"/>
        <v>COM_201403</v>
      </c>
      <c r="C10" s="311">
        <v>0</v>
      </c>
      <c r="D10" s="311">
        <v>0</v>
      </c>
      <c r="E10" s="311">
        <f t="shared" si="1"/>
        <v>1</v>
      </c>
      <c r="F10" s="311">
        <v>1</v>
      </c>
      <c r="G10" s="312" t="b">
        <v>1</v>
      </c>
      <c r="H10" s="313" t="s">
        <v>33</v>
      </c>
      <c r="I10" s="314" t="s">
        <v>143</v>
      </c>
      <c r="J10" s="314" t="s">
        <v>324</v>
      </c>
      <c r="K10" s="314" t="s">
        <v>157</v>
      </c>
      <c r="L10" s="24">
        <v>2024</v>
      </c>
      <c r="M10" s="322">
        <f>GETPIVOTDATA("Units",'AMMO Units'!$A$3,"Year",$L10,"Measure Index",$A10,"Savings Category","Regional_Market_2021PP")</f>
        <v>145274.12929948</v>
      </c>
      <c r="N10" s="323">
        <f>GETPIVOTDATA("Units",'AMMO Units'!$A$3,"Year",$L10,"Measure Index",$A10,"Savings Category","Local_Incentives_2021PP")</f>
        <v>2460</v>
      </c>
      <c r="O10" s="2820"/>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0.14199999999999999</v>
      </c>
      <c r="Q10" s="1884">
        <v>14.519726669825884</v>
      </c>
      <c r="R10" s="2822"/>
      <c r="S10" s="318">
        <f t="shared" si="8"/>
        <v>3.4192508247352267E-2</v>
      </c>
      <c r="T10" s="319">
        <f t="shared" si="9"/>
        <v>9.8044810668662924E-6</v>
      </c>
      <c r="U10" s="320">
        <f t="shared" si="4"/>
        <v>3.4182703766285398E-2</v>
      </c>
    </row>
    <row r="11" spans="1:22" s="1375" customFormat="1" ht="12.75" hidden="1" customHeight="1">
      <c r="A11" s="272" t="s">
        <v>94</v>
      </c>
      <c r="B11" s="311" t="str">
        <f t="shared" si="6"/>
        <v>COM_201403</v>
      </c>
      <c r="C11" s="311">
        <v>0</v>
      </c>
      <c r="D11" s="311">
        <v>0</v>
      </c>
      <c r="E11" s="311">
        <f t="shared" si="1"/>
        <v>1</v>
      </c>
      <c r="F11" s="311">
        <v>1</v>
      </c>
      <c r="G11" s="312" t="b">
        <v>1</v>
      </c>
      <c r="H11" s="313" t="s">
        <v>33</v>
      </c>
      <c r="I11" s="314" t="s">
        <v>143</v>
      </c>
      <c r="J11" s="314" t="s">
        <v>322</v>
      </c>
      <c r="K11" s="314" t="s">
        <v>157</v>
      </c>
      <c r="L11" s="24">
        <v>2024</v>
      </c>
      <c r="M11" s="322">
        <f>GETPIVOTDATA("Units",'AMMO Units'!$A$3,"Year",$L11,"Measure Index",$A11,"Savings Category","Regional_Market_2021PP")</f>
        <v>2918.7808120999998</v>
      </c>
      <c r="N11" s="323">
        <f>GETPIVOTDATA("Units",'AMMO Units'!$A$3,"Year",$L11,"Measure Index",$A11,"Savings Category","Local_Incentives_2021PP")</f>
        <v>0</v>
      </c>
      <c r="O11" s="2820"/>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1884">
        <v>24.396715512243979</v>
      </c>
      <c r="R11" s="2822"/>
      <c r="S11" s="318">
        <f t="shared" si="8"/>
        <v>1.1542957130578561E-3</v>
      </c>
      <c r="T11" s="319">
        <f t="shared" si="9"/>
        <v>0</v>
      </c>
      <c r="U11" s="320">
        <f t="shared" si="4"/>
        <v>1.1542957130578561E-3</v>
      </c>
    </row>
    <row r="12" spans="1:22" s="1375" customFormat="1" ht="12.75" hidden="1" customHeight="1">
      <c r="A12" s="272" t="s">
        <v>93</v>
      </c>
      <c r="B12" s="311" t="str">
        <f t="shared" ref="B12:B13" si="10">LEFT(A12,10)</f>
        <v>COM_201403</v>
      </c>
      <c r="C12" s="311">
        <v>0</v>
      </c>
      <c r="D12" s="311">
        <v>0</v>
      </c>
      <c r="E12" s="311">
        <f t="shared" si="1"/>
        <v>1</v>
      </c>
      <c r="F12" s="311">
        <v>1</v>
      </c>
      <c r="G12" s="312" t="b">
        <v>1</v>
      </c>
      <c r="H12" s="313" t="s">
        <v>33</v>
      </c>
      <c r="I12" s="314" t="s">
        <v>143</v>
      </c>
      <c r="J12" s="314" t="s">
        <v>324</v>
      </c>
      <c r="K12" s="314" t="s">
        <v>157</v>
      </c>
      <c r="L12" s="24">
        <v>2025</v>
      </c>
      <c r="M12" s="322">
        <f>GETPIVOTDATA("Units",'AMMO Units'!$A$3,"Year",$L12,"Measure Index",$A12,"Savings Category","Regional_Market_2021PP")</f>
        <v>140686.52521634</v>
      </c>
      <c r="N12" s="323">
        <f>GETPIVOTDATA("Units",'AMMO Units'!$A$3,"Year",$L12,"Measure Index",$A12,"Savings Category","Local_Incentives_2021PP")</f>
        <v>0</v>
      </c>
      <c r="O12" s="2820"/>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1884">
        <v>14.519726669825884</v>
      </c>
      <c r="R12" s="2822"/>
      <c r="S12" s="318">
        <f t="shared" ref="S12:S13" si="11">(M12)*P12*Q12/8760000</f>
        <v>3.3112744829015169E-2</v>
      </c>
      <c r="T12" s="319">
        <f t="shared" ref="T12:T13" si="12">IFERROR((N12/M12*N12)*P12*Q12/8760/1000,0)</f>
        <v>0</v>
      </c>
      <c r="U12" s="320">
        <f t="shared" si="4"/>
        <v>3.3112744829015169E-2</v>
      </c>
    </row>
    <row r="13" spans="1:22" s="1375" customFormat="1" ht="12.75" hidden="1" customHeight="1">
      <c r="A13" s="272" t="s">
        <v>94</v>
      </c>
      <c r="B13" s="311" t="str">
        <f t="shared" si="10"/>
        <v>COM_201403</v>
      </c>
      <c r="C13" s="311">
        <v>0</v>
      </c>
      <c r="D13" s="311">
        <v>0</v>
      </c>
      <c r="E13" s="311">
        <f t="shared" si="1"/>
        <v>1</v>
      </c>
      <c r="F13" s="311">
        <v>1</v>
      </c>
      <c r="G13" s="312" t="b">
        <v>1</v>
      </c>
      <c r="H13" s="313" t="s">
        <v>33</v>
      </c>
      <c r="I13" s="314" t="s">
        <v>143</v>
      </c>
      <c r="J13" s="314" t="s">
        <v>322</v>
      </c>
      <c r="K13" s="314" t="s">
        <v>157</v>
      </c>
      <c r="L13" s="24">
        <v>2025</v>
      </c>
      <c r="M13" s="322">
        <f>GETPIVOTDATA("Units",'AMMO Units'!$A$3,"Year",$L13,"Measure Index",$A13,"Savings Category","Regional_Market_2021PP")</f>
        <v>2826.60878645</v>
      </c>
      <c r="N13" s="323">
        <f>GETPIVOTDATA("Units",'AMMO Units'!$A$3,"Year",$L13,"Measure Index",$A13,"Savings Category","Local_Incentives_2021PP")</f>
        <v>0</v>
      </c>
      <c r="O13" s="2820"/>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0.14199999999999999</v>
      </c>
      <c r="Q13" s="1884">
        <v>24.396715512243979</v>
      </c>
      <c r="R13" s="2822"/>
      <c r="S13" s="318">
        <f t="shared" si="11"/>
        <v>1.1178442694857347E-3</v>
      </c>
      <c r="T13" s="319">
        <f t="shared" si="12"/>
        <v>0</v>
      </c>
      <c r="U13" s="320">
        <f t="shared" si="4"/>
        <v>1.1178442694857347E-3</v>
      </c>
    </row>
    <row r="14" spans="1:22" customFormat="1" ht="12.75" customHeight="1">
      <c r="A14" s="272"/>
      <c r="B14" s="272"/>
      <c r="C14" s="273"/>
      <c r="D14" s="273"/>
      <c r="E14" s="273"/>
      <c r="F14" s="273"/>
      <c r="G14" s="272"/>
      <c r="H14" s="274"/>
      <c r="I14" s="274"/>
      <c r="J14" s="274"/>
      <c r="K14" s="274"/>
      <c r="L14" s="274"/>
      <c r="M14" s="275"/>
      <c r="N14" s="275"/>
      <c r="O14" s="275"/>
      <c r="P14" s="274"/>
      <c r="Q14" s="486"/>
      <c r="R14" s="274"/>
      <c r="S14" s="274"/>
      <c r="T14" s="274"/>
      <c r="U14" s="276"/>
    </row>
    <row r="15" spans="1:22" customFormat="1" ht="12.75" customHeight="1">
      <c r="A15" s="272"/>
      <c r="B15" s="272"/>
      <c r="C15" s="273"/>
      <c r="D15" s="273"/>
      <c r="E15" s="273"/>
      <c r="F15" s="273"/>
      <c r="G15" s="272"/>
      <c r="H15" s="495" t="s">
        <v>840</v>
      </c>
      <c r="I15" s="274"/>
      <c r="J15" s="274"/>
      <c r="K15" s="274"/>
      <c r="L15" s="274"/>
      <c r="M15" s="275"/>
      <c r="N15" s="275"/>
      <c r="O15" s="275"/>
      <c r="P15" s="274"/>
      <c r="Q15" s="274"/>
      <c r="R15" s="274"/>
      <c r="S15" s="274"/>
      <c r="T15" s="274"/>
      <c r="U15" s="276"/>
    </row>
    <row r="16" spans="1:22" customFormat="1" ht="12.75" customHeight="1">
      <c r="A16" s="272"/>
      <c r="B16" s="272"/>
      <c r="C16" s="273"/>
      <c r="D16" s="273"/>
      <c r="E16" s="273"/>
      <c r="F16" s="273"/>
      <c r="G16" s="272"/>
      <c r="H16" s="1437" t="s">
        <v>1573</v>
      </c>
      <c r="I16" s="274"/>
      <c r="J16" s="274"/>
      <c r="K16" s="274"/>
      <c r="L16" s="274"/>
      <c r="M16" s="274"/>
      <c r="N16" s="275"/>
      <c r="O16" s="275"/>
      <c r="P16" s="275"/>
      <c r="Q16" s="274"/>
      <c r="R16" s="274"/>
      <c r="S16" s="274"/>
      <c r="T16" s="274"/>
      <c r="U16" s="274"/>
      <c r="V16" s="276"/>
    </row>
    <row r="17" spans="8:34" ht="18.75" customHeight="1">
      <c r="H17" s="2807" t="s">
        <v>2709</v>
      </c>
      <c r="I17" s="2808"/>
      <c r="J17" s="2808"/>
      <c r="K17" s="2808"/>
      <c r="L17" s="2808"/>
      <c r="M17" s="2809"/>
    </row>
    <row r="18" spans="8:34" ht="18.75" hidden="1" customHeight="1">
      <c r="H18" s="2810"/>
      <c r="I18" s="2811"/>
      <c r="J18" s="2811"/>
      <c r="K18" s="2811"/>
      <c r="L18" s="2811"/>
      <c r="M18" s="2812"/>
    </row>
    <row r="19" spans="8:34" ht="18.75" customHeight="1">
      <c r="H19" s="2813"/>
      <c r="I19" s="2814"/>
      <c r="J19" s="2814"/>
      <c r="K19" s="2814"/>
      <c r="L19" s="2814"/>
      <c r="M19" s="2815"/>
    </row>
    <row r="20" spans="8:34" ht="12.75" customHeight="1">
      <c r="H20" s="635"/>
    </row>
    <row r="22" spans="8:34" ht="12.75" customHeight="1">
      <c r="H22" s="270"/>
      <c r="I22" s="270"/>
      <c r="J22" s="270"/>
      <c r="K22" s="270"/>
      <c r="L22" s="270"/>
      <c r="M22" s="270"/>
      <c r="N22" s="270"/>
      <c r="O22" s="270"/>
      <c r="P22" s="270"/>
      <c r="Q22" s="270"/>
      <c r="R22" s="270"/>
      <c r="S22" s="270"/>
      <c r="T22" s="270"/>
      <c r="U22" s="270"/>
      <c r="V22" s="270"/>
      <c r="W22" s="270"/>
      <c r="X22" s="270"/>
      <c r="Y22" s="270"/>
      <c r="Z22" s="270"/>
      <c r="AA22" s="270"/>
    </row>
    <row r="23" spans="8:34" ht="12.75" customHeight="1">
      <c r="H23" s="1857" t="s">
        <v>2704</v>
      </c>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row>
    <row r="24" spans="8:34" ht="12.75" customHeight="1" thickBot="1">
      <c r="H24" s="270"/>
      <c r="I24" s="270"/>
      <c r="J24" s="270"/>
      <c r="K24" s="270"/>
      <c r="L24" s="270"/>
      <c r="M24" s="270"/>
      <c r="N24" s="270"/>
      <c r="O24" s="270"/>
      <c r="P24" s="270"/>
      <c r="Q24" s="270"/>
      <c r="R24" s="270"/>
      <c r="U24" s="270"/>
      <c r="V24" s="270"/>
      <c r="W24" s="270"/>
      <c r="X24" s="270"/>
      <c r="Y24" s="270"/>
      <c r="Z24" s="270"/>
      <c r="AA24" s="270"/>
    </row>
    <row r="25" spans="8:34" ht="12.75" customHeight="1" thickTop="1" thickBot="1">
      <c r="H25" s="270" t="s">
        <v>520</v>
      </c>
      <c r="I25" s="2800" t="s">
        <v>2599</v>
      </c>
      <c r="J25" s="2801"/>
      <c r="K25" s="1487" t="s">
        <v>2802</v>
      </c>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row>
    <row r="26" spans="8:34" ht="12.75" customHeight="1" thickTop="1" thickBot="1">
      <c r="H26" s="270" t="s">
        <v>520</v>
      </c>
      <c r="I26" s="2800" t="s">
        <v>2705</v>
      </c>
      <c r="J26" s="2801"/>
      <c r="K26" s="1487" t="s">
        <v>2706</v>
      </c>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row>
    <row r="27" spans="8:34" ht="12.75" customHeight="1" thickTop="1">
      <c r="H27" s="270"/>
      <c r="I27" s="752" t="s">
        <v>2803</v>
      </c>
      <c r="J27" s="270"/>
      <c r="K27" s="1487"/>
      <c r="L27" s="270"/>
      <c r="M27" s="270"/>
      <c r="N27" s="270"/>
      <c r="O27" s="270"/>
      <c r="P27" s="270"/>
      <c r="Q27" s="1375"/>
      <c r="R27" s="1375"/>
      <c r="S27" s="1375"/>
      <c r="T27" s="1375"/>
      <c r="U27" s="1375"/>
      <c r="V27" s="1375"/>
      <c r="W27" s="1375"/>
      <c r="X27" s="1375"/>
      <c r="Y27" s="1375"/>
      <c r="Z27" s="1375"/>
      <c r="AA27" s="1375"/>
      <c r="AB27" s="1375"/>
      <c r="AC27" s="1375"/>
      <c r="AD27" s="1375"/>
      <c r="AE27" s="1375"/>
      <c r="AF27" s="1375"/>
      <c r="AG27" s="1375"/>
      <c r="AH27" s="1375"/>
    </row>
    <row r="28" spans="8:34" ht="12.75" customHeight="1">
      <c r="H28" s="1375"/>
      <c r="I28" s="752" t="s">
        <v>2804</v>
      </c>
      <c r="J28" s="270"/>
      <c r="K28" s="270"/>
      <c r="L28" s="270"/>
      <c r="M28" s="270"/>
      <c r="N28" s="270"/>
      <c r="O28" s="270"/>
      <c r="P28" s="270"/>
      <c r="Q28" s="1375"/>
      <c r="R28" s="1375"/>
      <c r="S28" s="1375"/>
      <c r="T28" s="1375"/>
      <c r="U28" s="1375"/>
      <c r="V28" s="1375"/>
      <c r="W28" s="1375"/>
      <c r="X28" s="1375"/>
      <c r="Y28" s="1375"/>
      <c r="Z28" s="1375"/>
      <c r="AA28" s="1375"/>
      <c r="AB28" s="1375"/>
      <c r="AC28" s="1375"/>
      <c r="AD28" s="1375"/>
      <c r="AE28" s="1375"/>
      <c r="AF28" s="1375"/>
      <c r="AG28" s="1375"/>
      <c r="AH28" s="1375"/>
    </row>
    <row r="29" spans="8:34" ht="12.75" customHeight="1">
      <c r="H29" s="1493"/>
      <c r="I29" s="752" t="s">
        <v>2805</v>
      </c>
      <c r="J29" s="270"/>
      <c r="K29" s="270"/>
      <c r="L29" s="270"/>
      <c r="M29" s="270"/>
      <c r="N29" s="270"/>
      <c r="O29" s="270"/>
      <c r="P29" s="270"/>
      <c r="Q29" s="1375"/>
      <c r="R29" s="1375"/>
      <c r="S29" s="1375"/>
      <c r="T29" s="1375"/>
      <c r="U29" s="1375"/>
      <c r="V29" s="1375"/>
      <c r="W29" s="1375"/>
      <c r="X29" s="1375"/>
      <c r="Y29" s="1375"/>
      <c r="Z29" s="1375"/>
      <c r="AA29" s="1375"/>
      <c r="AB29" s="1375"/>
      <c r="AC29" s="1375"/>
      <c r="AD29" s="1375"/>
      <c r="AE29" s="1375"/>
      <c r="AF29" s="1375"/>
      <c r="AG29" s="1375"/>
      <c r="AH29" s="1375"/>
    </row>
    <row r="30" spans="8:34" ht="12.75" customHeight="1">
      <c r="H30" s="1493"/>
      <c r="I30" s="1858" t="s">
        <v>2894</v>
      </c>
      <c r="J30" s="270"/>
      <c r="K30" s="270"/>
      <c r="L30" s="270"/>
      <c r="M30" s="270"/>
      <c r="N30" s="270"/>
      <c r="O30" s="270"/>
      <c r="P30" s="270"/>
      <c r="Q30" s="1375"/>
      <c r="R30" s="1375"/>
      <c r="S30" s="1375"/>
      <c r="T30" s="1375"/>
      <c r="U30" s="1375"/>
      <c r="V30" s="1375"/>
      <c r="W30" s="1375"/>
      <c r="X30" s="1375"/>
      <c r="Y30" s="1375"/>
      <c r="Z30" s="1375"/>
      <c r="AA30" s="1375"/>
      <c r="AB30" s="1375"/>
      <c r="AC30" s="1375"/>
      <c r="AD30" s="1375"/>
      <c r="AE30" s="1375"/>
      <c r="AF30" s="1375"/>
      <c r="AG30" s="1375"/>
      <c r="AH30" s="1375"/>
    </row>
    <row r="31" spans="8:34" ht="12.75" customHeight="1">
      <c r="H31" s="1493"/>
      <c r="I31" s="1818"/>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row>
    <row r="32" spans="8:34" ht="12.75" customHeight="1">
      <c r="H32" s="1493" t="s">
        <v>2806</v>
      </c>
      <c r="I32" s="1818"/>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row>
    <row r="33" spans="8:34" ht="12.75" customHeight="1">
      <c r="H33" s="752" t="s">
        <v>2807</v>
      </c>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row>
    <row r="34" spans="8:34" ht="12.75" customHeight="1">
      <c r="H34" s="270" t="s">
        <v>2808</v>
      </c>
      <c r="I34" s="1375"/>
      <c r="J34" s="1375"/>
      <c r="K34" s="236"/>
      <c r="L34" s="236"/>
      <c r="M34" s="236"/>
      <c r="N34" s="236"/>
      <c r="O34" s="1375"/>
      <c r="P34" s="1375"/>
      <c r="Q34" s="1375"/>
      <c r="R34" s="1375"/>
      <c r="S34" s="1375"/>
      <c r="T34" s="1375"/>
      <c r="U34" s="1375"/>
      <c r="V34" s="1375"/>
      <c r="W34" s="1375"/>
      <c r="X34" s="1375"/>
      <c r="Y34" s="1375"/>
      <c r="Z34" s="1375"/>
      <c r="AA34" s="1375"/>
      <c r="AB34" s="1375"/>
      <c r="AC34" s="1375"/>
      <c r="AD34" s="1375"/>
      <c r="AE34" s="1375"/>
      <c r="AF34" s="1375"/>
      <c r="AG34" s="1375"/>
      <c r="AH34" s="1375"/>
    </row>
    <row r="35" spans="8:34" ht="12.75" customHeight="1">
      <c r="H35" s="1819" t="s">
        <v>2809</v>
      </c>
      <c r="I35" s="1820"/>
      <c r="J35" s="1819" t="s">
        <v>2810</v>
      </c>
      <c r="K35" s="1819" t="s">
        <v>2811</v>
      </c>
      <c r="L35" s="1819" t="s">
        <v>2812</v>
      </c>
      <c r="M35" s="1819" t="s">
        <v>2813</v>
      </c>
      <c r="N35" s="1819" t="s">
        <v>2814</v>
      </c>
      <c r="O35" s="1821" t="s">
        <v>2815</v>
      </c>
      <c r="P35" s="1375"/>
      <c r="Q35" s="1375"/>
      <c r="R35" s="1375"/>
      <c r="S35" s="1375"/>
      <c r="T35" s="1375"/>
      <c r="U35" s="1375"/>
      <c r="V35" s="1375"/>
      <c r="W35" s="1375"/>
      <c r="X35" s="1375"/>
      <c r="Y35" s="1375"/>
      <c r="Z35" s="1375"/>
      <c r="AA35" s="1375"/>
      <c r="AB35" s="1375"/>
      <c r="AC35" s="1375"/>
      <c r="AD35" s="1375"/>
      <c r="AE35" s="1375"/>
      <c r="AF35" s="1375"/>
      <c r="AG35" s="1375"/>
      <c r="AH35" s="1375"/>
    </row>
    <row r="36" spans="8:34" ht="15">
      <c r="H36" s="1822" t="s">
        <v>2816</v>
      </c>
      <c r="I36" s="1823" t="s">
        <v>2817</v>
      </c>
      <c r="J36" s="1824">
        <v>139.82842724978951</v>
      </c>
      <c r="K36" s="1825">
        <v>0.8</v>
      </c>
      <c r="L36" s="1826">
        <v>0.03</v>
      </c>
      <c r="M36" s="1827">
        <v>0.95</v>
      </c>
      <c r="N36" s="1828">
        <f>J36*K36*(1-L36)*M36</f>
        <v>103.08151656854483</v>
      </c>
      <c r="O36" s="1824">
        <v>2090</v>
      </c>
      <c r="P36" s="1375"/>
      <c r="Q36" s="1375"/>
      <c r="R36" s="1375"/>
      <c r="S36" s="1375"/>
      <c r="T36" s="1375"/>
      <c r="U36" s="1375"/>
      <c r="V36" s="1375"/>
      <c r="W36" s="1375"/>
      <c r="X36" s="1375"/>
      <c r="Y36" s="1375"/>
      <c r="Z36" s="1375"/>
      <c r="AA36" s="1375"/>
      <c r="AB36" s="1375"/>
      <c r="AC36" s="1375"/>
      <c r="AD36" s="1375"/>
      <c r="AE36" s="1375"/>
      <c r="AF36" s="1375"/>
      <c r="AG36" s="1375"/>
      <c r="AH36" s="1375"/>
    </row>
    <row r="37" spans="8:34" ht="15">
      <c r="H37" s="1822" t="s">
        <v>2816</v>
      </c>
      <c r="I37" s="1823" t="s">
        <v>2818</v>
      </c>
      <c r="J37" s="1824">
        <v>98.089530332681051</v>
      </c>
      <c r="K37" s="1825">
        <v>0.73</v>
      </c>
      <c r="L37" s="1829" t="s">
        <v>735</v>
      </c>
      <c r="M37" s="1825">
        <v>0.95</v>
      </c>
      <c r="N37" s="1828">
        <f>J37*K37*M37</f>
        <v>68.025089285714301</v>
      </c>
      <c r="O37" s="270"/>
      <c r="P37" s="1375"/>
      <c r="Q37" s="1375"/>
      <c r="R37" s="1375"/>
      <c r="S37" s="1375"/>
      <c r="T37" s="1375"/>
      <c r="U37" s="1375"/>
      <c r="V37" s="1375"/>
      <c r="W37" s="1375"/>
      <c r="X37" s="1375"/>
      <c r="Y37" s="1375"/>
      <c r="Z37" s="1375"/>
      <c r="AA37" s="1375"/>
      <c r="AB37" s="1375"/>
      <c r="AC37" s="1375"/>
      <c r="AD37" s="1375"/>
      <c r="AE37" s="1375"/>
      <c r="AF37" s="1375"/>
      <c r="AG37" s="1375"/>
      <c r="AH37" s="1375"/>
    </row>
    <row r="38" spans="8:34" ht="15">
      <c r="H38" s="1822" t="s">
        <v>2816</v>
      </c>
      <c r="I38" s="1823" t="s">
        <v>2819</v>
      </c>
      <c r="J38" s="1824">
        <v>98.077777777777769</v>
      </c>
      <c r="K38" s="1825">
        <v>0.73</v>
      </c>
      <c r="L38" s="1829" t="s">
        <v>735</v>
      </c>
      <c r="M38" s="1825">
        <v>0.95</v>
      </c>
      <c r="N38" s="1828">
        <f t="shared" ref="N38:N39" si="13">J38*K38*M38</f>
        <v>68.016938888888888</v>
      </c>
      <c r="O38" s="270"/>
      <c r="P38" s="1375"/>
      <c r="Q38" s="1375"/>
      <c r="R38" s="1375"/>
      <c r="S38" s="1375"/>
      <c r="T38" s="1375"/>
      <c r="U38" s="1375"/>
      <c r="V38" s="1375"/>
      <c r="W38" s="1375"/>
      <c r="X38" s="1375"/>
      <c r="Y38" s="1375"/>
      <c r="Z38" s="1375"/>
      <c r="AA38" s="1375"/>
      <c r="AB38" s="1375"/>
      <c r="AC38" s="1375"/>
      <c r="AD38" s="1375"/>
      <c r="AE38" s="1375"/>
      <c r="AF38" s="1375"/>
      <c r="AG38" s="1375"/>
      <c r="AH38" s="1375"/>
    </row>
    <row r="39" spans="8:34" ht="15">
      <c r="H39" s="1822" t="s">
        <v>2816</v>
      </c>
      <c r="I39" s="1823" t="s">
        <v>2820</v>
      </c>
      <c r="J39" s="1824">
        <v>93.092224231464741</v>
      </c>
      <c r="K39" s="1825">
        <v>0.73</v>
      </c>
      <c r="L39" s="1829" t="s">
        <v>735</v>
      </c>
      <c r="M39" s="1825">
        <v>0.93</v>
      </c>
      <c r="N39" s="1828">
        <f t="shared" si="13"/>
        <v>63.20031103074141</v>
      </c>
      <c r="O39" s="270"/>
      <c r="P39" s="1375"/>
      <c r="Q39" s="1375"/>
      <c r="R39" s="1375"/>
      <c r="S39" s="1375"/>
      <c r="T39" s="1375"/>
      <c r="U39" s="1375"/>
      <c r="V39" s="1375"/>
      <c r="W39" s="1375"/>
      <c r="X39" s="1375"/>
      <c r="Y39" s="1375"/>
      <c r="Z39" s="1375"/>
      <c r="AA39" s="1375"/>
      <c r="AB39" s="1375"/>
      <c r="AC39" s="1375"/>
      <c r="AD39" s="1375"/>
      <c r="AE39" s="1375"/>
      <c r="AF39" s="1375"/>
      <c r="AG39" s="1375"/>
      <c r="AH39" s="1375"/>
    </row>
    <row r="40" spans="8:34" ht="12.75" customHeight="1">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row>
    <row r="41" spans="8:34" ht="12.75" customHeight="1">
      <c r="H41" s="1830" t="s">
        <v>2821</v>
      </c>
      <c r="I41" s="270"/>
      <c r="J41" s="270"/>
      <c r="K41" s="270"/>
      <c r="L41" s="270"/>
      <c r="M41" s="270"/>
      <c r="N41" s="270"/>
      <c r="O41" s="270"/>
      <c r="P41" s="270"/>
      <c r="Q41" s="270"/>
      <c r="R41" s="270"/>
      <c r="S41" s="270"/>
      <c r="T41" s="1375"/>
      <c r="U41" s="1375"/>
      <c r="V41" s="1375"/>
      <c r="W41" s="1375"/>
      <c r="X41" s="1375"/>
      <c r="Y41" s="1375"/>
      <c r="Z41" s="1375"/>
      <c r="AA41" s="1375"/>
      <c r="AB41" s="1375"/>
      <c r="AC41" s="1375"/>
      <c r="AD41" s="1375"/>
      <c r="AE41" s="1375"/>
      <c r="AF41" s="1375"/>
      <c r="AG41" s="1375"/>
      <c r="AH41" s="1375"/>
    </row>
    <row r="42" spans="8:34" ht="12.75" customHeight="1">
      <c r="H42" s="1831" t="s">
        <v>2822</v>
      </c>
      <c r="I42" s="1832" t="s">
        <v>2823</v>
      </c>
      <c r="J42" s="1832" t="s">
        <v>2824</v>
      </c>
      <c r="K42" s="1832" t="s">
        <v>2825</v>
      </c>
      <c r="L42" s="1832" t="s">
        <v>2826</v>
      </c>
      <c r="M42" s="1832" t="s">
        <v>2827</v>
      </c>
      <c r="N42" s="270"/>
      <c r="O42" s="270"/>
      <c r="P42" s="270"/>
      <c r="Q42" s="270"/>
      <c r="R42" s="270"/>
      <c r="S42" s="270"/>
      <c r="T42" s="1375"/>
      <c r="U42" s="1375"/>
      <c r="V42" s="1375"/>
      <c r="W42" s="1375"/>
      <c r="X42" s="1375"/>
      <c r="Y42" s="1375"/>
      <c r="Z42" s="1375"/>
      <c r="AA42" s="1375"/>
      <c r="AB42" s="1375"/>
      <c r="AC42" s="1375"/>
      <c r="AD42" s="1375"/>
      <c r="AE42" s="1375"/>
      <c r="AF42" s="1375"/>
      <c r="AG42" s="1375"/>
      <c r="AH42" s="1375"/>
    </row>
    <row r="43" spans="8:34" ht="26.25">
      <c r="H43" s="1833" t="s">
        <v>2828</v>
      </c>
      <c r="I43" s="1834">
        <v>32</v>
      </c>
      <c r="J43" s="1834">
        <v>55.3</v>
      </c>
      <c r="K43" s="1835">
        <v>4796</v>
      </c>
      <c r="L43" s="1836">
        <v>86.726943942133815</v>
      </c>
      <c r="M43" s="1836">
        <v>92.296564195298373</v>
      </c>
      <c r="N43" s="270"/>
      <c r="O43" s="270"/>
      <c r="P43" s="270"/>
      <c r="Q43" s="270"/>
      <c r="R43" s="270"/>
      <c r="S43" s="270"/>
      <c r="T43" s="1375"/>
      <c r="U43" s="1375"/>
      <c r="V43" s="1375"/>
      <c r="W43" s="1375"/>
      <c r="X43" s="1375"/>
      <c r="Y43" s="1375"/>
      <c r="Z43" s="1375"/>
      <c r="AA43" s="1375"/>
      <c r="AB43" s="1375"/>
      <c r="AC43" s="1375"/>
      <c r="AD43" s="1375"/>
      <c r="AE43" s="1375"/>
      <c r="AF43" s="1375"/>
      <c r="AG43" s="1375"/>
      <c r="AH43" s="1375"/>
    </row>
    <row r="44" spans="8:34" ht="26.25">
      <c r="H44" s="1833" t="s">
        <v>2829</v>
      </c>
      <c r="I44" s="1834">
        <v>32</v>
      </c>
      <c r="J44" s="1834">
        <v>55.3</v>
      </c>
      <c r="K44" s="1835">
        <v>5130</v>
      </c>
      <c r="L44" s="1836">
        <v>92.766726943942132</v>
      </c>
      <c r="M44" s="1836">
        <v>93.092224231464741</v>
      </c>
      <c r="N44" s="270"/>
      <c r="O44" s="270"/>
      <c r="P44" s="270"/>
      <c r="Q44" s="270"/>
      <c r="R44" s="270"/>
      <c r="S44" s="270"/>
      <c r="T44" s="1375"/>
      <c r="U44" s="1375"/>
      <c r="V44" s="1375"/>
      <c r="W44" s="1375"/>
      <c r="X44" s="1375"/>
      <c r="Y44" s="1375"/>
      <c r="Z44" s="1375"/>
      <c r="AA44" s="1375"/>
      <c r="AB44" s="1375"/>
      <c r="AC44" s="1375"/>
      <c r="AD44" s="1375"/>
      <c r="AE44" s="1375"/>
      <c r="AF44" s="1375"/>
      <c r="AG44" s="1375"/>
      <c r="AH44" s="1375"/>
    </row>
    <row r="45" spans="8:34" ht="26.25">
      <c r="H45" s="1833" t="s">
        <v>2830</v>
      </c>
      <c r="I45" s="1834">
        <v>28</v>
      </c>
      <c r="J45" s="1834">
        <v>49.7</v>
      </c>
      <c r="K45" s="1835">
        <v>4558</v>
      </c>
      <c r="L45" s="1836">
        <v>91.710261569416488</v>
      </c>
      <c r="M45" s="1836">
        <v>87.645875251509054</v>
      </c>
      <c r="N45" s="270"/>
      <c r="O45" s="270"/>
      <c r="P45" s="270"/>
      <c r="Q45" s="270"/>
      <c r="R45" s="270"/>
      <c r="S45" s="270"/>
      <c r="T45" s="1375"/>
      <c r="U45" s="1375"/>
      <c r="V45" s="1375"/>
      <c r="W45" s="1375"/>
      <c r="X45" s="1375"/>
      <c r="Y45" s="1375"/>
      <c r="Z45" s="1375"/>
      <c r="AA45" s="1375"/>
      <c r="AB45" s="1375"/>
      <c r="AC45" s="1375"/>
      <c r="AD45" s="1375"/>
      <c r="AE45" s="1375"/>
      <c r="AF45" s="1375"/>
      <c r="AG45" s="1375"/>
      <c r="AH45" s="1375"/>
    </row>
    <row r="46" spans="8:34" ht="26.25">
      <c r="H46" s="1833" t="s">
        <v>2831</v>
      </c>
      <c r="I46" s="1834">
        <v>25</v>
      </c>
      <c r="J46" s="1834">
        <v>46.3</v>
      </c>
      <c r="K46" s="1835">
        <v>4136</v>
      </c>
      <c r="L46" s="1836">
        <v>89.330453563714912</v>
      </c>
      <c r="M46" s="1836">
        <v>117.84017278617711</v>
      </c>
      <c r="N46" s="270"/>
      <c r="O46" s="270"/>
      <c r="P46" s="270"/>
      <c r="Q46" s="270"/>
      <c r="R46" s="270"/>
      <c r="S46" s="270"/>
      <c r="T46" s="1375"/>
      <c r="U46" s="1375"/>
      <c r="V46" s="1375"/>
      <c r="W46" s="1375"/>
      <c r="X46" s="1375"/>
      <c r="Y46" s="1375"/>
      <c r="Z46" s="1375"/>
      <c r="AA46" s="1375"/>
      <c r="AB46" s="1375"/>
      <c r="AC46" s="1375"/>
      <c r="AD46" s="1375"/>
      <c r="AE46" s="1375"/>
      <c r="AF46" s="1375"/>
      <c r="AG46" s="1375"/>
      <c r="AH46" s="1375"/>
    </row>
    <row r="47" spans="8:34" ht="12.75" customHeight="1">
      <c r="H47" s="270"/>
      <c r="I47" s="270"/>
      <c r="J47" s="270"/>
      <c r="K47" s="270"/>
      <c r="L47" s="270"/>
      <c r="M47" s="270"/>
      <c r="N47" s="270"/>
      <c r="O47" s="270"/>
      <c r="P47" s="270"/>
      <c r="Q47" s="270"/>
      <c r="R47" s="270"/>
      <c r="S47" s="270"/>
      <c r="T47" s="1375"/>
      <c r="U47" s="1375"/>
      <c r="V47" s="1375"/>
      <c r="W47" s="1375"/>
      <c r="X47" s="1375"/>
      <c r="Y47" s="1375"/>
      <c r="Z47" s="1375"/>
      <c r="AA47" s="1375"/>
      <c r="AB47" s="1375"/>
      <c r="AC47" s="1375"/>
      <c r="AD47" s="1375"/>
      <c r="AE47" s="1375"/>
      <c r="AF47" s="1375"/>
      <c r="AG47" s="1375"/>
      <c r="AH47" s="1375"/>
    </row>
    <row r="48" spans="8:34" ht="12.75" customHeight="1">
      <c r="H48" s="752" t="s">
        <v>2832</v>
      </c>
      <c r="I48" s="270"/>
      <c r="J48" s="270"/>
      <c r="K48" s="270"/>
      <c r="L48" s="270"/>
      <c r="M48" s="752" t="s">
        <v>2833</v>
      </c>
      <c r="N48" s="270"/>
      <c r="O48" s="270"/>
      <c r="P48" s="270"/>
      <c r="Q48" s="270"/>
      <c r="R48" s="270"/>
      <c r="S48" s="270"/>
      <c r="T48" s="1375"/>
      <c r="U48" s="1375"/>
      <c r="V48" s="1375"/>
      <c r="W48" s="1375"/>
      <c r="X48" s="1375"/>
      <c r="Y48" s="1375"/>
      <c r="Z48" s="1375"/>
      <c r="AA48" s="1375"/>
      <c r="AB48" s="1375"/>
      <c r="AC48" s="1375"/>
      <c r="AD48" s="1375"/>
      <c r="AE48" s="1375"/>
      <c r="AF48" s="1375"/>
      <c r="AG48" s="1375"/>
      <c r="AH48" s="1375"/>
    </row>
    <row r="49" spans="8:34" ht="12.75" customHeight="1">
      <c r="H49" s="1837" t="s">
        <v>2834</v>
      </c>
      <c r="I49" s="270"/>
      <c r="J49" s="270"/>
      <c r="K49" s="270"/>
      <c r="L49" s="270"/>
      <c r="M49" s="270"/>
      <c r="N49" s="270"/>
      <c r="O49" s="270"/>
      <c r="P49" s="270"/>
      <c r="Q49" s="270"/>
      <c r="R49" s="270"/>
      <c r="S49" s="270"/>
      <c r="T49" s="1375"/>
      <c r="U49" s="1375"/>
      <c r="V49" s="1375"/>
      <c r="W49" s="1375"/>
      <c r="X49" s="1375"/>
      <c r="Y49" s="1375"/>
      <c r="Z49" s="1375"/>
      <c r="AA49" s="1375"/>
      <c r="AB49" s="1375"/>
      <c r="AC49" s="1375"/>
      <c r="AD49" s="1375"/>
      <c r="AE49" s="1375"/>
      <c r="AF49" s="1375"/>
      <c r="AG49" s="1375"/>
      <c r="AH49" s="1375"/>
    </row>
    <row r="50" spans="8:34" ht="12.75" customHeight="1">
      <c r="H50" s="270"/>
      <c r="I50" s="2802" t="s">
        <v>2835</v>
      </c>
      <c r="J50" s="2802"/>
      <c r="K50" s="270"/>
      <c r="L50" s="2803" t="s">
        <v>2836</v>
      </c>
      <c r="M50" s="2804"/>
      <c r="N50" s="2804"/>
      <c r="O50" s="2805"/>
      <c r="P50" s="270"/>
      <c r="Q50" s="270"/>
      <c r="R50" s="270"/>
      <c r="S50" s="270"/>
      <c r="T50" s="1375"/>
      <c r="U50" s="1375"/>
      <c r="V50" s="1375"/>
      <c r="W50" s="1375"/>
      <c r="X50" s="1375"/>
      <c r="Y50" s="1375"/>
      <c r="Z50" s="1375"/>
      <c r="AA50" s="1375"/>
      <c r="AB50" s="1375"/>
      <c r="AC50" s="1375"/>
      <c r="AD50" s="1375"/>
      <c r="AE50" s="1375"/>
      <c r="AF50" s="1375"/>
      <c r="AG50" s="1375"/>
      <c r="AH50" s="1375"/>
    </row>
    <row r="51" spans="8:34" ht="12.75" customHeight="1">
      <c r="H51" s="270"/>
      <c r="I51" s="270"/>
      <c r="J51" s="270"/>
      <c r="K51" s="270"/>
      <c r="L51" s="270"/>
      <c r="M51" s="270"/>
      <c r="N51" s="270"/>
      <c r="O51" s="270"/>
      <c r="P51" s="270"/>
      <c r="Q51" s="270"/>
      <c r="R51" s="270"/>
      <c r="S51" s="270"/>
      <c r="T51" s="1375"/>
      <c r="U51" s="1375"/>
      <c r="V51" s="1375"/>
      <c r="W51" s="1375"/>
      <c r="X51" s="1375"/>
      <c r="Y51" s="1375"/>
      <c r="Z51" s="1375"/>
      <c r="AA51" s="1375"/>
      <c r="AB51" s="1375"/>
      <c r="AC51" s="1375"/>
      <c r="AD51" s="1375"/>
      <c r="AE51" s="1375"/>
      <c r="AF51" s="1375"/>
      <c r="AG51" s="1375"/>
      <c r="AH51" s="1375"/>
    </row>
    <row r="52" spans="8:34" ht="12.75" customHeight="1">
      <c r="H52" s="1838"/>
      <c r="I52" s="1859" t="s">
        <v>2837</v>
      </c>
      <c r="J52" s="1860" t="s">
        <v>2838</v>
      </c>
      <c r="K52" s="270"/>
      <c r="L52" s="1838" t="s">
        <v>2839</v>
      </c>
      <c r="M52" s="1853" t="s">
        <v>2840</v>
      </c>
      <c r="N52" s="1853" t="s">
        <v>2815</v>
      </c>
      <c r="O52" s="1861" t="s">
        <v>2841</v>
      </c>
      <c r="P52" s="270"/>
      <c r="Q52" s="270"/>
      <c r="R52" s="270"/>
      <c r="S52" s="270"/>
      <c r="T52" s="1375"/>
      <c r="U52" s="1375"/>
      <c r="V52" s="1375"/>
      <c r="W52" s="1375"/>
      <c r="X52" s="1375"/>
      <c r="Y52" s="1375"/>
      <c r="Z52" s="1375"/>
      <c r="AA52" s="1375"/>
      <c r="AB52" s="1375"/>
      <c r="AC52" s="1375"/>
      <c r="AD52" s="1375"/>
      <c r="AE52" s="1375"/>
      <c r="AF52" s="1375"/>
      <c r="AG52" s="1375"/>
      <c r="AH52" s="1375"/>
    </row>
    <row r="53" spans="8:34" ht="12.75" customHeight="1">
      <c r="H53" s="1838" t="s">
        <v>2842</v>
      </c>
      <c r="I53" s="1862">
        <v>0.56999999999999995</v>
      </c>
      <c r="J53" s="1863">
        <v>0.4865426356589147</v>
      </c>
      <c r="K53" s="1864"/>
      <c r="L53" s="1838" t="s">
        <v>2842</v>
      </c>
      <c r="M53" s="1865">
        <f>N39</f>
        <v>63.20031103074141</v>
      </c>
      <c r="N53" s="1865">
        <f>K44</f>
        <v>5130</v>
      </c>
      <c r="O53" s="1866">
        <f>N53/M53</f>
        <v>81.170486605749531</v>
      </c>
      <c r="P53" s="270"/>
      <c r="Q53" s="270"/>
      <c r="R53" s="270"/>
      <c r="S53" s="270"/>
      <c r="T53" s="1375"/>
      <c r="U53" s="1375"/>
      <c r="V53" s="1375"/>
      <c r="W53" s="1375"/>
      <c r="X53" s="1375"/>
      <c r="Y53" s="1375"/>
      <c r="Z53" s="1375"/>
      <c r="AA53" s="1375"/>
      <c r="AB53" s="1375"/>
      <c r="AC53" s="1375"/>
      <c r="AD53" s="1375"/>
      <c r="AE53" s="1375"/>
      <c r="AF53" s="1375"/>
      <c r="AG53" s="1375"/>
      <c r="AH53" s="1375"/>
    </row>
    <row r="54" spans="8:34" ht="12.75" customHeight="1">
      <c r="H54" s="1838" t="s">
        <v>2712</v>
      </c>
      <c r="I54" s="1862">
        <v>0.4</v>
      </c>
      <c r="J54" s="1863">
        <v>0.25012403100775188</v>
      </c>
      <c r="K54" s="1864"/>
      <c r="L54" s="1838" t="s">
        <v>2712</v>
      </c>
      <c r="M54" s="1865">
        <f>N37</f>
        <v>68.025089285714301</v>
      </c>
      <c r="N54" s="1865">
        <f>K45</f>
        <v>4558</v>
      </c>
      <c r="O54" s="1866">
        <f>N54/M54</f>
        <v>67.004689708760282</v>
      </c>
      <c r="P54" s="270"/>
      <c r="Q54" s="270"/>
      <c r="R54" s="270"/>
      <c r="S54" s="270"/>
      <c r="T54" s="1375"/>
      <c r="U54" s="1375"/>
      <c r="V54" s="1375"/>
      <c r="W54" s="1375"/>
      <c r="X54" s="1375"/>
      <c r="Y54" s="1375"/>
      <c r="Z54" s="1375"/>
      <c r="AA54" s="1375"/>
      <c r="AB54" s="1375"/>
      <c r="AC54" s="1375"/>
      <c r="AD54" s="1375"/>
      <c r="AE54" s="1375"/>
      <c r="AF54" s="1375"/>
      <c r="AG54" s="1375"/>
      <c r="AH54" s="1375"/>
    </row>
    <row r="55" spans="8:34" ht="12.75" customHeight="1">
      <c r="H55" s="1838" t="s">
        <v>2713</v>
      </c>
      <c r="I55" s="1862">
        <v>0.02</v>
      </c>
      <c r="J55" s="1863">
        <v>0</v>
      </c>
      <c r="K55" s="1864"/>
      <c r="L55" s="1838" t="s">
        <v>2713</v>
      </c>
      <c r="M55" s="1865">
        <f>N37</f>
        <v>68.025089285714301</v>
      </c>
      <c r="N55" s="1865">
        <f>K46</f>
        <v>4136</v>
      </c>
      <c r="O55" s="1866">
        <f t="shared" ref="O55:O57" si="14">N55/M55</f>
        <v>60.80109623418879</v>
      </c>
      <c r="P55" s="270"/>
      <c r="Q55" s="270"/>
      <c r="R55" s="270"/>
      <c r="S55" s="270"/>
      <c r="T55" s="1375"/>
      <c r="U55" s="1375"/>
      <c r="V55" s="1375"/>
      <c r="W55" s="1375"/>
      <c r="X55" s="1375"/>
      <c r="Y55" s="1375"/>
      <c r="Z55" s="1375"/>
      <c r="AA55" s="1375"/>
      <c r="AB55" s="1375"/>
      <c r="AC55" s="1375"/>
      <c r="AD55" s="1375"/>
      <c r="AE55" s="1375"/>
      <c r="AF55" s="1375"/>
      <c r="AG55" s="1375"/>
      <c r="AH55" s="1375"/>
    </row>
    <row r="56" spans="8:34" ht="12.75" customHeight="1">
      <c r="H56" s="1838" t="s">
        <v>2707</v>
      </c>
      <c r="I56" s="1867"/>
      <c r="J56" s="1863">
        <v>0.26333333333333336</v>
      </c>
      <c r="K56" s="270"/>
      <c r="L56" s="1868" t="s">
        <v>2843</v>
      </c>
      <c r="M56" s="1869">
        <f>SUMPRODUCT(J53:J55,M53:M55)/SUM(J53:J55)</f>
        <v>64.838491554522889</v>
      </c>
      <c r="N56" s="1870">
        <f>SUMPRODUCT(J53:J55,N53:N55)/SUM(J53:J55)</f>
        <v>4935.7860465116273</v>
      </c>
      <c r="O56" s="1871">
        <f t="shared" si="14"/>
        <v>76.124319492551876</v>
      </c>
      <c r="P56" s="270"/>
      <c r="Q56" s="270"/>
      <c r="R56" s="270"/>
      <c r="S56" s="270"/>
      <c r="T56" s="1375"/>
      <c r="U56" s="1375"/>
      <c r="V56" s="1375"/>
      <c r="W56" s="1375"/>
      <c r="X56" s="1375"/>
      <c r="Y56" s="1375"/>
      <c r="Z56" s="1375"/>
      <c r="AA56" s="1375"/>
      <c r="AB56" s="1375"/>
      <c r="AC56" s="1375"/>
      <c r="AD56" s="1375"/>
      <c r="AE56" s="1375"/>
      <c r="AF56" s="1375"/>
      <c r="AG56" s="1375"/>
      <c r="AH56" s="1375"/>
    </row>
    <row r="57" spans="8:34" ht="12.75" customHeight="1">
      <c r="H57" s="270"/>
      <c r="I57" s="270"/>
      <c r="J57" s="270"/>
      <c r="K57" s="270"/>
      <c r="L57" s="1867" t="s">
        <v>2844</v>
      </c>
      <c r="M57" s="1872">
        <f>SUMPRODUCT(I53:I55,M53:M55)</f>
        <v>64.594714787522605</v>
      </c>
      <c r="N57" s="1873">
        <f>SUMPRODUCT(I53:I55,N53:N55)</f>
        <v>4830.0200000000004</v>
      </c>
      <c r="O57" s="1871">
        <f t="shared" si="14"/>
        <v>74.774229066384663</v>
      </c>
      <c r="P57" s="752"/>
      <c r="Q57" s="270"/>
      <c r="R57" s="270"/>
      <c r="S57" s="270"/>
      <c r="T57" s="1375"/>
      <c r="U57" s="1375"/>
      <c r="V57" s="1375"/>
      <c r="W57" s="1375"/>
      <c r="X57" s="1375"/>
      <c r="Y57" s="1375"/>
      <c r="Z57" s="1375"/>
      <c r="AA57" s="1375"/>
      <c r="AB57" s="1375"/>
      <c r="AC57" s="1375"/>
      <c r="AD57" s="1375"/>
      <c r="AE57" s="1375"/>
      <c r="AF57" s="1375"/>
      <c r="AG57" s="1375"/>
      <c r="AH57" s="1375"/>
    </row>
    <row r="58" spans="8:34" ht="12.75" customHeight="1">
      <c r="H58" s="270"/>
      <c r="I58" s="270"/>
      <c r="J58" s="270"/>
      <c r="K58" s="270"/>
      <c r="L58" s="1874"/>
      <c r="M58" s="1875"/>
      <c r="N58" s="1876"/>
      <c r="O58" s="1877"/>
      <c r="P58" s="752"/>
      <c r="Q58" s="270"/>
      <c r="R58" s="270"/>
      <c r="S58" s="270"/>
      <c r="T58" s="1375"/>
      <c r="U58" s="1375"/>
      <c r="V58" s="1375"/>
      <c r="W58" s="1375"/>
      <c r="X58" s="1375"/>
      <c r="Y58" s="1375"/>
      <c r="Z58" s="1375"/>
      <c r="AA58" s="1375"/>
      <c r="AB58" s="1375"/>
      <c r="AC58" s="1375"/>
      <c r="AD58" s="1375"/>
      <c r="AE58" s="1375"/>
      <c r="AF58" s="1375"/>
      <c r="AG58" s="1375"/>
      <c r="AH58" s="1375"/>
    </row>
    <row r="59" spans="8:34" ht="12.75" customHeight="1">
      <c r="H59" s="270"/>
      <c r="I59" s="270"/>
      <c r="J59" s="270"/>
      <c r="K59" s="270"/>
      <c r="L59" s="1874"/>
      <c r="M59" s="1875"/>
      <c r="N59" s="1876"/>
      <c r="O59" s="1877"/>
      <c r="P59" s="752"/>
      <c r="Q59" s="270"/>
      <c r="R59" s="270"/>
      <c r="S59" s="270"/>
      <c r="T59" s="1375"/>
      <c r="U59" s="1375"/>
      <c r="V59" s="1375"/>
      <c r="W59" s="1375"/>
      <c r="X59" s="1375"/>
      <c r="Y59" s="1375"/>
      <c r="Z59" s="1375"/>
      <c r="AA59" s="1375"/>
      <c r="AB59" s="1375"/>
      <c r="AC59" s="1375"/>
      <c r="AD59" s="1375"/>
      <c r="AE59" s="1375"/>
      <c r="AF59" s="1375"/>
      <c r="AG59" s="1375"/>
      <c r="AH59" s="1375"/>
    </row>
    <row r="60" spans="8:34" ht="12.75" customHeight="1">
      <c r="H60" s="270"/>
      <c r="I60" s="270"/>
      <c r="J60" s="270"/>
      <c r="K60" s="270"/>
      <c r="L60" s="1874"/>
      <c r="M60" s="1875"/>
      <c r="N60" s="1876"/>
      <c r="O60" s="1877"/>
      <c r="P60" s="752"/>
      <c r="Q60" s="270"/>
      <c r="R60" s="270"/>
      <c r="S60" s="270"/>
      <c r="T60" s="1375"/>
      <c r="U60" s="1375"/>
      <c r="V60" s="1375"/>
      <c r="W60" s="1375"/>
      <c r="X60" s="1375"/>
      <c r="Y60" s="1375"/>
      <c r="Z60" s="1375"/>
      <c r="AA60" s="1375"/>
      <c r="AB60" s="1375"/>
      <c r="AC60" s="1375"/>
      <c r="AD60" s="1375"/>
      <c r="AE60" s="1375"/>
      <c r="AF60" s="1375"/>
      <c r="AG60" s="1375"/>
      <c r="AH60" s="1375"/>
    </row>
    <row r="61" spans="8:34" ht="12.75" customHeight="1">
      <c r="H61" s="270"/>
      <c r="I61" s="270"/>
      <c r="J61" s="270"/>
      <c r="K61" s="270"/>
      <c r="L61" s="1874"/>
      <c r="M61" s="1875"/>
      <c r="N61" s="1876"/>
      <c r="O61" s="1877"/>
      <c r="P61" s="752"/>
      <c r="Q61" s="270"/>
      <c r="R61" s="270"/>
      <c r="S61" s="270"/>
      <c r="T61" s="1375"/>
      <c r="U61" s="1375"/>
      <c r="V61" s="1375"/>
      <c r="W61" s="1375"/>
      <c r="X61" s="1375"/>
      <c r="Y61" s="1375"/>
      <c r="Z61" s="1375"/>
      <c r="AA61" s="1375"/>
      <c r="AB61" s="1375"/>
      <c r="AC61" s="1375"/>
      <c r="AD61" s="1375"/>
      <c r="AE61" s="1375"/>
      <c r="AF61" s="1375"/>
      <c r="AG61" s="1375"/>
      <c r="AH61" s="1375"/>
    </row>
    <row r="62" spans="8:34" ht="12.75" customHeight="1">
      <c r="H62" s="485" t="s">
        <v>2845</v>
      </c>
      <c r="I62" s="270"/>
      <c r="J62" s="270"/>
      <c r="K62" s="270"/>
      <c r="L62" s="1874"/>
      <c r="M62" s="1875"/>
      <c r="N62" s="1876"/>
      <c r="O62" s="1877"/>
      <c r="P62" s="752"/>
      <c r="Q62" s="270"/>
      <c r="R62" s="270"/>
      <c r="S62" s="270"/>
      <c r="T62" s="1375"/>
      <c r="U62" s="1375"/>
      <c r="V62" s="1375"/>
      <c r="W62" s="1375"/>
      <c r="X62" s="1375"/>
      <c r="Y62" s="1375"/>
      <c r="Z62" s="1375"/>
      <c r="AA62" s="1375"/>
      <c r="AB62" s="1375"/>
      <c r="AC62" s="1375"/>
      <c r="AD62" s="1375"/>
      <c r="AE62" s="1375"/>
      <c r="AF62" s="1375"/>
      <c r="AG62" s="1375"/>
      <c r="AH62" s="1375"/>
    </row>
    <row r="63" spans="8:34" ht="12.75" customHeight="1">
      <c r="H63" s="752" t="s">
        <v>2846</v>
      </c>
      <c r="I63" s="270"/>
      <c r="J63" s="270"/>
      <c r="K63" s="270"/>
      <c r="L63" s="1874"/>
      <c r="M63" s="1875"/>
      <c r="N63" s="1876"/>
      <c r="O63" s="1877"/>
      <c r="P63" s="752"/>
      <c r="Q63" s="270"/>
      <c r="R63" s="270"/>
      <c r="S63" s="270"/>
      <c r="T63" s="1375"/>
      <c r="U63" s="1375"/>
      <c r="V63" s="1375"/>
      <c r="W63" s="1375"/>
      <c r="X63" s="1375"/>
      <c r="Y63" s="1375"/>
      <c r="Z63" s="1375"/>
      <c r="AA63" s="1375"/>
      <c r="AB63" s="1375"/>
      <c r="AC63" s="1375"/>
      <c r="AD63" s="1375"/>
      <c r="AE63" s="1375"/>
      <c r="AF63" s="1375"/>
      <c r="AG63" s="1375"/>
      <c r="AH63" s="1375"/>
    </row>
    <row r="64" spans="8:34" ht="25.5">
      <c r="H64" s="1854" t="s">
        <v>985</v>
      </c>
      <c r="I64" s="1855" t="s">
        <v>2847</v>
      </c>
      <c r="J64" s="1856" t="s">
        <v>734</v>
      </c>
      <c r="K64" s="1878"/>
      <c r="L64" s="1879"/>
      <c r="M64" s="1880"/>
      <c r="N64" s="1881"/>
      <c r="O64" s="1877"/>
      <c r="P64" s="752"/>
      <c r="Q64" s="270"/>
      <c r="R64" s="270"/>
      <c r="S64" s="270"/>
      <c r="T64" s="1375"/>
      <c r="U64" s="1375"/>
      <c r="V64" s="1375"/>
      <c r="W64" s="1375"/>
      <c r="X64" s="1375"/>
      <c r="Y64" s="1375"/>
      <c r="Z64" s="1375"/>
      <c r="AA64" s="1375"/>
      <c r="AB64" s="1375"/>
      <c r="AC64" s="1375"/>
      <c r="AD64" s="1375"/>
      <c r="AE64" s="1375"/>
      <c r="AF64" s="1375"/>
      <c r="AG64" s="1375"/>
      <c r="AH64" s="1375"/>
    </row>
    <row r="65" spans="8:34" ht="24.75" customHeight="1">
      <c r="H65" s="1838" t="s">
        <v>2848</v>
      </c>
      <c r="I65" s="1838">
        <v>2500</v>
      </c>
      <c r="J65" s="2791" t="s">
        <v>2849</v>
      </c>
      <c r="K65" s="2792"/>
      <c r="L65" s="2792"/>
      <c r="M65" s="2792"/>
      <c r="N65" s="2793"/>
      <c r="O65" s="1877"/>
      <c r="P65" s="752"/>
      <c r="Q65" s="270"/>
      <c r="R65" s="270"/>
      <c r="S65" s="270"/>
      <c r="T65" s="1375"/>
      <c r="U65" s="1375"/>
      <c r="V65" s="1375"/>
      <c r="W65" s="1375"/>
      <c r="X65" s="1375"/>
      <c r="Y65" s="1375"/>
      <c r="Z65" s="1375"/>
      <c r="AA65" s="1375"/>
      <c r="AB65" s="1375"/>
      <c r="AC65" s="1375"/>
      <c r="AD65" s="1375"/>
      <c r="AE65" s="1375"/>
      <c r="AF65" s="1375"/>
      <c r="AG65" s="1375"/>
      <c r="AH65" s="1375"/>
    </row>
    <row r="66" spans="8:34" ht="26.25" customHeight="1">
      <c r="H66" s="1838" t="s">
        <v>2850</v>
      </c>
      <c r="I66" s="1838">
        <v>2800</v>
      </c>
      <c r="J66" s="2791" t="s">
        <v>2851</v>
      </c>
      <c r="K66" s="2792"/>
      <c r="L66" s="2792"/>
      <c r="M66" s="2792"/>
      <c r="N66" s="2793"/>
      <c r="O66" s="1877"/>
      <c r="P66" s="752"/>
      <c r="Q66" s="270"/>
      <c r="R66" s="270"/>
      <c r="S66" s="270"/>
      <c r="T66" s="1375"/>
      <c r="U66" s="1375"/>
      <c r="V66" s="1375"/>
      <c r="W66" s="1375"/>
      <c r="X66" s="1375"/>
      <c r="Y66" s="1375"/>
      <c r="Z66" s="1375"/>
      <c r="AA66" s="1375"/>
      <c r="AB66" s="1375"/>
      <c r="AC66" s="1375"/>
      <c r="AD66" s="1375"/>
      <c r="AE66" s="1375"/>
      <c r="AF66" s="1375"/>
      <c r="AG66" s="1375"/>
      <c r="AH66" s="1375"/>
    </row>
    <row r="67" spans="8:34" ht="12.75" customHeight="1">
      <c r="H67" s="1838" t="s">
        <v>2852</v>
      </c>
      <c r="I67" s="1838">
        <v>3200</v>
      </c>
      <c r="J67" s="2791" t="s">
        <v>2853</v>
      </c>
      <c r="K67" s="2792"/>
      <c r="L67" s="2792"/>
      <c r="M67" s="2792"/>
      <c r="N67" s="2793"/>
      <c r="O67" s="1877"/>
      <c r="P67" s="752"/>
      <c r="Q67" s="270"/>
      <c r="R67" s="270"/>
      <c r="S67" s="270"/>
      <c r="T67" s="1375"/>
      <c r="U67" s="1375"/>
      <c r="V67" s="1375"/>
      <c r="W67" s="1375"/>
      <c r="X67" s="1375"/>
      <c r="Y67" s="1375"/>
      <c r="Z67" s="1375"/>
      <c r="AA67" s="1375"/>
      <c r="AB67" s="1375"/>
      <c r="AC67" s="1375"/>
      <c r="AD67" s="1375"/>
      <c r="AE67" s="1375"/>
      <c r="AF67" s="1375"/>
      <c r="AG67" s="1375"/>
      <c r="AH67" s="1375"/>
    </row>
    <row r="68" spans="8:34" ht="12.75" customHeight="1">
      <c r="H68" s="1838" t="s">
        <v>2854</v>
      </c>
      <c r="I68" s="1838">
        <v>4400</v>
      </c>
      <c r="J68" s="2791" t="s">
        <v>2855</v>
      </c>
      <c r="K68" s="2792"/>
      <c r="L68" s="2792"/>
      <c r="M68" s="2792"/>
      <c r="N68" s="2793"/>
      <c r="O68" s="1877"/>
      <c r="P68" s="752"/>
      <c r="Q68" s="270"/>
      <c r="R68" s="270"/>
      <c r="S68" s="270"/>
      <c r="T68" s="1375"/>
      <c r="U68" s="1375"/>
      <c r="V68" s="1375"/>
      <c r="W68" s="1375"/>
      <c r="X68" s="1375"/>
      <c r="Y68" s="1375"/>
      <c r="Z68" s="1375"/>
      <c r="AA68" s="1375"/>
      <c r="AB68" s="1375"/>
      <c r="AC68" s="1375"/>
      <c r="AD68" s="1375"/>
      <c r="AE68" s="1375"/>
      <c r="AF68" s="1375"/>
      <c r="AG68" s="1375"/>
      <c r="AH68" s="1375"/>
    </row>
    <row r="69" spans="8:34" ht="12.75" customHeight="1">
      <c r="H69" s="270"/>
      <c r="I69" s="270"/>
      <c r="J69" s="270"/>
      <c r="K69" s="270"/>
      <c r="L69" s="1874"/>
      <c r="M69" s="1875"/>
      <c r="N69" s="1876"/>
      <c r="O69" s="1877"/>
      <c r="P69" s="752"/>
      <c r="Q69" s="270"/>
      <c r="R69" s="270"/>
      <c r="S69" s="270"/>
      <c r="T69" s="1375"/>
      <c r="U69" s="1375"/>
      <c r="V69" s="1375"/>
      <c r="W69" s="1375"/>
      <c r="X69" s="1375"/>
      <c r="Y69" s="1375"/>
      <c r="Z69" s="1375"/>
      <c r="AA69" s="1375"/>
      <c r="AB69" s="1375"/>
      <c r="AC69" s="1375"/>
      <c r="AD69" s="1375"/>
      <c r="AE69" s="1375"/>
      <c r="AF69" s="1375"/>
      <c r="AG69" s="1375"/>
      <c r="AH69" s="1375"/>
    </row>
    <row r="70" spans="8:34" ht="12.75" customHeight="1">
      <c r="H70" s="752" t="s">
        <v>2856</v>
      </c>
      <c r="I70" s="270"/>
      <c r="J70" s="270"/>
      <c r="K70" s="270"/>
      <c r="L70" s="1874"/>
      <c r="M70" s="1875"/>
      <c r="N70" s="1876"/>
      <c r="O70" s="1877"/>
      <c r="P70" s="752"/>
      <c r="Q70" s="270"/>
      <c r="R70" s="270"/>
      <c r="S70" s="270"/>
      <c r="T70" s="1375"/>
      <c r="U70" s="1375"/>
      <c r="V70" s="1375"/>
      <c r="W70" s="1375"/>
      <c r="X70" s="1375"/>
      <c r="Y70" s="1375"/>
      <c r="Z70" s="1375"/>
      <c r="AA70" s="1375"/>
      <c r="AB70" s="1375"/>
      <c r="AC70" s="1375"/>
      <c r="AD70" s="1375"/>
      <c r="AE70" s="1375"/>
      <c r="AF70" s="1375"/>
      <c r="AG70" s="1375"/>
      <c r="AH70" s="1375"/>
    </row>
    <row r="71" spans="8:34" ht="12.75" customHeight="1">
      <c r="H71" s="1838" t="s">
        <v>2857</v>
      </c>
      <c r="I71" s="1838" t="s">
        <v>733</v>
      </c>
      <c r="J71" s="1838" t="s">
        <v>2858</v>
      </c>
      <c r="K71" s="2797" t="s">
        <v>734</v>
      </c>
      <c r="L71" s="2798"/>
      <c r="M71" s="2799"/>
      <c r="N71" s="1838" t="s">
        <v>2859</v>
      </c>
      <c r="O71" s="1877"/>
      <c r="P71" s="752"/>
      <c r="Q71" s="270"/>
      <c r="R71" s="270"/>
      <c r="S71" s="270"/>
      <c r="T71" s="1375"/>
      <c r="U71" s="1375"/>
      <c r="V71" s="1375"/>
      <c r="W71" s="1375"/>
      <c r="X71" s="1375"/>
      <c r="Y71" s="1375"/>
      <c r="Z71" s="1375"/>
      <c r="AA71" s="1375"/>
      <c r="AB71" s="1375"/>
      <c r="AC71" s="1375"/>
      <c r="AD71" s="1375"/>
      <c r="AE71" s="1375"/>
      <c r="AF71" s="1375"/>
      <c r="AG71" s="1375"/>
      <c r="AH71" s="1375"/>
    </row>
    <row r="72" spans="8:34" ht="81.75" customHeight="1">
      <c r="H72" s="1855" t="s">
        <v>2860</v>
      </c>
      <c r="I72" s="1855" t="s">
        <v>2861</v>
      </c>
      <c r="J72" s="1855">
        <v>8</v>
      </c>
      <c r="K72" s="2794" t="s">
        <v>2862</v>
      </c>
      <c r="L72" s="2795"/>
      <c r="M72" s="2796"/>
      <c r="N72" s="1855" t="s">
        <v>2863</v>
      </c>
      <c r="O72" s="1877"/>
      <c r="P72" s="752"/>
      <c r="Q72" s="270"/>
      <c r="R72" s="270"/>
      <c r="S72" s="270"/>
      <c r="T72" s="1375"/>
      <c r="U72" s="1375"/>
      <c r="V72" s="1375"/>
      <c r="W72" s="1375"/>
      <c r="X72" s="1375"/>
      <c r="Y72" s="1375"/>
      <c r="Z72" s="1375"/>
      <c r="AA72" s="1375"/>
      <c r="AB72" s="1375"/>
      <c r="AC72" s="1375"/>
      <c r="AD72" s="1375"/>
      <c r="AE72" s="1375"/>
      <c r="AF72" s="1375"/>
      <c r="AG72" s="1375"/>
      <c r="AH72" s="1375"/>
    </row>
    <row r="73" spans="8:34" ht="12.75" customHeight="1">
      <c r="H73" s="270"/>
      <c r="I73" s="270"/>
      <c r="J73" s="270"/>
      <c r="K73" s="270"/>
      <c r="L73" s="1874"/>
      <c r="M73" s="1875"/>
      <c r="N73" s="1876"/>
      <c r="O73" s="1877"/>
      <c r="P73" s="752"/>
      <c r="Q73" s="270"/>
      <c r="R73" s="270"/>
      <c r="S73" s="270"/>
      <c r="T73" s="1375"/>
      <c r="U73" s="1375"/>
      <c r="V73" s="1375"/>
      <c r="W73" s="1375"/>
      <c r="X73" s="1375"/>
      <c r="Y73" s="1375"/>
      <c r="Z73" s="1375"/>
      <c r="AA73" s="1375"/>
      <c r="AB73" s="1375"/>
      <c r="AC73" s="1375"/>
      <c r="AD73" s="1375"/>
      <c r="AE73" s="1375"/>
      <c r="AF73" s="1375"/>
      <c r="AG73" s="1375"/>
      <c r="AH73" s="1375"/>
    </row>
    <row r="74" spans="8:34" ht="12.75" customHeight="1">
      <c r="H74" s="270"/>
      <c r="I74" s="270"/>
      <c r="J74" s="270"/>
      <c r="K74" s="270"/>
      <c r="L74" s="1874"/>
      <c r="M74" s="1875"/>
      <c r="N74" s="1876"/>
      <c r="O74" s="1877"/>
      <c r="P74" s="752"/>
      <c r="Q74" s="270"/>
      <c r="R74" s="270"/>
      <c r="S74" s="270"/>
      <c r="T74" s="1375"/>
      <c r="U74" s="1375"/>
      <c r="V74" s="1375"/>
      <c r="W74" s="1375"/>
      <c r="X74" s="1375"/>
      <c r="Y74" s="1375"/>
      <c r="Z74" s="1375"/>
      <c r="AA74" s="1375"/>
      <c r="AB74" s="1375"/>
      <c r="AC74" s="1375"/>
      <c r="AD74" s="1375"/>
      <c r="AE74" s="1375"/>
      <c r="AF74" s="1375"/>
      <c r="AG74" s="1375"/>
      <c r="AH74" s="1375"/>
    </row>
    <row r="75" spans="8:34" ht="12.75" customHeight="1">
      <c r="H75" s="270"/>
      <c r="I75" s="270"/>
      <c r="J75" s="270"/>
      <c r="K75" s="270"/>
      <c r="L75" s="270"/>
      <c r="M75" s="270"/>
      <c r="N75" s="270"/>
      <c r="O75" s="270"/>
      <c r="P75" s="270"/>
      <c r="Q75" s="270"/>
      <c r="R75" s="270"/>
      <c r="S75" s="270"/>
      <c r="T75" s="1375"/>
      <c r="U75" s="1375"/>
      <c r="V75" s="1375"/>
      <c r="W75" s="1375"/>
      <c r="X75" s="1375"/>
      <c r="Y75" s="1375"/>
      <c r="Z75" s="1375"/>
      <c r="AA75" s="1375"/>
      <c r="AB75" s="1375"/>
      <c r="AC75" s="1375"/>
      <c r="AD75" s="1375"/>
      <c r="AE75" s="1375"/>
      <c r="AF75" s="1375"/>
      <c r="AG75" s="1375"/>
      <c r="AH75" s="1375"/>
    </row>
    <row r="76" spans="8:34" ht="12.75" customHeight="1">
      <c r="H76" s="1493" t="s">
        <v>2864</v>
      </c>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row>
    <row r="77" spans="8:34" ht="12.75" customHeight="1">
      <c r="H77" s="752" t="s">
        <v>2865</v>
      </c>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row>
    <row r="78" spans="8:34" ht="12.75" customHeight="1">
      <c r="H78" s="752" t="s">
        <v>2866</v>
      </c>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row>
    <row r="79" spans="8:34" ht="12.75" customHeight="1">
      <c r="H79" s="482"/>
      <c r="I79" s="1375"/>
      <c r="J79" s="1375"/>
      <c r="K79" s="1375"/>
      <c r="L79" s="1375"/>
      <c r="M79" s="1375"/>
      <c r="N79" s="1375"/>
      <c r="O79" s="1375"/>
      <c r="P79" s="1375"/>
      <c r="Q79" s="1375"/>
      <c r="R79" s="1375"/>
      <c r="S79" s="1375"/>
      <c r="T79" s="1375"/>
      <c r="U79" s="1375"/>
      <c r="V79" s="752" t="s">
        <v>2867</v>
      </c>
      <c r="W79" s="1375"/>
      <c r="X79" s="1375"/>
      <c r="Y79" s="1375"/>
      <c r="Z79" s="1375"/>
      <c r="AA79" s="1375"/>
      <c r="AB79" s="1375"/>
      <c r="AC79" s="1375"/>
      <c r="AD79" s="1375"/>
      <c r="AE79" s="1375"/>
      <c r="AF79" s="1375"/>
      <c r="AG79" s="1375"/>
      <c r="AH79" s="1375"/>
    </row>
    <row r="80" spans="8:34" ht="63.75">
      <c r="H80" s="1839" t="s">
        <v>2868</v>
      </c>
      <c r="I80" s="1839" t="s">
        <v>2869</v>
      </c>
      <c r="J80" s="1839" t="s">
        <v>2608</v>
      </c>
      <c r="K80" s="1840" t="s">
        <v>2870</v>
      </c>
      <c r="L80" s="1840" t="s">
        <v>2871</v>
      </c>
      <c r="M80" s="1841" t="s">
        <v>2872</v>
      </c>
      <c r="N80" s="1841" t="s">
        <v>2873</v>
      </c>
      <c r="O80" s="1841" t="s">
        <v>2874</v>
      </c>
      <c r="P80" s="1840" t="s">
        <v>2875</v>
      </c>
      <c r="Q80" s="1840" t="s">
        <v>2876</v>
      </c>
      <c r="R80" s="1841" t="s">
        <v>2877</v>
      </c>
      <c r="S80" s="1841" t="s">
        <v>2878</v>
      </c>
      <c r="T80" s="1841" t="s">
        <v>2879</v>
      </c>
      <c r="U80" s="1841" t="s">
        <v>2880</v>
      </c>
      <c r="V80" s="1842" t="s">
        <v>2609</v>
      </c>
      <c r="W80" s="1841" t="s">
        <v>2881</v>
      </c>
      <c r="X80" s="1841" t="s">
        <v>210</v>
      </c>
      <c r="Y80" s="1841" t="s">
        <v>2882</v>
      </c>
      <c r="Z80" s="1841" t="s">
        <v>2883</v>
      </c>
      <c r="AA80" s="1841" t="s">
        <v>2884</v>
      </c>
      <c r="AB80" s="1841" t="s">
        <v>2620</v>
      </c>
      <c r="AC80" s="1841" t="s">
        <v>2885</v>
      </c>
      <c r="AD80" s="1841" t="s">
        <v>2622</v>
      </c>
      <c r="AE80" s="1841" t="s">
        <v>2886</v>
      </c>
      <c r="AF80" s="1841" t="s">
        <v>2887</v>
      </c>
      <c r="AG80" s="270"/>
      <c r="AH80" s="1840" t="s">
        <v>2888</v>
      </c>
    </row>
    <row r="81" spans="8:34" ht="12.75" customHeight="1">
      <c r="H81" s="1838" t="s">
        <v>2889</v>
      </c>
      <c r="I81" s="1838" t="s">
        <v>2890</v>
      </c>
      <c r="J81" s="1838" t="s">
        <v>2624</v>
      </c>
      <c r="K81" s="1843">
        <f>M56</f>
        <v>64.838491554522889</v>
      </c>
      <c r="L81" s="1843">
        <f>M54</f>
        <v>68.025089285714301</v>
      </c>
      <c r="M81" s="1838" t="s">
        <v>2891</v>
      </c>
      <c r="N81" s="1838">
        <v>2</v>
      </c>
      <c r="O81" s="1838">
        <v>1</v>
      </c>
      <c r="P81" s="1844">
        <f>N56</f>
        <v>4935.7860465116273</v>
      </c>
      <c r="Q81" s="1844">
        <f>N54</f>
        <v>4558</v>
      </c>
      <c r="R81" s="1845">
        <f t="shared" ref="R81:R82" si="15">Q81/P81</f>
        <v>0.92345980094120406</v>
      </c>
      <c r="S81" s="1846">
        <f t="shared" ref="S81:T82" si="16">P81/K81</f>
        <v>76.124319492551876</v>
      </c>
      <c r="T81" s="1846">
        <f t="shared" si="16"/>
        <v>67.004689708760282</v>
      </c>
      <c r="U81" s="1845">
        <f>(S81-T81)/S81</f>
        <v>0.1197991633236718</v>
      </c>
      <c r="V81" s="1847">
        <f>I67</f>
        <v>3200</v>
      </c>
      <c r="W81" s="1846">
        <f>S81/1000*V81</f>
        <v>243.59782237616599</v>
      </c>
      <c r="X81" s="1848">
        <v>0</v>
      </c>
      <c r="Y81" s="1846">
        <f>T81/1000*V81</f>
        <v>214.41500706803288</v>
      </c>
      <c r="Z81" s="1846">
        <f>W81-Y81</f>
        <v>29.182815308133115</v>
      </c>
      <c r="AA81" s="1845">
        <f>Z81/W81</f>
        <v>0.11979916332367185</v>
      </c>
      <c r="AB81" s="1845">
        <v>0.99508745242816266</v>
      </c>
      <c r="AC81" s="1849">
        <f t="shared" ref="AC81:AC82" si="17">Z81*AB81</f>
        <v>29.039453339651768</v>
      </c>
      <c r="AD81" s="1850">
        <v>-1.0755166581507075E-2</v>
      </c>
      <c r="AE81" s="1850">
        <f t="shared" ref="AE81:AE82" si="18">Z81*AD81</f>
        <v>-0.31386603995632639</v>
      </c>
      <c r="AF81" s="1851" t="s">
        <v>2892</v>
      </c>
      <c r="AG81" s="270"/>
      <c r="AH81" s="1852">
        <f>AC81/N81</f>
        <v>14.519726669825884</v>
      </c>
    </row>
    <row r="82" spans="8:34" ht="12.75" customHeight="1">
      <c r="H82" s="1838" t="s">
        <v>2889</v>
      </c>
      <c r="I82" s="1838" t="s">
        <v>2893</v>
      </c>
      <c r="J82" s="1838" t="s">
        <v>2624</v>
      </c>
      <c r="K82" s="1843">
        <f>M56</f>
        <v>64.838491554522889</v>
      </c>
      <c r="L82" s="1843">
        <f>M55</f>
        <v>68.025089285714301</v>
      </c>
      <c r="M82" s="1838" t="s">
        <v>2891</v>
      </c>
      <c r="N82" s="1838">
        <v>2</v>
      </c>
      <c r="O82" s="1838">
        <v>1</v>
      </c>
      <c r="P82" s="1844">
        <f>N56</f>
        <v>4935.7860465116273</v>
      </c>
      <c r="Q82" s="1844">
        <f>N55</f>
        <v>4136</v>
      </c>
      <c r="R82" s="1845">
        <f t="shared" si="15"/>
        <v>0.83796176759386132</v>
      </c>
      <c r="S82" s="1846">
        <f t="shared" si="16"/>
        <v>76.124319492551876</v>
      </c>
      <c r="T82" s="1846">
        <f t="shared" si="16"/>
        <v>60.80109623418879</v>
      </c>
      <c r="U82" s="1845">
        <f t="shared" ref="U82" si="19">(S82-T82)/S82</f>
        <v>0.20129208852714059</v>
      </c>
      <c r="V82" s="1847">
        <f>I67</f>
        <v>3200</v>
      </c>
      <c r="W82" s="1846">
        <f>S82/1000*V82</f>
        <v>243.59782237616599</v>
      </c>
      <c r="X82" s="1848">
        <v>0</v>
      </c>
      <c r="Y82" s="1846">
        <f>T82/1000*V82</f>
        <v>194.56350794940414</v>
      </c>
      <c r="Z82" s="1846">
        <f>W82-Y82</f>
        <v>49.034314426761853</v>
      </c>
      <c r="AA82" s="1845">
        <f>Z82/W82</f>
        <v>0.20129208852714051</v>
      </c>
      <c r="AB82" s="1845">
        <v>0.99508745242816266</v>
      </c>
      <c r="AC82" s="1849">
        <f t="shared" si="17"/>
        <v>48.793431024487958</v>
      </c>
      <c r="AD82" s="1850">
        <v>-1.0755166581507075E-2</v>
      </c>
      <c r="AE82" s="1850">
        <f t="shared" si="18"/>
        <v>-0.5273722198698193</v>
      </c>
      <c r="AF82" s="1851" t="s">
        <v>2892</v>
      </c>
      <c r="AG82" s="270"/>
      <c r="AH82" s="1852">
        <f>AC82/N82</f>
        <v>24.396715512243979</v>
      </c>
    </row>
  </sheetData>
  <autoFilter ref="A5:AA13" xr:uid="{00000000-0009-0000-0000-000025000000}">
    <filterColumn colId="11">
      <filters>
        <filter val="2022"/>
        <filter val="2023"/>
      </filters>
    </filterColumn>
  </autoFilter>
  <dataConsolidate/>
  <mergeCells count="18">
    <mergeCell ref="S4:U4"/>
    <mergeCell ref="O6:O13"/>
    <mergeCell ref="R6:R13"/>
    <mergeCell ref="I2:L2"/>
    <mergeCell ref="A4:G4"/>
    <mergeCell ref="H4:L4"/>
    <mergeCell ref="Q4:R4"/>
    <mergeCell ref="I25:J25"/>
    <mergeCell ref="I26:J26"/>
    <mergeCell ref="I50:J50"/>
    <mergeCell ref="L50:O50"/>
    <mergeCell ref="H17:M19"/>
    <mergeCell ref="K72:M72"/>
    <mergeCell ref="J65:N65"/>
    <mergeCell ref="J66:N66"/>
    <mergeCell ref="J67:N67"/>
    <mergeCell ref="J68:N68"/>
    <mergeCell ref="K71:M71"/>
  </mergeCells>
  <hyperlinks>
    <hyperlink ref="H1" location="'Summary ALL'!A1" display="Summary Page" xr:uid="{4AC76D1F-D461-40FB-9B90-DCDB7A08F5FA}"/>
  </hyperlinks>
  <pageMargins left="0.7" right="0.7" top="0.75" bottom="0.75" header="0.3" footer="0.3"/>
  <pageSetup scale="2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3CA"/>
  </sheetPr>
  <dimension ref="A1:U21"/>
  <sheetViews>
    <sheetView showGridLines="0" topLeftCell="H1" zoomScale="90" zoomScaleNormal="90" workbookViewId="0">
      <selection activeCell="P9" sqref="P9"/>
    </sheetView>
  </sheetViews>
  <sheetFormatPr defaultColWidth="9.28515625" defaultRowHeight="12.75" outlineLevelCol="1"/>
  <cols>
    <col min="1" max="1" width="6" style="270" hidden="1" customWidth="1" outlineLevel="1"/>
    <col min="2" max="2" width="16.28515625" style="270" hidden="1" customWidth="1" outlineLevel="1"/>
    <col min="3" max="3" width="13.42578125" style="270" hidden="1" customWidth="1" outlineLevel="1"/>
    <col min="4" max="4" width="11.140625" style="270" hidden="1" customWidth="1" outlineLevel="1"/>
    <col min="5" max="5" width="12.7109375" style="270" hidden="1" customWidth="1" outlineLevel="1"/>
    <col min="6" max="6" width="9.28515625" style="270" hidden="1" customWidth="1" outlineLevel="1"/>
    <col min="7" max="7" width="12.7109375" style="270" hidden="1" customWidth="1" outlineLevel="1"/>
    <col min="8" max="8" width="16.42578125" style="270" customWidth="1" collapsed="1"/>
    <col min="9" max="9" width="30.42578125" style="270" customWidth="1"/>
    <col min="10" max="10" width="32" style="270" customWidth="1"/>
    <col min="11" max="11" width="8.42578125" style="270" customWidth="1"/>
    <col min="12" max="12" width="8" style="270" customWidth="1"/>
    <col min="13" max="14" width="14.7109375" style="270" customWidth="1"/>
    <col min="15" max="15" width="30.7109375" style="270" customWidth="1"/>
    <col min="16" max="16" width="12.7109375" style="270" customWidth="1"/>
    <col min="17" max="17" width="13.85546875" style="270" customWidth="1"/>
    <col min="18" max="18" width="12" style="270" customWidth="1"/>
    <col min="19" max="19" width="14.7109375" style="270" customWidth="1"/>
    <col min="20" max="20" width="8.7109375" style="270" customWidth="1"/>
    <col min="21" max="21" width="10.5703125" style="270" customWidth="1"/>
    <col min="22" max="16384" width="9.28515625" style="270"/>
  </cols>
  <sheetData>
    <row r="1" spans="1:21" ht="15">
      <c r="H1" s="168" t="s">
        <v>674</v>
      </c>
    </row>
    <row r="2" spans="1:21" ht="41.25" customHeight="1">
      <c r="H2" s="973" t="s">
        <v>2715</v>
      </c>
      <c r="I2" s="2568" t="s">
        <v>1166</v>
      </c>
      <c r="J2" s="2568"/>
      <c r="K2" s="2568"/>
      <c r="L2" s="2568"/>
      <c r="O2" s="270" t="s">
        <v>2940</v>
      </c>
    </row>
    <row r="3" spans="1:21" ht="33" customHeight="1">
      <c r="U3" s="482"/>
    </row>
    <row r="4" spans="1:21">
      <c r="A4" s="2569" t="s">
        <v>131</v>
      </c>
      <c r="B4" s="2570"/>
      <c r="C4" s="2570"/>
      <c r="D4" s="2570"/>
      <c r="E4" s="2570"/>
      <c r="F4" s="2570"/>
      <c r="G4" s="2571"/>
      <c r="H4" s="2816" t="s">
        <v>7</v>
      </c>
      <c r="I4" s="2817"/>
      <c r="J4" s="2817"/>
      <c r="K4" s="2817"/>
      <c r="L4" s="2818"/>
      <c r="M4" s="1553" t="s">
        <v>127</v>
      </c>
      <c r="N4" s="1554"/>
      <c r="O4" s="1554"/>
      <c r="P4" s="1555"/>
      <c r="Q4" s="2572" t="s">
        <v>129</v>
      </c>
      <c r="R4" s="2573"/>
      <c r="S4" s="2587" t="s">
        <v>130</v>
      </c>
      <c r="T4" s="2588"/>
      <c r="U4" s="2589"/>
    </row>
    <row r="5" spans="1:21" ht="52.5" thickBot="1">
      <c r="A5" s="487" t="s">
        <v>0</v>
      </c>
      <c r="B5" s="488" t="s">
        <v>11</v>
      </c>
      <c r="C5" s="489" t="s">
        <v>1</v>
      </c>
      <c r="D5" s="489" t="s">
        <v>2</v>
      </c>
      <c r="E5" s="489" t="s">
        <v>211</v>
      </c>
      <c r="F5" s="489" t="s">
        <v>237</v>
      </c>
      <c r="G5" s="490" t="s">
        <v>12</v>
      </c>
      <c r="H5" s="737" t="s">
        <v>3</v>
      </c>
      <c r="I5" s="737" t="s">
        <v>4</v>
      </c>
      <c r="J5" s="737" t="s">
        <v>5</v>
      </c>
      <c r="K5" s="737" t="s">
        <v>6</v>
      </c>
      <c r="L5" s="737" t="s">
        <v>8</v>
      </c>
      <c r="M5" s="738" t="s">
        <v>13</v>
      </c>
      <c r="N5" s="737" t="s">
        <v>14</v>
      </c>
      <c r="O5" s="737" t="s">
        <v>124</v>
      </c>
      <c r="P5" s="1477" t="str">
        <f>"Funder Share: "&amp;Selection!A2&amp;" "&amp;Selection!A3</f>
        <v>Funder Share: Puget Sound Energy Washington</v>
      </c>
      <c r="Q5" s="1561" t="s">
        <v>550</v>
      </c>
      <c r="R5" s="739" t="s">
        <v>125</v>
      </c>
      <c r="S5" s="738" t="s">
        <v>126</v>
      </c>
      <c r="T5" s="737" t="s">
        <v>18</v>
      </c>
      <c r="U5" s="740" t="s">
        <v>17</v>
      </c>
    </row>
    <row r="6" spans="1:21" ht="13.5" thickTop="1">
      <c r="A6" s="272"/>
      <c r="B6" s="311"/>
      <c r="C6" s="311">
        <v>0</v>
      </c>
      <c r="D6" s="311">
        <v>0</v>
      </c>
      <c r="E6" s="311">
        <f>COUNTIFS($A:$A,A6,$L:$L,L6)</f>
        <v>0</v>
      </c>
      <c r="F6" s="311">
        <v>1</v>
      </c>
      <c r="G6" s="312" t="b">
        <v>1</v>
      </c>
      <c r="H6" s="361" t="s">
        <v>525</v>
      </c>
      <c r="I6" s="362" t="s">
        <v>1108</v>
      </c>
      <c r="J6" s="362" t="s">
        <v>2714</v>
      </c>
      <c r="K6" s="362" t="s">
        <v>157</v>
      </c>
      <c r="L6" s="125">
        <v>2022</v>
      </c>
      <c r="M6" s="359">
        <v>5.6446038440495824E-2</v>
      </c>
      <c r="N6" s="636">
        <v>2.8223019220247912E-2</v>
      </c>
      <c r="O6" s="360" t="s">
        <v>2716</v>
      </c>
      <c r="P6" s="445">
        <v>0.13985600000000001</v>
      </c>
      <c r="Q6" s="1560">
        <v>8760000</v>
      </c>
      <c r="R6" s="881" t="s">
        <v>2717</v>
      </c>
      <c r="S6" s="852">
        <f>(M6)*P6*Q6/8760000</f>
        <v>7.8943171521339839E-3</v>
      </c>
      <c r="T6" s="853">
        <f>IFERROR(N6*P6*Q6/8760/1000,0)</f>
        <v>3.9471585760669919E-3</v>
      </c>
      <c r="U6" s="854">
        <f>S6-T6</f>
        <v>3.9471585760669919E-3</v>
      </c>
    </row>
    <row r="7" spans="1:21">
      <c r="A7" s="272"/>
      <c r="B7" s="311"/>
      <c r="C7" s="311">
        <v>0</v>
      </c>
      <c r="D7" s="311">
        <v>0</v>
      </c>
      <c r="E7" s="311">
        <v>0</v>
      </c>
      <c r="F7" s="311">
        <v>1</v>
      </c>
      <c r="G7" s="312" t="b">
        <v>1</v>
      </c>
      <c r="H7" s="1898" t="s">
        <v>525</v>
      </c>
      <c r="I7" s="1899" t="s">
        <v>1108</v>
      </c>
      <c r="J7" s="1899" t="s">
        <v>2714</v>
      </c>
      <c r="K7" s="1899" t="s">
        <v>157</v>
      </c>
      <c r="L7" s="1900">
        <v>2023</v>
      </c>
      <c r="M7" s="1901">
        <v>0.25898072310547171</v>
      </c>
      <c r="N7" s="1902">
        <v>0.12949036155273586</v>
      </c>
      <c r="O7" s="1903" t="s">
        <v>2716</v>
      </c>
      <c r="P7" s="1785">
        <v>0.13985600000000001</v>
      </c>
      <c r="Q7" s="1904">
        <v>8760000</v>
      </c>
      <c r="R7" s="1905" t="s">
        <v>2717</v>
      </c>
      <c r="S7" s="1906">
        <f t="shared" ref="S7:S9" si="0">(M7)*P7*Q7/8760000</f>
        <v>3.6220008010638856E-2</v>
      </c>
      <c r="T7" s="1907">
        <f t="shared" ref="T7:T9" si="1">IFERROR(N7*P7*Q7/8760/1000,0)</f>
        <v>1.8110004005319428E-2</v>
      </c>
      <c r="U7" s="1908">
        <f t="shared" ref="U7:U9" si="2">S7-T7</f>
        <v>1.8110004005319428E-2</v>
      </c>
    </row>
    <row r="8" spans="1:21" hidden="1">
      <c r="A8" s="272"/>
      <c r="B8" s="311"/>
      <c r="C8" s="311">
        <v>0</v>
      </c>
      <c r="D8" s="311">
        <v>0</v>
      </c>
      <c r="E8" s="311">
        <v>0</v>
      </c>
      <c r="F8" s="311">
        <v>1</v>
      </c>
      <c r="G8" s="312" t="b">
        <v>1</v>
      </c>
      <c r="H8" s="1898" t="s">
        <v>525</v>
      </c>
      <c r="I8" s="1899" t="s">
        <v>1108</v>
      </c>
      <c r="J8" s="1899" t="s">
        <v>2714</v>
      </c>
      <c r="K8" s="1899" t="s">
        <v>157</v>
      </c>
      <c r="L8" s="1900">
        <v>2024</v>
      </c>
      <c r="M8" s="1901">
        <v>0.9231694776028635</v>
      </c>
      <c r="N8" s="1902">
        <v>0.46158473880143175</v>
      </c>
      <c r="O8" s="1903" t="s">
        <v>2716</v>
      </c>
      <c r="P8" s="1785">
        <v>0.13985600000000001</v>
      </c>
      <c r="Q8" s="1904">
        <v>8760000</v>
      </c>
      <c r="R8" s="1905" t="s">
        <v>2717</v>
      </c>
      <c r="S8" s="1906">
        <f t="shared" si="0"/>
        <v>0.12911079045962609</v>
      </c>
      <c r="T8" s="1907">
        <f t="shared" si="1"/>
        <v>6.4555395229813045E-2</v>
      </c>
      <c r="U8" s="1908">
        <f t="shared" si="2"/>
        <v>6.4555395229813045E-2</v>
      </c>
    </row>
    <row r="9" spans="1:21" ht="13.5" hidden="1" thickBot="1">
      <c r="A9" s="421"/>
      <c r="B9" s="422"/>
      <c r="C9" s="422">
        <v>0</v>
      </c>
      <c r="D9" s="422">
        <v>0</v>
      </c>
      <c r="E9" s="422">
        <f>COUNTIFS($A:$A,A9,$L:$L,L9)</f>
        <v>0</v>
      </c>
      <c r="F9" s="422">
        <v>1</v>
      </c>
      <c r="G9" s="423" t="b">
        <v>1</v>
      </c>
      <c r="H9" s="431" t="s">
        <v>525</v>
      </c>
      <c r="I9" s="432" t="s">
        <v>1108</v>
      </c>
      <c r="J9" s="432" t="s">
        <v>2714</v>
      </c>
      <c r="K9" s="432" t="s">
        <v>157</v>
      </c>
      <c r="L9" s="433">
        <v>2025</v>
      </c>
      <c r="M9" s="436">
        <v>1.4262873341293179</v>
      </c>
      <c r="N9" s="1485">
        <v>0.71314366706465893</v>
      </c>
      <c r="O9" s="434" t="s">
        <v>2716</v>
      </c>
      <c r="P9" s="1479">
        <v>0.13985600000000001</v>
      </c>
      <c r="Q9" s="1569">
        <v>8760000</v>
      </c>
      <c r="R9" s="1570" t="s">
        <v>2717</v>
      </c>
      <c r="S9" s="1557">
        <f t="shared" si="0"/>
        <v>0.1994748414019899</v>
      </c>
      <c r="T9" s="1558">
        <f t="shared" si="1"/>
        <v>9.9737420700994964E-2</v>
      </c>
      <c r="U9" s="1559">
        <f t="shared" si="2"/>
        <v>9.9737420700994936E-2</v>
      </c>
    </row>
    <row r="11" spans="1:21">
      <c r="H11" s="495" t="s">
        <v>840</v>
      </c>
      <c r="I11" s="274"/>
      <c r="J11" s="274"/>
      <c r="K11" s="274"/>
      <c r="L11" s="274"/>
      <c r="M11" s="275"/>
    </row>
    <row r="12" spans="1:21">
      <c r="H12" s="2807" t="s">
        <v>332</v>
      </c>
      <c r="I12" s="2808"/>
      <c r="J12" s="2808"/>
      <c r="K12" s="2808"/>
      <c r="L12" s="2808"/>
      <c r="M12" s="2809"/>
    </row>
    <row r="13" spans="1:21">
      <c r="H13" s="2810"/>
      <c r="I13" s="2811"/>
      <c r="J13" s="2811"/>
      <c r="K13" s="2811"/>
      <c r="L13" s="2811"/>
      <c r="M13" s="2812"/>
    </row>
    <row r="14" spans="1:21">
      <c r="H14" s="2813"/>
      <c r="I14" s="2814"/>
      <c r="J14" s="2814"/>
      <c r="K14" s="2814"/>
      <c r="L14" s="2814"/>
      <c r="M14" s="2815"/>
    </row>
    <row r="16" spans="1:21">
      <c r="H16" s="469" t="s">
        <v>209</v>
      </c>
    </row>
    <row r="17" spans="8:13" ht="12.75" customHeight="1">
      <c r="H17" s="2823" t="s">
        <v>1118</v>
      </c>
      <c r="I17" s="2824"/>
      <c r="J17" s="2824"/>
      <c r="K17" s="2824"/>
      <c r="L17" s="2824"/>
      <c r="M17" s="2825"/>
    </row>
    <row r="18" spans="8:13" ht="12.75" customHeight="1">
      <c r="H18" s="2826" t="s">
        <v>1119</v>
      </c>
      <c r="I18" s="2827"/>
      <c r="J18" s="2827"/>
      <c r="K18" s="2827"/>
      <c r="L18" s="2827"/>
      <c r="M18" s="2828"/>
    </row>
    <row r="19" spans="8:13" ht="12.75" customHeight="1">
      <c r="H19" s="2829" t="s">
        <v>1165</v>
      </c>
      <c r="I19" s="2830"/>
      <c r="J19" s="2830"/>
      <c r="K19" s="2830"/>
      <c r="L19" s="2830"/>
      <c r="M19" s="2831"/>
    </row>
    <row r="20" spans="8:13">
      <c r="H20" s="2829"/>
      <c r="I20" s="2830"/>
      <c r="J20" s="2830"/>
      <c r="K20" s="2830"/>
      <c r="L20" s="2830"/>
      <c r="M20" s="2831"/>
    </row>
    <row r="21" spans="8:13">
      <c r="H21" s="2832"/>
      <c r="I21" s="2833"/>
      <c r="J21" s="2833"/>
      <c r="K21" s="2833"/>
      <c r="L21" s="2833"/>
      <c r="M21" s="2834"/>
    </row>
  </sheetData>
  <autoFilter ref="A5:U9" xr:uid="{6FB7B847-EAF5-4B39-84D1-931613AEFD98}">
    <filterColumn colId="11">
      <filters>
        <filter val="2022"/>
        <filter val="2023"/>
      </filters>
    </filterColumn>
  </autoFilter>
  <mergeCells count="9">
    <mergeCell ref="Q4:R4"/>
    <mergeCell ref="S4:U4"/>
    <mergeCell ref="H17:M17"/>
    <mergeCell ref="H18:M18"/>
    <mergeCell ref="H19:M21"/>
    <mergeCell ref="I2:L2"/>
    <mergeCell ref="A4:G4"/>
    <mergeCell ref="H12:M14"/>
    <mergeCell ref="H4:L4"/>
  </mergeCells>
  <hyperlinks>
    <hyperlink ref="H18" r:id="rId1" xr:uid="{00000000-0004-0000-2600-000000000000}"/>
    <hyperlink ref="H1" location="'Summary ALL'!A1" display="Summary Page" xr:uid="{A7326187-8D77-463B-BB8D-CDDAA62FD183}"/>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filterMode="1">
    <tabColor theme="4"/>
    <pageSetUpPr fitToPage="1"/>
  </sheetPr>
  <dimension ref="A1:W12"/>
  <sheetViews>
    <sheetView showGridLines="0" topLeftCell="H1" workbookViewId="0">
      <selection activeCell="V6" sqref="V6:V7"/>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9.85546875" style="8" hidden="1" customWidth="1" outlineLevel="1"/>
    <col min="8" max="8" width="23.42578125" style="1" customWidth="1" collapsed="1"/>
    <col min="9" max="9" width="47.85546875" style="1" customWidth="1"/>
    <col min="10" max="10" width="22.5703125" style="1" customWidth="1"/>
    <col min="11" max="11" width="11" style="1" customWidth="1"/>
    <col min="12" max="12" width="8" style="1" customWidth="1"/>
    <col min="13" max="15" width="10.28515625" style="2" customWidth="1"/>
    <col min="16" max="16" width="21" style="2" customWidth="1"/>
    <col min="17" max="17" width="11.28515625" style="1" customWidth="1"/>
    <col min="18" max="18" width="11.7109375" style="1" customWidth="1"/>
    <col min="19" max="19" width="12.7109375" style="1" customWidth="1"/>
    <col min="20" max="21" width="12.28515625" style="1" customWidth="1"/>
    <col min="22" max="22" width="12.28515625" style="3" customWidth="1"/>
    <col min="23" max="16384" width="18.7109375" style="1"/>
  </cols>
  <sheetData>
    <row r="1" spans="1:23" ht="12.75" customHeight="1">
      <c r="H1" s="168" t="s">
        <v>674</v>
      </c>
    </row>
    <row r="2" spans="1:23" ht="36.75" customHeight="1">
      <c r="H2" s="757" t="str">
        <f>I6&amp;":"</f>
        <v>Certified Refrigeration Energy Specialist (CRES):</v>
      </c>
      <c r="I2" s="2568" t="str">
        <f>INDEX('AMMO Measures'!$I:$I,MATCH(LEFT(H2,LEN(H2)-1),'AMMO Measures'!$B:$B,0))</f>
        <v>CRES certification becomes a required credential to work as a refrigeration operator in the Industrial Refrigeration Market.</v>
      </c>
      <c r="J2" s="2568"/>
      <c r="K2" s="2568"/>
      <c r="L2" s="2568"/>
    </row>
    <row r="3" spans="1:23" ht="22.5" customHeight="1">
      <c r="H3" s="1552"/>
    </row>
    <row r="4" spans="1:23" customFormat="1" ht="15.75" customHeight="1">
      <c r="A4" s="2600" t="s">
        <v>131</v>
      </c>
      <c r="B4" s="2601"/>
      <c r="C4" s="2601"/>
      <c r="D4" s="2601"/>
      <c r="E4" s="2601"/>
      <c r="F4" s="2601"/>
      <c r="G4" s="2602"/>
      <c r="H4" s="2603" t="s">
        <v>7</v>
      </c>
      <c r="I4" s="2604"/>
      <c r="J4" s="2604"/>
      <c r="K4" s="2604"/>
      <c r="L4" s="2604"/>
      <c r="M4" s="2605" t="s">
        <v>127</v>
      </c>
      <c r="N4" s="2606"/>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758" t="s">
        <v>3</v>
      </c>
      <c r="I5" s="758" t="s">
        <v>4</v>
      </c>
      <c r="J5" s="758" t="s">
        <v>5</v>
      </c>
      <c r="K5" s="758" t="s">
        <v>6</v>
      </c>
      <c r="L5" s="758" t="s">
        <v>8</v>
      </c>
      <c r="M5" s="759" t="s">
        <v>13</v>
      </c>
      <c r="N5" s="758" t="s">
        <v>14</v>
      </c>
      <c r="O5" s="758" t="s">
        <v>123</v>
      </c>
      <c r="P5" s="758" t="s">
        <v>124</v>
      </c>
      <c r="Q5" s="1477" t="str">
        <f>"Funder Share: "&amp;Selection!A2&amp;" "&amp;Selection!A3</f>
        <v>Funder Share: Puget Sound Energy Washington</v>
      </c>
      <c r="R5" s="1478" t="s">
        <v>550</v>
      </c>
      <c r="S5" s="760" t="s">
        <v>125</v>
      </c>
      <c r="T5" s="759" t="s">
        <v>126</v>
      </c>
      <c r="U5" s="758" t="s">
        <v>18</v>
      </c>
      <c r="V5" s="761" t="s">
        <v>17</v>
      </c>
    </row>
    <row r="6" spans="1:23" ht="15.75" thickTop="1">
      <c r="A6" s="437" t="s">
        <v>39</v>
      </c>
      <c r="B6" s="438" t="str">
        <f t="shared" ref="B6" si="0">LEFT(A6,10)</f>
        <v>IND_201301</v>
      </c>
      <c r="C6" s="438">
        <v>0</v>
      </c>
      <c r="D6" s="438">
        <v>0</v>
      </c>
      <c r="E6" s="438">
        <f>COUNTIFS($A:$A,A6,$L:$L,L6)</f>
        <v>1</v>
      </c>
      <c r="F6" s="438">
        <v>1</v>
      </c>
      <c r="G6" s="439" t="b">
        <v>1</v>
      </c>
      <c r="H6" s="440" t="str">
        <f>IF(LEFT(A6,3)="Res","Residential",IF(LEFT(A6,3)="Ind","Industrial",IF(LEFT(A6,3)="Com","Commercial",IF(LEFT(A6,3)="AGR","Agriculture",""))))</f>
        <v>Industrial</v>
      </c>
      <c r="I6" s="441" t="s">
        <v>146</v>
      </c>
      <c r="J6" s="441" t="s">
        <v>493</v>
      </c>
      <c r="K6" s="441" t="s">
        <v>334</v>
      </c>
      <c r="L6" s="442">
        <v>2022</v>
      </c>
      <c r="M6" s="1550">
        <f>GETPIVOTDATA("Units",'AMMO Units'!$A$3,"Year",$L6,"Measure Index",$A6,"Savings Category","Regional_Market_2021PP")</f>
        <v>0.18843737999999999</v>
      </c>
      <c r="N6" s="1551">
        <f>GETPIVOTDATA("Units",'AMMO Units'!$A$3,"Year",$L6,"Measure Index",$A6,"Savings Category","Local_Incentives_2021PP")</f>
        <v>9.4218689999999994E-2</v>
      </c>
      <c r="O6" s="1551">
        <f>GETPIVOTDATA("Units",'AMMO Units'!$A$3,"Year",$L6,"Measure Index",$A6,"Savings Category","Baseline_2021PP")</f>
        <v>0</v>
      </c>
      <c r="P6" s="444" t="s">
        <v>212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R6" s="1475">
        <f>GETPIVOTDATA("Savings Rate",'AMMO Savings Rates'!$A$3,"Year",$L6,"Measure Index",$A6,"Savings Rate Type","Savings_Rate_2021PP")</f>
        <v>8760000</v>
      </c>
      <c r="S6" s="86" t="s">
        <v>213</v>
      </c>
      <c r="T6" s="1547">
        <f>(M6-O6)*Q6*R6/8760000</f>
        <v>2.6758107959999996E-2</v>
      </c>
      <c r="U6" s="1548">
        <f t="shared" ref="U6" si="1">IFERROR((N6-O6/M6*N6)*Q6*R6/8760/1000,0)</f>
        <v>1.3379053979999998E-2</v>
      </c>
      <c r="V6" s="2102">
        <f t="shared" ref="V6" si="2">T6-U6</f>
        <v>1.3379053979999998E-2</v>
      </c>
      <c r="W6" s="180"/>
    </row>
    <row r="7" spans="1:23" s="430" customFormat="1" ht="15">
      <c r="A7" s="437" t="s">
        <v>39</v>
      </c>
      <c r="B7" s="438" t="str">
        <f t="shared" ref="B7" si="3">LEFT(A7,10)</f>
        <v>IND_201301</v>
      </c>
      <c r="C7" s="438">
        <v>0</v>
      </c>
      <c r="D7" s="438">
        <v>0</v>
      </c>
      <c r="E7" s="438">
        <f>COUNTIFS($A:$A,A7,$L:$L,L7)</f>
        <v>1</v>
      </c>
      <c r="F7" s="438">
        <v>1</v>
      </c>
      <c r="G7" s="439" t="b">
        <v>1</v>
      </c>
      <c r="H7" s="440" t="str">
        <f>IF(LEFT(A7,3)="Res","Residential",IF(LEFT(A7,3)="Ind","Industrial",IF(LEFT(A7,3)="Com","Commercial",IF(LEFT(A7,3)="AGR","Agriculture",""))))</f>
        <v>Industrial</v>
      </c>
      <c r="I7" s="441" t="s">
        <v>146</v>
      </c>
      <c r="J7" s="441" t="s">
        <v>493</v>
      </c>
      <c r="K7" s="441" t="s">
        <v>334</v>
      </c>
      <c r="L7" s="442">
        <v>2023</v>
      </c>
      <c r="M7" s="353">
        <f>GETPIVOTDATA("Units",'AMMO Units'!$A$3,"Year",$L7,"Measure Index",$A7,"Savings Category","Regional_Market_2021PP")</f>
        <v>0.17064584999999999</v>
      </c>
      <c r="N7" s="319">
        <f>GETPIVOTDATA("Units",'AMMO Units'!$A$3,"Year",$L7,"Measure Index",$A7,"Savings Category","Local_Incentives_2021PP")</f>
        <v>8.5322919999999997E-2</v>
      </c>
      <c r="O7" s="319">
        <f>GETPIVOTDATA("Units",'AMMO Units'!$A$3,"Year",$L7,"Measure Index",$A7,"Savings Category","Baseline_2021PP")</f>
        <v>0</v>
      </c>
      <c r="P7" s="444" t="s">
        <v>212</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R7" s="1476">
        <f>GETPIVOTDATA("Savings Rate",'AMMO Savings Rates'!$A$3,"Year",$L7,"Measure Index",$A7,"Savings Rate Type","Savings_Rate_2021PP")</f>
        <v>8760000</v>
      </c>
      <c r="S7" s="86" t="s">
        <v>213</v>
      </c>
      <c r="T7" s="1547">
        <f>(M7-O7)*Q7*R7/8760000</f>
        <v>2.4231710699999996E-2</v>
      </c>
      <c r="U7" s="1548">
        <f>IFERROR((N7-O7/M7*N7)*Q7*R7/8760/1000,0)</f>
        <v>1.2115854639999998E-2</v>
      </c>
      <c r="V7" s="2102">
        <f t="shared" ref="V7" si="4">T7-U7</f>
        <v>1.2115856059999998E-2</v>
      </c>
      <c r="W7" s="180"/>
    </row>
    <row r="8" spans="1:23" ht="12.75" hidden="1" customHeight="1">
      <c r="A8" s="437" t="s">
        <v>39</v>
      </c>
      <c r="B8" s="438" t="str">
        <f t="shared" ref="B8" si="5">LEFT(A8,10)</f>
        <v>IND_201301</v>
      </c>
      <c r="C8" s="438">
        <v>0</v>
      </c>
      <c r="D8" s="438">
        <v>0</v>
      </c>
      <c r="E8" s="438">
        <f>COUNTIFS($A:$A,A8,$L:$L,L8)</f>
        <v>1</v>
      </c>
      <c r="F8" s="438">
        <v>1</v>
      </c>
      <c r="G8" s="439" t="b">
        <v>1</v>
      </c>
      <c r="H8" s="440" t="str">
        <f>IF(LEFT(A8,3)="Res","Residential",IF(LEFT(A8,3)="Ind","Industrial",IF(LEFT(A8,3)="Com","Commercial",IF(LEFT(A8,3)="AGR","Agriculture",""))))</f>
        <v>Industrial</v>
      </c>
      <c r="I8" s="441" t="s">
        <v>146</v>
      </c>
      <c r="J8" s="441" t="s">
        <v>493</v>
      </c>
      <c r="K8" s="441" t="s">
        <v>334</v>
      </c>
      <c r="L8" s="442">
        <v>2024</v>
      </c>
      <c r="M8" s="353">
        <f>GETPIVOTDATA("Units",'AMMO Units'!$A$3,"Year",$L8,"Measure Index",$A8,"Savings Category","Regional_Market_2021PP")</f>
        <v>0.11034691000000001</v>
      </c>
      <c r="N8" s="319">
        <f>GETPIVOTDATA("Units",'AMMO Units'!$A$3,"Year",$L8,"Measure Index",$A8,"Savings Category","Local_Incentives_2021PP")</f>
        <v>5.5173449999999999E-2</v>
      </c>
      <c r="O8" s="319">
        <f>GETPIVOTDATA("Units",'AMMO Units'!$A$3,"Year",$L8,"Measure Index",$A8,"Savings Category","Baseline_2021PP")</f>
        <v>0</v>
      </c>
      <c r="P8" s="444" t="s">
        <v>212</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R8" s="1476">
        <f>GETPIVOTDATA("Savings Rate",'AMMO Savings Rates'!$A$3,"Year",$L8,"Measure Index",$A8,"Savings Rate Type","Savings_Rate_2021PP")</f>
        <v>8760000</v>
      </c>
      <c r="S8" s="86" t="s">
        <v>213</v>
      </c>
      <c r="T8" s="1547">
        <f>(M8-O8)*Q8*R8/8760000</f>
        <v>1.5669261220000001E-2</v>
      </c>
      <c r="U8" s="1548">
        <f>IFERROR((N8-O8/M8*N8)*Q8*R8/8760/1000,0)</f>
        <v>7.8346298999999991E-3</v>
      </c>
      <c r="V8" s="1549">
        <f t="shared" ref="V8" si="6">T8-U8</f>
        <v>7.8346313200000021E-3</v>
      </c>
    </row>
    <row r="9" spans="1:23" s="1376" customFormat="1" ht="12.75" hidden="1" customHeight="1">
      <c r="A9" s="437" t="s">
        <v>39</v>
      </c>
      <c r="B9" s="438" t="str">
        <f t="shared" ref="B9" si="7">LEFT(A9,10)</f>
        <v>IND_201301</v>
      </c>
      <c r="C9" s="438">
        <v>0</v>
      </c>
      <c r="D9" s="438">
        <v>0</v>
      </c>
      <c r="E9" s="438">
        <f>COUNTIFS($A:$A,A9,$L:$L,L9)</f>
        <v>1</v>
      </c>
      <c r="F9" s="438">
        <v>1</v>
      </c>
      <c r="G9" s="439" t="b">
        <v>1</v>
      </c>
      <c r="H9" s="440" t="str">
        <f>IF(LEFT(A9,3)="Res","Residential",IF(LEFT(A9,3)="Ind","Industrial",IF(LEFT(A9,3)="Com","Commercial",IF(LEFT(A9,3)="AGR","Agriculture",""))))</f>
        <v>Industrial</v>
      </c>
      <c r="I9" s="441" t="s">
        <v>146</v>
      </c>
      <c r="J9" s="441" t="s">
        <v>493</v>
      </c>
      <c r="K9" s="441" t="s">
        <v>334</v>
      </c>
      <c r="L9" s="442">
        <v>2025</v>
      </c>
      <c r="M9" s="353">
        <f>GETPIVOTDATA("Units",'AMMO Units'!$A$3,"Year",$L9,"Measure Index",$A9,"Savings Category","Regional_Market_2021PP")</f>
        <v>0.12138160000000001</v>
      </c>
      <c r="N9" s="319">
        <f>GETPIVOTDATA("Units",'AMMO Units'!$A$3,"Year",$L9,"Measure Index",$A9,"Savings Category","Local_Incentives_2021PP")</f>
        <v>6.0690800000000003E-2</v>
      </c>
      <c r="O9" s="319">
        <f>GETPIVOTDATA("Units",'AMMO Units'!$A$3,"Year",$L9,"Measure Index",$A9,"Savings Category","Baseline_2021PP")</f>
        <v>0</v>
      </c>
      <c r="P9" s="444" t="s">
        <v>212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R9" s="1476">
        <f>GETPIVOTDATA("Savings Rate",'AMMO Savings Rates'!$A$3,"Year",$L9,"Measure Index",$A9,"Savings Rate Type","Savings_Rate_2021PP")</f>
        <v>8760000</v>
      </c>
      <c r="S9" s="86" t="s">
        <v>213</v>
      </c>
      <c r="T9" s="1547">
        <f>(M9-O9)*Q9*R9/8760000</f>
        <v>1.7236187199999999E-2</v>
      </c>
      <c r="U9" s="1548">
        <f>IFERROR((N9-O9/M9*N9)*Q9*R9/8760/1000,0)</f>
        <v>8.6180935999999996E-3</v>
      </c>
      <c r="V9" s="1549">
        <f t="shared" ref="V9" si="8">T9-U9</f>
        <v>8.6180935999999996E-3</v>
      </c>
    </row>
    <row r="10" spans="1:23" s="1376" customFormat="1" ht="12.75" customHeight="1">
      <c r="A10" s="8"/>
      <c r="B10" s="8"/>
      <c r="C10" s="10"/>
      <c r="D10" s="10"/>
      <c r="E10" s="10"/>
      <c r="F10" s="10"/>
      <c r="G10" s="8"/>
      <c r="M10" s="2"/>
      <c r="N10" s="2"/>
      <c r="O10" s="2"/>
      <c r="P10" s="2"/>
      <c r="V10" s="3"/>
    </row>
    <row r="11" spans="1:23" ht="12.75" customHeight="1">
      <c r="H11" s="341" t="s">
        <v>840</v>
      </c>
      <c r="I11" s="5"/>
      <c r="J11" s="5"/>
      <c r="K11" s="5"/>
      <c r="L11" s="76"/>
    </row>
    <row r="12" spans="1:23" ht="31.5" customHeight="1">
      <c r="H12" s="2617" t="s">
        <v>1675</v>
      </c>
      <c r="I12" s="2618"/>
      <c r="J12" s="2618"/>
      <c r="K12" s="2618"/>
      <c r="L12" s="2620"/>
    </row>
  </sheetData>
  <autoFilter ref="A5:W9" xr:uid="{00000000-0009-0000-0000-000022000000}">
    <filterColumn colId="11">
      <filters>
        <filter val="2022"/>
        <filter val="2023"/>
      </filters>
    </filterColumn>
  </autoFilter>
  <dataConsolidate/>
  <mergeCells count="7">
    <mergeCell ref="H12:L12"/>
    <mergeCell ref="T4:V4"/>
    <mergeCell ref="I2:L2"/>
    <mergeCell ref="A4:G4"/>
    <mergeCell ref="H4:L4"/>
    <mergeCell ref="M4:Q4"/>
    <mergeCell ref="R4:S4"/>
  </mergeCells>
  <phoneticPr fontId="183" type="noConversion"/>
  <hyperlinks>
    <hyperlink ref="H1" location="'Program Measures Summary'!H1" display="Summary Page" xr:uid="{9423BC58-8C28-427E-84BE-36F83B0BF12A}"/>
  </hyperlinks>
  <pageMargins left="0.7" right="0.7" top="0.75" bottom="0.75" header="0.3" footer="0.3"/>
  <pageSetup scale="32"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XFB178"/>
  <sheetViews>
    <sheetView showGridLines="0" view="pageBreakPreview" topLeftCell="H1" zoomScale="90" zoomScaleNormal="110" zoomScaleSheetLayoutView="90" workbookViewId="0">
      <selection activeCell="H1" sqref="H1"/>
    </sheetView>
  </sheetViews>
  <sheetFormatPr defaultColWidth="18.7109375" defaultRowHeight="12.75" customHeight="1" outlineLevelCol="1"/>
  <cols>
    <col min="1" max="1" width="20" style="272" hidden="1" customWidth="1" outlineLevel="1"/>
    <col min="2" max="2" width="16.42578125" style="272" hidden="1" customWidth="1" outlineLevel="1"/>
    <col min="3" max="3" width="19" style="273" hidden="1" customWidth="1" outlineLevel="1"/>
    <col min="4" max="4" width="12.28515625" style="273" hidden="1" customWidth="1" outlineLevel="1"/>
    <col min="5" max="5" width="17.7109375" style="273" hidden="1" customWidth="1" outlineLevel="1"/>
    <col min="6" max="6" width="11.7109375" style="273" hidden="1" customWidth="1" outlineLevel="1"/>
    <col min="7" max="7" width="18.5703125" style="272" hidden="1" customWidth="1" outlineLevel="1"/>
    <col min="8" max="8" width="16.7109375" style="274" customWidth="1" collapsed="1"/>
    <col min="9" max="9" width="29.28515625" style="274" customWidth="1"/>
    <col min="10" max="10" width="27.42578125" style="274" customWidth="1"/>
    <col min="11" max="11" width="21.7109375" style="274" bestFit="1" customWidth="1"/>
    <col min="12" max="12" width="10.42578125" style="274" customWidth="1"/>
    <col min="13" max="13" width="14.7109375" style="275" customWidth="1"/>
    <col min="14" max="14" width="19" style="275" customWidth="1"/>
    <col min="15" max="15" width="12.5703125" style="274" customWidth="1"/>
    <col min="16" max="16" width="9.42578125" style="274" customWidth="1"/>
    <col min="17" max="17" width="54.5703125" style="274" customWidth="1"/>
    <col min="18" max="18" width="8.5703125" style="274" customWidth="1"/>
    <col min="19" max="19" width="11.42578125" style="274" customWidth="1"/>
    <col min="20" max="20" width="11.42578125" style="276" customWidth="1"/>
    <col min="21" max="16384" width="18.7109375" style="274"/>
  </cols>
  <sheetData>
    <row r="1" spans="1:22" ht="12.75" customHeight="1">
      <c r="H1" s="168" t="s">
        <v>674</v>
      </c>
    </row>
    <row r="2" spans="1:22" ht="36.75" customHeight="1">
      <c r="H2" s="753" t="s">
        <v>3037</v>
      </c>
      <c r="I2" s="2568" t="str">
        <f>INDEX('AMMO Measures'!$I:$I,MATCH(LEFT(H2,LEN(H2)-1),'AMMO Measures'!$B:$B,0))</f>
        <v>Providing information and technical expertise to create new and more stringent building codes and providing technical support and training after code adoption.</v>
      </c>
      <c r="J2" s="2568"/>
      <c r="K2" s="2568"/>
      <c r="L2" s="2568"/>
    </row>
    <row r="3" spans="1:22" ht="47.25" hidden="1" customHeight="1">
      <c r="H3" s="753" t="s">
        <v>746</v>
      </c>
      <c r="I3" s="2568" t="e">
        <f>INDEX('AMMO Measures'!$I:$I,MATCH(LEFT(H3,LEN(H3)-1),'AMMO Measures'!$B:$B,0))</f>
        <v>#N/A</v>
      </c>
      <c r="J3" s="2568"/>
      <c r="K3" s="2568"/>
      <c r="L3" s="2568"/>
      <c r="N3" s="754"/>
      <c r="Q3" s="755"/>
    </row>
    <row r="4" spans="1:22" ht="50.25" customHeight="1" thickBot="1">
      <c r="H4" s="762" t="s">
        <v>3038</v>
      </c>
      <c r="I4" s="2568" t="str">
        <f>INDEX('AMMO Measures'!$I:$I,MATCH(I22,'AMMO Measures'!$B:$B,0))</f>
        <v>Providing information and technical expertise to create new and more stringent building codes and providing technical support and training after code adoption.</v>
      </c>
      <c r="J4" s="2568"/>
      <c r="K4" s="2568"/>
      <c r="L4" s="2568"/>
      <c r="Q4" s="492"/>
    </row>
    <row r="5" spans="1:22" s="270" customFormat="1" ht="15.75" customHeight="1">
      <c r="A5" s="2569" t="s">
        <v>131</v>
      </c>
      <c r="B5" s="2570"/>
      <c r="C5" s="2570"/>
      <c r="D5" s="2570"/>
      <c r="E5" s="2570"/>
      <c r="F5" s="2570"/>
      <c r="G5" s="2835"/>
      <c r="H5" s="2836" t="s">
        <v>7</v>
      </c>
      <c r="I5" s="2837"/>
      <c r="J5" s="2837"/>
      <c r="K5" s="2837"/>
      <c r="L5" s="2837"/>
      <c r="M5" s="2838" t="s">
        <v>127</v>
      </c>
      <c r="N5" s="2839"/>
      <c r="O5" s="2840"/>
      <c r="P5" s="2864" t="s">
        <v>129</v>
      </c>
      <c r="Q5" s="2865"/>
      <c r="R5" s="2861" t="s">
        <v>130</v>
      </c>
      <c r="S5" s="2862"/>
      <c r="T5" s="2863"/>
    </row>
    <row r="6" spans="1:22" s="491" customFormat="1" ht="43.5" customHeight="1" thickBot="1">
      <c r="A6" s="487" t="s">
        <v>0</v>
      </c>
      <c r="B6" s="488" t="s">
        <v>11</v>
      </c>
      <c r="C6" s="489" t="s">
        <v>1</v>
      </c>
      <c r="D6" s="489" t="s">
        <v>2</v>
      </c>
      <c r="E6" s="489" t="s">
        <v>211</v>
      </c>
      <c r="F6" s="489" t="s">
        <v>237</v>
      </c>
      <c r="G6" s="488" t="s">
        <v>12</v>
      </c>
      <c r="H6" s="1379" t="s">
        <v>3</v>
      </c>
      <c r="I6" s="1380" t="s">
        <v>4</v>
      </c>
      <c r="J6" s="1380" t="s">
        <v>5</v>
      </c>
      <c r="K6" s="1380" t="s">
        <v>6</v>
      </c>
      <c r="L6" s="1380" t="s">
        <v>8</v>
      </c>
      <c r="M6" s="1381" t="s">
        <v>13</v>
      </c>
      <c r="N6" s="1380" t="s">
        <v>124</v>
      </c>
      <c r="O6" s="1482" t="str">
        <f>"Funder Share: "&amp;Selection!A3&amp;" "&amp;Selection!A4</f>
        <v xml:space="preserve">Funder Share: Washington </v>
      </c>
      <c r="P6" s="1913" t="s">
        <v>550</v>
      </c>
      <c r="Q6" s="1382" t="s">
        <v>125</v>
      </c>
      <c r="R6" s="1381" t="s">
        <v>126</v>
      </c>
      <c r="S6" s="1380" t="s">
        <v>18</v>
      </c>
      <c r="T6" s="1383" t="s">
        <v>17</v>
      </c>
    </row>
    <row r="7" spans="1:22" s="491" customFormat="1" ht="12.75" customHeight="1">
      <c r="A7" s="488" t="s">
        <v>62</v>
      </c>
      <c r="B7" s="311" t="str">
        <f t="shared" ref="B7:B72" si="0">LEFT(A7,10)</f>
        <v>RES_201301</v>
      </c>
      <c r="C7" s="311">
        <v>1</v>
      </c>
      <c r="D7" s="311">
        <v>0</v>
      </c>
      <c r="E7" s="311">
        <f t="shared" ref="E7:E38" si="1">COUNTIFS($A:$A,A7,$L:$L,L7)</f>
        <v>1</v>
      </c>
      <c r="F7" s="311">
        <v>3</v>
      </c>
      <c r="G7" s="311" t="b">
        <v>1</v>
      </c>
      <c r="H7" s="426" t="str">
        <f t="shared" ref="H7:H72" si="2">IF(LEFT(A7,3)="Res","Residential",IF(LEFT(A7,3)="Ind","industrial",IF(LEFT(A7,3)="Com","Commercial",IF(LEFT(A7,3)="AGR","Agriculture",""))))</f>
        <v>Residential</v>
      </c>
      <c r="I7" s="314" t="s">
        <v>2773</v>
      </c>
      <c r="J7" s="441" t="str">
        <f>INDEX('AMMO Units'!$C:$C,MATCH(Codes!$A7,'AMMO Units'!$E:$E,0))</f>
        <v>ID Code</v>
      </c>
      <c r="K7" s="314" t="str">
        <f>INDEX('AMMO Units'!$D:$D,MATCH(Codes!$A7,'AMMO Units'!$E:$E,0))</f>
        <v>IECC 2018</v>
      </c>
      <c r="L7" s="24">
        <v>2022</v>
      </c>
      <c r="M7" s="744">
        <f>GETPIVOTDATA("Units",'AMMO Units'!$A$3,"Year",$L7,"Measure Index",$A7,"Savings Category","Regional_Market_2021PP")</f>
        <v>16624</v>
      </c>
      <c r="N7" s="2850" t="s">
        <v>2774</v>
      </c>
      <c r="O7" s="1480">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P7" s="1481">
        <v>746.36554108311145</v>
      </c>
      <c r="Q7" s="86" t="s">
        <v>3061</v>
      </c>
      <c r="R7" s="359">
        <f t="shared" ref="R7:R44" si="3">M7*O7*P7/8760000</f>
        <v>0.1980907093683191</v>
      </c>
      <c r="S7" s="636">
        <v>0</v>
      </c>
      <c r="T7" s="427">
        <f t="shared" ref="T7:T44" si="4">R7-S7</f>
        <v>0.1980907093683191</v>
      </c>
    </row>
    <row r="8" spans="1:22" s="491" customFormat="1" ht="12.75" customHeight="1">
      <c r="A8" s="488" t="s">
        <v>63</v>
      </c>
      <c r="B8" s="311" t="str">
        <f t="shared" si="0"/>
        <v>RES_201301</v>
      </c>
      <c r="C8" s="311">
        <v>1</v>
      </c>
      <c r="D8" s="311">
        <v>0</v>
      </c>
      <c r="E8" s="311">
        <f t="shared" si="1"/>
        <v>1</v>
      </c>
      <c r="F8" s="311">
        <v>3</v>
      </c>
      <c r="G8" s="311" t="b">
        <v>1</v>
      </c>
      <c r="H8" s="426" t="str">
        <f t="shared" si="2"/>
        <v>Residential</v>
      </c>
      <c r="I8" s="314" t="s">
        <v>2773</v>
      </c>
      <c r="J8" s="441" t="str">
        <f>INDEX('AMMO Units'!$C:$C,MATCH(Codes!$A8,'AMMO Units'!$E:$E,0))</f>
        <v>MT Code</v>
      </c>
      <c r="K8" s="314" t="str">
        <f>INDEX('AMMO Units'!$D:$D,MATCH(Codes!$A8,'AMMO Units'!$E:$E,0))</f>
        <v>IECC 2018</v>
      </c>
      <c r="L8" s="24">
        <v>2022</v>
      </c>
      <c r="M8" s="744">
        <f>GETPIVOTDATA("Units",'AMMO Units'!$A$3,"Year",$L8,"Measure Index",$A8,"Savings Category","Regional_Market_2021PP")</f>
        <v>3363</v>
      </c>
      <c r="N8" s="2851"/>
      <c r="O8" s="148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P8" s="1481">
        <v>850.39740425965704</v>
      </c>
      <c r="Q8" s="86" t="s">
        <v>3061</v>
      </c>
      <c r="R8" s="359">
        <f t="shared" si="3"/>
        <v>4.5658936326686765E-2</v>
      </c>
      <c r="S8" s="636">
        <v>0</v>
      </c>
      <c r="T8" s="427">
        <f t="shared" si="4"/>
        <v>4.5658936326686765E-2</v>
      </c>
    </row>
    <row r="9" spans="1:22" ht="12.75" hidden="1" customHeight="1">
      <c r="A9" s="417" t="s">
        <v>2305</v>
      </c>
      <c r="B9" s="311" t="str">
        <f t="shared" si="0"/>
        <v>RES_201301</v>
      </c>
      <c r="C9" s="311">
        <v>1</v>
      </c>
      <c r="D9" s="311">
        <v>0</v>
      </c>
      <c r="E9" s="311">
        <f t="shared" si="1"/>
        <v>1</v>
      </c>
      <c r="F9" s="311">
        <v>3</v>
      </c>
      <c r="G9" s="311" t="b">
        <v>1</v>
      </c>
      <c r="H9" s="426" t="str">
        <f t="shared" si="2"/>
        <v>Residential</v>
      </c>
      <c r="I9" s="314" t="s">
        <v>2773</v>
      </c>
      <c r="J9" s="314" t="str">
        <f>INDEX('AMMO Units'!$C:$C,MATCH(Codes!$A9,'AMMO Units'!$E:$E,0))</f>
        <v>ID Code</v>
      </c>
      <c r="K9" s="314" t="str">
        <f>INDEX('AMMO Units'!$D:$D,MATCH(Codes!$A9,'AMMO Units'!$E:$E,0))</f>
        <v>IECC 2021</v>
      </c>
      <c r="L9" s="24">
        <v>2022</v>
      </c>
      <c r="M9" s="744">
        <f>GETPIVOTDATA("Units",'AMMO Units'!$A$3,"Year",$L9,"Measure Index",$A9,"Savings Category","Regional_Market_2021PP")</f>
        <v>0</v>
      </c>
      <c r="N9" s="2851"/>
      <c r="O9" s="148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P9" s="1481">
        <f>GETPIVOTDATA("Savings Rate",'AMMO Savings Rates'!$A$3,"Year",$L9,"Measure Index",$A9,"Savings Rate Type","Savings_Rate_2021PP")</f>
        <v>504</v>
      </c>
      <c r="Q9" s="86" t="s">
        <v>332</v>
      </c>
      <c r="R9" s="318">
        <f t="shared" si="3"/>
        <v>0</v>
      </c>
      <c r="S9" s="319">
        <v>0</v>
      </c>
      <c r="T9" s="427">
        <f t="shared" si="4"/>
        <v>0</v>
      </c>
      <c r="U9" s="294"/>
      <c r="V9" s="294"/>
    </row>
    <row r="10" spans="1:22" s="278" customFormat="1" ht="12.75" hidden="1" customHeight="1">
      <c r="A10" s="417" t="s">
        <v>64</v>
      </c>
      <c r="B10" s="311" t="str">
        <f t="shared" si="0"/>
        <v>RES_201301</v>
      </c>
      <c r="C10" s="311">
        <v>1</v>
      </c>
      <c r="D10" s="311">
        <v>0</v>
      </c>
      <c r="E10" s="311">
        <f t="shared" si="1"/>
        <v>1</v>
      </c>
      <c r="F10" s="311">
        <v>3</v>
      </c>
      <c r="G10" s="311" t="b">
        <v>1</v>
      </c>
      <c r="H10" s="426" t="str">
        <f t="shared" si="2"/>
        <v>Residential</v>
      </c>
      <c r="I10" s="314" t="s">
        <v>2773</v>
      </c>
      <c r="J10" s="314" t="str">
        <f>INDEX('AMMO Units'!$C:$C,MATCH(Codes!$A10,'AMMO Units'!$E:$E,0))</f>
        <v>MT Code</v>
      </c>
      <c r="K10" s="314" t="str">
        <f>INDEX('AMMO Units'!$D:$D,MATCH(Codes!$A10,'AMMO Units'!$E:$E,0))</f>
        <v>IECC 2021</v>
      </c>
      <c r="L10" s="24">
        <v>2022</v>
      </c>
      <c r="M10" s="322">
        <f>GETPIVOTDATA("Units",'AMMO Units'!$A$3,"Year",$L10,"Measure Index",$A10,"Savings Category","Regional_Market_2021PP")</f>
        <v>0</v>
      </c>
      <c r="N10" s="2851"/>
      <c r="O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P10" s="1476">
        <f>GETPIVOTDATA("Savings Rate",'AMMO Savings Rates'!$A$3,"Year",$L10,"Measure Index",$A10,"Savings Rate Type","Savings_Rate_2021PP")</f>
        <v>5</v>
      </c>
      <c r="Q10" s="86" t="s">
        <v>332</v>
      </c>
      <c r="R10" s="318">
        <f t="shared" si="3"/>
        <v>0</v>
      </c>
      <c r="S10" s="319">
        <v>0</v>
      </c>
      <c r="T10" s="427">
        <f t="shared" si="4"/>
        <v>0</v>
      </c>
      <c r="U10" s="294"/>
      <c r="V10" s="294"/>
    </row>
    <row r="11" spans="1:22" ht="12.75" customHeight="1">
      <c r="A11" s="417" t="s">
        <v>65</v>
      </c>
      <c r="B11" s="311" t="str">
        <f t="shared" si="0"/>
        <v>RES_201301</v>
      </c>
      <c r="C11" s="311">
        <v>1</v>
      </c>
      <c r="D11" s="311">
        <v>0</v>
      </c>
      <c r="E11" s="311">
        <f t="shared" si="1"/>
        <v>1</v>
      </c>
      <c r="F11" s="311">
        <v>3</v>
      </c>
      <c r="G11" s="311" t="b">
        <v>1</v>
      </c>
      <c r="H11" s="426" t="str">
        <f t="shared" si="2"/>
        <v>Residential</v>
      </c>
      <c r="I11" s="314" t="s">
        <v>2773</v>
      </c>
      <c r="J11" s="441" t="str">
        <f>INDEX('AMMO Units'!$C:$C,MATCH(Codes!$A11,'AMMO Units'!$E:$E,0))</f>
        <v>OR Code</v>
      </c>
      <c r="K11" s="314" t="str">
        <f>INDEX('AMMO Units'!$D:$D,MATCH(Codes!$A11,'AMMO Units'!$E:$E,0))</f>
        <v>Or. Specialty Code 2021</v>
      </c>
      <c r="L11" s="24">
        <v>2022</v>
      </c>
      <c r="M11" s="322">
        <f>GETPIVOTDATA("Units",'AMMO Units'!$A$3,"Year",$L11,"Measure Index",$A11,"Savings Category","Regional_Market_2021PP")</f>
        <v>8374</v>
      </c>
      <c r="N11" s="2851"/>
      <c r="O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P11" s="1476">
        <f>GETPIVOTDATA("Savings Rate",'AMMO Savings Rates'!$A$3,"Year",$L11,"Measure Index",$A11,"Savings Rate Type","Savings_Rate_2021PP")</f>
        <v>671</v>
      </c>
      <c r="Q11" s="86" t="s">
        <v>2775</v>
      </c>
      <c r="R11" s="359">
        <f t="shared" si="3"/>
        <v>8.9708268336073066E-2</v>
      </c>
      <c r="S11" s="636">
        <v>0</v>
      </c>
      <c r="T11" s="427">
        <f t="shared" si="4"/>
        <v>8.9708268336073066E-2</v>
      </c>
      <c r="U11" s="294"/>
      <c r="V11" s="294"/>
    </row>
    <row r="12" spans="1:22" ht="12.75" hidden="1" customHeight="1">
      <c r="A12" s="417" t="s">
        <v>66</v>
      </c>
      <c r="B12" s="311" t="str">
        <f t="shared" si="0"/>
        <v>RES_201301</v>
      </c>
      <c r="C12" s="311">
        <v>1</v>
      </c>
      <c r="D12" s="311">
        <v>0</v>
      </c>
      <c r="E12" s="311">
        <f t="shared" si="1"/>
        <v>1</v>
      </c>
      <c r="F12" s="311">
        <v>3</v>
      </c>
      <c r="G12" s="311" t="b">
        <v>1</v>
      </c>
      <c r="H12" s="426" t="str">
        <f t="shared" si="2"/>
        <v>Residential</v>
      </c>
      <c r="I12" s="314" t="s">
        <v>2773</v>
      </c>
      <c r="J12" s="314" t="str">
        <f>INDEX('AMMO Units'!$C:$C,MATCH(Codes!$A12,'AMMO Units'!$E:$E,0))</f>
        <v>OR Code</v>
      </c>
      <c r="K12" s="314" t="str">
        <f>INDEX('AMMO Units'!$D:$D,MATCH(Codes!$A12,'AMMO Units'!$E:$E,0))</f>
        <v>Or. Specialty Code 2023</v>
      </c>
      <c r="L12" s="24">
        <v>2022</v>
      </c>
      <c r="M12" s="322">
        <f>GETPIVOTDATA("Units",'AMMO Units'!$A$3,"Year",$L12,"Measure Index",$A12,"Savings Category","Regional_Market_2021PP")</f>
        <v>0</v>
      </c>
      <c r="N12" s="2851"/>
      <c r="O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v>
      </c>
      <c r="P12" s="1476">
        <f>GETPIVOTDATA("Savings Rate",'AMMO Savings Rates'!$A$3,"Year",$L12,"Measure Index",$A12,"Savings Rate Type","Savings_Rate_2021PP")</f>
        <v>943</v>
      </c>
      <c r="Q12" s="86" t="s">
        <v>2776</v>
      </c>
      <c r="R12" s="318">
        <f t="shared" si="3"/>
        <v>0</v>
      </c>
      <c r="S12" s="319">
        <v>0</v>
      </c>
      <c r="T12" s="427">
        <f t="shared" si="4"/>
        <v>0</v>
      </c>
      <c r="U12" s="294"/>
      <c r="V12" s="294"/>
    </row>
    <row r="13" spans="1:22" s="294" customFormat="1" ht="12.75" hidden="1" customHeight="1">
      <c r="A13" s="417" t="s">
        <v>458</v>
      </c>
      <c r="B13" s="311" t="str">
        <f t="shared" si="0"/>
        <v>RES_201301</v>
      </c>
      <c r="C13" s="311">
        <v>1</v>
      </c>
      <c r="D13" s="311">
        <v>0</v>
      </c>
      <c r="E13" s="311">
        <f t="shared" si="1"/>
        <v>1</v>
      </c>
      <c r="F13" s="311">
        <v>3</v>
      </c>
      <c r="G13" s="311" t="b">
        <v>1</v>
      </c>
      <c r="H13" s="426" t="str">
        <f t="shared" si="2"/>
        <v>Residential</v>
      </c>
      <c r="I13" s="314" t="s">
        <v>2773</v>
      </c>
      <c r="J13" s="314" t="str">
        <f>INDEX('AMMO Units'!$C:$C,MATCH(Codes!$A13,'AMMO Units'!$E:$E,0))</f>
        <v>WA Code</v>
      </c>
      <c r="K13" s="314" t="str">
        <f>INDEX('AMMO Units'!$D:$D,MATCH(Codes!$A13,'AMMO Units'!$E:$E,0))</f>
        <v>WSEC 2021</v>
      </c>
      <c r="L13" s="24">
        <v>2022</v>
      </c>
      <c r="M13" s="322">
        <f>GETPIVOTDATA("Units",'AMMO Units'!$A$3,"Year",$L13,"Measure Index",$A13,"Savings Category","Regional_Market_2021PP")</f>
        <v>0</v>
      </c>
      <c r="N13" s="2851"/>
      <c r="O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v>
      </c>
      <c r="P13" s="1476">
        <f>GETPIVOTDATA("Savings Rate",'AMMO Savings Rates'!$A$3,"Year",$L13,"Measure Index",$A13,"Savings Rate Type","Savings_Rate_2021PP")</f>
        <v>126</v>
      </c>
      <c r="Q13" s="1567" t="s">
        <v>1408</v>
      </c>
      <c r="R13" s="318">
        <f t="shared" si="3"/>
        <v>0</v>
      </c>
      <c r="S13" s="319">
        <v>0</v>
      </c>
      <c r="T13" s="427">
        <f t="shared" si="4"/>
        <v>0</v>
      </c>
    </row>
    <row r="14" spans="1:22" s="294" customFormat="1" ht="12.75" customHeight="1">
      <c r="A14" s="417" t="s">
        <v>62</v>
      </c>
      <c r="B14" s="311" t="str">
        <f t="shared" si="0"/>
        <v>RES_201301</v>
      </c>
      <c r="C14" s="311">
        <v>1</v>
      </c>
      <c r="D14" s="311">
        <v>0</v>
      </c>
      <c r="E14" s="311">
        <f t="shared" si="1"/>
        <v>1</v>
      </c>
      <c r="F14" s="311">
        <v>3</v>
      </c>
      <c r="G14" s="311" t="b">
        <v>1</v>
      </c>
      <c r="H14" s="426" t="str">
        <f t="shared" si="2"/>
        <v>Residential</v>
      </c>
      <c r="I14" s="314" t="s">
        <v>2773</v>
      </c>
      <c r="J14" s="441" t="str">
        <f>INDEX('AMMO Units'!$C:$C,MATCH(Codes!$A14,'AMMO Units'!$E:$E,0))</f>
        <v>ID Code</v>
      </c>
      <c r="K14" s="314" t="str">
        <f>INDEX('AMMO Units'!$D:$D,MATCH(Codes!$A14,'AMMO Units'!$E:$E,0))</f>
        <v>IECC 2018</v>
      </c>
      <c r="L14" s="24">
        <v>2023</v>
      </c>
      <c r="M14" s="322">
        <f>GETPIVOTDATA("Units",'AMMO Units'!$A$3,"Year",$L14,"Measure Index",$A14,"Savings Category","Regional_Market_2021PP")</f>
        <v>17593</v>
      </c>
      <c r="N14" s="2851"/>
      <c r="O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P14" s="1476">
        <v>746.36554108311145</v>
      </c>
      <c r="Q14" s="86" t="s">
        <v>3061</v>
      </c>
      <c r="R14" s="359">
        <f t="shared" si="3"/>
        <v>0.20963726238672029</v>
      </c>
      <c r="S14" s="636">
        <v>0</v>
      </c>
      <c r="T14" s="427">
        <f t="shared" si="4"/>
        <v>0.20963726238672029</v>
      </c>
    </row>
    <row r="15" spans="1:22" s="294" customFormat="1" ht="12.75" customHeight="1">
      <c r="A15" s="417" t="s">
        <v>63</v>
      </c>
      <c r="B15" s="311" t="str">
        <f t="shared" si="0"/>
        <v>RES_201301</v>
      </c>
      <c r="C15" s="311">
        <v>1</v>
      </c>
      <c r="D15" s="311">
        <v>0</v>
      </c>
      <c r="E15" s="311">
        <f t="shared" si="1"/>
        <v>1</v>
      </c>
      <c r="F15" s="311">
        <v>3</v>
      </c>
      <c r="G15" s="311" t="b">
        <v>1</v>
      </c>
      <c r="H15" s="426" t="str">
        <f t="shared" si="2"/>
        <v>Residential</v>
      </c>
      <c r="I15" s="314" t="s">
        <v>2773</v>
      </c>
      <c r="J15" s="441" t="str">
        <f>INDEX('AMMO Units'!$C:$C,MATCH(Codes!$A15,'AMMO Units'!$E:$E,0))</f>
        <v>MT Code</v>
      </c>
      <c r="K15" s="314" t="str">
        <f>INDEX('AMMO Units'!$D:$D,MATCH(Codes!$A15,'AMMO Units'!$E:$E,0))</f>
        <v>IECC 2018</v>
      </c>
      <c r="L15" s="24">
        <v>2023</v>
      </c>
      <c r="M15" s="322">
        <f>GETPIVOTDATA("Units",'AMMO Units'!$A$3,"Year",$L15,"Measure Index",$A15,"Savings Category","Regional_Market_2021PP")</f>
        <v>3078</v>
      </c>
      <c r="N15" s="2851"/>
      <c r="O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P15" s="1476">
        <v>850.39740425965704</v>
      </c>
      <c r="Q15" s="86" t="s">
        <v>3061</v>
      </c>
      <c r="R15" s="359">
        <f t="shared" si="3"/>
        <v>4.1789534943069251E-2</v>
      </c>
      <c r="S15" s="636">
        <v>0</v>
      </c>
      <c r="T15" s="427">
        <f t="shared" si="4"/>
        <v>4.1789534943069251E-2</v>
      </c>
    </row>
    <row r="16" spans="1:22" ht="12.75" hidden="1" customHeight="1">
      <c r="A16" s="417" t="s">
        <v>2305</v>
      </c>
      <c r="B16" s="311" t="str">
        <f t="shared" si="0"/>
        <v>RES_201301</v>
      </c>
      <c r="C16" s="311">
        <v>1</v>
      </c>
      <c r="D16" s="311">
        <v>0</v>
      </c>
      <c r="E16" s="311">
        <f t="shared" si="1"/>
        <v>1</v>
      </c>
      <c r="F16" s="311">
        <v>3</v>
      </c>
      <c r="G16" s="311" t="b">
        <v>1</v>
      </c>
      <c r="H16" s="426" t="str">
        <f t="shared" si="2"/>
        <v>Residential</v>
      </c>
      <c r="I16" s="314" t="s">
        <v>2773</v>
      </c>
      <c r="J16" s="314" t="str">
        <f>INDEX('AMMO Units'!$C:$C,MATCH(Codes!$A16,'AMMO Units'!$E:$E,0))</f>
        <v>ID Code</v>
      </c>
      <c r="K16" s="314" t="str">
        <f>INDEX('AMMO Units'!$D:$D,MATCH(Codes!$A16,'AMMO Units'!$E:$E,0))</f>
        <v>IECC 2021</v>
      </c>
      <c r="L16" s="24">
        <v>2023</v>
      </c>
      <c r="M16" s="322">
        <f>GETPIVOTDATA("Units",'AMMO Units'!$A$3,"Year",$L16,"Measure Index",$A16,"Savings Category","Regional_Market_2021PP")</f>
        <v>0</v>
      </c>
      <c r="N16" s="2851"/>
      <c r="O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P16" s="1476">
        <f>GETPIVOTDATA("Savings Rate",'AMMO Savings Rates'!$A$3,"Year",$L16,"Measure Index",$A16,"Savings Rate Type","Savings_Rate_2021PP")</f>
        <v>504</v>
      </c>
      <c r="Q16" s="86" t="s">
        <v>332</v>
      </c>
      <c r="R16" s="318">
        <f t="shared" si="3"/>
        <v>0</v>
      </c>
      <c r="S16" s="319">
        <v>0</v>
      </c>
      <c r="T16" s="427">
        <f t="shared" si="4"/>
        <v>0</v>
      </c>
      <c r="U16" s="294"/>
      <c r="V16" s="294"/>
    </row>
    <row r="17" spans="1:16382" ht="12.75" hidden="1" customHeight="1">
      <c r="A17" s="417" t="s">
        <v>64</v>
      </c>
      <c r="B17" s="311" t="str">
        <f t="shared" si="0"/>
        <v>RES_201301</v>
      </c>
      <c r="C17" s="311">
        <v>1</v>
      </c>
      <c r="D17" s="311">
        <v>0</v>
      </c>
      <c r="E17" s="311">
        <f t="shared" si="1"/>
        <v>1</v>
      </c>
      <c r="F17" s="311">
        <v>3</v>
      </c>
      <c r="G17" s="311" t="b">
        <v>1</v>
      </c>
      <c r="H17" s="426" t="str">
        <f t="shared" si="2"/>
        <v>Residential</v>
      </c>
      <c r="I17" s="314" t="s">
        <v>2773</v>
      </c>
      <c r="J17" s="314" t="str">
        <f>INDEX('AMMO Units'!$C:$C,MATCH(Codes!$A17,'AMMO Units'!$E:$E,0))</f>
        <v>MT Code</v>
      </c>
      <c r="K17" s="314" t="str">
        <f>INDEX('AMMO Units'!$D:$D,MATCH(Codes!$A17,'AMMO Units'!$E:$E,0))</f>
        <v>IECC 2021</v>
      </c>
      <c r="L17" s="24">
        <v>2023</v>
      </c>
      <c r="M17" s="322">
        <f>GETPIVOTDATA("Units",'AMMO Units'!$A$3,"Year",$L17,"Measure Index",$A17,"Savings Category","Regional_Market_2021PP")</f>
        <v>0</v>
      </c>
      <c r="N17" s="2851"/>
      <c r="O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P17" s="1476">
        <f>GETPIVOTDATA("Savings Rate",'AMMO Savings Rates'!$A$3,"Year",$L17,"Measure Index",$A17,"Savings Rate Type","Savings_Rate_2021PP")</f>
        <v>5</v>
      </c>
      <c r="Q17" s="86" t="s">
        <v>332</v>
      </c>
      <c r="R17" s="318">
        <f t="shared" si="3"/>
        <v>0</v>
      </c>
      <c r="S17" s="319">
        <v>0</v>
      </c>
      <c r="T17" s="427">
        <f t="shared" si="4"/>
        <v>0</v>
      </c>
      <c r="U17" s="294"/>
      <c r="V17" s="294"/>
    </row>
    <row r="18" spans="1:16382" ht="12.75" customHeight="1">
      <c r="A18" s="417" t="s">
        <v>65</v>
      </c>
      <c r="B18" s="311" t="str">
        <f t="shared" si="0"/>
        <v>RES_201301</v>
      </c>
      <c r="C18" s="311">
        <v>1</v>
      </c>
      <c r="D18" s="311">
        <v>0</v>
      </c>
      <c r="E18" s="311">
        <f t="shared" si="1"/>
        <v>1</v>
      </c>
      <c r="F18" s="311">
        <v>3</v>
      </c>
      <c r="G18" s="311" t="b">
        <v>1</v>
      </c>
      <c r="H18" s="426" t="str">
        <f t="shared" si="2"/>
        <v>Residential</v>
      </c>
      <c r="I18" s="314" t="s">
        <v>2773</v>
      </c>
      <c r="J18" s="441" t="str">
        <f>INDEX('AMMO Units'!$C:$C,MATCH(Codes!$A18,'AMMO Units'!$E:$E,0))</f>
        <v>OR Code</v>
      </c>
      <c r="K18" s="314" t="str">
        <f>INDEX('AMMO Units'!$D:$D,MATCH(Codes!$A18,'AMMO Units'!$E:$E,0))</f>
        <v>Or. Specialty Code 2021</v>
      </c>
      <c r="L18" s="24">
        <v>2023</v>
      </c>
      <c r="M18" s="322">
        <f>GETPIVOTDATA("Units",'AMMO Units'!$A$3,"Year",$L18,"Measure Index",$A18,"Savings Category","Regional_Market_2021PP")</f>
        <v>11547</v>
      </c>
      <c r="N18" s="2851"/>
      <c r="O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P18" s="1476">
        <f>GETPIVOTDATA("Savings Rate",'AMMO Savings Rates'!$A$3,"Year",$L18,"Measure Index",$A18,"Savings Rate Type","Savings_Rate_2021PP")</f>
        <v>671</v>
      </c>
      <c r="Q18" s="86" t="s">
        <v>2775</v>
      </c>
      <c r="R18" s="359">
        <f t="shared" si="3"/>
        <v>0.12369971035068494</v>
      </c>
      <c r="S18" s="636">
        <v>0</v>
      </c>
      <c r="T18" s="427">
        <f t="shared" si="4"/>
        <v>0.12369971035068494</v>
      </c>
      <c r="U18" s="294"/>
      <c r="V18" s="294"/>
    </row>
    <row r="19" spans="1:16382" s="416" customFormat="1" ht="12.75" hidden="1" customHeight="1">
      <c r="A19" s="417" t="s">
        <v>66</v>
      </c>
      <c r="B19" s="311" t="str">
        <f t="shared" si="0"/>
        <v>RES_201301</v>
      </c>
      <c r="C19" s="311">
        <v>1</v>
      </c>
      <c r="D19" s="311">
        <v>0</v>
      </c>
      <c r="E19" s="311">
        <f t="shared" si="1"/>
        <v>1</v>
      </c>
      <c r="F19" s="311">
        <v>3</v>
      </c>
      <c r="G19" s="311" t="b">
        <v>1</v>
      </c>
      <c r="H19" s="426" t="str">
        <f t="shared" si="2"/>
        <v>Residential</v>
      </c>
      <c r="I19" s="314" t="s">
        <v>2773</v>
      </c>
      <c r="J19" s="314" t="str">
        <f>INDEX('AMMO Units'!$C:$C,MATCH(Codes!$A19,'AMMO Units'!$E:$E,0))</f>
        <v>OR Code</v>
      </c>
      <c r="K19" s="314" t="str">
        <f>INDEX('AMMO Units'!$D:$D,MATCH(Codes!$A19,'AMMO Units'!$E:$E,0))</f>
        <v>Or. Specialty Code 2023</v>
      </c>
      <c r="L19" s="24">
        <v>2023</v>
      </c>
      <c r="M19" s="322">
        <f>GETPIVOTDATA("Units",'AMMO Units'!$A$3,"Year",$L19,"Measure Index",$A19,"Savings Category","Regional_Market_2021PP")</f>
        <v>0</v>
      </c>
      <c r="N19" s="2851"/>
      <c r="O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v>
      </c>
      <c r="P19" s="1476">
        <f>GETPIVOTDATA("Savings Rate",'AMMO Savings Rates'!$A$3,"Year",$L19,"Measure Index",$A19,"Savings Rate Type","Savings_Rate_2021PP")</f>
        <v>943</v>
      </c>
      <c r="Q19" s="86" t="s">
        <v>2776</v>
      </c>
      <c r="R19" s="318">
        <f t="shared" si="3"/>
        <v>0</v>
      </c>
      <c r="S19" s="319">
        <v>0</v>
      </c>
      <c r="T19" s="427">
        <f t="shared" si="4"/>
        <v>0</v>
      </c>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C19" s="294"/>
      <c r="ED19" s="294"/>
      <c r="EE19" s="294"/>
      <c r="EF19" s="294"/>
      <c r="EG19" s="294"/>
      <c r="EH19" s="294"/>
      <c r="EI19" s="294"/>
      <c r="EJ19" s="294"/>
      <c r="EK19" s="294"/>
      <c r="EL19" s="294"/>
      <c r="EM19" s="294"/>
      <c r="EN19" s="294"/>
      <c r="EO19" s="294"/>
      <c r="EP19" s="294"/>
      <c r="EQ19" s="294"/>
      <c r="ER19" s="294"/>
      <c r="ES19" s="294"/>
      <c r="ET19" s="294"/>
      <c r="EU19" s="294"/>
      <c r="EV19" s="294"/>
      <c r="EW19" s="294"/>
      <c r="EX19" s="294"/>
      <c r="EY19" s="294"/>
      <c r="EZ19" s="294"/>
      <c r="FA19" s="294"/>
      <c r="FB19" s="294"/>
      <c r="FC19" s="294"/>
      <c r="FD19" s="294"/>
      <c r="FE19" s="294"/>
      <c r="FF19" s="294"/>
      <c r="FG19" s="294"/>
      <c r="FH19" s="294"/>
      <c r="FI19" s="294"/>
      <c r="FJ19" s="294"/>
      <c r="FK19" s="294"/>
      <c r="FL19" s="294"/>
      <c r="FM19" s="294"/>
      <c r="FN19" s="294"/>
      <c r="FO19" s="294"/>
      <c r="FP19" s="294"/>
      <c r="FQ19" s="294"/>
      <c r="FR19" s="294"/>
      <c r="FS19" s="294"/>
      <c r="FT19" s="294"/>
      <c r="FU19" s="294"/>
      <c r="FV19" s="294"/>
      <c r="FW19" s="294"/>
      <c r="FX19" s="294"/>
      <c r="FY19" s="294"/>
      <c r="FZ19" s="294"/>
      <c r="GA19" s="294"/>
      <c r="GB19" s="294"/>
      <c r="GC19" s="294"/>
      <c r="GD19" s="294"/>
      <c r="GE19" s="294"/>
      <c r="GF19" s="294"/>
      <c r="GG19" s="294"/>
      <c r="GH19" s="294"/>
      <c r="GI19" s="294"/>
      <c r="GJ19" s="294"/>
      <c r="GK19" s="294"/>
      <c r="GL19" s="294"/>
      <c r="GM19" s="294"/>
      <c r="GN19" s="294"/>
      <c r="GO19" s="294"/>
      <c r="GP19" s="294"/>
      <c r="GQ19" s="294"/>
      <c r="GR19" s="294"/>
      <c r="GS19" s="294"/>
      <c r="GT19" s="294"/>
      <c r="GU19" s="294"/>
      <c r="GV19" s="294"/>
      <c r="GW19" s="294"/>
      <c r="GX19" s="294"/>
      <c r="GY19" s="294"/>
      <c r="GZ19" s="294"/>
      <c r="HA19" s="294"/>
      <c r="HB19" s="294"/>
      <c r="HC19" s="294"/>
      <c r="HD19" s="294"/>
      <c r="HE19" s="294"/>
      <c r="HF19" s="294"/>
      <c r="HG19" s="294"/>
      <c r="HH19" s="294"/>
      <c r="HI19" s="294"/>
      <c r="HJ19" s="294"/>
      <c r="HK19" s="294"/>
      <c r="HL19" s="294"/>
      <c r="HM19" s="294"/>
      <c r="HN19" s="294"/>
      <c r="HO19" s="294"/>
      <c r="HP19" s="294"/>
      <c r="HQ19" s="294"/>
      <c r="HR19" s="294"/>
      <c r="HS19" s="294"/>
      <c r="HT19" s="294"/>
      <c r="HU19" s="294"/>
      <c r="HV19" s="294"/>
      <c r="HW19" s="294"/>
      <c r="HX19" s="294"/>
      <c r="HY19" s="294"/>
      <c r="HZ19" s="294"/>
      <c r="IA19" s="294"/>
      <c r="IB19" s="294"/>
      <c r="IC19" s="294"/>
      <c r="ID19" s="294"/>
      <c r="IE19" s="294"/>
      <c r="IF19" s="294"/>
      <c r="IG19" s="294"/>
      <c r="IH19" s="294"/>
      <c r="II19" s="294"/>
      <c r="IJ19" s="294"/>
      <c r="IK19" s="294"/>
      <c r="IL19" s="294"/>
      <c r="IM19" s="294"/>
      <c r="IN19" s="294"/>
      <c r="IO19" s="294"/>
      <c r="IP19" s="294"/>
      <c r="IQ19" s="294"/>
      <c r="IR19" s="294"/>
      <c r="IS19" s="294"/>
      <c r="IT19" s="294"/>
      <c r="IU19" s="294"/>
      <c r="IV19" s="294"/>
      <c r="IW19" s="294"/>
      <c r="IX19" s="294"/>
      <c r="IY19" s="294"/>
      <c r="IZ19" s="294"/>
      <c r="JA19" s="294"/>
      <c r="JB19" s="294"/>
      <c r="JC19" s="294"/>
      <c r="JD19" s="294"/>
      <c r="JE19" s="294"/>
      <c r="JF19" s="294"/>
      <c r="JG19" s="294"/>
      <c r="JH19" s="294"/>
      <c r="JI19" s="294"/>
      <c r="JJ19" s="294"/>
      <c r="JK19" s="294"/>
      <c r="JL19" s="294"/>
      <c r="JM19" s="294"/>
      <c r="JN19" s="294"/>
      <c r="JO19" s="294"/>
      <c r="JP19" s="294"/>
      <c r="JQ19" s="294"/>
      <c r="JR19" s="294"/>
      <c r="JS19" s="294"/>
      <c r="JT19" s="294"/>
      <c r="JU19" s="294"/>
      <c r="JV19" s="294"/>
      <c r="JW19" s="294"/>
      <c r="JX19" s="294"/>
      <c r="JY19" s="294"/>
      <c r="JZ19" s="294"/>
      <c r="KA19" s="294"/>
      <c r="KB19" s="294"/>
      <c r="KC19" s="294"/>
      <c r="KD19" s="294"/>
      <c r="KE19" s="294"/>
      <c r="KF19" s="294"/>
      <c r="KG19" s="294"/>
      <c r="KH19" s="294"/>
      <c r="KI19" s="294"/>
      <c r="KJ19" s="294"/>
      <c r="KK19" s="294"/>
      <c r="KL19" s="294"/>
      <c r="KM19" s="294"/>
      <c r="KN19" s="294"/>
      <c r="KO19" s="294"/>
      <c r="KP19" s="294"/>
      <c r="KQ19" s="294"/>
      <c r="KR19" s="294"/>
      <c r="KS19" s="294"/>
      <c r="KT19" s="294"/>
      <c r="KU19" s="294"/>
      <c r="KV19" s="294"/>
      <c r="KW19" s="294"/>
      <c r="KX19" s="294"/>
      <c r="KY19" s="294"/>
      <c r="KZ19" s="294"/>
      <c r="LA19" s="294"/>
      <c r="LB19" s="294"/>
      <c r="LC19" s="294"/>
      <c r="LD19" s="294"/>
      <c r="LE19" s="294"/>
      <c r="LF19" s="294"/>
      <c r="LG19" s="294"/>
      <c r="LH19" s="294"/>
      <c r="LI19" s="294"/>
      <c r="LJ19" s="294"/>
      <c r="LK19" s="294"/>
      <c r="LL19" s="294"/>
      <c r="LM19" s="294"/>
      <c r="LN19" s="294"/>
      <c r="LO19" s="294"/>
      <c r="LP19" s="294"/>
      <c r="LQ19" s="294"/>
      <c r="LR19" s="294"/>
      <c r="LS19" s="294"/>
      <c r="LT19" s="294"/>
      <c r="LU19" s="294"/>
      <c r="LV19" s="294"/>
      <c r="LW19" s="294"/>
      <c r="LX19" s="294"/>
      <c r="LY19" s="294"/>
      <c r="LZ19" s="294"/>
      <c r="MA19" s="294"/>
      <c r="MB19" s="294"/>
      <c r="MC19" s="294"/>
      <c r="MD19" s="294"/>
      <c r="ME19" s="294"/>
      <c r="MF19" s="294"/>
      <c r="MG19" s="294"/>
      <c r="MH19" s="294"/>
      <c r="MI19" s="294"/>
      <c r="MJ19" s="294"/>
      <c r="MK19" s="294"/>
      <c r="ML19" s="294"/>
      <c r="MM19" s="294"/>
      <c r="MN19" s="294"/>
      <c r="MO19" s="294"/>
      <c r="MP19" s="294"/>
      <c r="MQ19" s="294"/>
      <c r="MR19" s="294"/>
      <c r="MS19" s="294"/>
      <c r="MT19" s="294"/>
      <c r="MU19" s="294"/>
      <c r="MV19" s="294"/>
      <c r="MW19" s="294"/>
      <c r="MX19" s="294"/>
      <c r="MY19" s="294"/>
      <c r="MZ19" s="294"/>
      <c r="NA19" s="294"/>
      <c r="NB19" s="294"/>
      <c r="NC19" s="294"/>
      <c r="ND19" s="294"/>
      <c r="NE19" s="294"/>
      <c r="NF19" s="294"/>
      <c r="NG19" s="294"/>
      <c r="NH19" s="294"/>
      <c r="NI19" s="294"/>
      <c r="NJ19" s="294"/>
      <c r="NK19" s="294"/>
      <c r="NL19" s="294"/>
      <c r="NM19" s="294"/>
      <c r="NN19" s="294"/>
      <c r="NO19" s="294"/>
      <c r="NP19" s="294"/>
      <c r="NQ19" s="294"/>
      <c r="NR19" s="294"/>
      <c r="NS19" s="294"/>
      <c r="NT19" s="294"/>
      <c r="NU19" s="294"/>
      <c r="NV19" s="294"/>
      <c r="NW19" s="294"/>
      <c r="NX19" s="294"/>
      <c r="NY19" s="294"/>
      <c r="NZ19" s="294"/>
      <c r="OA19" s="294"/>
      <c r="OB19" s="294"/>
      <c r="OC19" s="294"/>
      <c r="OD19" s="294"/>
      <c r="OE19" s="294"/>
      <c r="OF19" s="294"/>
      <c r="OG19" s="294"/>
      <c r="OH19" s="294"/>
      <c r="OI19" s="294"/>
      <c r="OJ19" s="294"/>
      <c r="OK19" s="294"/>
      <c r="OL19" s="294"/>
      <c r="OM19" s="294"/>
      <c r="ON19" s="294"/>
      <c r="OO19" s="294"/>
      <c r="OP19" s="294"/>
      <c r="OQ19" s="294"/>
      <c r="OR19" s="294"/>
      <c r="OS19" s="294"/>
      <c r="OT19" s="294"/>
      <c r="OU19" s="294"/>
      <c r="OV19" s="294"/>
      <c r="OW19" s="294"/>
      <c r="OX19" s="294"/>
      <c r="OY19" s="294"/>
      <c r="OZ19" s="294"/>
      <c r="PA19" s="294"/>
      <c r="PB19" s="294"/>
      <c r="PC19" s="294"/>
      <c r="PD19" s="294"/>
      <c r="PE19" s="294"/>
      <c r="PF19" s="294"/>
      <c r="PG19" s="294"/>
      <c r="PH19" s="294"/>
      <c r="PI19" s="294"/>
      <c r="PJ19" s="294"/>
      <c r="PK19" s="294"/>
      <c r="PL19" s="294"/>
      <c r="PM19" s="294"/>
      <c r="PN19" s="294"/>
      <c r="PO19" s="294"/>
      <c r="PP19" s="294"/>
      <c r="PQ19" s="294"/>
      <c r="PR19" s="294"/>
      <c r="PS19" s="294"/>
      <c r="PT19" s="294"/>
      <c r="PU19" s="294"/>
      <c r="PV19" s="294"/>
      <c r="PW19" s="294"/>
      <c r="PX19" s="294"/>
      <c r="PY19" s="294"/>
      <c r="PZ19" s="294"/>
      <c r="QA19" s="294"/>
      <c r="QB19" s="294"/>
      <c r="QC19" s="294"/>
      <c r="QD19" s="294"/>
      <c r="QE19" s="294"/>
      <c r="QF19" s="294"/>
      <c r="QG19" s="294"/>
      <c r="QH19" s="294"/>
      <c r="QI19" s="294"/>
      <c r="QJ19" s="294"/>
      <c r="QK19" s="294"/>
      <c r="QL19" s="294"/>
      <c r="QM19" s="294"/>
      <c r="QN19" s="294"/>
      <c r="QO19" s="294"/>
      <c r="QP19" s="294"/>
      <c r="QQ19" s="294"/>
      <c r="QR19" s="294"/>
      <c r="QS19" s="294"/>
      <c r="QT19" s="294"/>
      <c r="QU19" s="294"/>
      <c r="QV19" s="294"/>
      <c r="QW19" s="294"/>
      <c r="QX19" s="294"/>
      <c r="QY19" s="294"/>
      <c r="QZ19" s="294"/>
      <c r="RA19" s="294"/>
      <c r="RB19" s="294"/>
      <c r="RC19" s="294"/>
      <c r="RD19" s="294"/>
      <c r="RE19" s="294"/>
      <c r="RF19" s="294"/>
      <c r="RG19" s="294"/>
      <c r="RH19" s="294"/>
      <c r="RI19" s="294"/>
      <c r="RJ19" s="294"/>
      <c r="RK19" s="294"/>
      <c r="RL19" s="294"/>
      <c r="RM19" s="294"/>
      <c r="RN19" s="294"/>
      <c r="RO19" s="294"/>
      <c r="RP19" s="294"/>
      <c r="RQ19" s="294"/>
      <c r="RR19" s="294"/>
      <c r="RS19" s="294"/>
      <c r="RT19" s="294"/>
      <c r="RU19" s="294"/>
      <c r="RV19" s="294"/>
      <c r="RW19" s="294"/>
      <c r="RX19" s="294"/>
      <c r="RY19" s="294"/>
      <c r="RZ19" s="294"/>
      <c r="SA19" s="294"/>
      <c r="SB19" s="294"/>
      <c r="SC19" s="294"/>
      <c r="SD19" s="294"/>
      <c r="SE19" s="294"/>
      <c r="SF19" s="294"/>
      <c r="SG19" s="294"/>
      <c r="SH19" s="294"/>
      <c r="SI19" s="294"/>
      <c r="SJ19" s="294"/>
      <c r="SK19" s="294"/>
      <c r="SL19" s="294"/>
      <c r="SM19" s="294"/>
      <c r="SN19" s="294"/>
      <c r="SO19" s="294"/>
      <c r="SP19" s="294"/>
      <c r="SQ19" s="294"/>
      <c r="SR19" s="294"/>
      <c r="SS19" s="294"/>
      <c r="ST19" s="294"/>
      <c r="SU19" s="294"/>
      <c r="SV19" s="294"/>
      <c r="SW19" s="294"/>
      <c r="SX19" s="294"/>
      <c r="SY19" s="294"/>
      <c r="SZ19" s="294"/>
      <c r="TA19" s="294"/>
      <c r="TB19" s="294"/>
      <c r="TC19" s="294"/>
      <c r="TD19" s="294"/>
      <c r="TE19" s="294"/>
      <c r="TF19" s="294"/>
      <c r="TG19" s="294"/>
      <c r="TH19" s="294"/>
      <c r="TI19" s="294"/>
      <c r="TJ19" s="294"/>
      <c r="TK19" s="294"/>
      <c r="TL19" s="294"/>
      <c r="TM19" s="294"/>
      <c r="TN19" s="294"/>
      <c r="TO19" s="294"/>
      <c r="TP19" s="294"/>
      <c r="TQ19" s="294"/>
      <c r="TR19" s="294"/>
      <c r="TS19" s="294"/>
      <c r="TT19" s="294"/>
      <c r="TU19" s="294"/>
      <c r="TV19" s="294"/>
      <c r="TW19" s="294"/>
      <c r="TX19" s="294"/>
      <c r="TY19" s="294"/>
      <c r="TZ19" s="294"/>
      <c r="UA19" s="294"/>
      <c r="UB19" s="294"/>
      <c r="UC19" s="294"/>
      <c r="UD19" s="294"/>
      <c r="UE19" s="294"/>
      <c r="UF19" s="294"/>
      <c r="UG19" s="294"/>
      <c r="UH19" s="294"/>
      <c r="UI19" s="294"/>
      <c r="UJ19" s="294"/>
      <c r="UK19" s="294"/>
      <c r="UL19" s="294"/>
      <c r="UM19" s="294"/>
      <c r="UN19" s="294"/>
      <c r="UO19" s="294"/>
      <c r="UP19" s="294"/>
      <c r="UQ19" s="294"/>
      <c r="UR19" s="294"/>
      <c r="US19" s="294"/>
      <c r="UT19" s="294"/>
      <c r="UU19" s="294"/>
      <c r="UV19" s="294"/>
      <c r="UW19" s="294"/>
      <c r="UX19" s="294"/>
      <c r="UY19" s="294"/>
      <c r="UZ19" s="294"/>
      <c r="VA19" s="294"/>
      <c r="VB19" s="294"/>
      <c r="VC19" s="294"/>
      <c r="VD19" s="294"/>
      <c r="VE19" s="294"/>
      <c r="VF19" s="294"/>
      <c r="VG19" s="294"/>
      <c r="VH19" s="294"/>
      <c r="VI19" s="294"/>
      <c r="VJ19" s="294"/>
      <c r="VK19" s="294"/>
      <c r="VL19" s="294"/>
      <c r="VM19" s="294"/>
      <c r="VN19" s="294"/>
      <c r="VO19" s="294"/>
      <c r="VP19" s="294"/>
      <c r="VQ19" s="294"/>
      <c r="VR19" s="294"/>
      <c r="VS19" s="294"/>
      <c r="VT19" s="294"/>
      <c r="VU19" s="294"/>
      <c r="VV19" s="294"/>
      <c r="VW19" s="294"/>
      <c r="VX19" s="294"/>
      <c r="VY19" s="294"/>
      <c r="VZ19" s="294"/>
      <c r="WA19" s="294"/>
      <c r="WB19" s="294"/>
      <c r="WC19" s="294"/>
      <c r="WD19" s="294"/>
      <c r="WE19" s="294"/>
      <c r="WF19" s="294"/>
      <c r="WG19" s="294"/>
      <c r="WH19" s="294"/>
      <c r="WI19" s="294"/>
      <c r="WJ19" s="294"/>
      <c r="WK19" s="294"/>
      <c r="WL19" s="294"/>
      <c r="WM19" s="294"/>
      <c r="WN19" s="294"/>
      <c r="WO19" s="294"/>
      <c r="WP19" s="294"/>
      <c r="WQ19" s="294"/>
      <c r="WR19" s="294"/>
      <c r="WS19" s="294"/>
      <c r="WT19" s="294"/>
      <c r="WU19" s="294"/>
      <c r="WV19" s="294"/>
      <c r="WW19" s="294"/>
      <c r="WX19" s="294"/>
      <c r="WY19" s="294"/>
      <c r="WZ19" s="294"/>
      <c r="XA19" s="294"/>
      <c r="XB19" s="294"/>
      <c r="XC19" s="294"/>
      <c r="XD19" s="294"/>
      <c r="XE19" s="294"/>
      <c r="XF19" s="294"/>
      <c r="XG19" s="294"/>
      <c r="XH19" s="294"/>
      <c r="XI19" s="294"/>
      <c r="XJ19" s="294"/>
      <c r="XK19" s="294"/>
      <c r="XL19" s="294"/>
      <c r="XM19" s="294"/>
      <c r="XN19" s="294"/>
      <c r="XO19" s="294"/>
      <c r="XP19" s="294"/>
      <c r="XQ19" s="294"/>
      <c r="XR19" s="294"/>
      <c r="XS19" s="294"/>
      <c r="XT19" s="294"/>
      <c r="XU19" s="294"/>
      <c r="XV19" s="294"/>
      <c r="XW19" s="294"/>
      <c r="XX19" s="294"/>
      <c r="XY19" s="294"/>
      <c r="XZ19" s="294"/>
      <c r="YA19" s="294"/>
      <c r="YB19" s="294"/>
      <c r="YC19" s="294"/>
      <c r="YD19" s="294"/>
      <c r="YE19" s="294"/>
      <c r="YF19" s="294"/>
      <c r="YG19" s="294"/>
      <c r="YH19" s="294"/>
      <c r="YI19" s="294"/>
      <c r="YJ19" s="294"/>
      <c r="YK19" s="294"/>
      <c r="YL19" s="294"/>
      <c r="YM19" s="294"/>
      <c r="YN19" s="294"/>
      <c r="YO19" s="294"/>
      <c r="YP19" s="294"/>
      <c r="YQ19" s="294"/>
      <c r="YR19" s="294"/>
      <c r="YS19" s="294"/>
      <c r="YT19" s="294"/>
      <c r="YU19" s="294"/>
      <c r="YV19" s="294"/>
      <c r="YW19" s="294"/>
      <c r="YX19" s="294"/>
      <c r="YY19" s="294"/>
      <c r="YZ19" s="294"/>
      <c r="ZA19" s="294"/>
      <c r="ZB19" s="294"/>
      <c r="ZC19" s="294"/>
      <c r="ZD19" s="294"/>
      <c r="ZE19" s="294"/>
      <c r="ZF19" s="294"/>
      <c r="ZG19" s="294"/>
      <c r="ZH19" s="294"/>
      <c r="ZI19" s="294"/>
      <c r="ZJ19" s="294"/>
      <c r="ZK19" s="294"/>
      <c r="ZL19" s="294"/>
      <c r="ZM19" s="294"/>
      <c r="ZN19" s="294"/>
      <c r="ZO19" s="294"/>
      <c r="ZP19" s="294"/>
      <c r="ZQ19" s="294"/>
      <c r="ZR19" s="294"/>
      <c r="ZS19" s="294"/>
      <c r="ZT19" s="294"/>
      <c r="ZU19" s="294"/>
      <c r="ZV19" s="294"/>
      <c r="ZW19" s="294"/>
      <c r="ZX19" s="294"/>
      <c r="ZY19" s="294"/>
      <c r="ZZ19" s="294"/>
      <c r="AAA19" s="294"/>
      <c r="AAB19" s="294"/>
      <c r="AAC19" s="294"/>
      <c r="AAD19" s="294"/>
      <c r="AAE19" s="294"/>
      <c r="AAF19" s="294"/>
      <c r="AAG19" s="294"/>
      <c r="AAH19" s="294"/>
      <c r="AAI19" s="294"/>
      <c r="AAJ19" s="294"/>
      <c r="AAK19" s="294"/>
      <c r="AAL19" s="294"/>
      <c r="AAM19" s="294"/>
      <c r="AAN19" s="294"/>
      <c r="AAO19" s="294"/>
      <c r="AAP19" s="294"/>
      <c r="AAQ19" s="294"/>
      <c r="AAR19" s="294"/>
      <c r="AAS19" s="294"/>
      <c r="AAT19" s="294"/>
      <c r="AAU19" s="294"/>
      <c r="AAV19" s="294"/>
      <c r="AAW19" s="294"/>
      <c r="AAX19" s="294"/>
      <c r="AAY19" s="294"/>
      <c r="AAZ19" s="294"/>
      <c r="ABA19" s="294"/>
      <c r="ABB19" s="294"/>
      <c r="ABC19" s="294"/>
      <c r="ABD19" s="294"/>
      <c r="ABE19" s="294"/>
      <c r="ABF19" s="294"/>
      <c r="ABG19" s="294"/>
      <c r="ABH19" s="294"/>
      <c r="ABI19" s="294"/>
      <c r="ABJ19" s="294"/>
      <c r="ABK19" s="294"/>
      <c r="ABL19" s="294"/>
      <c r="ABM19" s="294"/>
      <c r="ABN19" s="294"/>
      <c r="ABO19" s="294"/>
      <c r="ABP19" s="294"/>
      <c r="ABQ19" s="294"/>
      <c r="ABR19" s="294"/>
      <c r="ABS19" s="294"/>
      <c r="ABT19" s="294"/>
      <c r="ABU19" s="294"/>
      <c r="ABV19" s="294"/>
      <c r="ABW19" s="294"/>
      <c r="ABX19" s="294"/>
      <c r="ABY19" s="294"/>
      <c r="ABZ19" s="294"/>
      <c r="ACA19" s="294"/>
      <c r="ACB19" s="294"/>
      <c r="ACC19" s="294"/>
      <c r="ACD19" s="294"/>
      <c r="ACE19" s="294"/>
      <c r="ACF19" s="294"/>
      <c r="ACG19" s="294"/>
      <c r="ACH19" s="294"/>
      <c r="ACI19" s="294"/>
      <c r="ACJ19" s="294"/>
      <c r="ACK19" s="294"/>
      <c r="ACL19" s="294"/>
      <c r="ACM19" s="294"/>
      <c r="ACN19" s="294"/>
      <c r="ACO19" s="294"/>
      <c r="ACP19" s="294"/>
      <c r="ACQ19" s="294"/>
      <c r="ACR19" s="294"/>
      <c r="ACS19" s="294"/>
      <c r="ACT19" s="294"/>
      <c r="ACU19" s="294"/>
      <c r="ACV19" s="294"/>
      <c r="ACW19" s="294"/>
      <c r="ACX19" s="294"/>
      <c r="ACY19" s="294"/>
      <c r="ACZ19" s="294"/>
      <c r="ADA19" s="294"/>
      <c r="ADB19" s="294"/>
      <c r="ADC19" s="294"/>
      <c r="ADD19" s="294"/>
      <c r="ADE19" s="294"/>
      <c r="ADF19" s="294"/>
      <c r="ADG19" s="294"/>
      <c r="ADH19" s="294"/>
      <c r="ADI19" s="294"/>
      <c r="ADJ19" s="294"/>
      <c r="ADK19" s="294"/>
      <c r="ADL19" s="294"/>
      <c r="ADM19" s="294"/>
      <c r="ADN19" s="294"/>
      <c r="ADO19" s="294"/>
      <c r="ADP19" s="294"/>
      <c r="ADQ19" s="294"/>
      <c r="ADR19" s="294"/>
      <c r="ADS19" s="294"/>
      <c r="ADT19" s="294"/>
      <c r="ADU19" s="294"/>
      <c r="ADV19" s="294"/>
      <c r="ADW19" s="294"/>
      <c r="ADX19" s="294"/>
      <c r="ADY19" s="294"/>
      <c r="ADZ19" s="294"/>
      <c r="AEA19" s="294"/>
      <c r="AEB19" s="294"/>
      <c r="AEC19" s="294"/>
      <c r="AED19" s="294"/>
      <c r="AEE19" s="294"/>
      <c r="AEF19" s="294"/>
      <c r="AEG19" s="294"/>
      <c r="AEH19" s="294"/>
      <c r="AEI19" s="294"/>
      <c r="AEJ19" s="294"/>
      <c r="AEK19" s="294"/>
      <c r="AEL19" s="294"/>
      <c r="AEM19" s="294"/>
      <c r="AEN19" s="294"/>
      <c r="AEO19" s="294"/>
      <c r="AEP19" s="294"/>
      <c r="AEQ19" s="294"/>
      <c r="AER19" s="294"/>
      <c r="AES19" s="294"/>
      <c r="AET19" s="294"/>
      <c r="AEU19" s="294"/>
      <c r="AEV19" s="294"/>
      <c r="AEW19" s="294"/>
      <c r="AEX19" s="294"/>
      <c r="AEY19" s="294"/>
      <c r="AEZ19" s="294"/>
      <c r="AFA19" s="294"/>
      <c r="AFB19" s="294"/>
      <c r="AFC19" s="294"/>
      <c r="AFD19" s="294"/>
      <c r="AFE19" s="294"/>
      <c r="AFF19" s="294"/>
      <c r="AFG19" s="294"/>
      <c r="AFH19" s="294"/>
      <c r="AFI19" s="294"/>
      <c r="AFJ19" s="294"/>
      <c r="AFK19" s="294"/>
      <c r="AFL19" s="294"/>
      <c r="AFM19" s="294"/>
      <c r="AFN19" s="294"/>
      <c r="AFO19" s="294"/>
      <c r="AFP19" s="294"/>
      <c r="AFQ19" s="294"/>
      <c r="AFR19" s="294"/>
      <c r="AFS19" s="294"/>
      <c r="AFT19" s="294"/>
      <c r="AFU19" s="294"/>
      <c r="AFV19" s="294"/>
      <c r="AFW19" s="294"/>
      <c r="AFX19" s="294"/>
      <c r="AFY19" s="294"/>
      <c r="AFZ19" s="294"/>
      <c r="AGA19" s="294"/>
      <c r="AGB19" s="294"/>
      <c r="AGC19" s="294"/>
      <c r="AGD19" s="294"/>
      <c r="AGE19" s="294"/>
      <c r="AGF19" s="294"/>
      <c r="AGG19" s="294"/>
      <c r="AGH19" s="294"/>
      <c r="AGI19" s="294"/>
      <c r="AGJ19" s="294"/>
      <c r="AGK19" s="294"/>
      <c r="AGL19" s="294"/>
      <c r="AGM19" s="294"/>
      <c r="AGN19" s="294"/>
      <c r="AGO19" s="294"/>
      <c r="AGP19" s="294"/>
      <c r="AGQ19" s="294"/>
      <c r="AGR19" s="294"/>
      <c r="AGS19" s="294"/>
      <c r="AGT19" s="294"/>
      <c r="AGU19" s="294"/>
      <c r="AGV19" s="294"/>
      <c r="AGW19" s="294"/>
      <c r="AGX19" s="294"/>
      <c r="AGY19" s="294"/>
      <c r="AGZ19" s="294"/>
      <c r="AHA19" s="294"/>
      <c r="AHB19" s="294"/>
      <c r="AHC19" s="294"/>
      <c r="AHD19" s="294"/>
      <c r="AHE19" s="294"/>
      <c r="AHF19" s="294"/>
      <c r="AHG19" s="294"/>
      <c r="AHH19" s="294"/>
      <c r="AHI19" s="294"/>
      <c r="AHJ19" s="294"/>
      <c r="AHK19" s="294"/>
      <c r="AHL19" s="294"/>
      <c r="AHM19" s="294"/>
      <c r="AHN19" s="294"/>
      <c r="AHO19" s="294"/>
      <c r="AHP19" s="294"/>
      <c r="AHQ19" s="294"/>
      <c r="AHR19" s="294"/>
      <c r="AHS19" s="294"/>
      <c r="AHT19" s="294"/>
      <c r="AHU19" s="294"/>
      <c r="AHV19" s="294"/>
      <c r="AHW19" s="294"/>
      <c r="AHX19" s="294"/>
      <c r="AHY19" s="294"/>
      <c r="AHZ19" s="294"/>
      <c r="AIA19" s="294"/>
      <c r="AIB19" s="294"/>
      <c r="AIC19" s="294"/>
      <c r="AID19" s="294"/>
      <c r="AIE19" s="294"/>
      <c r="AIF19" s="294"/>
      <c r="AIG19" s="294"/>
      <c r="AIH19" s="294"/>
      <c r="AII19" s="294"/>
      <c r="AIJ19" s="294"/>
      <c r="AIK19" s="294"/>
      <c r="AIL19" s="294"/>
      <c r="AIM19" s="294"/>
      <c r="AIN19" s="294"/>
      <c r="AIO19" s="294"/>
      <c r="AIP19" s="294"/>
      <c r="AIQ19" s="294"/>
      <c r="AIR19" s="294"/>
      <c r="AIS19" s="294"/>
      <c r="AIT19" s="294"/>
      <c r="AIU19" s="294"/>
      <c r="AIV19" s="294"/>
      <c r="AIW19" s="294"/>
      <c r="AIX19" s="294"/>
      <c r="AIY19" s="294"/>
      <c r="AIZ19" s="294"/>
      <c r="AJA19" s="294"/>
      <c r="AJB19" s="294"/>
      <c r="AJC19" s="294"/>
      <c r="AJD19" s="294"/>
      <c r="AJE19" s="294"/>
      <c r="AJF19" s="294"/>
      <c r="AJG19" s="294"/>
      <c r="AJH19" s="294"/>
      <c r="AJI19" s="294"/>
      <c r="AJJ19" s="294"/>
      <c r="AJK19" s="294"/>
      <c r="AJL19" s="294"/>
      <c r="AJM19" s="294"/>
      <c r="AJN19" s="294"/>
      <c r="AJO19" s="294"/>
      <c r="AJP19" s="294"/>
      <c r="AJQ19" s="294"/>
      <c r="AJR19" s="294"/>
      <c r="AJS19" s="294"/>
      <c r="AJT19" s="294"/>
      <c r="AJU19" s="294"/>
      <c r="AJV19" s="294"/>
      <c r="AJW19" s="294"/>
      <c r="AJX19" s="294"/>
      <c r="AJY19" s="294"/>
      <c r="AJZ19" s="294"/>
      <c r="AKA19" s="294"/>
      <c r="AKB19" s="294"/>
      <c r="AKC19" s="294"/>
      <c r="AKD19" s="294"/>
      <c r="AKE19" s="294"/>
      <c r="AKF19" s="294"/>
      <c r="AKG19" s="294"/>
      <c r="AKH19" s="294"/>
      <c r="AKI19" s="294"/>
      <c r="AKJ19" s="294"/>
      <c r="AKK19" s="294"/>
      <c r="AKL19" s="294"/>
      <c r="AKM19" s="294"/>
      <c r="AKN19" s="294"/>
      <c r="AKO19" s="294"/>
      <c r="AKP19" s="294"/>
      <c r="AKQ19" s="294"/>
      <c r="AKR19" s="294"/>
      <c r="AKS19" s="294"/>
      <c r="AKT19" s="294"/>
      <c r="AKU19" s="294"/>
      <c r="AKV19" s="294"/>
      <c r="AKW19" s="294"/>
      <c r="AKX19" s="294"/>
      <c r="AKY19" s="294"/>
      <c r="AKZ19" s="294"/>
      <c r="ALA19" s="294"/>
      <c r="ALB19" s="294"/>
      <c r="ALC19" s="294"/>
      <c r="ALD19" s="294"/>
      <c r="ALE19" s="294"/>
      <c r="ALF19" s="294"/>
      <c r="ALG19" s="294"/>
      <c r="ALH19" s="294"/>
      <c r="ALI19" s="294"/>
      <c r="ALJ19" s="294"/>
      <c r="ALK19" s="294"/>
      <c r="ALL19" s="294"/>
      <c r="ALM19" s="294"/>
      <c r="ALN19" s="294"/>
      <c r="ALO19" s="294"/>
      <c r="ALP19" s="294"/>
      <c r="ALQ19" s="294"/>
      <c r="ALR19" s="294"/>
      <c r="ALS19" s="294"/>
      <c r="ALT19" s="294"/>
      <c r="ALU19" s="294"/>
      <c r="ALV19" s="294"/>
      <c r="ALW19" s="294"/>
      <c r="ALX19" s="294"/>
      <c r="ALY19" s="294"/>
      <c r="ALZ19" s="294"/>
      <c r="AMA19" s="294"/>
      <c r="AMB19" s="294"/>
      <c r="AMC19" s="294"/>
      <c r="AMD19" s="294"/>
      <c r="AME19" s="294"/>
      <c r="AMF19" s="294"/>
      <c r="AMG19" s="294"/>
      <c r="AMH19" s="294"/>
      <c r="AMI19" s="294"/>
      <c r="AMJ19" s="294"/>
      <c r="AMK19" s="294"/>
      <c r="AML19" s="294"/>
      <c r="AMM19" s="294"/>
      <c r="AMN19" s="294"/>
      <c r="AMO19" s="294"/>
      <c r="AMP19" s="294"/>
      <c r="AMQ19" s="294"/>
      <c r="AMR19" s="294"/>
      <c r="AMS19" s="294"/>
      <c r="AMT19" s="294"/>
      <c r="AMU19" s="294"/>
      <c r="AMV19" s="294"/>
      <c r="AMW19" s="294"/>
      <c r="AMX19" s="294"/>
      <c r="AMY19" s="294"/>
      <c r="AMZ19" s="294"/>
      <c r="ANA19" s="294"/>
      <c r="ANB19" s="294"/>
      <c r="ANC19" s="294"/>
      <c r="AND19" s="294"/>
      <c r="ANE19" s="294"/>
      <c r="ANF19" s="294"/>
      <c r="ANG19" s="294"/>
      <c r="ANH19" s="294"/>
      <c r="ANI19" s="294"/>
      <c r="ANJ19" s="294"/>
      <c r="ANK19" s="294"/>
      <c r="ANL19" s="294"/>
      <c r="ANM19" s="294"/>
      <c r="ANN19" s="294"/>
      <c r="ANO19" s="294"/>
      <c r="ANP19" s="294"/>
      <c r="ANQ19" s="294"/>
      <c r="ANR19" s="294"/>
      <c r="ANS19" s="294"/>
      <c r="ANT19" s="294"/>
      <c r="ANU19" s="294"/>
      <c r="ANV19" s="294"/>
      <c r="ANW19" s="294"/>
      <c r="ANX19" s="294"/>
      <c r="ANY19" s="294"/>
      <c r="ANZ19" s="294"/>
      <c r="AOA19" s="294"/>
      <c r="AOB19" s="294"/>
      <c r="AOC19" s="294"/>
      <c r="AOD19" s="294"/>
      <c r="AOE19" s="294"/>
      <c r="AOF19" s="294"/>
      <c r="AOG19" s="294"/>
      <c r="AOH19" s="294"/>
      <c r="AOI19" s="294"/>
      <c r="AOJ19" s="294"/>
      <c r="AOK19" s="294"/>
      <c r="AOL19" s="294"/>
      <c r="AOM19" s="294"/>
      <c r="AON19" s="294"/>
      <c r="AOO19" s="294"/>
      <c r="AOP19" s="294"/>
      <c r="AOQ19" s="294"/>
      <c r="AOR19" s="294"/>
      <c r="AOS19" s="294"/>
      <c r="AOT19" s="294"/>
      <c r="AOU19" s="294"/>
      <c r="AOV19" s="294"/>
      <c r="AOW19" s="294"/>
      <c r="AOX19" s="294"/>
      <c r="AOY19" s="294"/>
      <c r="AOZ19" s="294"/>
      <c r="APA19" s="294"/>
      <c r="APB19" s="294"/>
      <c r="APC19" s="294"/>
      <c r="APD19" s="294"/>
      <c r="APE19" s="294"/>
      <c r="APF19" s="294"/>
      <c r="APG19" s="294"/>
      <c r="APH19" s="294"/>
      <c r="API19" s="294"/>
      <c r="APJ19" s="294"/>
      <c r="APK19" s="294"/>
      <c r="APL19" s="294"/>
      <c r="APM19" s="294"/>
      <c r="APN19" s="294"/>
      <c r="APO19" s="294"/>
      <c r="APP19" s="294"/>
      <c r="APQ19" s="294"/>
      <c r="APR19" s="294"/>
      <c r="APS19" s="294"/>
      <c r="APT19" s="294"/>
      <c r="APU19" s="294"/>
      <c r="APV19" s="294"/>
      <c r="APW19" s="294"/>
      <c r="APX19" s="294"/>
      <c r="APY19" s="294"/>
      <c r="APZ19" s="294"/>
      <c r="AQA19" s="294"/>
      <c r="AQB19" s="294"/>
      <c r="AQC19" s="294"/>
      <c r="AQD19" s="294"/>
      <c r="AQE19" s="294"/>
      <c r="AQF19" s="294"/>
      <c r="AQG19" s="294"/>
      <c r="AQH19" s="294"/>
      <c r="AQI19" s="294"/>
      <c r="AQJ19" s="294"/>
      <c r="AQK19" s="294"/>
      <c r="AQL19" s="294"/>
      <c r="AQM19" s="294"/>
      <c r="AQN19" s="294"/>
      <c r="AQO19" s="294"/>
      <c r="AQP19" s="294"/>
      <c r="AQQ19" s="294"/>
      <c r="AQR19" s="294"/>
      <c r="AQS19" s="294"/>
      <c r="AQT19" s="294"/>
      <c r="AQU19" s="294"/>
      <c r="AQV19" s="294"/>
      <c r="AQW19" s="294"/>
      <c r="AQX19" s="294"/>
      <c r="AQY19" s="294"/>
      <c r="AQZ19" s="294"/>
      <c r="ARA19" s="294"/>
      <c r="ARB19" s="294"/>
      <c r="ARC19" s="294"/>
      <c r="ARD19" s="294"/>
      <c r="ARE19" s="294"/>
      <c r="ARF19" s="294"/>
      <c r="ARG19" s="294"/>
      <c r="ARH19" s="294"/>
      <c r="ARI19" s="294"/>
      <c r="ARJ19" s="294"/>
      <c r="ARK19" s="294"/>
      <c r="ARL19" s="294"/>
      <c r="ARM19" s="294"/>
      <c r="ARN19" s="294"/>
      <c r="ARO19" s="294"/>
      <c r="ARP19" s="294"/>
      <c r="ARQ19" s="294"/>
      <c r="ARR19" s="294"/>
      <c r="ARS19" s="294"/>
      <c r="ART19" s="294"/>
      <c r="ARU19" s="294"/>
      <c r="ARV19" s="294"/>
      <c r="ARW19" s="294"/>
      <c r="ARX19" s="294"/>
      <c r="ARY19" s="294"/>
      <c r="ARZ19" s="294"/>
      <c r="ASA19" s="294"/>
      <c r="ASB19" s="294"/>
      <c r="ASC19" s="294"/>
      <c r="ASD19" s="294"/>
      <c r="ASE19" s="294"/>
      <c r="ASF19" s="294"/>
      <c r="ASG19" s="294"/>
      <c r="ASH19" s="294"/>
      <c r="ASI19" s="294"/>
      <c r="ASJ19" s="294"/>
      <c r="ASK19" s="294"/>
      <c r="ASL19" s="294"/>
      <c r="ASM19" s="294"/>
      <c r="ASN19" s="294"/>
      <c r="ASO19" s="294"/>
      <c r="ASP19" s="294"/>
      <c r="ASQ19" s="294"/>
      <c r="ASR19" s="294"/>
      <c r="ASS19" s="294"/>
      <c r="AST19" s="294"/>
      <c r="ASU19" s="294"/>
      <c r="ASV19" s="294"/>
      <c r="ASW19" s="294"/>
      <c r="ASX19" s="294"/>
      <c r="ASY19" s="294"/>
      <c r="ASZ19" s="294"/>
      <c r="ATA19" s="294"/>
      <c r="ATB19" s="294"/>
      <c r="ATC19" s="294"/>
      <c r="ATD19" s="294"/>
      <c r="ATE19" s="294"/>
      <c r="ATF19" s="294"/>
      <c r="ATG19" s="294"/>
      <c r="ATH19" s="294"/>
      <c r="ATI19" s="294"/>
      <c r="ATJ19" s="294"/>
      <c r="ATK19" s="294"/>
      <c r="ATL19" s="294"/>
      <c r="ATM19" s="294"/>
      <c r="ATN19" s="294"/>
      <c r="ATO19" s="294"/>
      <c r="ATP19" s="294"/>
      <c r="ATQ19" s="294"/>
      <c r="ATR19" s="294"/>
      <c r="ATS19" s="294"/>
      <c r="ATT19" s="294"/>
      <c r="ATU19" s="294"/>
      <c r="ATV19" s="294"/>
      <c r="ATW19" s="294"/>
      <c r="ATX19" s="294"/>
      <c r="ATY19" s="294"/>
      <c r="ATZ19" s="294"/>
      <c r="AUA19" s="294"/>
      <c r="AUB19" s="294"/>
      <c r="AUC19" s="294"/>
      <c r="AUD19" s="294"/>
      <c r="AUE19" s="294"/>
      <c r="AUF19" s="294"/>
      <c r="AUG19" s="294"/>
      <c r="AUH19" s="294"/>
      <c r="AUI19" s="294"/>
      <c r="AUJ19" s="294"/>
      <c r="AUK19" s="294"/>
      <c r="AUL19" s="294"/>
      <c r="AUM19" s="294"/>
      <c r="AUN19" s="294"/>
      <c r="AUO19" s="294"/>
      <c r="AUP19" s="294"/>
      <c r="AUQ19" s="294"/>
      <c r="AUR19" s="294"/>
      <c r="AUS19" s="294"/>
      <c r="AUT19" s="294"/>
      <c r="AUU19" s="294"/>
      <c r="AUV19" s="294"/>
      <c r="AUW19" s="294"/>
      <c r="AUX19" s="294"/>
      <c r="AUY19" s="294"/>
      <c r="AUZ19" s="294"/>
      <c r="AVA19" s="294"/>
      <c r="AVB19" s="294"/>
      <c r="AVC19" s="294"/>
      <c r="AVD19" s="294"/>
      <c r="AVE19" s="294"/>
      <c r="AVF19" s="294"/>
      <c r="AVG19" s="294"/>
      <c r="AVH19" s="294"/>
      <c r="AVI19" s="294"/>
      <c r="AVJ19" s="294"/>
      <c r="AVK19" s="294"/>
      <c r="AVL19" s="294"/>
      <c r="AVM19" s="294"/>
      <c r="AVN19" s="294"/>
      <c r="AVO19" s="294"/>
      <c r="AVP19" s="294"/>
      <c r="AVQ19" s="294"/>
      <c r="AVR19" s="294"/>
      <c r="AVS19" s="294"/>
      <c r="AVT19" s="294"/>
      <c r="AVU19" s="294"/>
      <c r="AVV19" s="294"/>
      <c r="AVW19" s="294"/>
      <c r="AVX19" s="294"/>
      <c r="AVY19" s="294"/>
      <c r="AVZ19" s="294"/>
      <c r="AWA19" s="294"/>
      <c r="AWB19" s="294"/>
      <c r="AWC19" s="294"/>
      <c r="AWD19" s="294"/>
      <c r="AWE19" s="294"/>
      <c r="AWF19" s="294"/>
      <c r="AWG19" s="294"/>
      <c r="AWH19" s="294"/>
      <c r="AWI19" s="294"/>
      <c r="AWJ19" s="294"/>
      <c r="AWK19" s="294"/>
      <c r="AWL19" s="294"/>
      <c r="AWM19" s="294"/>
      <c r="AWN19" s="294"/>
      <c r="AWO19" s="294"/>
      <c r="AWP19" s="294"/>
      <c r="AWQ19" s="294"/>
      <c r="AWR19" s="294"/>
      <c r="AWS19" s="294"/>
      <c r="AWT19" s="294"/>
      <c r="AWU19" s="294"/>
      <c r="AWV19" s="294"/>
      <c r="AWW19" s="294"/>
      <c r="AWX19" s="294"/>
      <c r="AWY19" s="294"/>
      <c r="AWZ19" s="294"/>
      <c r="AXA19" s="294"/>
      <c r="AXB19" s="294"/>
      <c r="AXC19" s="294"/>
      <c r="AXD19" s="294"/>
      <c r="AXE19" s="294"/>
      <c r="AXF19" s="294"/>
      <c r="AXG19" s="294"/>
      <c r="AXH19" s="294"/>
      <c r="AXI19" s="294"/>
      <c r="AXJ19" s="294"/>
      <c r="AXK19" s="294"/>
      <c r="AXL19" s="294"/>
      <c r="AXM19" s="294"/>
      <c r="AXN19" s="294"/>
      <c r="AXO19" s="294"/>
      <c r="AXP19" s="294"/>
      <c r="AXQ19" s="294"/>
      <c r="AXR19" s="294"/>
      <c r="AXS19" s="294"/>
      <c r="AXT19" s="294"/>
      <c r="AXU19" s="294"/>
      <c r="AXV19" s="294"/>
      <c r="AXW19" s="294"/>
      <c r="AXX19" s="294"/>
      <c r="AXY19" s="294"/>
      <c r="AXZ19" s="294"/>
      <c r="AYA19" s="294"/>
      <c r="AYB19" s="294"/>
      <c r="AYC19" s="294"/>
      <c r="AYD19" s="294"/>
      <c r="AYE19" s="294"/>
      <c r="AYF19" s="294"/>
      <c r="AYG19" s="294"/>
      <c r="AYH19" s="294"/>
      <c r="AYI19" s="294"/>
      <c r="AYJ19" s="294"/>
      <c r="AYK19" s="294"/>
      <c r="AYL19" s="294"/>
      <c r="AYM19" s="294"/>
      <c r="AYN19" s="294"/>
      <c r="AYO19" s="294"/>
      <c r="AYP19" s="294"/>
      <c r="AYQ19" s="294"/>
      <c r="AYR19" s="294"/>
      <c r="AYS19" s="294"/>
      <c r="AYT19" s="294"/>
      <c r="AYU19" s="294"/>
      <c r="AYV19" s="294"/>
      <c r="AYW19" s="294"/>
      <c r="AYX19" s="294"/>
      <c r="AYY19" s="294"/>
      <c r="AYZ19" s="294"/>
      <c r="AZA19" s="294"/>
      <c r="AZB19" s="294"/>
      <c r="AZC19" s="294"/>
      <c r="AZD19" s="294"/>
      <c r="AZE19" s="294"/>
      <c r="AZF19" s="294"/>
      <c r="AZG19" s="294"/>
      <c r="AZH19" s="294"/>
      <c r="AZI19" s="294"/>
      <c r="AZJ19" s="294"/>
      <c r="AZK19" s="294"/>
      <c r="AZL19" s="294"/>
      <c r="AZM19" s="294"/>
      <c r="AZN19" s="294"/>
      <c r="AZO19" s="294"/>
      <c r="AZP19" s="294"/>
      <c r="AZQ19" s="294"/>
      <c r="AZR19" s="294"/>
      <c r="AZS19" s="294"/>
      <c r="AZT19" s="294"/>
      <c r="AZU19" s="294"/>
      <c r="AZV19" s="294"/>
      <c r="AZW19" s="294"/>
      <c r="AZX19" s="294"/>
      <c r="AZY19" s="294"/>
      <c r="AZZ19" s="294"/>
      <c r="BAA19" s="294"/>
      <c r="BAB19" s="294"/>
      <c r="BAC19" s="294"/>
      <c r="BAD19" s="294"/>
      <c r="BAE19" s="294"/>
      <c r="BAF19" s="294"/>
      <c r="BAG19" s="294"/>
      <c r="BAH19" s="294"/>
      <c r="BAI19" s="294"/>
      <c r="BAJ19" s="294"/>
      <c r="BAK19" s="294"/>
      <c r="BAL19" s="294"/>
      <c r="BAM19" s="294"/>
      <c r="BAN19" s="294"/>
      <c r="BAO19" s="294"/>
      <c r="BAP19" s="294"/>
      <c r="BAQ19" s="294"/>
      <c r="BAR19" s="294"/>
      <c r="BAS19" s="294"/>
      <c r="BAT19" s="294"/>
      <c r="BAU19" s="294"/>
      <c r="BAV19" s="294"/>
      <c r="BAW19" s="294"/>
      <c r="BAX19" s="294"/>
      <c r="BAY19" s="294"/>
      <c r="BAZ19" s="294"/>
      <c r="BBA19" s="294"/>
      <c r="BBB19" s="294"/>
      <c r="BBC19" s="294"/>
      <c r="BBD19" s="294"/>
      <c r="BBE19" s="294"/>
      <c r="BBF19" s="294"/>
      <c r="BBG19" s="294"/>
      <c r="BBH19" s="294"/>
      <c r="BBI19" s="294"/>
      <c r="BBJ19" s="294"/>
      <c r="BBK19" s="294"/>
      <c r="BBL19" s="294"/>
      <c r="BBM19" s="294"/>
      <c r="BBN19" s="294"/>
      <c r="BBO19" s="294"/>
      <c r="BBP19" s="294"/>
      <c r="BBQ19" s="294"/>
      <c r="BBR19" s="294"/>
      <c r="BBS19" s="294"/>
      <c r="BBT19" s="294"/>
      <c r="BBU19" s="294"/>
      <c r="BBV19" s="294"/>
      <c r="BBW19" s="294"/>
      <c r="BBX19" s="294"/>
      <c r="BBY19" s="294"/>
      <c r="BBZ19" s="294"/>
      <c r="BCA19" s="294"/>
      <c r="BCB19" s="294"/>
      <c r="BCC19" s="294"/>
      <c r="BCD19" s="294"/>
      <c r="BCE19" s="294"/>
      <c r="BCF19" s="294"/>
      <c r="BCG19" s="294"/>
      <c r="BCH19" s="294"/>
      <c r="BCI19" s="294"/>
      <c r="BCJ19" s="294"/>
      <c r="BCK19" s="294"/>
      <c r="BCL19" s="294"/>
      <c r="BCM19" s="294"/>
      <c r="BCN19" s="294"/>
      <c r="BCO19" s="294"/>
      <c r="BCP19" s="294"/>
      <c r="BCQ19" s="294"/>
      <c r="BCR19" s="294"/>
      <c r="BCS19" s="294"/>
      <c r="BCT19" s="294"/>
      <c r="BCU19" s="294"/>
      <c r="BCV19" s="294"/>
      <c r="BCW19" s="294"/>
      <c r="BCX19" s="294"/>
      <c r="BCY19" s="294"/>
      <c r="BCZ19" s="294"/>
      <c r="BDA19" s="294"/>
      <c r="BDB19" s="294"/>
      <c r="BDC19" s="294"/>
      <c r="BDD19" s="294"/>
      <c r="BDE19" s="294"/>
      <c r="BDF19" s="294"/>
      <c r="BDG19" s="294"/>
      <c r="BDH19" s="294"/>
      <c r="BDI19" s="294"/>
      <c r="BDJ19" s="294"/>
      <c r="BDK19" s="294"/>
      <c r="BDL19" s="294"/>
      <c r="BDM19" s="294"/>
      <c r="BDN19" s="294"/>
      <c r="BDO19" s="294"/>
      <c r="BDP19" s="294"/>
      <c r="BDQ19" s="294"/>
      <c r="BDR19" s="294"/>
      <c r="BDS19" s="294"/>
      <c r="BDT19" s="294"/>
      <c r="BDU19" s="294"/>
      <c r="BDV19" s="294"/>
      <c r="BDW19" s="294"/>
      <c r="BDX19" s="294"/>
      <c r="BDY19" s="294"/>
      <c r="BDZ19" s="294"/>
      <c r="BEA19" s="294"/>
      <c r="BEB19" s="294"/>
      <c r="BEC19" s="294"/>
      <c r="BED19" s="294"/>
      <c r="BEE19" s="294"/>
      <c r="BEF19" s="294"/>
      <c r="BEG19" s="294"/>
      <c r="BEH19" s="294"/>
      <c r="BEI19" s="294"/>
      <c r="BEJ19" s="294"/>
      <c r="BEK19" s="294"/>
      <c r="BEL19" s="294"/>
      <c r="BEM19" s="294"/>
      <c r="BEN19" s="294"/>
      <c r="BEO19" s="294"/>
      <c r="BEP19" s="294"/>
      <c r="BEQ19" s="294"/>
      <c r="BER19" s="294"/>
      <c r="BES19" s="294"/>
      <c r="BET19" s="294"/>
      <c r="BEU19" s="294"/>
      <c r="BEV19" s="294"/>
      <c r="BEW19" s="294"/>
      <c r="BEX19" s="294"/>
      <c r="BEY19" s="294"/>
      <c r="BEZ19" s="294"/>
      <c r="BFA19" s="294"/>
      <c r="BFB19" s="294"/>
      <c r="BFC19" s="294"/>
      <c r="BFD19" s="294"/>
      <c r="BFE19" s="294"/>
      <c r="BFF19" s="294"/>
      <c r="BFG19" s="294"/>
      <c r="BFH19" s="294"/>
      <c r="BFI19" s="294"/>
      <c r="BFJ19" s="294"/>
      <c r="BFK19" s="294"/>
      <c r="BFL19" s="294"/>
      <c r="BFM19" s="294"/>
      <c r="BFN19" s="294"/>
      <c r="BFO19" s="294"/>
      <c r="BFP19" s="294"/>
      <c r="BFQ19" s="294"/>
      <c r="BFR19" s="294"/>
      <c r="BFS19" s="294"/>
      <c r="BFT19" s="294"/>
      <c r="BFU19" s="294"/>
      <c r="BFV19" s="294"/>
      <c r="BFW19" s="294"/>
      <c r="BFX19" s="294"/>
      <c r="BFY19" s="294"/>
      <c r="BFZ19" s="294"/>
      <c r="BGA19" s="294"/>
      <c r="BGB19" s="294"/>
      <c r="BGC19" s="294"/>
      <c r="BGD19" s="294"/>
      <c r="BGE19" s="294"/>
      <c r="BGF19" s="294"/>
      <c r="BGG19" s="294"/>
      <c r="BGH19" s="294"/>
      <c r="BGI19" s="294"/>
      <c r="BGJ19" s="294"/>
      <c r="BGK19" s="294"/>
      <c r="BGL19" s="294"/>
      <c r="BGM19" s="294"/>
      <c r="BGN19" s="294"/>
      <c r="BGO19" s="294"/>
      <c r="BGP19" s="294"/>
      <c r="BGQ19" s="294"/>
      <c r="BGR19" s="294"/>
      <c r="BGS19" s="294"/>
      <c r="BGT19" s="294"/>
      <c r="BGU19" s="294"/>
      <c r="BGV19" s="294"/>
      <c r="BGW19" s="294"/>
      <c r="BGX19" s="294"/>
      <c r="BGY19" s="294"/>
      <c r="BGZ19" s="294"/>
      <c r="BHA19" s="294"/>
      <c r="BHB19" s="294"/>
      <c r="BHC19" s="294"/>
      <c r="BHD19" s="294"/>
      <c r="BHE19" s="294"/>
      <c r="BHF19" s="294"/>
      <c r="BHG19" s="294"/>
      <c r="BHH19" s="294"/>
      <c r="BHI19" s="294"/>
      <c r="BHJ19" s="294"/>
      <c r="BHK19" s="294"/>
      <c r="BHL19" s="294"/>
      <c r="BHM19" s="294"/>
      <c r="BHN19" s="294"/>
      <c r="BHO19" s="294"/>
      <c r="BHP19" s="294"/>
      <c r="BHQ19" s="294"/>
      <c r="BHR19" s="294"/>
      <c r="BHS19" s="294"/>
      <c r="BHT19" s="294"/>
      <c r="BHU19" s="294"/>
      <c r="BHV19" s="294"/>
      <c r="BHW19" s="294"/>
      <c r="BHX19" s="294"/>
      <c r="BHY19" s="294"/>
      <c r="BHZ19" s="294"/>
      <c r="BIA19" s="294"/>
      <c r="BIB19" s="294"/>
      <c r="BIC19" s="294"/>
      <c r="BID19" s="294"/>
      <c r="BIE19" s="294"/>
      <c r="BIF19" s="294"/>
      <c r="BIG19" s="294"/>
      <c r="BIH19" s="294"/>
      <c r="BII19" s="294"/>
      <c r="BIJ19" s="294"/>
      <c r="BIK19" s="294"/>
      <c r="BIL19" s="294"/>
      <c r="BIM19" s="294"/>
      <c r="BIN19" s="294"/>
      <c r="BIO19" s="294"/>
      <c r="BIP19" s="294"/>
      <c r="BIQ19" s="294"/>
      <c r="BIR19" s="294"/>
      <c r="BIS19" s="294"/>
      <c r="BIT19" s="294"/>
      <c r="BIU19" s="294"/>
      <c r="BIV19" s="294"/>
      <c r="BIW19" s="294"/>
      <c r="BIX19" s="294"/>
      <c r="BIY19" s="294"/>
      <c r="BIZ19" s="294"/>
      <c r="BJA19" s="294"/>
      <c r="BJB19" s="294"/>
      <c r="BJC19" s="294"/>
      <c r="BJD19" s="294"/>
      <c r="BJE19" s="294"/>
      <c r="BJF19" s="294"/>
      <c r="BJG19" s="294"/>
      <c r="BJH19" s="294"/>
      <c r="BJI19" s="294"/>
      <c r="BJJ19" s="294"/>
      <c r="BJK19" s="294"/>
      <c r="BJL19" s="294"/>
      <c r="BJM19" s="294"/>
      <c r="BJN19" s="294"/>
      <c r="BJO19" s="294"/>
      <c r="BJP19" s="294"/>
      <c r="BJQ19" s="294"/>
      <c r="BJR19" s="294"/>
      <c r="BJS19" s="294"/>
      <c r="BJT19" s="294"/>
      <c r="BJU19" s="294"/>
      <c r="BJV19" s="294"/>
      <c r="BJW19" s="294"/>
      <c r="BJX19" s="294"/>
      <c r="BJY19" s="294"/>
      <c r="BJZ19" s="294"/>
      <c r="BKA19" s="294"/>
      <c r="BKB19" s="294"/>
      <c r="BKC19" s="294"/>
      <c r="BKD19" s="294"/>
      <c r="BKE19" s="294"/>
      <c r="BKF19" s="294"/>
      <c r="BKG19" s="294"/>
      <c r="BKH19" s="294"/>
      <c r="BKI19" s="294"/>
      <c r="BKJ19" s="294"/>
      <c r="BKK19" s="294"/>
      <c r="BKL19" s="294"/>
      <c r="BKM19" s="294"/>
      <c r="BKN19" s="294"/>
      <c r="BKO19" s="294"/>
      <c r="BKP19" s="294"/>
      <c r="BKQ19" s="294"/>
      <c r="BKR19" s="294"/>
      <c r="BKS19" s="294"/>
      <c r="BKT19" s="294"/>
      <c r="BKU19" s="294"/>
      <c r="BKV19" s="294"/>
      <c r="BKW19" s="294"/>
      <c r="BKX19" s="294"/>
      <c r="BKY19" s="294"/>
      <c r="BKZ19" s="294"/>
      <c r="BLA19" s="294"/>
      <c r="BLB19" s="294"/>
      <c r="BLC19" s="294"/>
      <c r="BLD19" s="294"/>
      <c r="BLE19" s="294"/>
      <c r="BLF19" s="294"/>
      <c r="BLG19" s="294"/>
      <c r="BLH19" s="294"/>
      <c r="BLI19" s="294"/>
      <c r="BLJ19" s="294"/>
      <c r="BLK19" s="294"/>
      <c r="BLL19" s="294"/>
      <c r="BLM19" s="294"/>
      <c r="BLN19" s="294"/>
      <c r="BLO19" s="294"/>
      <c r="BLP19" s="294"/>
      <c r="BLQ19" s="294"/>
      <c r="BLR19" s="294"/>
      <c r="BLS19" s="294"/>
      <c r="BLT19" s="294"/>
      <c r="BLU19" s="294"/>
      <c r="BLV19" s="294"/>
      <c r="BLW19" s="294"/>
      <c r="BLX19" s="294"/>
      <c r="BLY19" s="294"/>
      <c r="BLZ19" s="294"/>
      <c r="BMA19" s="294"/>
      <c r="BMB19" s="294"/>
      <c r="BMC19" s="294"/>
      <c r="BMD19" s="294"/>
      <c r="BME19" s="294"/>
      <c r="BMF19" s="294"/>
      <c r="BMG19" s="294"/>
      <c r="BMH19" s="294"/>
      <c r="BMI19" s="294"/>
      <c r="BMJ19" s="294"/>
      <c r="BMK19" s="294"/>
      <c r="BML19" s="294"/>
      <c r="BMM19" s="294"/>
      <c r="BMN19" s="294"/>
      <c r="BMO19" s="294"/>
      <c r="BMP19" s="294"/>
      <c r="BMQ19" s="294"/>
      <c r="BMR19" s="294"/>
      <c r="BMS19" s="294"/>
      <c r="BMT19" s="294"/>
      <c r="BMU19" s="294"/>
      <c r="BMV19" s="294"/>
      <c r="BMW19" s="294"/>
      <c r="BMX19" s="294"/>
      <c r="BMY19" s="294"/>
      <c r="BMZ19" s="294"/>
      <c r="BNA19" s="294"/>
      <c r="BNB19" s="294"/>
      <c r="BNC19" s="294"/>
      <c r="BND19" s="294"/>
      <c r="BNE19" s="294"/>
      <c r="BNF19" s="294"/>
      <c r="BNG19" s="294"/>
      <c r="BNH19" s="294"/>
      <c r="BNI19" s="294"/>
      <c r="BNJ19" s="294"/>
      <c r="BNK19" s="294"/>
      <c r="BNL19" s="294"/>
      <c r="BNM19" s="294"/>
      <c r="BNN19" s="294"/>
      <c r="BNO19" s="294"/>
      <c r="BNP19" s="294"/>
      <c r="BNQ19" s="294"/>
      <c r="BNR19" s="294"/>
      <c r="BNS19" s="294"/>
      <c r="BNT19" s="294"/>
      <c r="BNU19" s="294"/>
      <c r="BNV19" s="294"/>
      <c r="BNW19" s="294"/>
      <c r="BNX19" s="294"/>
      <c r="BNY19" s="294"/>
      <c r="BNZ19" s="294"/>
      <c r="BOA19" s="294"/>
      <c r="BOB19" s="294"/>
      <c r="BOC19" s="294"/>
      <c r="BOD19" s="294"/>
      <c r="BOE19" s="294"/>
      <c r="BOF19" s="294"/>
      <c r="BOG19" s="294"/>
      <c r="BOH19" s="294"/>
      <c r="BOI19" s="294"/>
      <c r="BOJ19" s="294"/>
      <c r="BOK19" s="294"/>
      <c r="BOL19" s="294"/>
      <c r="BOM19" s="294"/>
      <c r="BON19" s="294"/>
      <c r="BOO19" s="294"/>
      <c r="BOP19" s="294"/>
      <c r="BOQ19" s="294"/>
      <c r="BOR19" s="294"/>
      <c r="BOS19" s="294"/>
      <c r="BOT19" s="294"/>
      <c r="BOU19" s="294"/>
      <c r="BOV19" s="294"/>
      <c r="BOW19" s="294"/>
      <c r="BOX19" s="294"/>
      <c r="BOY19" s="294"/>
      <c r="BOZ19" s="294"/>
      <c r="BPA19" s="294"/>
      <c r="BPB19" s="294"/>
      <c r="BPC19" s="294"/>
      <c r="BPD19" s="294"/>
      <c r="BPE19" s="294"/>
      <c r="BPF19" s="294"/>
      <c r="BPG19" s="294"/>
      <c r="BPH19" s="294"/>
      <c r="BPI19" s="294"/>
      <c r="BPJ19" s="294"/>
      <c r="BPK19" s="294"/>
      <c r="BPL19" s="294"/>
      <c r="BPM19" s="294"/>
      <c r="BPN19" s="294"/>
      <c r="BPO19" s="294"/>
      <c r="BPP19" s="294"/>
      <c r="BPQ19" s="294"/>
      <c r="BPR19" s="294"/>
      <c r="BPS19" s="294"/>
      <c r="BPT19" s="294"/>
      <c r="BPU19" s="294"/>
      <c r="BPV19" s="294"/>
      <c r="BPW19" s="294"/>
      <c r="BPX19" s="294"/>
      <c r="BPY19" s="294"/>
      <c r="BPZ19" s="294"/>
      <c r="BQA19" s="294"/>
      <c r="BQB19" s="294"/>
      <c r="BQC19" s="294"/>
      <c r="BQD19" s="294"/>
      <c r="BQE19" s="294"/>
      <c r="BQF19" s="294"/>
      <c r="BQG19" s="294"/>
      <c r="BQH19" s="294"/>
      <c r="BQI19" s="294"/>
      <c r="BQJ19" s="294"/>
      <c r="BQK19" s="294"/>
      <c r="BQL19" s="294"/>
      <c r="BQM19" s="294"/>
      <c r="BQN19" s="294"/>
      <c r="BQO19" s="294"/>
      <c r="BQP19" s="294"/>
      <c r="BQQ19" s="294"/>
      <c r="BQR19" s="294"/>
      <c r="BQS19" s="294"/>
      <c r="BQT19" s="294"/>
      <c r="BQU19" s="294"/>
      <c r="BQV19" s="294"/>
      <c r="BQW19" s="294"/>
      <c r="BQX19" s="294"/>
      <c r="BQY19" s="294"/>
      <c r="BQZ19" s="294"/>
      <c r="BRA19" s="294"/>
      <c r="BRB19" s="294"/>
      <c r="BRC19" s="294"/>
      <c r="BRD19" s="294"/>
      <c r="BRE19" s="294"/>
      <c r="BRF19" s="294"/>
      <c r="BRG19" s="294"/>
      <c r="BRH19" s="294"/>
      <c r="BRI19" s="294"/>
      <c r="BRJ19" s="294"/>
      <c r="BRK19" s="294"/>
      <c r="BRL19" s="294"/>
      <c r="BRM19" s="294"/>
      <c r="BRN19" s="294"/>
      <c r="BRO19" s="294"/>
      <c r="BRP19" s="294"/>
      <c r="BRQ19" s="294"/>
      <c r="BRR19" s="294"/>
      <c r="BRS19" s="294"/>
      <c r="BRT19" s="294"/>
      <c r="BRU19" s="294"/>
      <c r="BRV19" s="294"/>
      <c r="BRW19" s="294"/>
      <c r="BRX19" s="294"/>
      <c r="BRY19" s="294"/>
      <c r="BRZ19" s="294"/>
      <c r="BSA19" s="294"/>
      <c r="BSB19" s="294"/>
      <c r="BSC19" s="294"/>
      <c r="BSD19" s="294"/>
      <c r="BSE19" s="294"/>
      <c r="BSF19" s="294"/>
      <c r="BSG19" s="294"/>
      <c r="BSH19" s="294"/>
      <c r="BSI19" s="294"/>
      <c r="BSJ19" s="294"/>
      <c r="BSK19" s="294"/>
      <c r="BSL19" s="294"/>
      <c r="BSM19" s="294"/>
      <c r="BSN19" s="294"/>
      <c r="BSO19" s="294"/>
      <c r="BSP19" s="294"/>
      <c r="BSQ19" s="294"/>
      <c r="BSR19" s="294"/>
      <c r="BSS19" s="294"/>
      <c r="BST19" s="294"/>
      <c r="BSU19" s="294"/>
      <c r="BSV19" s="294"/>
      <c r="BSW19" s="294"/>
      <c r="BSX19" s="294"/>
      <c r="BSY19" s="294"/>
      <c r="BSZ19" s="294"/>
      <c r="BTA19" s="294"/>
      <c r="BTB19" s="294"/>
      <c r="BTC19" s="294"/>
      <c r="BTD19" s="294"/>
      <c r="BTE19" s="294"/>
      <c r="BTF19" s="294"/>
      <c r="BTG19" s="294"/>
      <c r="BTH19" s="294"/>
      <c r="BTI19" s="294"/>
      <c r="BTJ19" s="294"/>
      <c r="BTK19" s="294"/>
      <c r="BTL19" s="294"/>
      <c r="BTM19" s="294"/>
      <c r="BTN19" s="294"/>
      <c r="BTO19" s="294"/>
      <c r="BTP19" s="294"/>
      <c r="BTQ19" s="294"/>
      <c r="BTR19" s="294"/>
      <c r="BTS19" s="294"/>
      <c r="BTT19" s="294"/>
      <c r="BTU19" s="294"/>
      <c r="BTV19" s="294"/>
      <c r="BTW19" s="294"/>
      <c r="BTX19" s="294"/>
      <c r="BTY19" s="294"/>
      <c r="BTZ19" s="294"/>
      <c r="BUA19" s="294"/>
      <c r="BUB19" s="294"/>
      <c r="BUC19" s="294"/>
      <c r="BUD19" s="294"/>
      <c r="BUE19" s="294"/>
      <c r="BUF19" s="294"/>
      <c r="BUG19" s="294"/>
      <c r="BUH19" s="294"/>
      <c r="BUI19" s="294"/>
      <c r="BUJ19" s="294"/>
      <c r="BUK19" s="294"/>
      <c r="BUL19" s="294"/>
      <c r="BUM19" s="294"/>
      <c r="BUN19" s="294"/>
      <c r="BUO19" s="294"/>
      <c r="BUP19" s="294"/>
      <c r="BUQ19" s="294"/>
      <c r="BUR19" s="294"/>
      <c r="BUS19" s="294"/>
      <c r="BUT19" s="294"/>
      <c r="BUU19" s="294"/>
      <c r="BUV19" s="294"/>
      <c r="BUW19" s="294"/>
      <c r="BUX19" s="294"/>
      <c r="BUY19" s="294"/>
      <c r="BUZ19" s="294"/>
      <c r="BVA19" s="294"/>
      <c r="BVB19" s="294"/>
      <c r="BVC19" s="294"/>
      <c r="BVD19" s="294"/>
      <c r="BVE19" s="294"/>
      <c r="BVF19" s="294"/>
      <c r="BVG19" s="294"/>
      <c r="BVH19" s="294"/>
      <c r="BVI19" s="294"/>
      <c r="BVJ19" s="294"/>
      <c r="BVK19" s="294"/>
      <c r="BVL19" s="294"/>
      <c r="BVM19" s="294"/>
      <c r="BVN19" s="294"/>
      <c r="BVO19" s="294"/>
      <c r="BVP19" s="294"/>
      <c r="BVQ19" s="294"/>
      <c r="BVR19" s="294"/>
      <c r="BVS19" s="294"/>
      <c r="BVT19" s="294"/>
      <c r="BVU19" s="294"/>
      <c r="BVV19" s="294"/>
      <c r="BVW19" s="294"/>
      <c r="BVX19" s="294"/>
      <c r="BVY19" s="294"/>
      <c r="BVZ19" s="294"/>
      <c r="BWA19" s="294"/>
      <c r="BWB19" s="294"/>
      <c r="BWC19" s="294"/>
      <c r="BWD19" s="294"/>
      <c r="BWE19" s="294"/>
      <c r="BWF19" s="294"/>
      <c r="BWG19" s="294"/>
      <c r="BWH19" s="294"/>
      <c r="BWI19" s="294"/>
      <c r="BWJ19" s="294"/>
      <c r="BWK19" s="294"/>
      <c r="BWL19" s="294"/>
      <c r="BWM19" s="294"/>
      <c r="BWN19" s="294"/>
      <c r="BWO19" s="294"/>
      <c r="BWP19" s="294"/>
      <c r="BWQ19" s="294"/>
      <c r="BWR19" s="294"/>
      <c r="BWS19" s="294"/>
      <c r="BWT19" s="294"/>
      <c r="BWU19" s="294"/>
      <c r="BWV19" s="294"/>
      <c r="BWW19" s="294"/>
      <c r="BWX19" s="294"/>
      <c r="BWY19" s="294"/>
      <c r="BWZ19" s="294"/>
      <c r="BXA19" s="294"/>
      <c r="BXB19" s="294"/>
      <c r="BXC19" s="294"/>
      <c r="BXD19" s="294"/>
      <c r="BXE19" s="294"/>
      <c r="BXF19" s="294"/>
      <c r="BXG19" s="294"/>
      <c r="BXH19" s="294"/>
      <c r="BXI19" s="294"/>
      <c r="BXJ19" s="294"/>
      <c r="BXK19" s="294"/>
      <c r="BXL19" s="294"/>
      <c r="BXM19" s="294"/>
      <c r="BXN19" s="294"/>
      <c r="BXO19" s="294"/>
      <c r="BXP19" s="294"/>
      <c r="BXQ19" s="294"/>
      <c r="BXR19" s="294"/>
      <c r="BXS19" s="294"/>
      <c r="BXT19" s="294"/>
      <c r="BXU19" s="294"/>
      <c r="BXV19" s="294"/>
      <c r="BXW19" s="294"/>
      <c r="BXX19" s="294"/>
      <c r="BXY19" s="294"/>
      <c r="BXZ19" s="294"/>
      <c r="BYA19" s="294"/>
      <c r="BYB19" s="294"/>
      <c r="BYC19" s="294"/>
      <c r="BYD19" s="294"/>
      <c r="BYE19" s="294"/>
      <c r="BYF19" s="294"/>
      <c r="BYG19" s="294"/>
      <c r="BYH19" s="294"/>
      <c r="BYI19" s="294"/>
      <c r="BYJ19" s="294"/>
      <c r="BYK19" s="294"/>
      <c r="BYL19" s="294"/>
      <c r="BYM19" s="294"/>
      <c r="BYN19" s="294"/>
      <c r="BYO19" s="294"/>
      <c r="BYP19" s="294"/>
      <c r="BYQ19" s="294"/>
      <c r="BYR19" s="294"/>
      <c r="BYS19" s="294"/>
      <c r="BYT19" s="294"/>
      <c r="BYU19" s="294"/>
      <c r="BYV19" s="294"/>
      <c r="BYW19" s="294"/>
      <c r="BYX19" s="294"/>
      <c r="BYY19" s="294"/>
      <c r="BYZ19" s="294"/>
      <c r="BZA19" s="294"/>
      <c r="BZB19" s="294"/>
      <c r="BZC19" s="294"/>
      <c r="BZD19" s="294"/>
      <c r="BZE19" s="294"/>
      <c r="BZF19" s="294"/>
      <c r="BZG19" s="294"/>
      <c r="BZH19" s="294"/>
      <c r="BZI19" s="294"/>
      <c r="BZJ19" s="294"/>
      <c r="BZK19" s="294"/>
      <c r="BZL19" s="294"/>
      <c r="BZM19" s="294"/>
      <c r="BZN19" s="294"/>
      <c r="BZO19" s="294"/>
      <c r="BZP19" s="294"/>
      <c r="BZQ19" s="294"/>
      <c r="BZR19" s="294"/>
      <c r="BZS19" s="294"/>
      <c r="BZT19" s="294"/>
      <c r="BZU19" s="294"/>
      <c r="BZV19" s="294"/>
      <c r="BZW19" s="294"/>
      <c r="BZX19" s="294"/>
      <c r="BZY19" s="294"/>
      <c r="BZZ19" s="294"/>
      <c r="CAA19" s="294"/>
      <c r="CAB19" s="294"/>
      <c r="CAC19" s="294"/>
      <c r="CAD19" s="294"/>
      <c r="CAE19" s="294"/>
      <c r="CAF19" s="294"/>
      <c r="CAG19" s="294"/>
      <c r="CAH19" s="294"/>
      <c r="CAI19" s="294"/>
      <c r="CAJ19" s="294"/>
      <c r="CAK19" s="294"/>
      <c r="CAL19" s="294"/>
      <c r="CAM19" s="294"/>
      <c r="CAN19" s="294"/>
      <c r="CAO19" s="294"/>
      <c r="CAP19" s="294"/>
      <c r="CAQ19" s="294"/>
      <c r="CAR19" s="294"/>
      <c r="CAS19" s="294"/>
      <c r="CAT19" s="294"/>
      <c r="CAU19" s="294"/>
      <c r="CAV19" s="294"/>
      <c r="CAW19" s="294"/>
      <c r="CAX19" s="294"/>
      <c r="CAY19" s="294"/>
      <c r="CAZ19" s="294"/>
      <c r="CBA19" s="294"/>
      <c r="CBB19" s="294"/>
      <c r="CBC19" s="294"/>
      <c r="CBD19" s="294"/>
      <c r="CBE19" s="294"/>
      <c r="CBF19" s="294"/>
      <c r="CBG19" s="294"/>
      <c r="CBH19" s="294"/>
      <c r="CBI19" s="294"/>
      <c r="CBJ19" s="294"/>
      <c r="CBK19" s="294"/>
      <c r="CBL19" s="294"/>
      <c r="CBM19" s="294"/>
      <c r="CBN19" s="294"/>
      <c r="CBO19" s="294"/>
      <c r="CBP19" s="294"/>
      <c r="CBQ19" s="294"/>
      <c r="CBR19" s="294"/>
      <c r="CBS19" s="294"/>
      <c r="CBT19" s="294"/>
      <c r="CBU19" s="294"/>
      <c r="CBV19" s="294"/>
      <c r="CBW19" s="294"/>
      <c r="CBX19" s="294"/>
      <c r="CBY19" s="294"/>
      <c r="CBZ19" s="294"/>
      <c r="CCA19" s="294"/>
      <c r="CCB19" s="294"/>
      <c r="CCC19" s="294"/>
      <c r="CCD19" s="294"/>
      <c r="CCE19" s="294"/>
      <c r="CCF19" s="294"/>
      <c r="CCG19" s="294"/>
      <c r="CCH19" s="294"/>
      <c r="CCI19" s="294"/>
      <c r="CCJ19" s="294"/>
      <c r="CCK19" s="294"/>
      <c r="CCL19" s="294"/>
      <c r="CCM19" s="294"/>
      <c r="CCN19" s="294"/>
      <c r="CCO19" s="294"/>
      <c r="CCP19" s="294"/>
      <c r="CCQ19" s="294"/>
      <c r="CCR19" s="294"/>
      <c r="CCS19" s="294"/>
      <c r="CCT19" s="294"/>
      <c r="CCU19" s="294"/>
      <c r="CCV19" s="294"/>
      <c r="CCW19" s="294"/>
      <c r="CCX19" s="294"/>
      <c r="CCY19" s="294"/>
      <c r="CCZ19" s="294"/>
      <c r="CDA19" s="294"/>
      <c r="CDB19" s="294"/>
      <c r="CDC19" s="294"/>
      <c r="CDD19" s="294"/>
      <c r="CDE19" s="294"/>
      <c r="CDF19" s="294"/>
      <c r="CDG19" s="294"/>
      <c r="CDH19" s="294"/>
      <c r="CDI19" s="294"/>
      <c r="CDJ19" s="294"/>
      <c r="CDK19" s="294"/>
      <c r="CDL19" s="294"/>
      <c r="CDM19" s="294"/>
      <c r="CDN19" s="294"/>
      <c r="CDO19" s="294"/>
      <c r="CDP19" s="294"/>
      <c r="CDQ19" s="294"/>
      <c r="CDR19" s="294"/>
      <c r="CDS19" s="294"/>
      <c r="CDT19" s="294"/>
      <c r="CDU19" s="294"/>
      <c r="CDV19" s="294"/>
      <c r="CDW19" s="294"/>
      <c r="CDX19" s="294"/>
      <c r="CDY19" s="294"/>
      <c r="CDZ19" s="294"/>
      <c r="CEA19" s="294"/>
      <c r="CEB19" s="294"/>
      <c r="CEC19" s="294"/>
      <c r="CED19" s="294"/>
      <c r="CEE19" s="294"/>
      <c r="CEF19" s="294"/>
      <c r="CEG19" s="294"/>
      <c r="CEH19" s="294"/>
      <c r="CEI19" s="294"/>
      <c r="CEJ19" s="294"/>
      <c r="CEK19" s="294"/>
      <c r="CEL19" s="294"/>
      <c r="CEM19" s="294"/>
      <c r="CEN19" s="294"/>
      <c r="CEO19" s="294"/>
      <c r="CEP19" s="294"/>
      <c r="CEQ19" s="294"/>
      <c r="CER19" s="294"/>
      <c r="CES19" s="294"/>
      <c r="CET19" s="294"/>
      <c r="CEU19" s="294"/>
      <c r="CEV19" s="294"/>
      <c r="CEW19" s="294"/>
      <c r="CEX19" s="294"/>
      <c r="CEY19" s="294"/>
      <c r="CEZ19" s="294"/>
      <c r="CFA19" s="294"/>
      <c r="CFB19" s="294"/>
      <c r="CFC19" s="294"/>
      <c r="CFD19" s="294"/>
      <c r="CFE19" s="294"/>
      <c r="CFF19" s="294"/>
      <c r="CFG19" s="294"/>
      <c r="CFH19" s="294"/>
      <c r="CFI19" s="294"/>
      <c r="CFJ19" s="294"/>
      <c r="CFK19" s="294"/>
      <c r="CFL19" s="294"/>
      <c r="CFM19" s="294"/>
      <c r="CFN19" s="294"/>
      <c r="CFO19" s="294"/>
      <c r="CFP19" s="294"/>
      <c r="CFQ19" s="294"/>
      <c r="CFR19" s="294"/>
      <c r="CFS19" s="294"/>
      <c r="CFT19" s="294"/>
      <c r="CFU19" s="294"/>
      <c r="CFV19" s="294"/>
      <c r="CFW19" s="294"/>
      <c r="CFX19" s="294"/>
      <c r="CFY19" s="294"/>
      <c r="CFZ19" s="294"/>
      <c r="CGA19" s="294"/>
      <c r="CGB19" s="294"/>
      <c r="CGC19" s="294"/>
      <c r="CGD19" s="294"/>
      <c r="CGE19" s="294"/>
      <c r="CGF19" s="294"/>
      <c r="CGG19" s="294"/>
      <c r="CGH19" s="294"/>
      <c r="CGI19" s="294"/>
      <c r="CGJ19" s="294"/>
      <c r="CGK19" s="294"/>
      <c r="CGL19" s="294"/>
      <c r="CGM19" s="294"/>
      <c r="CGN19" s="294"/>
      <c r="CGO19" s="294"/>
      <c r="CGP19" s="294"/>
      <c r="CGQ19" s="294"/>
      <c r="CGR19" s="294"/>
      <c r="CGS19" s="294"/>
      <c r="CGT19" s="294"/>
      <c r="CGU19" s="294"/>
      <c r="CGV19" s="294"/>
      <c r="CGW19" s="294"/>
      <c r="CGX19" s="294"/>
      <c r="CGY19" s="294"/>
      <c r="CGZ19" s="294"/>
      <c r="CHA19" s="294"/>
      <c r="CHB19" s="294"/>
      <c r="CHC19" s="294"/>
      <c r="CHD19" s="294"/>
      <c r="CHE19" s="294"/>
      <c r="CHF19" s="294"/>
      <c r="CHG19" s="294"/>
      <c r="CHH19" s="294"/>
      <c r="CHI19" s="294"/>
      <c r="CHJ19" s="294"/>
      <c r="CHK19" s="294"/>
      <c r="CHL19" s="294"/>
      <c r="CHM19" s="294"/>
      <c r="CHN19" s="294"/>
      <c r="CHO19" s="294"/>
      <c r="CHP19" s="294"/>
      <c r="CHQ19" s="294"/>
      <c r="CHR19" s="294"/>
      <c r="CHS19" s="294"/>
      <c r="CHT19" s="294"/>
      <c r="CHU19" s="294"/>
      <c r="CHV19" s="294"/>
      <c r="CHW19" s="294"/>
      <c r="CHX19" s="294"/>
      <c r="CHY19" s="294"/>
      <c r="CHZ19" s="294"/>
      <c r="CIA19" s="294"/>
      <c r="CIB19" s="294"/>
      <c r="CIC19" s="294"/>
      <c r="CID19" s="294"/>
      <c r="CIE19" s="294"/>
      <c r="CIF19" s="294"/>
      <c r="CIG19" s="294"/>
      <c r="CIH19" s="294"/>
      <c r="CII19" s="294"/>
      <c r="CIJ19" s="294"/>
      <c r="CIK19" s="294"/>
      <c r="CIL19" s="294"/>
      <c r="CIM19" s="294"/>
      <c r="CIN19" s="294"/>
      <c r="CIO19" s="294"/>
      <c r="CIP19" s="294"/>
      <c r="CIQ19" s="294"/>
      <c r="CIR19" s="294"/>
      <c r="CIS19" s="294"/>
      <c r="CIT19" s="294"/>
      <c r="CIU19" s="294"/>
      <c r="CIV19" s="294"/>
      <c r="CIW19" s="294"/>
      <c r="CIX19" s="294"/>
      <c r="CIY19" s="294"/>
      <c r="CIZ19" s="294"/>
      <c r="CJA19" s="294"/>
      <c r="CJB19" s="294"/>
      <c r="CJC19" s="294"/>
      <c r="CJD19" s="294"/>
      <c r="CJE19" s="294"/>
      <c r="CJF19" s="294"/>
      <c r="CJG19" s="294"/>
      <c r="CJH19" s="294"/>
      <c r="CJI19" s="294"/>
      <c r="CJJ19" s="294"/>
      <c r="CJK19" s="294"/>
      <c r="CJL19" s="294"/>
      <c r="CJM19" s="294"/>
      <c r="CJN19" s="294"/>
      <c r="CJO19" s="294"/>
      <c r="CJP19" s="294"/>
      <c r="CJQ19" s="294"/>
      <c r="CJR19" s="294"/>
      <c r="CJS19" s="294"/>
      <c r="CJT19" s="294"/>
      <c r="CJU19" s="294"/>
      <c r="CJV19" s="294"/>
      <c r="CJW19" s="294"/>
      <c r="CJX19" s="294"/>
      <c r="CJY19" s="294"/>
      <c r="CJZ19" s="294"/>
      <c r="CKA19" s="294"/>
      <c r="CKB19" s="294"/>
      <c r="CKC19" s="294"/>
      <c r="CKD19" s="294"/>
      <c r="CKE19" s="294"/>
      <c r="CKF19" s="294"/>
      <c r="CKG19" s="294"/>
      <c r="CKH19" s="294"/>
      <c r="CKI19" s="294"/>
      <c r="CKJ19" s="294"/>
      <c r="CKK19" s="294"/>
      <c r="CKL19" s="294"/>
      <c r="CKM19" s="294"/>
      <c r="CKN19" s="294"/>
      <c r="CKO19" s="294"/>
      <c r="CKP19" s="294"/>
      <c r="CKQ19" s="294"/>
      <c r="CKR19" s="294"/>
      <c r="CKS19" s="294"/>
      <c r="CKT19" s="294"/>
      <c r="CKU19" s="294"/>
      <c r="CKV19" s="294"/>
      <c r="CKW19" s="294"/>
      <c r="CKX19" s="294"/>
      <c r="CKY19" s="294"/>
      <c r="CKZ19" s="294"/>
      <c r="CLA19" s="294"/>
      <c r="CLB19" s="294"/>
      <c r="CLC19" s="294"/>
      <c r="CLD19" s="294"/>
      <c r="CLE19" s="294"/>
      <c r="CLF19" s="294"/>
      <c r="CLG19" s="294"/>
      <c r="CLH19" s="294"/>
      <c r="CLI19" s="294"/>
      <c r="CLJ19" s="294"/>
      <c r="CLK19" s="294"/>
      <c r="CLL19" s="294"/>
      <c r="CLM19" s="294"/>
      <c r="CLN19" s="294"/>
      <c r="CLO19" s="294"/>
      <c r="CLP19" s="294"/>
      <c r="CLQ19" s="294"/>
      <c r="CLR19" s="294"/>
      <c r="CLS19" s="294"/>
      <c r="CLT19" s="294"/>
      <c r="CLU19" s="294"/>
      <c r="CLV19" s="294"/>
      <c r="CLW19" s="294"/>
      <c r="CLX19" s="294"/>
      <c r="CLY19" s="294"/>
      <c r="CLZ19" s="294"/>
      <c r="CMA19" s="294"/>
      <c r="CMB19" s="294"/>
      <c r="CMC19" s="294"/>
      <c r="CMD19" s="294"/>
      <c r="CME19" s="294"/>
      <c r="CMF19" s="294"/>
      <c r="CMG19" s="294"/>
      <c r="CMH19" s="294"/>
      <c r="CMI19" s="294"/>
      <c r="CMJ19" s="294"/>
      <c r="CMK19" s="294"/>
      <c r="CML19" s="294"/>
      <c r="CMM19" s="294"/>
      <c r="CMN19" s="294"/>
      <c r="CMO19" s="294"/>
      <c r="CMP19" s="294"/>
      <c r="CMQ19" s="294"/>
      <c r="CMR19" s="294"/>
      <c r="CMS19" s="294"/>
      <c r="CMT19" s="294"/>
      <c r="CMU19" s="294"/>
      <c r="CMV19" s="294"/>
      <c r="CMW19" s="294"/>
      <c r="CMX19" s="294"/>
      <c r="CMY19" s="294"/>
      <c r="CMZ19" s="294"/>
      <c r="CNA19" s="294"/>
      <c r="CNB19" s="294"/>
      <c r="CNC19" s="294"/>
      <c r="CND19" s="294"/>
      <c r="CNE19" s="294"/>
      <c r="CNF19" s="294"/>
      <c r="CNG19" s="294"/>
      <c r="CNH19" s="294"/>
      <c r="CNI19" s="294"/>
      <c r="CNJ19" s="294"/>
      <c r="CNK19" s="294"/>
      <c r="CNL19" s="294"/>
      <c r="CNM19" s="294"/>
      <c r="CNN19" s="294"/>
      <c r="CNO19" s="294"/>
      <c r="CNP19" s="294"/>
      <c r="CNQ19" s="294"/>
      <c r="CNR19" s="294"/>
      <c r="CNS19" s="294"/>
      <c r="CNT19" s="294"/>
      <c r="CNU19" s="294"/>
      <c r="CNV19" s="294"/>
      <c r="CNW19" s="294"/>
      <c r="CNX19" s="294"/>
      <c r="CNY19" s="294"/>
      <c r="CNZ19" s="294"/>
      <c r="COA19" s="294"/>
      <c r="COB19" s="294"/>
      <c r="COC19" s="294"/>
      <c r="COD19" s="294"/>
      <c r="COE19" s="294"/>
      <c r="COF19" s="294"/>
      <c r="COG19" s="294"/>
      <c r="COH19" s="294"/>
      <c r="COI19" s="294"/>
      <c r="COJ19" s="294"/>
      <c r="COK19" s="294"/>
      <c r="COL19" s="294"/>
      <c r="COM19" s="294"/>
      <c r="CON19" s="294"/>
      <c r="COO19" s="294"/>
      <c r="COP19" s="294"/>
      <c r="COQ19" s="294"/>
      <c r="COR19" s="294"/>
      <c r="COS19" s="294"/>
      <c r="COT19" s="294"/>
      <c r="COU19" s="294"/>
      <c r="COV19" s="294"/>
      <c r="COW19" s="294"/>
      <c r="COX19" s="294"/>
      <c r="COY19" s="294"/>
      <c r="COZ19" s="294"/>
      <c r="CPA19" s="294"/>
      <c r="CPB19" s="294"/>
      <c r="CPC19" s="294"/>
      <c r="CPD19" s="294"/>
      <c r="CPE19" s="294"/>
      <c r="CPF19" s="294"/>
      <c r="CPG19" s="294"/>
      <c r="CPH19" s="294"/>
      <c r="CPI19" s="294"/>
      <c r="CPJ19" s="294"/>
      <c r="CPK19" s="294"/>
      <c r="CPL19" s="294"/>
      <c r="CPM19" s="294"/>
      <c r="CPN19" s="294"/>
      <c r="CPO19" s="294"/>
      <c r="CPP19" s="294"/>
      <c r="CPQ19" s="294"/>
      <c r="CPR19" s="294"/>
      <c r="CPS19" s="294"/>
      <c r="CPT19" s="294"/>
      <c r="CPU19" s="294"/>
      <c r="CPV19" s="294"/>
      <c r="CPW19" s="294"/>
      <c r="CPX19" s="294"/>
      <c r="CPY19" s="294"/>
      <c r="CPZ19" s="294"/>
      <c r="CQA19" s="294"/>
      <c r="CQB19" s="294"/>
      <c r="CQC19" s="294"/>
      <c r="CQD19" s="294"/>
      <c r="CQE19" s="294"/>
      <c r="CQF19" s="294"/>
      <c r="CQG19" s="294"/>
      <c r="CQH19" s="294"/>
      <c r="CQI19" s="294"/>
      <c r="CQJ19" s="294"/>
      <c r="CQK19" s="294"/>
      <c r="CQL19" s="294"/>
      <c r="CQM19" s="294"/>
      <c r="CQN19" s="294"/>
      <c r="CQO19" s="294"/>
      <c r="CQP19" s="294"/>
      <c r="CQQ19" s="294"/>
      <c r="CQR19" s="294"/>
      <c r="CQS19" s="294"/>
      <c r="CQT19" s="294"/>
      <c r="CQU19" s="294"/>
      <c r="CQV19" s="294"/>
      <c r="CQW19" s="294"/>
      <c r="CQX19" s="294"/>
      <c r="CQY19" s="294"/>
      <c r="CQZ19" s="294"/>
      <c r="CRA19" s="294"/>
      <c r="CRB19" s="294"/>
      <c r="CRC19" s="294"/>
      <c r="CRD19" s="294"/>
      <c r="CRE19" s="294"/>
      <c r="CRF19" s="294"/>
      <c r="CRG19" s="294"/>
      <c r="CRH19" s="294"/>
      <c r="CRI19" s="294"/>
      <c r="CRJ19" s="294"/>
      <c r="CRK19" s="294"/>
      <c r="CRL19" s="294"/>
      <c r="CRM19" s="294"/>
      <c r="CRN19" s="294"/>
      <c r="CRO19" s="294"/>
      <c r="CRP19" s="294"/>
      <c r="CRQ19" s="294"/>
      <c r="CRR19" s="294"/>
      <c r="CRS19" s="294"/>
      <c r="CRT19" s="294"/>
      <c r="CRU19" s="294"/>
      <c r="CRV19" s="294"/>
      <c r="CRW19" s="294"/>
      <c r="CRX19" s="294"/>
      <c r="CRY19" s="294"/>
      <c r="CRZ19" s="294"/>
      <c r="CSA19" s="294"/>
      <c r="CSB19" s="294"/>
      <c r="CSC19" s="294"/>
      <c r="CSD19" s="294"/>
      <c r="CSE19" s="294"/>
      <c r="CSF19" s="294"/>
      <c r="CSG19" s="294"/>
      <c r="CSH19" s="294"/>
      <c r="CSI19" s="294"/>
      <c r="CSJ19" s="294"/>
      <c r="CSK19" s="294"/>
      <c r="CSL19" s="294"/>
      <c r="CSM19" s="294"/>
      <c r="CSN19" s="294"/>
      <c r="CSO19" s="294"/>
      <c r="CSP19" s="294"/>
      <c r="CSQ19" s="294"/>
      <c r="CSR19" s="294"/>
      <c r="CSS19" s="294"/>
      <c r="CST19" s="294"/>
      <c r="CSU19" s="294"/>
      <c r="CSV19" s="294"/>
      <c r="CSW19" s="294"/>
      <c r="CSX19" s="294"/>
      <c r="CSY19" s="294"/>
      <c r="CSZ19" s="294"/>
      <c r="CTA19" s="294"/>
      <c r="CTB19" s="294"/>
      <c r="CTC19" s="294"/>
      <c r="CTD19" s="294"/>
      <c r="CTE19" s="294"/>
      <c r="CTF19" s="294"/>
      <c r="CTG19" s="294"/>
      <c r="CTH19" s="294"/>
      <c r="CTI19" s="294"/>
      <c r="CTJ19" s="294"/>
      <c r="CTK19" s="294"/>
      <c r="CTL19" s="294"/>
      <c r="CTM19" s="294"/>
      <c r="CTN19" s="294"/>
      <c r="CTO19" s="294"/>
      <c r="CTP19" s="294"/>
      <c r="CTQ19" s="294"/>
      <c r="CTR19" s="294"/>
      <c r="CTS19" s="294"/>
      <c r="CTT19" s="294"/>
      <c r="CTU19" s="294"/>
      <c r="CTV19" s="294"/>
      <c r="CTW19" s="294"/>
      <c r="CTX19" s="294"/>
      <c r="CTY19" s="294"/>
      <c r="CTZ19" s="294"/>
      <c r="CUA19" s="294"/>
      <c r="CUB19" s="294"/>
      <c r="CUC19" s="294"/>
      <c r="CUD19" s="294"/>
      <c r="CUE19" s="294"/>
      <c r="CUF19" s="294"/>
      <c r="CUG19" s="294"/>
      <c r="CUH19" s="294"/>
      <c r="CUI19" s="294"/>
      <c r="CUJ19" s="294"/>
      <c r="CUK19" s="294"/>
      <c r="CUL19" s="294"/>
      <c r="CUM19" s="294"/>
      <c r="CUN19" s="294"/>
      <c r="CUO19" s="294"/>
      <c r="CUP19" s="294"/>
      <c r="CUQ19" s="294"/>
      <c r="CUR19" s="294"/>
      <c r="CUS19" s="294"/>
      <c r="CUT19" s="294"/>
      <c r="CUU19" s="294"/>
      <c r="CUV19" s="294"/>
      <c r="CUW19" s="294"/>
      <c r="CUX19" s="294"/>
      <c r="CUY19" s="294"/>
      <c r="CUZ19" s="294"/>
      <c r="CVA19" s="294"/>
      <c r="CVB19" s="294"/>
      <c r="CVC19" s="294"/>
      <c r="CVD19" s="294"/>
      <c r="CVE19" s="294"/>
      <c r="CVF19" s="294"/>
      <c r="CVG19" s="294"/>
      <c r="CVH19" s="294"/>
      <c r="CVI19" s="294"/>
      <c r="CVJ19" s="294"/>
      <c r="CVK19" s="294"/>
      <c r="CVL19" s="294"/>
      <c r="CVM19" s="294"/>
      <c r="CVN19" s="294"/>
      <c r="CVO19" s="294"/>
      <c r="CVP19" s="294"/>
      <c r="CVQ19" s="294"/>
      <c r="CVR19" s="294"/>
      <c r="CVS19" s="294"/>
      <c r="CVT19" s="294"/>
      <c r="CVU19" s="294"/>
      <c r="CVV19" s="294"/>
      <c r="CVW19" s="294"/>
      <c r="CVX19" s="294"/>
      <c r="CVY19" s="294"/>
      <c r="CVZ19" s="294"/>
      <c r="CWA19" s="294"/>
      <c r="CWB19" s="294"/>
      <c r="CWC19" s="294"/>
      <c r="CWD19" s="294"/>
      <c r="CWE19" s="294"/>
      <c r="CWF19" s="294"/>
      <c r="CWG19" s="294"/>
      <c r="CWH19" s="294"/>
      <c r="CWI19" s="294"/>
      <c r="CWJ19" s="294"/>
      <c r="CWK19" s="294"/>
      <c r="CWL19" s="294"/>
      <c r="CWM19" s="294"/>
      <c r="CWN19" s="294"/>
      <c r="CWO19" s="294"/>
      <c r="CWP19" s="294"/>
      <c r="CWQ19" s="294"/>
      <c r="CWR19" s="294"/>
      <c r="CWS19" s="294"/>
      <c r="CWT19" s="294"/>
      <c r="CWU19" s="294"/>
      <c r="CWV19" s="294"/>
      <c r="CWW19" s="294"/>
      <c r="CWX19" s="294"/>
      <c r="CWY19" s="294"/>
      <c r="CWZ19" s="294"/>
      <c r="CXA19" s="294"/>
      <c r="CXB19" s="294"/>
      <c r="CXC19" s="294"/>
      <c r="CXD19" s="294"/>
      <c r="CXE19" s="294"/>
      <c r="CXF19" s="294"/>
      <c r="CXG19" s="294"/>
      <c r="CXH19" s="294"/>
      <c r="CXI19" s="294"/>
      <c r="CXJ19" s="294"/>
      <c r="CXK19" s="294"/>
      <c r="CXL19" s="294"/>
      <c r="CXM19" s="294"/>
      <c r="CXN19" s="294"/>
      <c r="CXO19" s="294"/>
      <c r="CXP19" s="294"/>
      <c r="CXQ19" s="294"/>
      <c r="CXR19" s="294"/>
      <c r="CXS19" s="294"/>
      <c r="CXT19" s="294"/>
      <c r="CXU19" s="294"/>
      <c r="CXV19" s="294"/>
      <c r="CXW19" s="294"/>
      <c r="CXX19" s="294"/>
      <c r="CXY19" s="294"/>
      <c r="CXZ19" s="294"/>
      <c r="CYA19" s="294"/>
      <c r="CYB19" s="294"/>
      <c r="CYC19" s="294"/>
      <c r="CYD19" s="294"/>
      <c r="CYE19" s="294"/>
      <c r="CYF19" s="294"/>
      <c r="CYG19" s="294"/>
      <c r="CYH19" s="294"/>
      <c r="CYI19" s="294"/>
      <c r="CYJ19" s="294"/>
      <c r="CYK19" s="294"/>
      <c r="CYL19" s="294"/>
      <c r="CYM19" s="294"/>
      <c r="CYN19" s="294"/>
      <c r="CYO19" s="294"/>
      <c r="CYP19" s="294"/>
      <c r="CYQ19" s="294"/>
      <c r="CYR19" s="294"/>
      <c r="CYS19" s="294"/>
      <c r="CYT19" s="294"/>
      <c r="CYU19" s="294"/>
      <c r="CYV19" s="294"/>
      <c r="CYW19" s="294"/>
      <c r="CYX19" s="294"/>
      <c r="CYY19" s="294"/>
      <c r="CYZ19" s="294"/>
      <c r="CZA19" s="294"/>
      <c r="CZB19" s="294"/>
      <c r="CZC19" s="294"/>
      <c r="CZD19" s="294"/>
      <c r="CZE19" s="294"/>
      <c r="CZF19" s="294"/>
      <c r="CZG19" s="294"/>
      <c r="CZH19" s="294"/>
      <c r="CZI19" s="294"/>
      <c r="CZJ19" s="294"/>
      <c r="CZK19" s="294"/>
      <c r="CZL19" s="294"/>
      <c r="CZM19" s="294"/>
      <c r="CZN19" s="294"/>
      <c r="CZO19" s="294"/>
      <c r="CZP19" s="294"/>
      <c r="CZQ19" s="294"/>
      <c r="CZR19" s="294"/>
      <c r="CZS19" s="294"/>
      <c r="CZT19" s="294"/>
      <c r="CZU19" s="294"/>
      <c r="CZV19" s="294"/>
      <c r="CZW19" s="294"/>
      <c r="CZX19" s="294"/>
      <c r="CZY19" s="294"/>
      <c r="CZZ19" s="294"/>
      <c r="DAA19" s="294"/>
      <c r="DAB19" s="294"/>
      <c r="DAC19" s="294"/>
      <c r="DAD19" s="294"/>
      <c r="DAE19" s="294"/>
      <c r="DAF19" s="294"/>
      <c r="DAG19" s="294"/>
      <c r="DAH19" s="294"/>
      <c r="DAI19" s="294"/>
      <c r="DAJ19" s="294"/>
      <c r="DAK19" s="294"/>
      <c r="DAL19" s="294"/>
      <c r="DAM19" s="294"/>
      <c r="DAN19" s="294"/>
      <c r="DAO19" s="294"/>
      <c r="DAP19" s="294"/>
      <c r="DAQ19" s="294"/>
      <c r="DAR19" s="294"/>
      <c r="DAS19" s="294"/>
      <c r="DAT19" s="294"/>
      <c r="DAU19" s="294"/>
      <c r="DAV19" s="294"/>
      <c r="DAW19" s="294"/>
      <c r="DAX19" s="294"/>
      <c r="DAY19" s="294"/>
      <c r="DAZ19" s="294"/>
      <c r="DBA19" s="294"/>
      <c r="DBB19" s="294"/>
      <c r="DBC19" s="294"/>
      <c r="DBD19" s="294"/>
      <c r="DBE19" s="294"/>
      <c r="DBF19" s="294"/>
      <c r="DBG19" s="294"/>
      <c r="DBH19" s="294"/>
      <c r="DBI19" s="294"/>
      <c r="DBJ19" s="294"/>
      <c r="DBK19" s="294"/>
      <c r="DBL19" s="294"/>
      <c r="DBM19" s="294"/>
      <c r="DBN19" s="294"/>
      <c r="DBO19" s="294"/>
      <c r="DBP19" s="294"/>
      <c r="DBQ19" s="294"/>
      <c r="DBR19" s="294"/>
      <c r="DBS19" s="294"/>
      <c r="DBT19" s="294"/>
      <c r="DBU19" s="294"/>
      <c r="DBV19" s="294"/>
      <c r="DBW19" s="294"/>
      <c r="DBX19" s="294"/>
      <c r="DBY19" s="294"/>
      <c r="DBZ19" s="294"/>
      <c r="DCA19" s="294"/>
      <c r="DCB19" s="294"/>
      <c r="DCC19" s="294"/>
      <c r="DCD19" s="294"/>
      <c r="DCE19" s="294"/>
      <c r="DCF19" s="294"/>
      <c r="DCG19" s="294"/>
      <c r="DCH19" s="294"/>
      <c r="DCI19" s="294"/>
      <c r="DCJ19" s="294"/>
      <c r="DCK19" s="294"/>
      <c r="DCL19" s="294"/>
      <c r="DCM19" s="294"/>
      <c r="DCN19" s="294"/>
      <c r="DCO19" s="294"/>
      <c r="DCP19" s="294"/>
      <c r="DCQ19" s="294"/>
      <c r="DCR19" s="294"/>
      <c r="DCS19" s="294"/>
      <c r="DCT19" s="294"/>
      <c r="DCU19" s="294"/>
      <c r="DCV19" s="294"/>
      <c r="DCW19" s="294"/>
      <c r="DCX19" s="294"/>
      <c r="DCY19" s="294"/>
      <c r="DCZ19" s="294"/>
      <c r="DDA19" s="294"/>
      <c r="DDB19" s="294"/>
      <c r="DDC19" s="294"/>
      <c r="DDD19" s="294"/>
      <c r="DDE19" s="294"/>
      <c r="DDF19" s="294"/>
      <c r="DDG19" s="294"/>
      <c r="DDH19" s="294"/>
      <c r="DDI19" s="294"/>
      <c r="DDJ19" s="294"/>
      <c r="DDK19" s="294"/>
      <c r="DDL19" s="294"/>
      <c r="DDM19" s="294"/>
      <c r="DDN19" s="294"/>
      <c r="DDO19" s="294"/>
      <c r="DDP19" s="294"/>
      <c r="DDQ19" s="294"/>
      <c r="DDR19" s="294"/>
      <c r="DDS19" s="294"/>
      <c r="DDT19" s="294"/>
      <c r="DDU19" s="294"/>
      <c r="DDV19" s="294"/>
      <c r="DDW19" s="294"/>
      <c r="DDX19" s="294"/>
      <c r="DDY19" s="294"/>
      <c r="DDZ19" s="294"/>
      <c r="DEA19" s="294"/>
      <c r="DEB19" s="294"/>
      <c r="DEC19" s="294"/>
      <c r="DED19" s="294"/>
      <c r="DEE19" s="294"/>
      <c r="DEF19" s="294"/>
      <c r="DEG19" s="294"/>
      <c r="DEH19" s="294"/>
      <c r="DEI19" s="294"/>
      <c r="DEJ19" s="294"/>
      <c r="DEK19" s="294"/>
      <c r="DEL19" s="294"/>
      <c r="DEM19" s="294"/>
      <c r="DEN19" s="294"/>
      <c r="DEO19" s="294"/>
      <c r="DEP19" s="294"/>
      <c r="DEQ19" s="294"/>
      <c r="DER19" s="294"/>
      <c r="DES19" s="294"/>
      <c r="DET19" s="294"/>
      <c r="DEU19" s="294"/>
      <c r="DEV19" s="294"/>
      <c r="DEW19" s="294"/>
      <c r="DEX19" s="294"/>
      <c r="DEY19" s="294"/>
      <c r="DEZ19" s="294"/>
      <c r="DFA19" s="294"/>
      <c r="DFB19" s="294"/>
      <c r="DFC19" s="294"/>
      <c r="DFD19" s="294"/>
      <c r="DFE19" s="294"/>
      <c r="DFF19" s="294"/>
      <c r="DFG19" s="294"/>
      <c r="DFH19" s="294"/>
      <c r="DFI19" s="294"/>
      <c r="DFJ19" s="294"/>
      <c r="DFK19" s="294"/>
      <c r="DFL19" s="294"/>
      <c r="DFM19" s="294"/>
      <c r="DFN19" s="294"/>
      <c r="DFO19" s="294"/>
      <c r="DFP19" s="294"/>
      <c r="DFQ19" s="294"/>
      <c r="DFR19" s="294"/>
      <c r="DFS19" s="294"/>
      <c r="DFT19" s="294"/>
      <c r="DFU19" s="294"/>
      <c r="DFV19" s="294"/>
      <c r="DFW19" s="294"/>
      <c r="DFX19" s="294"/>
      <c r="DFY19" s="294"/>
      <c r="DFZ19" s="294"/>
      <c r="DGA19" s="294"/>
      <c r="DGB19" s="294"/>
      <c r="DGC19" s="294"/>
      <c r="DGD19" s="294"/>
      <c r="DGE19" s="294"/>
      <c r="DGF19" s="294"/>
      <c r="DGG19" s="294"/>
      <c r="DGH19" s="294"/>
      <c r="DGI19" s="294"/>
      <c r="DGJ19" s="294"/>
      <c r="DGK19" s="294"/>
      <c r="DGL19" s="294"/>
      <c r="DGM19" s="294"/>
      <c r="DGN19" s="294"/>
      <c r="DGO19" s="294"/>
      <c r="DGP19" s="294"/>
      <c r="DGQ19" s="294"/>
      <c r="DGR19" s="294"/>
      <c r="DGS19" s="294"/>
      <c r="DGT19" s="294"/>
      <c r="DGU19" s="294"/>
      <c r="DGV19" s="294"/>
      <c r="DGW19" s="294"/>
      <c r="DGX19" s="294"/>
      <c r="DGY19" s="294"/>
      <c r="DGZ19" s="294"/>
      <c r="DHA19" s="294"/>
      <c r="DHB19" s="294"/>
      <c r="DHC19" s="294"/>
      <c r="DHD19" s="294"/>
      <c r="DHE19" s="294"/>
      <c r="DHF19" s="294"/>
      <c r="DHG19" s="294"/>
      <c r="DHH19" s="294"/>
      <c r="DHI19" s="294"/>
      <c r="DHJ19" s="294"/>
      <c r="DHK19" s="294"/>
      <c r="DHL19" s="294"/>
      <c r="DHM19" s="294"/>
      <c r="DHN19" s="294"/>
      <c r="DHO19" s="294"/>
      <c r="DHP19" s="294"/>
      <c r="DHQ19" s="294"/>
      <c r="DHR19" s="294"/>
      <c r="DHS19" s="294"/>
      <c r="DHT19" s="294"/>
      <c r="DHU19" s="294"/>
      <c r="DHV19" s="294"/>
      <c r="DHW19" s="294"/>
      <c r="DHX19" s="294"/>
      <c r="DHY19" s="294"/>
      <c r="DHZ19" s="294"/>
      <c r="DIA19" s="294"/>
      <c r="DIB19" s="294"/>
      <c r="DIC19" s="294"/>
      <c r="DID19" s="294"/>
      <c r="DIE19" s="294"/>
      <c r="DIF19" s="294"/>
      <c r="DIG19" s="294"/>
      <c r="DIH19" s="294"/>
      <c r="DII19" s="294"/>
      <c r="DIJ19" s="294"/>
      <c r="DIK19" s="294"/>
      <c r="DIL19" s="294"/>
      <c r="DIM19" s="294"/>
      <c r="DIN19" s="294"/>
      <c r="DIO19" s="294"/>
      <c r="DIP19" s="294"/>
      <c r="DIQ19" s="294"/>
      <c r="DIR19" s="294"/>
      <c r="DIS19" s="294"/>
      <c r="DIT19" s="294"/>
      <c r="DIU19" s="294"/>
      <c r="DIV19" s="294"/>
      <c r="DIW19" s="294"/>
      <c r="DIX19" s="294"/>
      <c r="DIY19" s="294"/>
      <c r="DIZ19" s="294"/>
      <c r="DJA19" s="294"/>
      <c r="DJB19" s="294"/>
      <c r="DJC19" s="294"/>
      <c r="DJD19" s="294"/>
      <c r="DJE19" s="294"/>
      <c r="DJF19" s="294"/>
      <c r="DJG19" s="294"/>
      <c r="DJH19" s="294"/>
      <c r="DJI19" s="294"/>
      <c r="DJJ19" s="294"/>
      <c r="DJK19" s="294"/>
      <c r="DJL19" s="294"/>
      <c r="DJM19" s="294"/>
      <c r="DJN19" s="294"/>
      <c r="DJO19" s="294"/>
      <c r="DJP19" s="294"/>
      <c r="DJQ19" s="294"/>
      <c r="DJR19" s="294"/>
      <c r="DJS19" s="294"/>
      <c r="DJT19" s="294"/>
      <c r="DJU19" s="294"/>
      <c r="DJV19" s="294"/>
      <c r="DJW19" s="294"/>
      <c r="DJX19" s="294"/>
      <c r="DJY19" s="294"/>
      <c r="DJZ19" s="294"/>
      <c r="DKA19" s="294"/>
      <c r="DKB19" s="294"/>
      <c r="DKC19" s="294"/>
      <c r="DKD19" s="294"/>
      <c r="DKE19" s="294"/>
      <c r="DKF19" s="294"/>
      <c r="DKG19" s="294"/>
      <c r="DKH19" s="294"/>
      <c r="DKI19" s="294"/>
      <c r="DKJ19" s="294"/>
      <c r="DKK19" s="294"/>
      <c r="DKL19" s="294"/>
      <c r="DKM19" s="294"/>
      <c r="DKN19" s="294"/>
      <c r="DKO19" s="294"/>
      <c r="DKP19" s="294"/>
      <c r="DKQ19" s="294"/>
      <c r="DKR19" s="294"/>
      <c r="DKS19" s="294"/>
      <c r="DKT19" s="294"/>
      <c r="DKU19" s="294"/>
      <c r="DKV19" s="294"/>
      <c r="DKW19" s="294"/>
      <c r="DKX19" s="294"/>
      <c r="DKY19" s="294"/>
      <c r="DKZ19" s="294"/>
      <c r="DLA19" s="294"/>
      <c r="DLB19" s="294"/>
      <c r="DLC19" s="294"/>
      <c r="DLD19" s="294"/>
      <c r="DLE19" s="294"/>
      <c r="DLF19" s="294"/>
      <c r="DLG19" s="294"/>
      <c r="DLH19" s="294"/>
      <c r="DLI19" s="294"/>
      <c r="DLJ19" s="294"/>
      <c r="DLK19" s="294"/>
      <c r="DLL19" s="294"/>
      <c r="DLM19" s="294"/>
      <c r="DLN19" s="294"/>
      <c r="DLO19" s="294"/>
      <c r="DLP19" s="294"/>
      <c r="DLQ19" s="294"/>
      <c r="DLR19" s="294"/>
      <c r="DLS19" s="294"/>
      <c r="DLT19" s="294"/>
      <c r="DLU19" s="294"/>
      <c r="DLV19" s="294"/>
      <c r="DLW19" s="294"/>
      <c r="DLX19" s="294"/>
      <c r="DLY19" s="294"/>
      <c r="DLZ19" s="294"/>
      <c r="DMA19" s="294"/>
      <c r="DMB19" s="294"/>
      <c r="DMC19" s="294"/>
      <c r="DMD19" s="294"/>
      <c r="DME19" s="294"/>
      <c r="DMF19" s="294"/>
      <c r="DMG19" s="294"/>
      <c r="DMH19" s="294"/>
      <c r="DMI19" s="294"/>
      <c r="DMJ19" s="294"/>
      <c r="DMK19" s="294"/>
      <c r="DML19" s="294"/>
      <c r="DMM19" s="294"/>
      <c r="DMN19" s="294"/>
      <c r="DMO19" s="294"/>
      <c r="DMP19" s="294"/>
      <c r="DMQ19" s="294"/>
      <c r="DMR19" s="294"/>
      <c r="DMS19" s="294"/>
      <c r="DMT19" s="294"/>
      <c r="DMU19" s="294"/>
      <c r="DMV19" s="294"/>
      <c r="DMW19" s="294"/>
      <c r="DMX19" s="294"/>
      <c r="DMY19" s="294"/>
      <c r="DMZ19" s="294"/>
      <c r="DNA19" s="294"/>
      <c r="DNB19" s="294"/>
      <c r="DNC19" s="294"/>
      <c r="DND19" s="294"/>
      <c r="DNE19" s="294"/>
      <c r="DNF19" s="294"/>
      <c r="DNG19" s="294"/>
      <c r="DNH19" s="294"/>
      <c r="DNI19" s="294"/>
      <c r="DNJ19" s="294"/>
      <c r="DNK19" s="294"/>
      <c r="DNL19" s="294"/>
      <c r="DNM19" s="294"/>
      <c r="DNN19" s="294"/>
      <c r="DNO19" s="294"/>
      <c r="DNP19" s="294"/>
      <c r="DNQ19" s="294"/>
      <c r="DNR19" s="294"/>
      <c r="DNS19" s="294"/>
      <c r="DNT19" s="294"/>
      <c r="DNU19" s="294"/>
      <c r="DNV19" s="294"/>
      <c r="DNW19" s="294"/>
      <c r="DNX19" s="294"/>
      <c r="DNY19" s="294"/>
      <c r="DNZ19" s="294"/>
      <c r="DOA19" s="294"/>
      <c r="DOB19" s="294"/>
      <c r="DOC19" s="294"/>
      <c r="DOD19" s="294"/>
      <c r="DOE19" s="294"/>
      <c r="DOF19" s="294"/>
      <c r="DOG19" s="294"/>
      <c r="DOH19" s="294"/>
      <c r="DOI19" s="294"/>
      <c r="DOJ19" s="294"/>
      <c r="DOK19" s="294"/>
      <c r="DOL19" s="294"/>
      <c r="DOM19" s="294"/>
      <c r="DON19" s="294"/>
      <c r="DOO19" s="294"/>
      <c r="DOP19" s="294"/>
      <c r="DOQ19" s="294"/>
      <c r="DOR19" s="294"/>
      <c r="DOS19" s="294"/>
      <c r="DOT19" s="294"/>
      <c r="DOU19" s="294"/>
      <c r="DOV19" s="294"/>
      <c r="DOW19" s="294"/>
      <c r="DOX19" s="294"/>
      <c r="DOY19" s="294"/>
      <c r="DOZ19" s="294"/>
      <c r="DPA19" s="294"/>
      <c r="DPB19" s="294"/>
      <c r="DPC19" s="294"/>
      <c r="DPD19" s="294"/>
      <c r="DPE19" s="294"/>
      <c r="DPF19" s="294"/>
      <c r="DPG19" s="294"/>
      <c r="DPH19" s="294"/>
      <c r="DPI19" s="294"/>
      <c r="DPJ19" s="294"/>
      <c r="DPK19" s="294"/>
      <c r="DPL19" s="294"/>
      <c r="DPM19" s="294"/>
      <c r="DPN19" s="294"/>
      <c r="DPO19" s="294"/>
      <c r="DPP19" s="294"/>
      <c r="DPQ19" s="294"/>
      <c r="DPR19" s="294"/>
      <c r="DPS19" s="294"/>
      <c r="DPT19" s="294"/>
      <c r="DPU19" s="294"/>
      <c r="DPV19" s="294"/>
      <c r="DPW19" s="294"/>
      <c r="DPX19" s="294"/>
      <c r="DPY19" s="294"/>
      <c r="DPZ19" s="294"/>
      <c r="DQA19" s="294"/>
      <c r="DQB19" s="294"/>
      <c r="DQC19" s="294"/>
      <c r="DQD19" s="294"/>
      <c r="DQE19" s="294"/>
      <c r="DQF19" s="294"/>
      <c r="DQG19" s="294"/>
      <c r="DQH19" s="294"/>
      <c r="DQI19" s="294"/>
      <c r="DQJ19" s="294"/>
      <c r="DQK19" s="294"/>
      <c r="DQL19" s="294"/>
      <c r="DQM19" s="294"/>
      <c r="DQN19" s="294"/>
      <c r="DQO19" s="294"/>
      <c r="DQP19" s="294"/>
      <c r="DQQ19" s="294"/>
      <c r="DQR19" s="294"/>
      <c r="DQS19" s="294"/>
      <c r="DQT19" s="294"/>
      <c r="DQU19" s="294"/>
      <c r="DQV19" s="294"/>
      <c r="DQW19" s="294"/>
      <c r="DQX19" s="294"/>
      <c r="DQY19" s="294"/>
      <c r="DQZ19" s="294"/>
      <c r="DRA19" s="294"/>
      <c r="DRB19" s="294"/>
      <c r="DRC19" s="294"/>
      <c r="DRD19" s="294"/>
      <c r="DRE19" s="294"/>
      <c r="DRF19" s="294"/>
      <c r="DRG19" s="294"/>
      <c r="DRH19" s="294"/>
      <c r="DRI19" s="294"/>
      <c r="DRJ19" s="294"/>
      <c r="DRK19" s="294"/>
      <c r="DRL19" s="294"/>
      <c r="DRM19" s="294"/>
      <c r="DRN19" s="294"/>
      <c r="DRO19" s="294"/>
      <c r="DRP19" s="294"/>
      <c r="DRQ19" s="294"/>
      <c r="DRR19" s="294"/>
      <c r="DRS19" s="294"/>
      <c r="DRT19" s="294"/>
      <c r="DRU19" s="294"/>
      <c r="DRV19" s="294"/>
      <c r="DRW19" s="294"/>
      <c r="DRX19" s="294"/>
      <c r="DRY19" s="294"/>
      <c r="DRZ19" s="294"/>
      <c r="DSA19" s="294"/>
      <c r="DSB19" s="294"/>
      <c r="DSC19" s="294"/>
      <c r="DSD19" s="294"/>
      <c r="DSE19" s="294"/>
      <c r="DSF19" s="294"/>
      <c r="DSG19" s="294"/>
      <c r="DSH19" s="294"/>
      <c r="DSI19" s="294"/>
      <c r="DSJ19" s="294"/>
      <c r="DSK19" s="294"/>
      <c r="DSL19" s="294"/>
      <c r="DSM19" s="294"/>
      <c r="DSN19" s="294"/>
      <c r="DSO19" s="294"/>
      <c r="DSP19" s="294"/>
      <c r="DSQ19" s="294"/>
      <c r="DSR19" s="294"/>
      <c r="DSS19" s="294"/>
      <c r="DST19" s="294"/>
      <c r="DSU19" s="294"/>
      <c r="DSV19" s="294"/>
      <c r="DSW19" s="294"/>
      <c r="DSX19" s="294"/>
      <c r="DSY19" s="294"/>
      <c r="DSZ19" s="294"/>
      <c r="DTA19" s="294"/>
      <c r="DTB19" s="294"/>
      <c r="DTC19" s="294"/>
      <c r="DTD19" s="294"/>
      <c r="DTE19" s="294"/>
      <c r="DTF19" s="294"/>
      <c r="DTG19" s="294"/>
      <c r="DTH19" s="294"/>
      <c r="DTI19" s="294"/>
      <c r="DTJ19" s="294"/>
      <c r="DTK19" s="294"/>
      <c r="DTL19" s="294"/>
      <c r="DTM19" s="294"/>
      <c r="DTN19" s="294"/>
      <c r="DTO19" s="294"/>
      <c r="DTP19" s="294"/>
      <c r="DTQ19" s="294"/>
      <c r="DTR19" s="294"/>
      <c r="DTS19" s="294"/>
      <c r="DTT19" s="294"/>
      <c r="DTU19" s="294"/>
      <c r="DTV19" s="294"/>
      <c r="DTW19" s="294"/>
      <c r="DTX19" s="294"/>
      <c r="DTY19" s="294"/>
      <c r="DTZ19" s="294"/>
      <c r="DUA19" s="294"/>
      <c r="DUB19" s="294"/>
      <c r="DUC19" s="294"/>
      <c r="DUD19" s="294"/>
      <c r="DUE19" s="294"/>
      <c r="DUF19" s="294"/>
      <c r="DUG19" s="294"/>
      <c r="DUH19" s="294"/>
      <c r="DUI19" s="294"/>
      <c r="DUJ19" s="294"/>
      <c r="DUK19" s="294"/>
      <c r="DUL19" s="294"/>
      <c r="DUM19" s="294"/>
      <c r="DUN19" s="294"/>
      <c r="DUO19" s="294"/>
      <c r="DUP19" s="294"/>
      <c r="DUQ19" s="294"/>
      <c r="DUR19" s="294"/>
      <c r="DUS19" s="294"/>
      <c r="DUT19" s="294"/>
      <c r="DUU19" s="294"/>
      <c r="DUV19" s="294"/>
      <c r="DUW19" s="294"/>
      <c r="DUX19" s="294"/>
      <c r="DUY19" s="294"/>
      <c r="DUZ19" s="294"/>
      <c r="DVA19" s="294"/>
      <c r="DVB19" s="294"/>
      <c r="DVC19" s="294"/>
      <c r="DVD19" s="294"/>
      <c r="DVE19" s="294"/>
      <c r="DVF19" s="294"/>
      <c r="DVG19" s="294"/>
      <c r="DVH19" s="294"/>
      <c r="DVI19" s="294"/>
      <c r="DVJ19" s="294"/>
      <c r="DVK19" s="294"/>
      <c r="DVL19" s="294"/>
      <c r="DVM19" s="294"/>
      <c r="DVN19" s="294"/>
      <c r="DVO19" s="294"/>
      <c r="DVP19" s="294"/>
      <c r="DVQ19" s="294"/>
      <c r="DVR19" s="294"/>
      <c r="DVS19" s="294"/>
      <c r="DVT19" s="294"/>
      <c r="DVU19" s="294"/>
      <c r="DVV19" s="294"/>
      <c r="DVW19" s="294"/>
      <c r="DVX19" s="294"/>
      <c r="DVY19" s="294"/>
      <c r="DVZ19" s="294"/>
      <c r="DWA19" s="294"/>
      <c r="DWB19" s="294"/>
      <c r="DWC19" s="294"/>
      <c r="DWD19" s="294"/>
      <c r="DWE19" s="294"/>
      <c r="DWF19" s="294"/>
      <c r="DWG19" s="294"/>
      <c r="DWH19" s="294"/>
      <c r="DWI19" s="294"/>
      <c r="DWJ19" s="294"/>
      <c r="DWK19" s="294"/>
      <c r="DWL19" s="294"/>
      <c r="DWM19" s="294"/>
      <c r="DWN19" s="294"/>
      <c r="DWO19" s="294"/>
      <c r="DWP19" s="294"/>
      <c r="DWQ19" s="294"/>
      <c r="DWR19" s="294"/>
      <c r="DWS19" s="294"/>
      <c r="DWT19" s="294"/>
      <c r="DWU19" s="294"/>
      <c r="DWV19" s="294"/>
      <c r="DWW19" s="294"/>
      <c r="DWX19" s="294"/>
      <c r="DWY19" s="294"/>
      <c r="DWZ19" s="294"/>
      <c r="DXA19" s="294"/>
      <c r="DXB19" s="294"/>
      <c r="DXC19" s="294"/>
      <c r="DXD19" s="294"/>
      <c r="DXE19" s="294"/>
      <c r="DXF19" s="294"/>
      <c r="DXG19" s="294"/>
      <c r="DXH19" s="294"/>
      <c r="DXI19" s="294"/>
      <c r="DXJ19" s="294"/>
      <c r="DXK19" s="294"/>
      <c r="DXL19" s="294"/>
      <c r="DXM19" s="294"/>
      <c r="DXN19" s="294"/>
      <c r="DXO19" s="294"/>
      <c r="DXP19" s="294"/>
      <c r="DXQ19" s="294"/>
      <c r="DXR19" s="294"/>
      <c r="DXS19" s="294"/>
      <c r="DXT19" s="294"/>
      <c r="DXU19" s="294"/>
      <c r="DXV19" s="294"/>
      <c r="DXW19" s="294"/>
      <c r="DXX19" s="294"/>
      <c r="DXY19" s="294"/>
      <c r="DXZ19" s="294"/>
      <c r="DYA19" s="294"/>
      <c r="DYB19" s="294"/>
      <c r="DYC19" s="294"/>
      <c r="DYD19" s="294"/>
      <c r="DYE19" s="294"/>
      <c r="DYF19" s="294"/>
      <c r="DYG19" s="294"/>
      <c r="DYH19" s="294"/>
      <c r="DYI19" s="294"/>
      <c r="DYJ19" s="294"/>
      <c r="DYK19" s="294"/>
      <c r="DYL19" s="294"/>
      <c r="DYM19" s="294"/>
      <c r="DYN19" s="294"/>
      <c r="DYO19" s="294"/>
      <c r="DYP19" s="294"/>
      <c r="DYQ19" s="294"/>
      <c r="DYR19" s="294"/>
      <c r="DYS19" s="294"/>
      <c r="DYT19" s="294"/>
      <c r="DYU19" s="294"/>
      <c r="DYV19" s="294"/>
      <c r="DYW19" s="294"/>
      <c r="DYX19" s="294"/>
      <c r="DYY19" s="294"/>
      <c r="DYZ19" s="294"/>
      <c r="DZA19" s="294"/>
      <c r="DZB19" s="294"/>
      <c r="DZC19" s="294"/>
      <c r="DZD19" s="294"/>
      <c r="DZE19" s="294"/>
      <c r="DZF19" s="294"/>
      <c r="DZG19" s="294"/>
      <c r="DZH19" s="294"/>
      <c r="DZI19" s="294"/>
      <c r="DZJ19" s="294"/>
      <c r="DZK19" s="294"/>
      <c r="DZL19" s="294"/>
      <c r="DZM19" s="294"/>
      <c r="DZN19" s="294"/>
      <c r="DZO19" s="294"/>
      <c r="DZP19" s="294"/>
      <c r="DZQ19" s="294"/>
      <c r="DZR19" s="294"/>
      <c r="DZS19" s="294"/>
      <c r="DZT19" s="294"/>
      <c r="DZU19" s="294"/>
      <c r="DZV19" s="294"/>
      <c r="DZW19" s="294"/>
      <c r="DZX19" s="294"/>
      <c r="DZY19" s="294"/>
      <c r="DZZ19" s="294"/>
      <c r="EAA19" s="294"/>
      <c r="EAB19" s="294"/>
      <c r="EAC19" s="294"/>
      <c r="EAD19" s="294"/>
      <c r="EAE19" s="294"/>
      <c r="EAF19" s="294"/>
      <c r="EAG19" s="294"/>
      <c r="EAH19" s="294"/>
      <c r="EAI19" s="294"/>
      <c r="EAJ19" s="294"/>
      <c r="EAK19" s="294"/>
      <c r="EAL19" s="294"/>
      <c r="EAM19" s="294"/>
      <c r="EAN19" s="294"/>
      <c r="EAO19" s="294"/>
      <c r="EAP19" s="294"/>
      <c r="EAQ19" s="294"/>
      <c r="EAR19" s="294"/>
      <c r="EAS19" s="294"/>
      <c r="EAT19" s="294"/>
      <c r="EAU19" s="294"/>
      <c r="EAV19" s="294"/>
      <c r="EAW19" s="294"/>
      <c r="EAX19" s="294"/>
      <c r="EAY19" s="294"/>
      <c r="EAZ19" s="294"/>
      <c r="EBA19" s="294"/>
      <c r="EBB19" s="294"/>
      <c r="EBC19" s="294"/>
      <c r="EBD19" s="294"/>
      <c r="EBE19" s="294"/>
      <c r="EBF19" s="294"/>
      <c r="EBG19" s="294"/>
      <c r="EBH19" s="294"/>
      <c r="EBI19" s="294"/>
      <c r="EBJ19" s="294"/>
      <c r="EBK19" s="294"/>
      <c r="EBL19" s="294"/>
      <c r="EBM19" s="294"/>
      <c r="EBN19" s="294"/>
      <c r="EBO19" s="294"/>
      <c r="EBP19" s="294"/>
      <c r="EBQ19" s="294"/>
      <c r="EBR19" s="294"/>
      <c r="EBS19" s="294"/>
      <c r="EBT19" s="294"/>
      <c r="EBU19" s="294"/>
      <c r="EBV19" s="294"/>
      <c r="EBW19" s="294"/>
      <c r="EBX19" s="294"/>
      <c r="EBY19" s="294"/>
      <c r="EBZ19" s="294"/>
      <c r="ECA19" s="294"/>
      <c r="ECB19" s="294"/>
      <c r="ECC19" s="294"/>
      <c r="ECD19" s="294"/>
      <c r="ECE19" s="294"/>
      <c r="ECF19" s="294"/>
      <c r="ECG19" s="294"/>
      <c r="ECH19" s="294"/>
      <c r="ECI19" s="294"/>
      <c r="ECJ19" s="294"/>
      <c r="ECK19" s="294"/>
      <c r="ECL19" s="294"/>
      <c r="ECM19" s="294"/>
      <c r="ECN19" s="294"/>
      <c r="ECO19" s="294"/>
      <c r="ECP19" s="294"/>
      <c r="ECQ19" s="294"/>
      <c r="ECR19" s="294"/>
      <c r="ECS19" s="294"/>
      <c r="ECT19" s="294"/>
      <c r="ECU19" s="294"/>
      <c r="ECV19" s="294"/>
      <c r="ECW19" s="294"/>
      <c r="ECX19" s="294"/>
      <c r="ECY19" s="294"/>
      <c r="ECZ19" s="294"/>
      <c r="EDA19" s="294"/>
      <c r="EDB19" s="294"/>
      <c r="EDC19" s="294"/>
      <c r="EDD19" s="294"/>
      <c r="EDE19" s="294"/>
      <c r="EDF19" s="294"/>
      <c r="EDG19" s="294"/>
      <c r="EDH19" s="294"/>
      <c r="EDI19" s="294"/>
      <c r="EDJ19" s="294"/>
      <c r="EDK19" s="294"/>
      <c r="EDL19" s="294"/>
      <c r="EDM19" s="294"/>
      <c r="EDN19" s="294"/>
      <c r="EDO19" s="294"/>
      <c r="EDP19" s="294"/>
      <c r="EDQ19" s="294"/>
      <c r="EDR19" s="294"/>
      <c r="EDS19" s="294"/>
      <c r="EDT19" s="294"/>
      <c r="EDU19" s="294"/>
      <c r="EDV19" s="294"/>
      <c r="EDW19" s="294"/>
      <c r="EDX19" s="294"/>
      <c r="EDY19" s="294"/>
      <c r="EDZ19" s="294"/>
      <c r="EEA19" s="294"/>
      <c r="EEB19" s="294"/>
      <c r="EEC19" s="294"/>
      <c r="EED19" s="294"/>
      <c r="EEE19" s="294"/>
      <c r="EEF19" s="294"/>
      <c r="EEG19" s="294"/>
      <c r="EEH19" s="294"/>
      <c r="EEI19" s="294"/>
      <c r="EEJ19" s="294"/>
      <c r="EEK19" s="294"/>
      <c r="EEL19" s="294"/>
      <c r="EEM19" s="294"/>
      <c r="EEN19" s="294"/>
      <c r="EEO19" s="294"/>
      <c r="EEP19" s="294"/>
      <c r="EEQ19" s="294"/>
      <c r="EER19" s="294"/>
      <c r="EES19" s="294"/>
      <c r="EET19" s="294"/>
      <c r="EEU19" s="294"/>
      <c r="EEV19" s="294"/>
      <c r="EEW19" s="294"/>
      <c r="EEX19" s="294"/>
      <c r="EEY19" s="294"/>
      <c r="EEZ19" s="294"/>
      <c r="EFA19" s="294"/>
      <c r="EFB19" s="294"/>
      <c r="EFC19" s="294"/>
      <c r="EFD19" s="294"/>
      <c r="EFE19" s="294"/>
      <c r="EFF19" s="294"/>
      <c r="EFG19" s="294"/>
      <c r="EFH19" s="294"/>
      <c r="EFI19" s="294"/>
      <c r="EFJ19" s="294"/>
      <c r="EFK19" s="294"/>
      <c r="EFL19" s="294"/>
      <c r="EFM19" s="294"/>
      <c r="EFN19" s="294"/>
      <c r="EFO19" s="294"/>
      <c r="EFP19" s="294"/>
      <c r="EFQ19" s="294"/>
      <c r="EFR19" s="294"/>
      <c r="EFS19" s="294"/>
      <c r="EFT19" s="294"/>
      <c r="EFU19" s="294"/>
      <c r="EFV19" s="294"/>
      <c r="EFW19" s="294"/>
      <c r="EFX19" s="294"/>
      <c r="EFY19" s="294"/>
      <c r="EFZ19" s="294"/>
      <c r="EGA19" s="294"/>
      <c r="EGB19" s="294"/>
      <c r="EGC19" s="294"/>
      <c r="EGD19" s="294"/>
      <c r="EGE19" s="294"/>
      <c r="EGF19" s="294"/>
      <c r="EGG19" s="294"/>
      <c r="EGH19" s="294"/>
      <c r="EGI19" s="294"/>
      <c r="EGJ19" s="294"/>
      <c r="EGK19" s="294"/>
      <c r="EGL19" s="294"/>
      <c r="EGM19" s="294"/>
      <c r="EGN19" s="294"/>
      <c r="EGO19" s="294"/>
      <c r="EGP19" s="294"/>
      <c r="EGQ19" s="294"/>
      <c r="EGR19" s="294"/>
      <c r="EGS19" s="294"/>
      <c r="EGT19" s="294"/>
      <c r="EGU19" s="294"/>
      <c r="EGV19" s="294"/>
      <c r="EGW19" s="294"/>
      <c r="EGX19" s="294"/>
      <c r="EGY19" s="294"/>
      <c r="EGZ19" s="294"/>
      <c r="EHA19" s="294"/>
      <c r="EHB19" s="294"/>
      <c r="EHC19" s="294"/>
      <c r="EHD19" s="294"/>
      <c r="EHE19" s="294"/>
      <c r="EHF19" s="294"/>
      <c r="EHG19" s="294"/>
      <c r="EHH19" s="294"/>
      <c r="EHI19" s="294"/>
      <c r="EHJ19" s="294"/>
      <c r="EHK19" s="294"/>
      <c r="EHL19" s="294"/>
      <c r="EHM19" s="294"/>
      <c r="EHN19" s="294"/>
      <c r="EHO19" s="294"/>
      <c r="EHP19" s="294"/>
      <c r="EHQ19" s="294"/>
      <c r="EHR19" s="294"/>
      <c r="EHS19" s="294"/>
      <c r="EHT19" s="294"/>
      <c r="EHU19" s="294"/>
      <c r="EHV19" s="294"/>
      <c r="EHW19" s="294"/>
      <c r="EHX19" s="294"/>
      <c r="EHY19" s="294"/>
      <c r="EHZ19" s="294"/>
      <c r="EIA19" s="294"/>
      <c r="EIB19" s="294"/>
      <c r="EIC19" s="294"/>
      <c r="EID19" s="294"/>
      <c r="EIE19" s="294"/>
      <c r="EIF19" s="294"/>
      <c r="EIG19" s="294"/>
      <c r="EIH19" s="294"/>
      <c r="EII19" s="294"/>
      <c r="EIJ19" s="294"/>
      <c r="EIK19" s="294"/>
      <c r="EIL19" s="294"/>
      <c r="EIM19" s="294"/>
      <c r="EIN19" s="294"/>
      <c r="EIO19" s="294"/>
      <c r="EIP19" s="294"/>
      <c r="EIQ19" s="294"/>
      <c r="EIR19" s="294"/>
      <c r="EIS19" s="294"/>
      <c r="EIT19" s="294"/>
      <c r="EIU19" s="294"/>
      <c r="EIV19" s="294"/>
      <c r="EIW19" s="294"/>
      <c r="EIX19" s="294"/>
      <c r="EIY19" s="294"/>
      <c r="EIZ19" s="294"/>
      <c r="EJA19" s="294"/>
      <c r="EJB19" s="294"/>
      <c r="EJC19" s="294"/>
      <c r="EJD19" s="294"/>
      <c r="EJE19" s="294"/>
      <c r="EJF19" s="294"/>
      <c r="EJG19" s="294"/>
      <c r="EJH19" s="294"/>
      <c r="EJI19" s="294"/>
      <c r="EJJ19" s="294"/>
      <c r="EJK19" s="294"/>
      <c r="EJL19" s="294"/>
      <c r="EJM19" s="294"/>
      <c r="EJN19" s="294"/>
      <c r="EJO19" s="294"/>
      <c r="EJP19" s="294"/>
      <c r="EJQ19" s="294"/>
      <c r="EJR19" s="294"/>
      <c r="EJS19" s="294"/>
      <c r="EJT19" s="294"/>
      <c r="EJU19" s="294"/>
      <c r="EJV19" s="294"/>
      <c r="EJW19" s="294"/>
      <c r="EJX19" s="294"/>
      <c r="EJY19" s="294"/>
      <c r="EJZ19" s="294"/>
      <c r="EKA19" s="294"/>
      <c r="EKB19" s="294"/>
      <c r="EKC19" s="294"/>
      <c r="EKD19" s="294"/>
      <c r="EKE19" s="294"/>
      <c r="EKF19" s="294"/>
      <c r="EKG19" s="294"/>
      <c r="EKH19" s="294"/>
      <c r="EKI19" s="294"/>
      <c r="EKJ19" s="294"/>
      <c r="EKK19" s="294"/>
      <c r="EKL19" s="294"/>
      <c r="EKM19" s="294"/>
      <c r="EKN19" s="294"/>
      <c r="EKO19" s="294"/>
      <c r="EKP19" s="294"/>
      <c r="EKQ19" s="294"/>
      <c r="EKR19" s="294"/>
      <c r="EKS19" s="294"/>
      <c r="EKT19" s="294"/>
      <c r="EKU19" s="294"/>
      <c r="EKV19" s="294"/>
      <c r="EKW19" s="294"/>
      <c r="EKX19" s="294"/>
      <c r="EKY19" s="294"/>
      <c r="EKZ19" s="294"/>
      <c r="ELA19" s="294"/>
      <c r="ELB19" s="294"/>
      <c r="ELC19" s="294"/>
      <c r="ELD19" s="294"/>
      <c r="ELE19" s="294"/>
      <c r="ELF19" s="294"/>
      <c r="ELG19" s="294"/>
      <c r="ELH19" s="294"/>
      <c r="ELI19" s="294"/>
      <c r="ELJ19" s="294"/>
      <c r="ELK19" s="294"/>
      <c r="ELL19" s="294"/>
      <c r="ELM19" s="294"/>
      <c r="ELN19" s="294"/>
      <c r="ELO19" s="294"/>
      <c r="ELP19" s="294"/>
      <c r="ELQ19" s="294"/>
      <c r="ELR19" s="294"/>
      <c r="ELS19" s="294"/>
      <c r="ELT19" s="294"/>
      <c r="ELU19" s="294"/>
      <c r="ELV19" s="294"/>
      <c r="ELW19" s="294"/>
      <c r="ELX19" s="294"/>
      <c r="ELY19" s="294"/>
      <c r="ELZ19" s="294"/>
      <c r="EMA19" s="294"/>
      <c r="EMB19" s="294"/>
      <c r="EMC19" s="294"/>
      <c r="EMD19" s="294"/>
      <c r="EME19" s="294"/>
      <c r="EMF19" s="294"/>
      <c r="EMG19" s="294"/>
      <c r="EMH19" s="294"/>
      <c r="EMI19" s="294"/>
      <c r="EMJ19" s="294"/>
      <c r="EMK19" s="294"/>
      <c r="EML19" s="294"/>
      <c r="EMM19" s="294"/>
      <c r="EMN19" s="294"/>
      <c r="EMO19" s="294"/>
      <c r="EMP19" s="294"/>
      <c r="EMQ19" s="294"/>
      <c r="EMR19" s="294"/>
      <c r="EMS19" s="294"/>
      <c r="EMT19" s="294"/>
      <c r="EMU19" s="294"/>
      <c r="EMV19" s="294"/>
      <c r="EMW19" s="294"/>
      <c r="EMX19" s="294"/>
      <c r="EMY19" s="294"/>
      <c r="EMZ19" s="294"/>
      <c r="ENA19" s="294"/>
      <c r="ENB19" s="294"/>
      <c r="ENC19" s="294"/>
      <c r="END19" s="294"/>
      <c r="ENE19" s="294"/>
      <c r="ENF19" s="294"/>
      <c r="ENG19" s="294"/>
      <c r="ENH19" s="294"/>
      <c r="ENI19" s="294"/>
      <c r="ENJ19" s="294"/>
      <c r="ENK19" s="294"/>
      <c r="ENL19" s="294"/>
      <c r="ENM19" s="294"/>
      <c r="ENN19" s="294"/>
      <c r="ENO19" s="294"/>
      <c r="ENP19" s="294"/>
      <c r="ENQ19" s="294"/>
      <c r="ENR19" s="294"/>
      <c r="ENS19" s="294"/>
      <c r="ENT19" s="294"/>
      <c r="ENU19" s="294"/>
      <c r="ENV19" s="294"/>
      <c r="ENW19" s="294"/>
      <c r="ENX19" s="294"/>
      <c r="ENY19" s="294"/>
      <c r="ENZ19" s="294"/>
      <c r="EOA19" s="294"/>
      <c r="EOB19" s="294"/>
      <c r="EOC19" s="294"/>
      <c r="EOD19" s="294"/>
      <c r="EOE19" s="294"/>
      <c r="EOF19" s="294"/>
      <c r="EOG19" s="294"/>
      <c r="EOH19" s="294"/>
      <c r="EOI19" s="294"/>
      <c r="EOJ19" s="294"/>
      <c r="EOK19" s="294"/>
      <c r="EOL19" s="294"/>
      <c r="EOM19" s="294"/>
      <c r="EON19" s="294"/>
      <c r="EOO19" s="294"/>
      <c r="EOP19" s="294"/>
      <c r="EOQ19" s="294"/>
      <c r="EOR19" s="294"/>
      <c r="EOS19" s="294"/>
      <c r="EOT19" s="294"/>
      <c r="EOU19" s="294"/>
      <c r="EOV19" s="294"/>
      <c r="EOW19" s="294"/>
      <c r="EOX19" s="294"/>
      <c r="EOY19" s="294"/>
      <c r="EOZ19" s="294"/>
      <c r="EPA19" s="294"/>
      <c r="EPB19" s="294"/>
      <c r="EPC19" s="294"/>
      <c r="EPD19" s="294"/>
      <c r="EPE19" s="294"/>
      <c r="EPF19" s="294"/>
      <c r="EPG19" s="294"/>
      <c r="EPH19" s="294"/>
      <c r="EPI19" s="294"/>
      <c r="EPJ19" s="294"/>
      <c r="EPK19" s="294"/>
      <c r="EPL19" s="294"/>
      <c r="EPM19" s="294"/>
      <c r="EPN19" s="294"/>
      <c r="EPO19" s="294"/>
      <c r="EPP19" s="294"/>
      <c r="EPQ19" s="294"/>
      <c r="EPR19" s="294"/>
      <c r="EPS19" s="294"/>
      <c r="EPT19" s="294"/>
      <c r="EPU19" s="294"/>
      <c r="EPV19" s="294"/>
      <c r="EPW19" s="294"/>
      <c r="EPX19" s="294"/>
      <c r="EPY19" s="294"/>
      <c r="EPZ19" s="294"/>
      <c r="EQA19" s="294"/>
      <c r="EQB19" s="294"/>
      <c r="EQC19" s="294"/>
      <c r="EQD19" s="294"/>
      <c r="EQE19" s="294"/>
      <c r="EQF19" s="294"/>
      <c r="EQG19" s="294"/>
      <c r="EQH19" s="294"/>
      <c r="EQI19" s="294"/>
      <c r="EQJ19" s="294"/>
      <c r="EQK19" s="294"/>
      <c r="EQL19" s="294"/>
      <c r="EQM19" s="294"/>
      <c r="EQN19" s="294"/>
      <c r="EQO19" s="294"/>
      <c r="EQP19" s="294"/>
      <c r="EQQ19" s="294"/>
      <c r="EQR19" s="294"/>
      <c r="EQS19" s="294"/>
      <c r="EQT19" s="294"/>
      <c r="EQU19" s="294"/>
      <c r="EQV19" s="294"/>
      <c r="EQW19" s="294"/>
      <c r="EQX19" s="294"/>
      <c r="EQY19" s="294"/>
      <c r="EQZ19" s="294"/>
      <c r="ERA19" s="294"/>
      <c r="ERB19" s="294"/>
      <c r="ERC19" s="294"/>
      <c r="ERD19" s="294"/>
      <c r="ERE19" s="294"/>
      <c r="ERF19" s="294"/>
      <c r="ERG19" s="294"/>
      <c r="ERH19" s="294"/>
      <c r="ERI19" s="294"/>
      <c r="ERJ19" s="294"/>
      <c r="ERK19" s="294"/>
      <c r="ERL19" s="294"/>
      <c r="ERM19" s="294"/>
      <c r="ERN19" s="294"/>
      <c r="ERO19" s="294"/>
      <c r="ERP19" s="294"/>
      <c r="ERQ19" s="294"/>
      <c r="ERR19" s="294"/>
      <c r="ERS19" s="294"/>
      <c r="ERT19" s="294"/>
      <c r="ERU19" s="294"/>
      <c r="ERV19" s="294"/>
      <c r="ERW19" s="294"/>
      <c r="ERX19" s="294"/>
      <c r="ERY19" s="294"/>
      <c r="ERZ19" s="294"/>
      <c r="ESA19" s="294"/>
      <c r="ESB19" s="294"/>
      <c r="ESC19" s="294"/>
      <c r="ESD19" s="294"/>
      <c r="ESE19" s="294"/>
      <c r="ESF19" s="294"/>
      <c r="ESG19" s="294"/>
      <c r="ESH19" s="294"/>
      <c r="ESI19" s="294"/>
      <c r="ESJ19" s="294"/>
      <c r="ESK19" s="294"/>
      <c r="ESL19" s="294"/>
      <c r="ESM19" s="294"/>
      <c r="ESN19" s="294"/>
      <c r="ESO19" s="294"/>
      <c r="ESP19" s="294"/>
      <c r="ESQ19" s="294"/>
      <c r="ESR19" s="294"/>
      <c r="ESS19" s="294"/>
      <c r="EST19" s="294"/>
      <c r="ESU19" s="294"/>
      <c r="ESV19" s="294"/>
      <c r="ESW19" s="294"/>
      <c r="ESX19" s="294"/>
      <c r="ESY19" s="294"/>
      <c r="ESZ19" s="294"/>
      <c r="ETA19" s="294"/>
      <c r="ETB19" s="294"/>
      <c r="ETC19" s="294"/>
      <c r="ETD19" s="294"/>
      <c r="ETE19" s="294"/>
      <c r="ETF19" s="294"/>
      <c r="ETG19" s="294"/>
      <c r="ETH19" s="294"/>
      <c r="ETI19" s="294"/>
      <c r="ETJ19" s="294"/>
      <c r="ETK19" s="294"/>
      <c r="ETL19" s="294"/>
      <c r="ETM19" s="294"/>
      <c r="ETN19" s="294"/>
      <c r="ETO19" s="294"/>
      <c r="ETP19" s="294"/>
      <c r="ETQ19" s="294"/>
      <c r="ETR19" s="294"/>
      <c r="ETS19" s="294"/>
      <c r="ETT19" s="294"/>
      <c r="ETU19" s="294"/>
      <c r="ETV19" s="294"/>
      <c r="ETW19" s="294"/>
      <c r="ETX19" s="294"/>
      <c r="ETY19" s="294"/>
      <c r="ETZ19" s="294"/>
      <c r="EUA19" s="294"/>
      <c r="EUB19" s="294"/>
      <c r="EUC19" s="294"/>
      <c r="EUD19" s="294"/>
      <c r="EUE19" s="294"/>
      <c r="EUF19" s="294"/>
      <c r="EUG19" s="294"/>
      <c r="EUH19" s="294"/>
      <c r="EUI19" s="294"/>
      <c r="EUJ19" s="294"/>
      <c r="EUK19" s="294"/>
      <c r="EUL19" s="294"/>
      <c r="EUM19" s="294"/>
      <c r="EUN19" s="294"/>
      <c r="EUO19" s="294"/>
      <c r="EUP19" s="294"/>
      <c r="EUQ19" s="294"/>
      <c r="EUR19" s="294"/>
      <c r="EUS19" s="294"/>
      <c r="EUT19" s="294"/>
      <c r="EUU19" s="294"/>
      <c r="EUV19" s="294"/>
      <c r="EUW19" s="294"/>
      <c r="EUX19" s="294"/>
      <c r="EUY19" s="294"/>
      <c r="EUZ19" s="294"/>
      <c r="EVA19" s="294"/>
      <c r="EVB19" s="294"/>
      <c r="EVC19" s="294"/>
      <c r="EVD19" s="294"/>
      <c r="EVE19" s="294"/>
      <c r="EVF19" s="294"/>
      <c r="EVG19" s="294"/>
      <c r="EVH19" s="294"/>
      <c r="EVI19" s="294"/>
      <c r="EVJ19" s="294"/>
      <c r="EVK19" s="294"/>
      <c r="EVL19" s="294"/>
      <c r="EVM19" s="294"/>
      <c r="EVN19" s="294"/>
      <c r="EVO19" s="294"/>
      <c r="EVP19" s="294"/>
      <c r="EVQ19" s="294"/>
      <c r="EVR19" s="294"/>
      <c r="EVS19" s="294"/>
      <c r="EVT19" s="294"/>
      <c r="EVU19" s="294"/>
      <c r="EVV19" s="294"/>
      <c r="EVW19" s="294"/>
      <c r="EVX19" s="294"/>
      <c r="EVY19" s="294"/>
      <c r="EVZ19" s="294"/>
      <c r="EWA19" s="294"/>
      <c r="EWB19" s="294"/>
      <c r="EWC19" s="294"/>
      <c r="EWD19" s="294"/>
      <c r="EWE19" s="294"/>
      <c r="EWF19" s="294"/>
      <c r="EWG19" s="294"/>
      <c r="EWH19" s="294"/>
      <c r="EWI19" s="294"/>
      <c r="EWJ19" s="294"/>
      <c r="EWK19" s="294"/>
      <c r="EWL19" s="294"/>
      <c r="EWM19" s="294"/>
      <c r="EWN19" s="294"/>
      <c r="EWO19" s="294"/>
      <c r="EWP19" s="294"/>
      <c r="EWQ19" s="294"/>
      <c r="EWR19" s="294"/>
      <c r="EWS19" s="294"/>
      <c r="EWT19" s="294"/>
      <c r="EWU19" s="294"/>
      <c r="EWV19" s="294"/>
      <c r="EWW19" s="294"/>
      <c r="EWX19" s="294"/>
      <c r="EWY19" s="294"/>
      <c r="EWZ19" s="294"/>
      <c r="EXA19" s="294"/>
      <c r="EXB19" s="294"/>
      <c r="EXC19" s="294"/>
      <c r="EXD19" s="294"/>
      <c r="EXE19" s="294"/>
      <c r="EXF19" s="294"/>
      <c r="EXG19" s="294"/>
      <c r="EXH19" s="294"/>
      <c r="EXI19" s="294"/>
      <c r="EXJ19" s="294"/>
      <c r="EXK19" s="294"/>
      <c r="EXL19" s="294"/>
      <c r="EXM19" s="294"/>
      <c r="EXN19" s="294"/>
      <c r="EXO19" s="294"/>
      <c r="EXP19" s="294"/>
      <c r="EXQ19" s="294"/>
      <c r="EXR19" s="294"/>
      <c r="EXS19" s="294"/>
      <c r="EXT19" s="294"/>
      <c r="EXU19" s="294"/>
      <c r="EXV19" s="294"/>
      <c r="EXW19" s="294"/>
      <c r="EXX19" s="294"/>
      <c r="EXY19" s="294"/>
      <c r="EXZ19" s="294"/>
      <c r="EYA19" s="294"/>
      <c r="EYB19" s="294"/>
      <c r="EYC19" s="294"/>
      <c r="EYD19" s="294"/>
      <c r="EYE19" s="294"/>
      <c r="EYF19" s="294"/>
      <c r="EYG19" s="294"/>
      <c r="EYH19" s="294"/>
      <c r="EYI19" s="294"/>
      <c r="EYJ19" s="294"/>
      <c r="EYK19" s="294"/>
      <c r="EYL19" s="294"/>
      <c r="EYM19" s="294"/>
      <c r="EYN19" s="294"/>
      <c r="EYO19" s="294"/>
      <c r="EYP19" s="294"/>
      <c r="EYQ19" s="294"/>
      <c r="EYR19" s="294"/>
      <c r="EYS19" s="294"/>
      <c r="EYT19" s="294"/>
      <c r="EYU19" s="294"/>
      <c r="EYV19" s="294"/>
      <c r="EYW19" s="294"/>
      <c r="EYX19" s="294"/>
      <c r="EYY19" s="294"/>
      <c r="EYZ19" s="294"/>
      <c r="EZA19" s="294"/>
      <c r="EZB19" s="294"/>
      <c r="EZC19" s="294"/>
      <c r="EZD19" s="294"/>
      <c r="EZE19" s="294"/>
      <c r="EZF19" s="294"/>
      <c r="EZG19" s="294"/>
      <c r="EZH19" s="294"/>
      <c r="EZI19" s="294"/>
      <c r="EZJ19" s="294"/>
      <c r="EZK19" s="294"/>
      <c r="EZL19" s="294"/>
      <c r="EZM19" s="294"/>
      <c r="EZN19" s="294"/>
      <c r="EZO19" s="294"/>
      <c r="EZP19" s="294"/>
      <c r="EZQ19" s="294"/>
      <c r="EZR19" s="294"/>
      <c r="EZS19" s="294"/>
      <c r="EZT19" s="294"/>
      <c r="EZU19" s="294"/>
      <c r="EZV19" s="294"/>
      <c r="EZW19" s="294"/>
      <c r="EZX19" s="294"/>
      <c r="EZY19" s="294"/>
      <c r="EZZ19" s="294"/>
      <c r="FAA19" s="294"/>
      <c r="FAB19" s="294"/>
      <c r="FAC19" s="294"/>
      <c r="FAD19" s="294"/>
      <c r="FAE19" s="294"/>
      <c r="FAF19" s="294"/>
      <c r="FAG19" s="294"/>
      <c r="FAH19" s="294"/>
      <c r="FAI19" s="294"/>
      <c r="FAJ19" s="294"/>
      <c r="FAK19" s="294"/>
      <c r="FAL19" s="294"/>
      <c r="FAM19" s="294"/>
      <c r="FAN19" s="294"/>
      <c r="FAO19" s="294"/>
      <c r="FAP19" s="294"/>
      <c r="FAQ19" s="294"/>
      <c r="FAR19" s="294"/>
      <c r="FAS19" s="294"/>
      <c r="FAT19" s="294"/>
      <c r="FAU19" s="294"/>
      <c r="FAV19" s="294"/>
      <c r="FAW19" s="294"/>
      <c r="FAX19" s="294"/>
      <c r="FAY19" s="294"/>
      <c r="FAZ19" s="294"/>
      <c r="FBA19" s="294"/>
      <c r="FBB19" s="294"/>
      <c r="FBC19" s="294"/>
      <c r="FBD19" s="294"/>
      <c r="FBE19" s="294"/>
      <c r="FBF19" s="294"/>
      <c r="FBG19" s="294"/>
      <c r="FBH19" s="294"/>
      <c r="FBI19" s="294"/>
      <c r="FBJ19" s="294"/>
      <c r="FBK19" s="294"/>
      <c r="FBL19" s="294"/>
      <c r="FBM19" s="294"/>
      <c r="FBN19" s="294"/>
      <c r="FBO19" s="294"/>
      <c r="FBP19" s="294"/>
      <c r="FBQ19" s="294"/>
      <c r="FBR19" s="294"/>
      <c r="FBS19" s="294"/>
      <c r="FBT19" s="294"/>
      <c r="FBU19" s="294"/>
      <c r="FBV19" s="294"/>
      <c r="FBW19" s="294"/>
      <c r="FBX19" s="294"/>
      <c r="FBY19" s="294"/>
      <c r="FBZ19" s="294"/>
      <c r="FCA19" s="294"/>
      <c r="FCB19" s="294"/>
      <c r="FCC19" s="294"/>
      <c r="FCD19" s="294"/>
      <c r="FCE19" s="294"/>
      <c r="FCF19" s="294"/>
      <c r="FCG19" s="294"/>
      <c r="FCH19" s="294"/>
      <c r="FCI19" s="294"/>
      <c r="FCJ19" s="294"/>
      <c r="FCK19" s="294"/>
      <c r="FCL19" s="294"/>
      <c r="FCM19" s="294"/>
      <c r="FCN19" s="294"/>
      <c r="FCO19" s="294"/>
      <c r="FCP19" s="294"/>
      <c r="FCQ19" s="294"/>
      <c r="FCR19" s="294"/>
      <c r="FCS19" s="294"/>
      <c r="FCT19" s="294"/>
      <c r="FCU19" s="294"/>
      <c r="FCV19" s="294"/>
      <c r="FCW19" s="294"/>
      <c r="FCX19" s="294"/>
      <c r="FCY19" s="294"/>
      <c r="FCZ19" s="294"/>
      <c r="FDA19" s="294"/>
      <c r="FDB19" s="294"/>
      <c r="FDC19" s="294"/>
      <c r="FDD19" s="294"/>
      <c r="FDE19" s="294"/>
      <c r="FDF19" s="294"/>
      <c r="FDG19" s="294"/>
      <c r="FDH19" s="294"/>
      <c r="FDI19" s="294"/>
      <c r="FDJ19" s="294"/>
      <c r="FDK19" s="294"/>
      <c r="FDL19" s="294"/>
      <c r="FDM19" s="294"/>
      <c r="FDN19" s="294"/>
      <c r="FDO19" s="294"/>
      <c r="FDP19" s="294"/>
      <c r="FDQ19" s="294"/>
      <c r="FDR19" s="294"/>
      <c r="FDS19" s="294"/>
      <c r="FDT19" s="294"/>
      <c r="FDU19" s="294"/>
      <c r="FDV19" s="294"/>
      <c r="FDW19" s="294"/>
      <c r="FDX19" s="294"/>
      <c r="FDY19" s="294"/>
      <c r="FDZ19" s="294"/>
      <c r="FEA19" s="294"/>
      <c r="FEB19" s="294"/>
      <c r="FEC19" s="294"/>
      <c r="FED19" s="294"/>
      <c r="FEE19" s="294"/>
      <c r="FEF19" s="294"/>
      <c r="FEG19" s="294"/>
      <c r="FEH19" s="294"/>
      <c r="FEI19" s="294"/>
      <c r="FEJ19" s="294"/>
      <c r="FEK19" s="294"/>
      <c r="FEL19" s="294"/>
      <c r="FEM19" s="294"/>
      <c r="FEN19" s="294"/>
      <c r="FEO19" s="294"/>
      <c r="FEP19" s="294"/>
      <c r="FEQ19" s="294"/>
      <c r="FER19" s="294"/>
      <c r="FES19" s="294"/>
      <c r="FET19" s="294"/>
      <c r="FEU19" s="294"/>
      <c r="FEV19" s="294"/>
      <c r="FEW19" s="294"/>
      <c r="FEX19" s="294"/>
      <c r="FEY19" s="294"/>
      <c r="FEZ19" s="294"/>
      <c r="FFA19" s="294"/>
      <c r="FFB19" s="294"/>
      <c r="FFC19" s="294"/>
      <c r="FFD19" s="294"/>
      <c r="FFE19" s="294"/>
      <c r="FFF19" s="294"/>
      <c r="FFG19" s="294"/>
      <c r="FFH19" s="294"/>
      <c r="FFI19" s="294"/>
      <c r="FFJ19" s="294"/>
      <c r="FFK19" s="294"/>
      <c r="FFL19" s="294"/>
      <c r="FFM19" s="294"/>
      <c r="FFN19" s="294"/>
      <c r="FFO19" s="294"/>
      <c r="FFP19" s="294"/>
      <c r="FFQ19" s="294"/>
      <c r="FFR19" s="294"/>
      <c r="FFS19" s="294"/>
      <c r="FFT19" s="294"/>
      <c r="FFU19" s="294"/>
      <c r="FFV19" s="294"/>
      <c r="FFW19" s="294"/>
      <c r="FFX19" s="294"/>
      <c r="FFY19" s="294"/>
      <c r="FFZ19" s="294"/>
      <c r="FGA19" s="294"/>
      <c r="FGB19" s="294"/>
      <c r="FGC19" s="294"/>
      <c r="FGD19" s="294"/>
      <c r="FGE19" s="294"/>
      <c r="FGF19" s="294"/>
      <c r="FGG19" s="294"/>
      <c r="FGH19" s="294"/>
      <c r="FGI19" s="294"/>
      <c r="FGJ19" s="294"/>
      <c r="FGK19" s="294"/>
      <c r="FGL19" s="294"/>
      <c r="FGM19" s="294"/>
      <c r="FGN19" s="294"/>
      <c r="FGO19" s="294"/>
      <c r="FGP19" s="294"/>
      <c r="FGQ19" s="294"/>
      <c r="FGR19" s="294"/>
      <c r="FGS19" s="294"/>
      <c r="FGT19" s="294"/>
      <c r="FGU19" s="294"/>
      <c r="FGV19" s="294"/>
      <c r="FGW19" s="294"/>
      <c r="FGX19" s="294"/>
      <c r="FGY19" s="294"/>
      <c r="FGZ19" s="294"/>
      <c r="FHA19" s="294"/>
      <c r="FHB19" s="294"/>
      <c r="FHC19" s="294"/>
      <c r="FHD19" s="294"/>
      <c r="FHE19" s="294"/>
      <c r="FHF19" s="294"/>
      <c r="FHG19" s="294"/>
      <c r="FHH19" s="294"/>
      <c r="FHI19" s="294"/>
      <c r="FHJ19" s="294"/>
      <c r="FHK19" s="294"/>
      <c r="FHL19" s="294"/>
      <c r="FHM19" s="294"/>
      <c r="FHN19" s="294"/>
      <c r="FHO19" s="294"/>
      <c r="FHP19" s="294"/>
      <c r="FHQ19" s="294"/>
      <c r="FHR19" s="294"/>
      <c r="FHS19" s="294"/>
      <c r="FHT19" s="294"/>
      <c r="FHU19" s="294"/>
      <c r="FHV19" s="294"/>
      <c r="FHW19" s="294"/>
      <c r="FHX19" s="294"/>
      <c r="FHY19" s="294"/>
      <c r="FHZ19" s="294"/>
      <c r="FIA19" s="294"/>
      <c r="FIB19" s="294"/>
      <c r="FIC19" s="294"/>
      <c r="FID19" s="294"/>
      <c r="FIE19" s="294"/>
      <c r="FIF19" s="294"/>
      <c r="FIG19" s="294"/>
      <c r="FIH19" s="294"/>
      <c r="FII19" s="294"/>
      <c r="FIJ19" s="294"/>
      <c r="FIK19" s="294"/>
      <c r="FIL19" s="294"/>
      <c r="FIM19" s="294"/>
      <c r="FIN19" s="294"/>
      <c r="FIO19" s="294"/>
      <c r="FIP19" s="294"/>
      <c r="FIQ19" s="294"/>
      <c r="FIR19" s="294"/>
      <c r="FIS19" s="294"/>
      <c r="FIT19" s="294"/>
      <c r="FIU19" s="294"/>
      <c r="FIV19" s="294"/>
      <c r="FIW19" s="294"/>
      <c r="FIX19" s="294"/>
      <c r="FIY19" s="294"/>
      <c r="FIZ19" s="294"/>
      <c r="FJA19" s="294"/>
      <c r="FJB19" s="294"/>
      <c r="FJC19" s="294"/>
      <c r="FJD19" s="294"/>
      <c r="FJE19" s="294"/>
      <c r="FJF19" s="294"/>
      <c r="FJG19" s="294"/>
      <c r="FJH19" s="294"/>
      <c r="FJI19" s="294"/>
      <c r="FJJ19" s="294"/>
      <c r="FJK19" s="294"/>
      <c r="FJL19" s="294"/>
      <c r="FJM19" s="294"/>
      <c r="FJN19" s="294"/>
      <c r="FJO19" s="294"/>
      <c r="FJP19" s="294"/>
      <c r="FJQ19" s="294"/>
      <c r="FJR19" s="294"/>
      <c r="FJS19" s="294"/>
      <c r="FJT19" s="294"/>
      <c r="FJU19" s="294"/>
      <c r="FJV19" s="294"/>
      <c r="FJW19" s="294"/>
      <c r="FJX19" s="294"/>
      <c r="FJY19" s="294"/>
      <c r="FJZ19" s="294"/>
      <c r="FKA19" s="294"/>
      <c r="FKB19" s="294"/>
      <c r="FKC19" s="294"/>
      <c r="FKD19" s="294"/>
      <c r="FKE19" s="294"/>
      <c r="FKF19" s="294"/>
      <c r="FKG19" s="294"/>
      <c r="FKH19" s="294"/>
      <c r="FKI19" s="294"/>
      <c r="FKJ19" s="294"/>
      <c r="FKK19" s="294"/>
      <c r="FKL19" s="294"/>
      <c r="FKM19" s="294"/>
      <c r="FKN19" s="294"/>
      <c r="FKO19" s="294"/>
      <c r="FKP19" s="294"/>
      <c r="FKQ19" s="294"/>
      <c r="FKR19" s="294"/>
      <c r="FKS19" s="294"/>
      <c r="FKT19" s="294"/>
      <c r="FKU19" s="294"/>
      <c r="FKV19" s="294"/>
      <c r="FKW19" s="294"/>
      <c r="FKX19" s="294"/>
      <c r="FKY19" s="294"/>
      <c r="FKZ19" s="294"/>
      <c r="FLA19" s="294"/>
      <c r="FLB19" s="294"/>
      <c r="FLC19" s="294"/>
      <c r="FLD19" s="294"/>
      <c r="FLE19" s="294"/>
      <c r="FLF19" s="294"/>
      <c r="FLG19" s="294"/>
      <c r="FLH19" s="294"/>
      <c r="FLI19" s="294"/>
      <c r="FLJ19" s="294"/>
      <c r="FLK19" s="294"/>
      <c r="FLL19" s="294"/>
      <c r="FLM19" s="294"/>
      <c r="FLN19" s="294"/>
      <c r="FLO19" s="294"/>
      <c r="FLP19" s="294"/>
      <c r="FLQ19" s="294"/>
      <c r="FLR19" s="294"/>
      <c r="FLS19" s="294"/>
      <c r="FLT19" s="294"/>
      <c r="FLU19" s="294"/>
      <c r="FLV19" s="294"/>
      <c r="FLW19" s="294"/>
      <c r="FLX19" s="294"/>
      <c r="FLY19" s="294"/>
      <c r="FLZ19" s="294"/>
      <c r="FMA19" s="294"/>
      <c r="FMB19" s="294"/>
      <c r="FMC19" s="294"/>
      <c r="FMD19" s="294"/>
      <c r="FME19" s="294"/>
      <c r="FMF19" s="294"/>
      <c r="FMG19" s="294"/>
      <c r="FMH19" s="294"/>
      <c r="FMI19" s="294"/>
      <c r="FMJ19" s="294"/>
      <c r="FMK19" s="294"/>
      <c r="FML19" s="294"/>
      <c r="FMM19" s="294"/>
      <c r="FMN19" s="294"/>
      <c r="FMO19" s="294"/>
      <c r="FMP19" s="294"/>
      <c r="FMQ19" s="294"/>
      <c r="FMR19" s="294"/>
      <c r="FMS19" s="294"/>
      <c r="FMT19" s="294"/>
      <c r="FMU19" s="294"/>
      <c r="FMV19" s="294"/>
      <c r="FMW19" s="294"/>
      <c r="FMX19" s="294"/>
      <c r="FMY19" s="294"/>
      <c r="FMZ19" s="294"/>
      <c r="FNA19" s="294"/>
      <c r="FNB19" s="294"/>
      <c r="FNC19" s="294"/>
      <c r="FND19" s="294"/>
      <c r="FNE19" s="294"/>
      <c r="FNF19" s="294"/>
      <c r="FNG19" s="294"/>
      <c r="FNH19" s="294"/>
      <c r="FNI19" s="294"/>
      <c r="FNJ19" s="294"/>
      <c r="FNK19" s="294"/>
      <c r="FNL19" s="294"/>
      <c r="FNM19" s="294"/>
      <c r="FNN19" s="294"/>
      <c r="FNO19" s="294"/>
      <c r="FNP19" s="294"/>
      <c r="FNQ19" s="294"/>
      <c r="FNR19" s="294"/>
      <c r="FNS19" s="294"/>
      <c r="FNT19" s="294"/>
      <c r="FNU19" s="294"/>
      <c r="FNV19" s="294"/>
      <c r="FNW19" s="294"/>
      <c r="FNX19" s="294"/>
      <c r="FNY19" s="294"/>
      <c r="FNZ19" s="294"/>
      <c r="FOA19" s="294"/>
      <c r="FOB19" s="294"/>
      <c r="FOC19" s="294"/>
      <c r="FOD19" s="294"/>
      <c r="FOE19" s="294"/>
      <c r="FOF19" s="294"/>
      <c r="FOG19" s="294"/>
      <c r="FOH19" s="294"/>
      <c r="FOI19" s="294"/>
      <c r="FOJ19" s="294"/>
      <c r="FOK19" s="294"/>
      <c r="FOL19" s="294"/>
      <c r="FOM19" s="294"/>
      <c r="FON19" s="294"/>
      <c r="FOO19" s="294"/>
      <c r="FOP19" s="294"/>
      <c r="FOQ19" s="294"/>
      <c r="FOR19" s="294"/>
      <c r="FOS19" s="294"/>
      <c r="FOT19" s="294"/>
      <c r="FOU19" s="294"/>
      <c r="FOV19" s="294"/>
      <c r="FOW19" s="294"/>
      <c r="FOX19" s="294"/>
      <c r="FOY19" s="294"/>
      <c r="FOZ19" s="294"/>
      <c r="FPA19" s="294"/>
      <c r="FPB19" s="294"/>
      <c r="FPC19" s="294"/>
      <c r="FPD19" s="294"/>
      <c r="FPE19" s="294"/>
      <c r="FPF19" s="294"/>
      <c r="FPG19" s="294"/>
      <c r="FPH19" s="294"/>
      <c r="FPI19" s="294"/>
      <c r="FPJ19" s="294"/>
      <c r="FPK19" s="294"/>
      <c r="FPL19" s="294"/>
      <c r="FPM19" s="294"/>
      <c r="FPN19" s="294"/>
      <c r="FPO19" s="294"/>
      <c r="FPP19" s="294"/>
      <c r="FPQ19" s="294"/>
      <c r="FPR19" s="294"/>
      <c r="FPS19" s="294"/>
      <c r="FPT19" s="294"/>
      <c r="FPU19" s="294"/>
      <c r="FPV19" s="294"/>
      <c r="FPW19" s="294"/>
      <c r="FPX19" s="294"/>
      <c r="FPY19" s="294"/>
      <c r="FPZ19" s="294"/>
      <c r="FQA19" s="294"/>
      <c r="FQB19" s="294"/>
      <c r="FQC19" s="294"/>
      <c r="FQD19" s="294"/>
      <c r="FQE19" s="294"/>
      <c r="FQF19" s="294"/>
      <c r="FQG19" s="294"/>
      <c r="FQH19" s="294"/>
      <c r="FQI19" s="294"/>
      <c r="FQJ19" s="294"/>
      <c r="FQK19" s="294"/>
      <c r="FQL19" s="294"/>
      <c r="FQM19" s="294"/>
      <c r="FQN19" s="294"/>
      <c r="FQO19" s="294"/>
      <c r="FQP19" s="294"/>
      <c r="FQQ19" s="294"/>
      <c r="FQR19" s="294"/>
      <c r="FQS19" s="294"/>
      <c r="FQT19" s="294"/>
      <c r="FQU19" s="294"/>
      <c r="FQV19" s="294"/>
      <c r="FQW19" s="294"/>
      <c r="FQX19" s="294"/>
      <c r="FQY19" s="294"/>
      <c r="FQZ19" s="294"/>
      <c r="FRA19" s="294"/>
      <c r="FRB19" s="294"/>
      <c r="FRC19" s="294"/>
      <c r="FRD19" s="294"/>
      <c r="FRE19" s="294"/>
      <c r="FRF19" s="294"/>
      <c r="FRG19" s="294"/>
      <c r="FRH19" s="294"/>
      <c r="FRI19" s="294"/>
      <c r="FRJ19" s="294"/>
      <c r="FRK19" s="294"/>
      <c r="FRL19" s="294"/>
      <c r="FRM19" s="294"/>
      <c r="FRN19" s="294"/>
      <c r="FRO19" s="294"/>
      <c r="FRP19" s="294"/>
      <c r="FRQ19" s="294"/>
      <c r="FRR19" s="294"/>
      <c r="FRS19" s="294"/>
      <c r="FRT19" s="294"/>
      <c r="FRU19" s="294"/>
      <c r="FRV19" s="294"/>
      <c r="FRW19" s="294"/>
      <c r="FRX19" s="294"/>
      <c r="FRY19" s="294"/>
      <c r="FRZ19" s="294"/>
      <c r="FSA19" s="294"/>
      <c r="FSB19" s="294"/>
      <c r="FSC19" s="294"/>
      <c r="FSD19" s="294"/>
      <c r="FSE19" s="294"/>
      <c r="FSF19" s="294"/>
      <c r="FSG19" s="294"/>
      <c r="FSH19" s="294"/>
      <c r="FSI19" s="294"/>
      <c r="FSJ19" s="294"/>
      <c r="FSK19" s="294"/>
      <c r="FSL19" s="294"/>
      <c r="FSM19" s="294"/>
      <c r="FSN19" s="294"/>
      <c r="FSO19" s="294"/>
      <c r="FSP19" s="294"/>
      <c r="FSQ19" s="294"/>
      <c r="FSR19" s="294"/>
      <c r="FSS19" s="294"/>
      <c r="FST19" s="294"/>
      <c r="FSU19" s="294"/>
      <c r="FSV19" s="294"/>
      <c r="FSW19" s="294"/>
      <c r="FSX19" s="294"/>
      <c r="FSY19" s="294"/>
      <c r="FSZ19" s="294"/>
      <c r="FTA19" s="294"/>
      <c r="FTB19" s="294"/>
      <c r="FTC19" s="294"/>
      <c r="FTD19" s="294"/>
      <c r="FTE19" s="294"/>
      <c r="FTF19" s="294"/>
      <c r="FTG19" s="294"/>
      <c r="FTH19" s="294"/>
      <c r="FTI19" s="294"/>
      <c r="FTJ19" s="294"/>
      <c r="FTK19" s="294"/>
      <c r="FTL19" s="294"/>
      <c r="FTM19" s="294"/>
      <c r="FTN19" s="294"/>
      <c r="FTO19" s="294"/>
      <c r="FTP19" s="294"/>
      <c r="FTQ19" s="294"/>
      <c r="FTR19" s="294"/>
      <c r="FTS19" s="294"/>
      <c r="FTT19" s="294"/>
      <c r="FTU19" s="294"/>
      <c r="FTV19" s="294"/>
      <c r="FTW19" s="294"/>
      <c r="FTX19" s="294"/>
      <c r="FTY19" s="294"/>
      <c r="FTZ19" s="294"/>
      <c r="FUA19" s="294"/>
      <c r="FUB19" s="294"/>
      <c r="FUC19" s="294"/>
      <c r="FUD19" s="294"/>
      <c r="FUE19" s="294"/>
      <c r="FUF19" s="294"/>
      <c r="FUG19" s="294"/>
      <c r="FUH19" s="294"/>
      <c r="FUI19" s="294"/>
      <c r="FUJ19" s="294"/>
      <c r="FUK19" s="294"/>
      <c r="FUL19" s="294"/>
      <c r="FUM19" s="294"/>
      <c r="FUN19" s="294"/>
      <c r="FUO19" s="294"/>
      <c r="FUP19" s="294"/>
      <c r="FUQ19" s="294"/>
      <c r="FUR19" s="294"/>
      <c r="FUS19" s="294"/>
      <c r="FUT19" s="294"/>
      <c r="FUU19" s="294"/>
      <c r="FUV19" s="294"/>
      <c r="FUW19" s="294"/>
      <c r="FUX19" s="294"/>
      <c r="FUY19" s="294"/>
      <c r="FUZ19" s="294"/>
      <c r="FVA19" s="294"/>
      <c r="FVB19" s="294"/>
      <c r="FVC19" s="294"/>
      <c r="FVD19" s="294"/>
      <c r="FVE19" s="294"/>
      <c r="FVF19" s="294"/>
      <c r="FVG19" s="294"/>
      <c r="FVH19" s="294"/>
      <c r="FVI19" s="294"/>
      <c r="FVJ19" s="294"/>
      <c r="FVK19" s="294"/>
      <c r="FVL19" s="294"/>
      <c r="FVM19" s="294"/>
      <c r="FVN19" s="294"/>
      <c r="FVO19" s="294"/>
      <c r="FVP19" s="294"/>
      <c r="FVQ19" s="294"/>
      <c r="FVR19" s="294"/>
      <c r="FVS19" s="294"/>
      <c r="FVT19" s="294"/>
      <c r="FVU19" s="294"/>
      <c r="FVV19" s="294"/>
      <c r="FVW19" s="294"/>
      <c r="FVX19" s="294"/>
      <c r="FVY19" s="294"/>
      <c r="FVZ19" s="294"/>
      <c r="FWA19" s="294"/>
      <c r="FWB19" s="294"/>
      <c r="FWC19" s="294"/>
      <c r="FWD19" s="294"/>
      <c r="FWE19" s="294"/>
      <c r="FWF19" s="294"/>
      <c r="FWG19" s="294"/>
      <c r="FWH19" s="294"/>
      <c r="FWI19" s="294"/>
      <c r="FWJ19" s="294"/>
      <c r="FWK19" s="294"/>
      <c r="FWL19" s="294"/>
      <c r="FWM19" s="294"/>
      <c r="FWN19" s="294"/>
      <c r="FWO19" s="294"/>
      <c r="FWP19" s="294"/>
      <c r="FWQ19" s="294"/>
      <c r="FWR19" s="294"/>
      <c r="FWS19" s="294"/>
      <c r="FWT19" s="294"/>
      <c r="FWU19" s="294"/>
      <c r="FWV19" s="294"/>
      <c r="FWW19" s="294"/>
      <c r="FWX19" s="294"/>
      <c r="FWY19" s="294"/>
      <c r="FWZ19" s="294"/>
      <c r="FXA19" s="294"/>
      <c r="FXB19" s="294"/>
      <c r="FXC19" s="294"/>
      <c r="FXD19" s="294"/>
      <c r="FXE19" s="294"/>
      <c r="FXF19" s="294"/>
      <c r="FXG19" s="294"/>
      <c r="FXH19" s="294"/>
      <c r="FXI19" s="294"/>
      <c r="FXJ19" s="294"/>
      <c r="FXK19" s="294"/>
      <c r="FXL19" s="294"/>
      <c r="FXM19" s="294"/>
      <c r="FXN19" s="294"/>
      <c r="FXO19" s="294"/>
      <c r="FXP19" s="294"/>
      <c r="FXQ19" s="294"/>
      <c r="FXR19" s="294"/>
      <c r="FXS19" s="294"/>
      <c r="FXT19" s="294"/>
      <c r="FXU19" s="294"/>
      <c r="FXV19" s="294"/>
      <c r="FXW19" s="294"/>
      <c r="FXX19" s="294"/>
      <c r="FXY19" s="294"/>
      <c r="FXZ19" s="294"/>
      <c r="FYA19" s="294"/>
      <c r="FYB19" s="294"/>
      <c r="FYC19" s="294"/>
      <c r="FYD19" s="294"/>
      <c r="FYE19" s="294"/>
      <c r="FYF19" s="294"/>
      <c r="FYG19" s="294"/>
      <c r="FYH19" s="294"/>
      <c r="FYI19" s="294"/>
      <c r="FYJ19" s="294"/>
      <c r="FYK19" s="294"/>
      <c r="FYL19" s="294"/>
      <c r="FYM19" s="294"/>
      <c r="FYN19" s="294"/>
      <c r="FYO19" s="294"/>
      <c r="FYP19" s="294"/>
      <c r="FYQ19" s="294"/>
      <c r="FYR19" s="294"/>
      <c r="FYS19" s="294"/>
      <c r="FYT19" s="294"/>
      <c r="FYU19" s="294"/>
      <c r="FYV19" s="294"/>
      <c r="FYW19" s="294"/>
      <c r="FYX19" s="294"/>
      <c r="FYY19" s="294"/>
      <c r="FYZ19" s="294"/>
      <c r="FZA19" s="294"/>
      <c r="FZB19" s="294"/>
      <c r="FZC19" s="294"/>
      <c r="FZD19" s="294"/>
      <c r="FZE19" s="294"/>
      <c r="FZF19" s="294"/>
      <c r="FZG19" s="294"/>
      <c r="FZH19" s="294"/>
      <c r="FZI19" s="294"/>
      <c r="FZJ19" s="294"/>
      <c r="FZK19" s="294"/>
      <c r="FZL19" s="294"/>
      <c r="FZM19" s="294"/>
      <c r="FZN19" s="294"/>
      <c r="FZO19" s="294"/>
      <c r="FZP19" s="294"/>
      <c r="FZQ19" s="294"/>
      <c r="FZR19" s="294"/>
      <c r="FZS19" s="294"/>
      <c r="FZT19" s="294"/>
      <c r="FZU19" s="294"/>
      <c r="FZV19" s="294"/>
      <c r="FZW19" s="294"/>
      <c r="FZX19" s="294"/>
      <c r="FZY19" s="294"/>
      <c r="FZZ19" s="294"/>
      <c r="GAA19" s="294"/>
      <c r="GAB19" s="294"/>
      <c r="GAC19" s="294"/>
      <c r="GAD19" s="294"/>
      <c r="GAE19" s="294"/>
      <c r="GAF19" s="294"/>
      <c r="GAG19" s="294"/>
      <c r="GAH19" s="294"/>
      <c r="GAI19" s="294"/>
      <c r="GAJ19" s="294"/>
      <c r="GAK19" s="294"/>
      <c r="GAL19" s="294"/>
      <c r="GAM19" s="294"/>
      <c r="GAN19" s="294"/>
      <c r="GAO19" s="294"/>
      <c r="GAP19" s="294"/>
      <c r="GAQ19" s="294"/>
      <c r="GAR19" s="294"/>
      <c r="GAS19" s="294"/>
      <c r="GAT19" s="294"/>
      <c r="GAU19" s="294"/>
      <c r="GAV19" s="294"/>
      <c r="GAW19" s="294"/>
      <c r="GAX19" s="294"/>
      <c r="GAY19" s="294"/>
      <c r="GAZ19" s="294"/>
      <c r="GBA19" s="294"/>
      <c r="GBB19" s="294"/>
      <c r="GBC19" s="294"/>
      <c r="GBD19" s="294"/>
      <c r="GBE19" s="294"/>
      <c r="GBF19" s="294"/>
      <c r="GBG19" s="294"/>
      <c r="GBH19" s="294"/>
      <c r="GBI19" s="294"/>
      <c r="GBJ19" s="294"/>
      <c r="GBK19" s="294"/>
      <c r="GBL19" s="294"/>
      <c r="GBM19" s="294"/>
      <c r="GBN19" s="294"/>
      <c r="GBO19" s="294"/>
      <c r="GBP19" s="294"/>
      <c r="GBQ19" s="294"/>
      <c r="GBR19" s="294"/>
      <c r="GBS19" s="294"/>
      <c r="GBT19" s="294"/>
      <c r="GBU19" s="294"/>
      <c r="GBV19" s="294"/>
      <c r="GBW19" s="294"/>
      <c r="GBX19" s="294"/>
      <c r="GBY19" s="294"/>
      <c r="GBZ19" s="294"/>
      <c r="GCA19" s="294"/>
      <c r="GCB19" s="294"/>
      <c r="GCC19" s="294"/>
      <c r="GCD19" s="294"/>
      <c r="GCE19" s="294"/>
      <c r="GCF19" s="294"/>
      <c r="GCG19" s="294"/>
      <c r="GCH19" s="294"/>
      <c r="GCI19" s="294"/>
      <c r="GCJ19" s="294"/>
      <c r="GCK19" s="294"/>
      <c r="GCL19" s="294"/>
      <c r="GCM19" s="294"/>
      <c r="GCN19" s="294"/>
      <c r="GCO19" s="294"/>
      <c r="GCP19" s="294"/>
      <c r="GCQ19" s="294"/>
      <c r="GCR19" s="294"/>
      <c r="GCS19" s="294"/>
      <c r="GCT19" s="294"/>
      <c r="GCU19" s="294"/>
      <c r="GCV19" s="294"/>
      <c r="GCW19" s="294"/>
      <c r="GCX19" s="294"/>
      <c r="GCY19" s="294"/>
      <c r="GCZ19" s="294"/>
      <c r="GDA19" s="294"/>
      <c r="GDB19" s="294"/>
      <c r="GDC19" s="294"/>
      <c r="GDD19" s="294"/>
      <c r="GDE19" s="294"/>
      <c r="GDF19" s="294"/>
      <c r="GDG19" s="294"/>
      <c r="GDH19" s="294"/>
      <c r="GDI19" s="294"/>
      <c r="GDJ19" s="294"/>
      <c r="GDK19" s="294"/>
      <c r="GDL19" s="294"/>
      <c r="GDM19" s="294"/>
      <c r="GDN19" s="294"/>
      <c r="GDO19" s="294"/>
      <c r="GDP19" s="294"/>
      <c r="GDQ19" s="294"/>
      <c r="GDR19" s="294"/>
      <c r="GDS19" s="294"/>
      <c r="GDT19" s="294"/>
      <c r="GDU19" s="294"/>
      <c r="GDV19" s="294"/>
      <c r="GDW19" s="294"/>
      <c r="GDX19" s="294"/>
      <c r="GDY19" s="294"/>
      <c r="GDZ19" s="294"/>
      <c r="GEA19" s="294"/>
      <c r="GEB19" s="294"/>
      <c r="GEC19" s="294"/>
      <c r="GED19" s="294"/>
      <c r="GEE19" s="294"/>
      <c r="GEF19" s="294"/>
      <c r="GEG19" s="294"/>
      <c r="GEH19" s="294"/>
      <c r="GEI19" s="294"/>
      <c r="GEJ19" s="294"/>
      <c r="GEK19" s="294"/>
      <c r="GEL19" s="294"/>
      <c r="GEM19" s="294"/>
      <c r="GEN19" s="294"/>
      <c r="GEO19" s="294"/>
      <c r="GEP19" s="294"/>
      <c r="GEQ19" s="294"/>
      <c r="GER19" s="294"/>
      <c r="GES19" s="294"/>
      <c r="GET19" s="294"/>
      <c r="GEU19" s="294"/>
      <c r="GEV19" s="294"/>
      <c r="GEW19" s="294"/>
      <c r="GEX19" s="294"/>
      <c r="GEY19" s="294"/>
      <c r="GEZ19" s="294"/>
      <c r="GFA19" s="294"/>
      <c r="GFB19" s="294"/>
      <c r="GFC19" s="294"/>
      <c r="GFD19" s="294"/>
      <c r="GFE19" s="294"/>
      <c r="GFF19" s="294"/>
      <c r="GFG19" s="294"/>
      <c r="GFH19" s="294"/>
      <c r="GFI19" s="294"/>
      <c r="GFJ19" s="294"/>
      <c r="GFK19" s="294"/>
      <c r="GFL19" s="294"/>
      <c r="GFM19" s="294"/>
      <c r="GFN19" s="294"/>
      <c r="GFO19" s="294"/>
      <c r="GFP19" s="294"/>
      <c r="GFQ19" s="294"/>
      <c r="GFR19" s="294"/>
      <c r="GFS19" s="294"/>
      <c r="GFT19" s="294"/>
      <c r="GFU19" s="294"/>
      <c r="GFV19" s="294"/>
      <c r="GFW19" s="294"/>
      <c r="GFX19" s="294"/>
      <c r="GFY19" s="294"/>
      <c r="GFZ19" s="294"/>
      <c r="GGA19" s="294"/>
      <c r="GGB19" s="294"/>
      <c r="GGC19" s="294"/>
      <c r="GGD19" s="294"/>
      <c r="GGE19" s="294"/>
      <c r="GGF19" s="294"/>
      <c r="GGG19" s="294"/>
      <c r="GGH19" s="294"/>
      <c r="GGI19" s="294"/>
      <c r="GGJ19" s="294"/>
      <c r="GGK19" s="294"/>
      <c r="GGL19" s="294"/>
      <c r="GGM19" s="294"/>
      <c r="GGN19" s="294"/>
      <c r="GGO19" s="294"/>
      <c r="GGP19" s="294"/>
      <c r="GGQ19" s="294"/>
      <c r="GGR19" s="294"/>
      <c r="GGS19" s="294"/>
      <c r="GGT19" s="294"/>
      <c r="GGU19" s="294"/>
      <c r="GGV19" s="294"/>
      <c r="GGW19" s="294"/>
      <c r="GGX19" s="294"/>
      <c r="GGY19" s="294"/>
      <c r="GGZ19" s="294"/>
      <c r="GHA19" s="294"/>
      <c r="GHB19" s="294"/>
      <c r="GHC19" s="294"/>
      <c r="GHD19" s="294"/>
      <c r="GHE19" s="294"/>
      <c r="GHF19" s="294"/>
      <c r="GHG19" s="294"/>
      <c r="GHH19" s="294"/>
      <c r="GHI19" s="294"/>
      <c r="GHJ19" s="294"/>
      <c r="GHK19" s="294"/>
      <c r="GHL19" s="294"/>
      <c r="GHM19" s="294"/>
      <c r="GHN19" s="294"/>
      <c r="GHO19" s="294"/>
      <c r="GHP19" s="294"/>
      <c r="GHQ19" s="294"/>
      <c r="GHR19" s="294"/>
      <c r="GHS19" s="294"/>
      <c r="GHT19" s="294"/>
      <c r="GHU19" s="294"/>
      <c r="GHV19" s="294"/>
      <c r="GHW19" s="294"/>
      <c r="GHX19" s="294"/>
      <c r="GHY19" s="294"/>
      <c r="GHZ19" s="294"/>
      <c r="GIA19" s="294"/>
      <c r="GIB19" s="294"/>
      <c r="GIC19" s="294"/>
      <c r="GID19" s="294"/>
      <c r="GIE19" s="294"/>
      <c r="GIF19" s="294"/>
      <c r="GIG19" s="294"/>
      <c r="GIH19" s="294"/>
      <c r="GII19" s="294"/>
      <c r="GIJ19" s="294"/>
      <c r="GIK19" s="294"/>
      <c r="GIL19" s="294"/>
      <c r="GIM19" s="294"/>
      <c r="GIN19" s="294"/>
      <c r="GIO19" s="294"/>
      <c r="GIP19" s="294"/>
      <c r="GIQ19" s="294"/>
      <c r="GIR19" s="294"/>
      <c r="GIS19" s="294"/>
      <c r="GIT19" s="294"/>
      <c r="GIU19" s="294"/>
      <c r="GIV19" s="294"/>
      <c r="GIW19" s="294"/>
      <c r="GIX19" s="294"/>
      <c r="GIY19" s="294"/>
      <c r="GIZ19" s="294"/>
      <c r="GJA19" s="294"/>
      <c r="GJB19" s="294"/>
      <c r="GJC19" s="294"/>
      <c r="GJD19" s="294"/>
      <c r="GJE19" s="294"/>
      <c r="GJF19" s="294"/>
      <c r="GJG19" s="294"/>
      <c r="GJH19" s="294"/>
      <c r="GJI19" s="294"/>
      <c r="GJJ19" s="294"/>
      <c r="GJK19" s="294"/>
      <c r="GJL19" s="294"/>
      <c r="GJM19" s="294"/>
      <c r="GJN19" s="294"/>
      <c r="GJO19" s="294"/>
      <c r="GJP19" s="294"/>
      <c r="GJQ19" s="294"/>
      <c r="GJR19" s="294"/>
      <c r="GJS19" s="294"/>
      <c r="GJT19" s="294"/>
      <c r="GJU19" s="294"/>
      <c r="GJV19" s="294"/>
      <c r="GJW19" s="294"/>
      <c r="GJX19" s="294"/>
      <c r="GJY19" s="294"/>
      <c r="GJZ19" s="294"/>
      <c r="GKA19" s="294"/>
      <c r="GKB19" s="294"/>
      <c r="GKC19" s="294"/>
      <c r="GKD19" s="294"/>
      <c r="GKE19" s="294"/>
      <c r="GKF19" s="294"/>
      <c r="GKG19" s="294"/>
      <c r="GKH19" s="294"/>
      <c r="GKI19" s="294"/>
      <c r="GKJ19" s="294"/>
      <c r="GKK19" s="294"/>
      <c r="GKL19" s="294"/>
      <c r="GKM19" s="294"/>
      <c r="GKN19" s="294"/>
      <c r="GKO19" s="294"/>
      <c r="GKP19" s="294"/>
      <c r="GKQ19" s="294"/>
      <c r="GKR19" s="294"/>
      <c r="GKS19" s="294"/>
      <c r="GKT19" s="294"/>
      <c r="GKU19" s="294"/>
      <c r="GKV19" s="294"/>
      <c r="GKW19" s="294"/>
      <c r="GKX19" s="294"/>
      <c r="GKY19" s="294"/>
      <c r="GKZ19" s="294"/>
      <c r="GLA19" s="294"/>
      <c r="GLB19" s="294"/>
      <c r="GLC19" s="294"/>
      <c r="GLD19" s="294"/>
      <c r="GLE19" s="294"/>
      <c r="GLF19" s="294"/>
      <c r="GLG19" s="294"/>
      <c r="GLH19" s="294"/>
      <c r="GLI19" s="294"/>
      <c r="GLJ19" s="294"/>
      <c r="GLK19" s="294"/>
      <c r="GLL19" s="294"/>
      <c r="GLM19" s="294"/>
      <c r="GLN19" s="294"/>
      <c r="GLO19" s="294"/>
      <c r="GLP19" s="294"/>
      <c r="GLQ19" s="294"/>
      <c r="GLR19" s="294"/>
      <c r="GLS19" s="294"/>
      <c r="GLT19" s="294"/>
      <c r="GLU19" s="294"/>
      <c r="GLV19" s="294"/>
      <c r="GLW19" s="294"/>
      <c r="GLX19" s="294"/>
      <c r="GLY19" s="294"/>
      <c r="GLZ19" s="294"/>
      <c r="GMA19" s="294"/>
      <c r="GMB19" s="294"/>
      <c r="GMC19" s="294"/>
      <c r="GMD19" s="294"/>
      <c r="GME19" s="294"/>
      <c r="GMF19" s="294"/>
      <c r="GMG19" s="294"/>
      <c r="GMH19" s="294"/>
      <c r="GMI19" s="294"/>
      <c r="GMJ19" s="294"/>
      <c r="GMK19" s="294"/>
      <c r="GML19" s="294"/>
      <c r="GMM19" s="294"/>
      <c r="GMN19" s="294"/>
      <c r="GMO19" s="294"/>
      <c r="GMP19" s="294"/>
      <c r="GMQ19" s="294"/>
      <c r="GMR19" s="294"/>
      <c r="GMS19" s="294"/>
      <c r="GMT19" s="294"/>
      <c r="GMU19" s="294"/>
      <c r="GMV19" s="294"/>
      <c r="GMW19" s="294"/>
      <c r="GMX19" s="294"/>
      <c r="GMY19" s="294"/>
      <c r="GMZ19" s="294"/>
      <c r="GNA19" s="294"/>
      <c r="GNB19" s="294"/>
      <c r="GNC19" s="294"/>
      <c r="GND19" s="294"/>
      <c r="GNE19" s="294"/>
      <c r="GNF19" s="294"/>
      <c r="GNG19" s="294"/>
      <c r="GNH19" s="294"/>
      <c r="GNI19" s="294"/>
      <c r="GNJ19" s="294"/>
      <c r="GNK19" s="294"/>
      <c r="GNL19" s="294"/>
      <c r="GNM19" s="294"/>
      <c r="GNN19" s="294"/>
      <c r="GNO19" s="294"/>
      <c r="GNP19" s="294"/>
      <c r="GNQ19" s="294"/>
      <c r="GNR19" s="294"/>
      <c r="GNS19" s="294"/>
      <c r="GNT19" s="294"/>
      <c r="GNU19" s="294"/>
      <c r="GNV19" s="294"/>
      <c r="GNW19" s="294"/>
      <c r="GNX19" s="294"/>
      <c r="GNY19" s="294"/>
      <c r="GNZ19" s="294"/>
      <c r="GOA19" s="294"/>
      <c r="GOB19" s="294"/>
      <c r="GOC19" s="294"/>
      <c r="GOD19" s="294"/>
      <c r="GOE19" s="294"/>
      <c r="GOF19" s="294"/>
      <c r="GOG19" s="294"/>
      <c r="GOH19" s="294"/>
      <c r="GOI19" s="294"/>
      <c r="GOJ19" s="294"/>
      <c r="GOK19" s="294"/>
      <c r="GOL19" s="294"/>
      <c r="GOM19" s="294"/>
      <c r="GON19" s="294"/>
      <c r="GOO19" s="294"/>
      <c r="GOP19" s="294"/>
      <c r="GOQ19" s="294"/>
      <c r="GOR19" s="294"/>
      <c r="GOS19" s="294"/>
      <c r="GOT19" s="294"/>
      <c r="GOU19" s="294"/>
      <c r="GOV19" s="294"/>
      <c r="GOW19" s="294"/>
      <c r="GOX19" s="294"/>
      <c r="GOY19" s="294"/>
      <c r="GOZ19" s="294"/>
      <c r="GPA19" s="294"/>
      <c r="GPB19" s="294"/>
      <c r="GPC19" s="294"/>
      <c r="GPD19" s="294"/>
      <c r="GPE19" s="294"/>
      <c r="GPF19" s="294"/>
      <c r="GPG19" s="294"/>
      <c r="GPH19" s="294"/>
      <c r="GPI19" s="294"/>
      <c r="GPJ19" s="294"/>
      <c r="GPK19" s="294"/>
      <c r="GPL19" s="294"/>
      <c r="GPM19" s="294"/>
      <c r="GPN19" s="294"/>
      <c r="GPO19" s="294"/>
      <c r="GPP19" s="294"/>
      <c r="GPQ19" s="294"/>
      <c r="GPR19" s="294"/>
      <c r="GPS19" s="294"/>
      <c r="GPT19" s="294"/>
      <c r="GPU19" s="294"/>
      <c r="GPV19" s="294"/>
      <c r="GPW19" s="294"/>
      <c r="GPX19" s="294"/>
      <c r="GPY19" s="294"/>
      <c r="GPZ19" s="294"/>
      <c r="GQA19" s="294"/>
      <c r="GQB19" s="294"/>
      <c r="GQC19" s="294"/>
      <c r="GQD19" s="294"/>
      <c r="GQE19" s="294"/>
      <c r="GQF19" s="294"/>
      <c r="GQG19" s="294"/>
      <c r="GQH19" s="294"/>
      <c r="GQI19" s="294"/>
      <c r="GQJ19" s="294"/>
      <c r="GQK19" s="294"/>
      <c r="GQL19" s="294"/>
      <c r="GQM19" s="294"/>
      <c r="GQN19" s="294"/>
      <c r="GQO19" s="294"/>
      <c r="GQP19" s="294"/>
      <c r="GQQ19" s="294"/>
      <c r="GQR19" s="294"/>
      <c r="GQS19" s="294"/>
      <c r="GQT19" s="294"/>
      <c r="GQU19" s="294"/>
      <c r="GQV19" s="294"/>
      <c r="GQW19" s="294"/>
      <c r="GQX19" s="294"/>
      <c r="GQY19" s="294"/>
      <c r="GQZ19" s="294"/>
      <c r="GRA19" s="294"/>
      <c r="GRB19" s="294"/>
      <c r="GRC19" s="294"/>
      <c r="GRD19" s="294"/>
      <c r="GRE19" s="294"/>
      <c r="GRF19" s="294"/>
      <c r="GRG19" s="294"/>
      <c r="GRH19" s="294"/>
      <c r="GRI19" s="294"/>
      <c r="GRJ19" s="294"/>
      <c r="GRK19" s="294"/>
      <c r="GRL19" s="294"/>
      <c r="GRM19" s="294"/>
      <c r="GRN19" s="294"/>
      <c r="GRO19" s="294"/>
      <c r="GRP19" s="294"/>
      <c r="GRQ19" s="294"/>
      <c r="GRR19" s="294"/>
      <c r="GRS19" s="294"/>
      <c r="GRT19" s="294"/>
      <c r="GRU19" s="294"/>
      <c r="GRV19" s="294"/>
      <c r="GRW19" s="294"/>
      <c r="GRX19" s="294"/>
      <c r="GRY19" s="294"/>
      <c r="GRZ19" s="294"/>
      <c r="GSA19" s="294"/>
      <c r="GSB19" s="294"/>
      <c r="GSC19" s="294"/>
      <c r="GSD19" s="294"/>
      <c r="GSE19" s="294"/>
      <c r="GSF19" s="294"/>
      <c r="GSG19" s="294"/>
      <c r="GSH19" s="294"/>
      <c r="GSI19" s="294"/>
      <c r="GSJ19" s="294"/>
      <c r="GSK19" s="294"/>
      <c r="GSL19" s="294"/>
      <c r="GSM19" s="294"/>
      <c r="GSN19" s="294"/>
      <c r="GSO19" s="294"/>
      <c r="GSP19" s="294"/>
      <c r="GSQ19" s="294"/>
      <c r="GSR19" s="294"/>
      <c r="GSS19" s="294"/>
      <c r="GST19" s="294"/>
      <c r="GSU19" s="294"/>
      <c r="GSV19" s="294"/>
      <c r="GSW19" s="294"/>
      <c r="GSX19" s="294"/>
      <c r="GSY19" s="294"/>
      <c r="GSZ19" s="294"/>
      <c r="GTA19" s="294"/>
      <c r="GTB19" s="294"/>
      <c r="GTC19" s="294"/>
      <c r="GTD19" s="294"/>
      <c r="GTE19" s="294"/>
      <c r="GTF19" s="294"/>
      <c r="GTG19" s="294"/>
      <c r="GTH19" s="294"/>
      <c r="GTI19" s="294"/>
      <c r="GTJ19" s="294"/>
      <c r="GTK19" s="294"/>
      <c r="GTL19" s="294"/>
      <c r="GTM19" s="294"/>
      <c r="GTN19" s="294"/>
      <c r="GTO19" s="294"/>
      <c r="GTP19" s="294"/>
      <c r="GTQ19" s="294"/>
      <c r="GTR19" s="294"/>
      <c r="GTS19" s="294"/>
      <c r="GTT19" s="294"/>
      <c r="GTU19" s="294"/>
      <c r="GTV19" s="294"/>
      <c r="GTW19" s="294"/>
      <c r="GTX19" s="294"/>
      <c r="GTY19" s="294"/>
      <c r="GTZ19" s="294"/>
      <c r="GUA19" s="294"/>
      <c r="GUB19" s="294"/>
      <c r="GUC19" s="294"/>
      <c r="GUD19" s="294"/>
      <c r="GUE19" s="294"/>
      <c r="GUF19" s="294"/>
      <c r="GUG19" s="294"/>
      <c r="GUH19" s="294"/>
      <c r="GUI19" s="294"/>
      <c r="GUJ19" s="294"/>
      <c r="GUK19" s="294"/>
      <c r="GUL19" s="294"/>
      <c r="GUM19" s="294"/>
      <c r="GUN19" s="294"/>
      <c r="GUO19" s="294"/>
      <c r="GUP19" s="294"/>
      <c r="GUQ19" s="294"/>
      <c r="GUR19" s="294"/>
      <c r="GUS19" s="294"/>
      <c r="GUT19" s="294"/>
      <c r="GUU19" s="294"/>
      <c r="GUV19" s="294"/>
      <c r="GUW19" s="294"/>
      <c r="GUX19" s="294"/>
      <c r="GUY19" s="294"/>
      <c r="GUZ19" s="294"/>
      <c r="GVA19" s="294"/>
      <c r="GVB19" s="294"/>
      <c r="GVC19" s="294"/>
      <c r="GVD19" s="294"/>
      <c r="GVE19" s="294"/>
      <c r="GVF19" s="294"/>
      <c r="GVG19" s="294"/>
      <c r="GVH19" s="294"/>
      <c r="GVI19" s="294"/>
      <c r="GVJ19" s="294"/>
      <c r="GVK19" s="294"/>
      <c r="GVL19" s="294"/>
      <c r="GVM19" s="294"/>
      <c r="GVN19" s="294"/>
      <c r="GVO19" s="294"/>
      <c r="GVP19" s="294"/>
      <c r="GVQ19" s="294"/>
      <c r="GVR19" s="294"/>
      <c r="GVS19" s="294"/>
      <c r="GVT19" s="294"/>
      <c r="GVU19" s="294"/>
      <c r="GVV19" s="294"/>
      <c r="GVW19" s="294"/>
      <c r="GVX19" s="294"/>
      <c r="GVY19" s="294"/>
      <c r="GVZ19" s="294"/>
      <c r="GWA19" s="294"/>
      <c r="GWB19" s="294"/>
      <c r="GWC19" s="294"/>
      <c r="GWD19" s="294"/>
      <c r="GWE19" s="294"/>
      <c r="GWF19" s="294"/>
      <c r="GWG19" s="294"/>
      <c r="GWH19" s="294"/>
      <c r="GWI19" s="294"/>
      <c r="GWJ19" s="294"/>
      <c r="GWK19" s="294"/>
      <c r="GWL19" s="294"/>
      <c r="GWM19" s="294"/>
      <c r="GWN19" s="294"/>
      <c r="GWO19" s="294"/>
      <c r="GWP19" s="294"/>
      <c r="GWQ19" s="294"/>
      <c r="GWR19" s="294"/>
      <c r="GWS19" s="294"/>
      <c r="GWT19" s="294"/>
      <c r="GWU19" s="294"/>
      <c r="GWV19" s="294"/>
      <c r="GWW19" s="294"/>
      <c r="GWX19" s="294"/>
      <c r="GWY19" s="294"/>
      <c r="GWZ19" s="294"/>
      <c r="GXA19" s="294"/>
      <c r="GXB19" s="294"/>
      <c r="GXC19" s="294"/>
      <c r="GXD19" s="294"/>
      <c r="GXE19" s="294"/>
      <c r="GXF19" s="294"/>
      <c r="GXG19" s="294"/>
      <c r="GXH19" s="294"/>
      <c r="GXI19" s="294"/>
      <c r="GXJ19" s="294"/>
      <c r="GXK19" s="294"/>
      <c r="GXL19" s="294"/>
      <c r="GXM19" s="294"/>
      <c r="GXN19" s="294"/>
      <c r="GXO19" s="294"/>
      <c r="GXP19" s="294"/>
      <c r="GXQ19" s="294"/>
      <c r="GXR19" s="294"/>
      <c r="GXS19" s="294"/>
      <c r="GXT19" s="294"/>
      <c r="GXU19" s="294"/>
      <c r="GXV19" s="294"/>
      <c r="GXW19" s="294"/>
      <c r="GXX19" s="294"/>
      <c r="GXY19" s="294"/>
      <c r="GXZ19" s="294"/>
      <c r="GYA19" s="294"/>
      <c r="GYB19" s="294"/>
      <c r="GYC19" s="294"/>
      <c r="GYD19" s="294"/>
      <c r="GYE19" s="294"/>
      <c r="GYF19" s="294"/>
      <c r="GYG19" s="294"/>
      <c r="GYH19" s="294"/>
      <c r="GYI19" s="294"/>
      <c r="GYJ19" s="294"/>
      <c r="GYK19" s="294"/>
      <c r="GYL19" s="294"/>
      <c r="GYM19" s="294"/>
      <c r="GYN19" s="294"/>
      <c r="GYO19" s="294"/>
      <c r="GYP19" s="294"/>
      <c r="GYQ19" s="294"/>
      <c r="GYR19" s="294"/>
      <c r="GYS19" s="294"/>
      <c r="GYT19" s="294"/>
      <c r="GYU19" s="294"/>
      <c r="GYV19" s="294"/>
      <c r="GYW19" s="294"/>
      <c r="GYX19" s="294"/>
      <c r="GYY19" s="294"/>
      <c r="GYZ19" s="294"/>
      <c r="GZA19" s="294"/>
      <c r="GZB19" s="294"/>
      <c r="GZC19" s="294"/>
      <c r="GZD19" s="294"/>
      <c r="GZE19" s="294"/>
      <c r="GZF19" s="294"/>
      <c r="GZG19" s="294"/>
      <c r="GZH19" s="294"/>
      <c r="GZI19" s="294"/>
      <c r="GZJ19" s="294"/>
      <c r="GZK19" s="294"/>
      <c r="GZL19" s="294"/>
      <c r="GZM19" s="294"/>
      <c r="GZN19" s="294"/>
      <c r="GZO19" s="294"/>
      <c r="GZP19" s="294"/>
      <c r="GZQ19" s="294"/>
      <c r="GZR19" s="294"/>
      <c r="GZS19" s="294"/>
      <c r="GZT19" s="294"/>
      <c r="GZU19" s="294"/>
      <c r="GZV19" s="294"/>
      <c r="GZW19" s="294"/>
      <c r="GZX19" s="294"/>
      <c r="GZY19" s="294"/>
      <c r="GZZ19" s="294"/>
      <c r="HAA19" s="294"/>
      <c r="HAB19" s="294"/>
      <c r="HAC19" s="294"/>
      <c r="HAD19" s="294"/>
      <c r="HAE19" s="294"/>
      <c r="HAF19" s="294"/>
      <c r="HAG19" s="294"/>
      <c r="HAH19" s="294"/>
      <c r="HAI19" s="294"/>
      <c r="HAJ19" s="294"/>
      <c r="HAK19" s="294"/>
      <c r="HAL19" s="294"/>
      <c r="HAM19" s="294"/>
      <c r="HAN19" s="294"/>
      <c r="HAO19" s="294"/>
      <c r="HAP19" s="294"/>
      <c r="HAQ19" s="294"/>
      <c r="HAR19" s="294"/>
      <c r="HAS19" s="294"/>
      <c r="HAT19" s="294"/>
      <c r="HAU19" s="294"/>
      <c r="HAV19" s="294"/>
      <c r="HAW19" s="294"/>
      <c r="HAX19" s="294"/>
      <c r="HAY19" s="294"/>
      <c r="HAZ19" s="294"/>
      <c r="HBA19" s="294"/>
      <c r="HBB19" s="294"/>
      <c r="HBC19" s="294"/>
      <c r="HBD19" s="294"/>
      <c r="HBE19" s="294"/>
      <c r="HBF19" s="294"/>
      <c r="HBG19" s="294"/>
      <c r="HBH19" s="294"/>
      <c r="HBI19" s="294"/>
      <c r="HBJ19" s="294"/>
      <c r="HBK19" s="294"/>
      <c r="HBL19" s="294"/>
      <c r="HBM19" s="294"/>
      <c r="HBN19" s="294"/>
      <c r="HBO19" s="294"/>
      <c r="HBP19" s="294"/>
      <c r="HBQ19" s="294"/>
      <c r="HBR19" s="294"/>
      <c r="HBS19" s="294"/>
      <c r="HBT19" s="294"/>
      <c r="HBU19" s="294"/>
      <c r="HBV19" s="294"/>
      <c r="HBW19" s="294"/>
      <c r="HBX19" s="294"/>
      <c r="HBY19" s="294"/>
      <c r="HBZ19" s="294"/>
      <c r="HCA19" s="294"/>
      <c r="HCB19" s="294"/>
      <c r="HCC19" s="294"/>
      <c r="HCD19" s="294"/>
      <c r="HCE19" s="294"/>
      <c r="HCF19" s="294"/>
      <c r="HCG19" s="294"/>
      <c r="HCH19" s="294"/>
      <c r="HCI19" s="294"/>
      <c r="HCJ19" s="294"/>
      <c r="HCK19" s="294"/>
      <c r="HCL19" s="294"/>
      <c r="HCM19" s="294"/>
      <c r="HCN19" s="294"/>
      <c r="HCO19" s="294"/>
      <c r="HCP19" s="294"/>
      <c r="HCQ19" s="294"/>
      <c r="HCR19" s="294"/>
      <c r="HCS19" s="294"/>
      <c r="HCT19" s="294"/>
      <c r="HCU19" s="294"/>
      <c r="HCV19" s="294"/>
      <c r="HCW19" s="294"/>
      <c r="HCX19" s="294"/>
      <c r="HCY19" s="294"/>
      <c r="HCZ19" s="294"/>
      <c r="HDA19" s="294"/>
      <c r="HDB19" s="294"/>
      <c r="HDC19" s="294"/>
      <c r="HDD19" s="294"/>
      <c r="HDE19" s="294"/>
      <c r="HDF19" s="294"/>
      <c r="HDG19" s="294"/>
      <c r="HDH19" s="294"/>
      <c r="HDI19" s="294"/>
      <c r="HDJ19" s="294"/>
      <c r="HDK19" s="294"/>
      <c r="HDL19" s="294"/>
      <c r="HDM19" s="294"/>
      <c r="HDN19" s="294"/>
      <c r="HDO19" s="294"/>
      <c r="HDP19" s="294"/>
      <c r="HDQ19" s="294"/>
      <c r="HDR19" s="294"/>
      <c r="HDS19" s="294"/>
      <c r="HDT19" s="294"/>
      <c r="HDU19" s="294"/>
      <c r="HDV19" s="294"/>
      <c r="HDW19" s="294"/>
      <c r="HDX19" s="294"/>
      <c r="HDY19" s="294"/>
      <c r="HDZ19" s="294"/>
      <c r="HEA19" s="294"/>
      <c r="HEB19" s="294"/>
      <c r="HEC19" s="294"/>
      <c r="HED19" s="294"/>
      <c r="HEE19" s="294"/>
      <c r="HEF19" s="294"/>
      <c r="HEG19" s="294"/>
      <c r="HEH19" s="294"/>
      <c r="HEI19" s="294"/>
      <c r="HEJ19" s="294"/>
      <c r="HEK19" s="294"/>
      <c r="HEL19" s="294"/>
      <c r="HEM19" s="294"/>
      <c r="HEN19" s="294"/>
      <c r="HEO19" s="294"/>
      <c r="HEP19" s="294"/>
      <c r="HEQ19" s="294"/>
      <c r="HER19" s="294"/>
      <c r="HES19" s="294"/>
      <c r="HET19" s="294"/>
      <c r="HEU19" s="294"/>
      <c r="HEV19" s="294"/>
      <c r="HEW19" s="294"/>
      <c r="HEX19" s="294"/>
      <c r="HEY19" s="294"/>
      <c r="HEZ19" s="294"/>
      <c r="HFA19" s="294"/>
      <c r="HFB19" s="294"/>
      <c r="HFC19" s="294"/>
      <c r="HFD19" s="294"/>
      <c r="HFE19" s="294"/>
      <c r="HFF19" s="294"/>
      <c r="HFG19" s="294"/>
      <c r="HFH19" s="294"/>
      <c r="HFI19" s="294"/>
      <c r="HFJ19" s="294"/>
      <c r="HFK19" s="294"/>
      <c r="HFL19" s="294"/>
      <c r="HFM19" s="294"/>
      <c r="HFN19" s="294"/>
      <c r="HFO19" s="294"/>
      <c r="HFP19" s="294"/>
      <c r="HFQ19" s="294"/>
      <c r="HFR19" s="294"/>
      <c r="HFS19" s="294"/>
      <c r="HFT19" s="294"/>
      <c r="HFU19" s="294"/>
      <c r="HFV19" s="294"/>
      <c r="HFW19" s="294"/>
      <c r="HFX19" s="294"/>
      <c r="HFY19" s="294"/>
      <c r="HFZ19" s="294"/>
      <c r="HGA19" s="294"/>
      <c r="HGB19" s="294"/>
      <c r="HGC19" s="294"/>
      <c r="HGD19" s="294"/>
      <c r="HGE19" s="294"/>
      <c r="HGF19" s="294"/>
      <c r="HGG19" s="294"/>
      <c r="HGH19" s="294"/>
      <c r="HGI19" s="294"/>
      <c r="HGJ19" s="294"/>
      <c r="HGK19" s="294"/>
      <c r="HGL19" s="294"/>
      <c r="HGM19" s="294"/>
      <c r="HGN19" s="294"/>
      <c r="HGO19" s="294"/>
      <c r="HGP19" s="294"/>
      <c r="HGQ19" s="294"/>
      <c r="HGR19" s="294"/>
      <c r="HGS19" s="294"/>
      <c r="HGT19" s="294"/>
      <c r="HGU19" s="294"/>
      <c r="HGV19" s="294"/>
      <c r="HGW19" s="294"/>
      <c r="HGX19" s="294"/>
      <c r="HGY19" s="294"/>
      <c r="HGZ19" s="294"/>
      <c r="HHA19" s="294"/>
      <c r="HHB19" s="294"/>
      <c r="HHC19" s="294"/>
      <c r="HHD19" s="294"/>
      <c r="HHE19" s="294"/>
      <c r="HHF19" s="294"/>
      <c r="HHG19" s="294"/>
      <c r="HHH19" s="294"/>
      <c r="HHI19" s="294"/>
      <c r="HHJ19" s="294"/>
      <c r="HHK19" s="294"/>
      <c r="HHL19" s="294"/>
      <c r="HHM19" s="294"/>
      <c r="HHN19" s="294"/>
      <c r="HHO19" s="294"/>
      <c r="HHP19" s="294"/>
      <c r="HHQ19" s="294"/>
      <c r="HHR19" s="294"/>
      <c r="HHS19" s="294"/>
      <c r="HHT19" s="294"/>
      <c r="HHU19" s="294"/>
      <c r="HHV19" s="294"/>
      <c r="HHW19" s="294"/>
      <c r="HHX19" s="294"/>
      <c r="HHY19" s="294"/>
      <c r="HHZ19" s="294"/>
      <c r="HIA19" s="294"/>
      <c r="HIB19" s="294"/>
      <c r="HIC19" s="294"/>
      <c r="HID19" s="294"/>
      <c r="HIE19" s="294"/>
      <c r="HIF19" s="294"/>
      <c r="HIG19" s="294"/>
      <c r="HIH19" s="294"/>
      <c r="HII19" s="294"/>
      <c r="HIJ19" s="294"/>
      <c r="HIK19" s="294"/>
      <c r="HIL19" s="294"/>
      <c r="HIM19" s="294"/>
      <c r="HIN19" s="294"/>
      <c r="HIO19" s="294"/>
      <c r="HIP19" s="294"/>
      <c r="HIQ19" s="294"/>
      <c r="HIR19" s="294"/>
      <c r="HIS19" s="294"/>
      <c r="HIT19" s="294"/>
      <c r="HIU19" s="294"/>
      <c r="HIV19" s="294"/>
      <c r="HIW19" s="294"/>
      <c r="HIX19" s="294"/>
      <c r="HIY19" s="294"/>
      <c r="HIZ19" s="294"/>
      <c r="HJA19" s="294"/>
      <c r="HJB19" s="294"/>
      <c r="HJC19" s="294"/>
      <c r="HJD19" s="294"/>
      <c r="HJE19" s="294"/>
      <c r="HJF19" s="294"/>
      <c r="HJG19" s="294"/>
      <c r="HJH19" s="294"/>
      <c r="HJI19" s="294"/>
      <c r="HJJ19" s="294"/>
      <c r="HJK19" s="294"/>
      <c r="HJL19" s="294"/>
      <c r="HJM19" s="294"/>
      <c r="HJN19" s="294"/>
      <c r="HJO19" s="294"/>
      <c r="HJP19" s="294"/>
      <c r="HJQ19" s="294"/>
      <c r="HJR19" s="294"/>
      <c r="HJS19" s="294"/>
      <c r="HJT19" s="294"/>
      <c r="HJU19" s="294"/>
      <c r="HJV19" s="294"/>
      <c r="HJW19" s="294"/>
      <c r="HJX19" s="294"/>
      <c r="HJY19" s="294"/>
      <c r="HJZ19" s="294"/>
      <c r="HKA19" s="294"/>
      <c r="HKB19" s="294"/>
      <c r="HKC19" s="294"/>
      <c r="HKD19" s="294"/>
      <c r="HKE19" s="294"/>
      <c r="HKF19" s="294"/>
      <c r="HKG19" s="294"/>
      <c r="HKH19" s="294"/>
      <c r="HKI19" s="294"/>
      <c r="HKJ19" s="294"/>
      <c r="HKK19" s="294"/>
      <c r="HKL19" s="294"/>
      <c r="HKM19" s="294"/>
      <c r="HKN19" s="294"/>
      <c r="HKO19" s="294"/>
      <c r="HKP19" s="294"/>
      <c r="HKQ19" s="294"/>
      <c r="HKR19" s="294"/>
      <c r="HKS19" s="294"/>
      <c r="HKT19" s="294"/>
      <c r="HKU19" s="294"/>
      <c r="HKV19" s="294"/>
      <c r="HKW19" s="294"/>
      <c r="HKX19" s="294"/>
      <c r="HKY19" s="294"/>
      <c r="HKZ19" s="294"/>
      <c r="HLA19" s="294"/>
      <c r="HLB19" s="294"/>
      <c r="HLC19" s="294"/>
      <c r="HLD19" s="294"/>
      <c r="HLE19" s="294"/>
      <c r="HLF19" s="294"/>
      <c r="HLG19" s="294"/>
      <c r="HLH19" s="294"/>
      <c r="HLI19" s="294"/>
      <c r="HLJ19" s="294"/>
      <c r="HLK19" s="294"/>
      <c r="HLL19" s="294"/>
      <c r="HLM19" s="294"/>
      <c r="HLN19" s="294"/>
      <c r="HLO19" s="294"/>
      <c r="HLP19" s="294"/>
      <c r="HLQ19" s="294"/>
      <c r="HLR19" s="294"/>
      <c r="HLS19" s="294"/>
      <c r="HLT19" s="294"/>
      <c r="HLU19" s="294"/>
      <c r="HLV19" s="294"/>
      <c r="HLW19" s="294"/>
      <c r="HLX19" s="294"/>
      <c r="HLY19" s="294"/>
      <c r="HLZ19" s="294"/>
      <c r="HMA19" s="294"/>
      <c r="HMB19" s="294"/>
      <c r="HMC19" s="294"/>
      <c r="HMD19" s="294"/>
      <c r="HME19" s="294"/>
      <c r="HMF19" s="294"/>
      <c r="HMG19" s="294"/>
      <c r="HMH19" s="294"/>
      <c r="HMI19" s="294"/>
      <c r="HMJ19" s="294"/>
      <c r="HMK19" s="294"/>
      <c r="HML19" s="294"/>
      <c r="HMM19" s="294"/>
      <c r="HMN19" s="294"/>
      <c r="HMO19" s="294"/>
      <c r="HMP19" s="294"/>
      <c r="HMQ19" s="294"/>
      <c r="HMR19" s="294"/>
      <c r="HMS19" s="294"/>
      <c r="HMT19" s="294"/>
      <c r="HMU19" s="294"/>
      <c r="HMV19" s="294"/>
      <c r="HMW19" s="294"/>
      <c r="HMX19" s="294"/>
      <c r="HMY19" s="294"/>
      <c r="HMZ19" s="294"/>
      <c r="HNA19" s="294"/>
      <c r="HNB19" s="294"/>
      <c r="HNC19" s="294"/>
      <c r="HND19" s="294"/>
      <c r="HNE19" s="294"/>
      <c r="HNF19" s="294"/>
      <c r="HNG19" s="294"/>
      <c r="HNH19" s="294"/>
      <c r="HNI19" s="294"/>
      <c r="HNJ19" s="294"/>
      <c r="HNK19" s="294"/>
      <c r="HNL19" s="294"/>
      <c r="HNM19" s="294"/>
      <c r="HNN19" s="294"/>
      <c r="HNO19" s="294"/>
      <c r="HNP19" s="294"/>
      <c r="HNQ19" s="294"/>
      <c r="HNR19" s="294"/>
      <c r="HNS19" s="294"/>
      <c r="HNT19" s="294"/>
      <c r="HNU19" s="294"/>
      <c r="HNV19" s="294"/>
      <c r="HNW19" s="294"/>
      <c r="HNX19" s="294"/>
      <c r="HNY19" s="294"/>
      <c r="HNZ19" s="294"/>
      <c r="HOA19" s="294"/>
      <c r="HOB19" s="294"/>
      <c r="HOC19" s="294"/>
      <c r="HOD19" s="294"/>
      <c r="HOE19" s="294"/>
      <c r="HOF19" s="294"/>
      <c r="HOG19" s="294"/>
      <c r="HOH19" s="294"/>
      <c r="HOI19" s="294"/>
      <c r="HOJ19" s="294"/>
      <c r="HOK19" s="294"/>
      <c r="HOL19" s="294"/>
      <c r="HOM19" s="294"/>
      <c r="HON19" s="294"/>
      <c r="HOO19" s="294"/>
      <c r="HOP19" s="294"/>
      <c r="HOQ19" s="294"/>
      <c r="HOR19" s="294"/>
      <c r="HOS19" s="294"/>
      <c r="HOT19" s="294"/>
      <c r="HOU19" s="294"/>
      <c r="HOV19" s="294"/>
      <c r="HOW19" s="294"/>
      <c r="HOX19" s="294"/>
      <c r="HOY19" s="294"/>
      <c r="HOZ19" s="294"/>
      <c r="HPA19" s="294"/>
      <c r="HPB19" s="294"/>
      <c r="HPC19" s="294"/>
      <c r="HPD19" s="294"/>
      <c r="HPE19" s="294"/>
      <c r="HPF19" s="294"/>
      <c r="HPG19" s="294"/>
      <c r="HPH19" s="294"/>
      <c r="HPI19" s="294"/>
      <c r="HPJ19" s="294"/>
      <c r="HPK19" s="294"/>
      <c r="HPL19" s="294"/>
      <c r="HPM19" s="294"/>
      <c r="HPN19" s="294"/>
      <c r="HPO19" s="294"/>
      <c r="HPP19" s="294"/>
      <c r="HPQ19" s="294"/>
      <c r="HPR19" s="294"/>
      <c r="HPS19" s="294"/>
      <c r="HPT19" s="294"/>
      <c r="HPU19" s="294"/>
      <c r="HPV19" s="294"/>
      <c r="HPW19" s="294"/>
      <c r="HPX19" s="294"/>
      <c r="HPY19" s="294"/>
      <c r="HPZ19" s="294"/>
      <c r="HQA19" s="294"/>
      <c r="HQB19" s="294"/>
      <c r="HQC19" s="294"/>
      <c r="HQD19" s="294"/>
      <c r="HQE19" s="294"/>
      <c r="HQF19" s="294"/>
      <c r="HQG19" s="294"/>
      <c r="HQH19" s="294"/>
      <c r="HQI19" s="294"/>
      <c r="HQJ19" s="294"/>
      <c r="HQK19" s="294"/>
      <c r="HQL19" s="294"/>
      <c r="HQM19" s="294"/>
      <c r="HQN19" s="294"/>
      <c r="HQO19" s="294"/>
      <c r="HQP19" s="294"/>
      <c r="HQQ19" s="294"/>
      <c r="HQR19" s="294"/>
      <c r="HQS19" s="294"/>
      <c r="HQT19" s="294"/>
      <c r="HQU19" s="294"/>
      <c r="HQV19" s="294"/>
      <c r="HQW19" s="294"/>
      <c r="HQX19" s="294"/>
      <c r="HQY19" s="294"/>
      <c r="HQZ19" s="294"/>
      <c r="HRA19" s="294"/>
      <c r="HRB19" s="294"/>
      <c r="HRC19" s="294"/>
      <c r="HRD19" s="294"/>
      <c r="HRE19" s="294"/>
      <c r="HRF19" s="294"/>
      <c r="HRG19" s="294"/>
      <c r="HRH19" s="294"/>
      <c r="HRI19" s="294"/>
      <c r="HRJ19" s="294"/>
      <c r="HRK19" s="294"/>
      <c r="HRL19" s="294"/>
      <c r="HRM19" s="294"/>
      <c r="HRN19" s="294"/>
      <c r="HRO19" s="294"/>
      <c r="HRP19" s="294"/>
      <c r="HRQ19" s="294"/>
      <c r="HRR19" s="294"/>
      <c r="HRS19" s="294"/>
      <c r="HRT19" s="294"/>
      <c r="HRU19" s="294"/>
      <c r="HRV19" s="294"/>
      <c r="HRW19" s="294"/>
      <c r="HRX19" s="294"/>
      <c r="HRY19" s="294"/>
      <c r="HRZ19" s="294"/>
      <c r="HSA19" s="294"/>
      <c r="HSB19" s="294"/>
      <c r="HSC19" s="294"/>
      <c r="HSD19" s="294"/>
      <c r="HSE19" s="294"/>
      <c r="HSF19" s="294"/>
      <c r="HSG19" s="294"/>
      <c r="HSH19" s="294"/>
      <c r="HSI19" s="294"/>
      <c r="HSJ19" s="294"/>
      <c r="HSK19" s="294"/>
      <c r="HSL19" s="294"/>
      <c r="HSM19" s="294"/>
      <c r="HSN19" s="294"/>
      <c r="HSO19" s="294"/>
      <c r="HSP19" s="294"/>
      <c r="HSQ19" s="294"/>
      <c r="HSR19" s="294"/>
      <c r="HSS19" s="294"/>
      <c r="HST19" s="294"/>
      <c r="HSU19" s="294"/>
      <c r="HSV19" s="294"/>
      <c r="HSW19" s="294"/>
      <c r="HSX19" s="294"/>
      <c r="HSY19" s="294"/>
      <c r="HSZ19" s="294"/>
      <c r="HTA19" s="294"/>
      <c r="HTB19" s="294"/>
      <c r="HTC19" s="294"/>
      <c r="HTD19" s="294"/>
      <c r="HTE19" s="294"/>
      <c r="HTF19" s="294"/>
      <c r="HTG19" s="294"/>
      <c r="HTH19" s="294"/>
      <c r="HTI19" s="294"/>
      <c r="HTJ19" s="294"/>
      <c r="HTK19" s="294"/>
      <c r="HTL19" s="294"/>
      <c r="HTM19" s="294"/>
      <c r="HTN19" s="294"/>
      <c r="HTO19" s="294"/>
      <c r="HTP19" s="294"/>
      <c r="HTQ19" s="294"/>
      <c r="HTR19" s="294"/>
      <c r="HTS19" s="294"/>
      <c r="HTT19" s="294"/>
      <c r="HTU19" s="294"/>
      <c r="HTV19" s="294"/>
      <c r="HTW19" s="294"/>
      <c r="HTX19" s="294"/>
      <c r="HTY19" s="294"/>
      <c r="HTZ19" s="294"/>
      <c r="HUA19" s="294"/>
      <c r="HUB19" s="294"/>
      <c r="HUC19" s="294"/>
      <c r="HUD19" s="294"/>
      <c r="HUE19" s="294"/>
      <c r="HUF19" s="294"/>
      <c r="HUG19" s="294"/>
      <c r="HUH19" s="294"/>
      <c r="HUI19" s="294"/>
      <c r="HUJ19" s="294"/>
      <c r="HUK19" s="294"/>
      <c r="HUL19" s="294"/>
      <c r="HUM19" s="294"/>
      <c r="HUN19" s="294"/>
      <c r="HUO19" s="294"/>
      <c r="HUP19" s="294"/>
      <c r="HUQ19" s="294"/>
      <c r="HUR19" s="294"/>
      <c r="HUS19" s="294"/>
      <c r="HUT19" s="294"/>
      <c r="HUU19" s="294"/>
      <c r="HUV19" s="294"/>
      <c r="HUW19" s="294"/>
      <c r="HUX19" s="294"/>
      <c r="HUY19" s="294"/>
      <c r="HUZ19" s="294"/>
      <c r="HVA19" s="294"/>
      <c r="HVB19" s="294"/>
      <c r="HVC19" s="294"/>
      <c r="HVD19" s="294"/>
      <c r="HVE19" s="294"/>
      <c r="HVF19" s="294"/>
      <c r="HVG19" s="294"/>
      <c r="HVH19" s="294"/>
      <c r="HVI19" s="294"/>
      <c r="HVJ19" s="294"/>
      <c r="HVK19" s="294"/>
      <c r="HVL19" s="294"/>
      <c r="HVM19" s="294"/>
      <c r="HVN19" s="294"/>
      <c r="HVO19" s="294"/>
      <c r="HVP19" s="294"/>
      <c r="HVQ19" s="294"/>
      <c r="HVR19" s="294"/>
      <c r="HVS19" s="294"/>
      <c r="HVT19" s="294"/>
      <c r="HVU19" s="294"/>
      <c r="HVV19" s="294"/>
      <c r="HVW19" s="294"/>
      <c r="HVX19" s="294"/>
      <c r="HVY19" s="294"/>
      <c r="HVZ19" s="294"/>
      <c r="HWA19" s="294"/>
      <c r="HWB19" s="294"/>
      <c r="HWC19" s="294"/>
      <c r="HWD19" s="294"/>
      <c r="HWE19" s="294"/>
      <c r="HWF19" s="294"/>
      <c r="HWG19" s="294"/>
      <c r="HWH19" s="294"/>
      <c r="HWI19" s="294"/>
      <c r="HWJ19" s="294"/>
      <c r="HWK19" s="294"/>
      <c r="HWL19" s="294"/>
      <c r="HWM19" s="294"/>
      <c r="HWN19" s="294"/>
      <c r="HWO19" s="294"/>
      <c r="HWP19" s="294"/>
      <c r="HWQ19" s="294"/>
      <c r="HWR19" s="294"/>
      <c r="HWS19" s="294"/>
      <c r="HWT19" s="294"/>
      <c r="HWU19" s="294"/>
      <c r="HWV19" s="294"/>
      <c r="HWW19" s="294"/>
      <c r="HWX19" s="294"/>
      <c r="HWY19" s="294"/>
      <c r="HWZ19" s="294"/>
      <c r="HXA19" s="294"/>
      <c r="HXB19" s="294"/>
      <c r="HXC19" s="294"/>
      <c r="HXD19" s="294"/>
      <c r="HXE19" s="294"/>
      <c r="HXF19" s="294"/>
      <c r="HXG19" s="294"/>
      <c r="HXH19" s="294"/>
      <c r="HXI19" s="294"/>
      <c r="HXJ19" s="294"/>
      <c r="HXK19" s="294"/>
      <c r="HXL19" s="294"/>
      <c r="HXM19" s="294"/>
      <c r="HXN19" s="294"/>
      <c r="HXO19" s="294"/>
      <c r="HXP19" s="294"/>
      <c r="HXQ19" s="294"/>
      <c r="HXR19" s="294"/>
      <c r="HXS19" s="294"/>
      <c r="HXT19" s="294"/>
      <c r="HXU19" s="294"/>
      <c r="HXV19" s="294"/>
      <c r="HXW19" s="294"/>
      <c r="HXX19" s="294"/>
      <c r="HXY19" s="294"/>
      <c r="HXZ19" s="294"/>
      <c r="HYA19" s="294"/>
      <c r="HYB19" s="294"/>
      <c r="HYC19" s="294"/>
      <c r="HYD19" s="294"/>
      <c r="HYE19" s="294"/>
      <c r="HYF19" s="294"/>
      <c r="HYG19" s="294"/>
      <c r="HYH19" s="294"/>
      <c r="HYI19" s="294"/>
      <c r="HYJ19" s="294"/>
      <c r="HYK19" s="294"/>
      <c r="HYL19" s="294"/>
      <c r="HYM19" s="294"/>
      <c r="HYN19" s="294"/>
      <c r="HYO19" s="294"/>
      <c r="HYP19" s="294"/>
      <c r="HYQ19" s="294"/>
      <c r="HYR19" s="294"/>
      <c r="HYS19" s="294"/>
      <c r="HYT19" s="294"/>
      <c r="HYU19" s="294"/>
      <c r="HYV19" s="294"/>
      <c r="HYW19" s="294"/>
      <c r="HYX19" s="294"/>
      <c r="HYY19" s="294"/>
      <c r="HYZ19" s="294"/>
      <c r="HZA19" s="294"/>
      <c r="HZB19" s="294"/>
      <c r="HZC19" s="294"/>
      <c r="HZD19" s="294"/>
      <c r="HZE19" s="294"/>
      <c r="HZF19" s="294"/>
      <c r="HZG19" s="294"/>
      <c r="HZH19" s="294"/>
      <c r="HZI19" s="294"/>
      <c r="HZJ19" s="294"/>
      <c r="HZK19" s="294"/>
      <c r="HZL19" s="294"/>
      <c r="HZM19" s="294"/>
      <c r="HZN19" s="294"/>
      <c r="HZO19" s="294"/>
      <c r="HZP19" s="294"/>
      <c r="HZQ19" s="294"/>
      <c r="HZR19" s="294"/>
      <c r="HZS19" s="294"/>
      <c r="HZT19" s="294"/>
      <c r="HZU19" s="294"/>
      <c r="HZV19" s="294"/>
      <c r="HZW19" s="294"/>
      <c r="HZX19" s="294"/>
      <c r="HZY19" s="294"/>
      <c r="HZZ19" s="294"/>
      <c r="IAA19" s="294"/>
      <c r="IAB19" s="294"/>
      <c r="IAC19" s="294"/>
      <c r="IAD19" s="294"/>
      <c r="IAE19" s="294"/>
      <c r="IAF19" s="294"/>
      <c r="IAG19" s="294"/>
      <c r="IAH19" s="294"/>
      <c r="IAI19" s="294"/>
      <c r="IAJ19" s="294"/>
      <c r="IAK19" s="294"/>
      <c r="IAL19" s="294"/>
      <c r="IAM19" s="294"/>
      <c r="IAN19" s="294"/>
      <c r="IAO19" s="294"/>
      <c r="IAP19" s="294"/>
      <c r="IAQ19" s="294"/>
      <c r="IAR19" s="294"/>
      <c r="IAS19" s="294"/>
      <c r="IAT19" s="294"/>
      <c r="IAU19" s="294"/>
      <c r="IAV19" s="294"/>
      <c r="IAW19" s="294"/>
      <c r="IAX19" s="294"/>
      <c r="IAY19" s="294"/>
      <c r="IAZ19" s="294"/>
      <c r="IBA19" s="294"/>
      <c r="IBB19" s="294"/>
      <c r="IBC19" s="294"/>
      <c r="IBD19" s="294"/>
      <c r="IBE19" s="294"/>
      <c r="IBF19" s="294"/>
      <c r="IBG19" s="294"/>
      <c r="IBH19" s="294"/>
      <c r="IBI19" s="294"/>
      <c r="IBJ19" s="294"/>
      <c r="IBK19" s="294"/>
      <c r="IBL19" s="294"/>
      <c r="IBM19" s="294"/>
      <c r="IBN19" s="294"/>
      <c r="IBO19" s="294"/>
      <c r="IBP19" s="294"/>
      <c r="IBQ19" s="294"/>
      <c r="IBR19" s="294"/>
      <c r="IBS19" s="294"/>
      <c r="IBT19" s="294"/>
      <c r="IBU19" s="294"/>
      <c r="IBV19" s="294"/>
      <c r="IBW19" s="294"/>
      <c r="IBX19" s="294"/>
      <c r="IBY19" s="294"/>
      <c r="IBZ19" s="294"/>
      <c r="ICA19" s="294"/>
      <c r="ICB19" s="294"/>
      <c r="ICC19" s="294"/>
      <c r="ICD19" s="294"/>
      <c r="ICE19" s="294"/>
      <c r="ICF19" s="294"/>
      <c r="ICG19" s="294"/>
      <c r="ICH19" s="294"/>
      <c r="ICI19" s="294"/>
      <c r="ICJ19" s="294"/>
      <c r="ICK19" s="294"/>
      <c r="ICL19" s="294"/>
      <c r="ICM19" s="294"/>
      <c r="ICN19" s="294"/>
      <c r="ICO19" s="294"/>
      <c r="ICP19" s="294"/>
      <c r="ICQ19" s="294"/>
      <c r="ICR19" s="294"/>
      <c r="ICS19" s="294"/>
      <c r="ICT19" s="294"/>
      <c r="ICU19" s="294"/>
      <c r="ICV19" s="294"/>
      <c r="ICW19" s="294"/>
      <c r="ICX19" s="294"/>
      <c r="ICY19" s="294"/>
      <c r="ICZ19" s="294"/>
      <c r="IDA19" s="294"/>
      <c r="IDB19" s="294"/>
      <c r="IDC19" s="294"/>
      <c r="IDD19" s="294"/>
      <c r="IDE19" s="294"/>
      <c r="IDF19" s="294"/>
      <c r="IDG19" s="294"/>
      <c r="IDH19" s="294"/>
      <c r="IDI19" s="294"/>
      <c r="IDJ19" s="294"/>
      <c r="IDK19" s="294"/>
      <c r="IDL19" s="294"/>
      <c r="IDM19" s="294"/>
      <c r="IDN19" s="294"/>
      <c r="IDO19" s="294"/>
      <c r="IDP19" s="294"/>
      <c r="IDQ19" s="294"/>
      <c r="IDR19" s="294"/>
      <c r="IDS19" s="294"/>
      <c r="IDT19" s="294"/>
      <c r="IDU19" s="294"/>
      <c r="IDV19" s="294"/>
      <c r="IDW19" s="294"/>
      <c r="IDX19" s="294"/>
      <c r="IDY19" s="294"/>
      <c r="IDZ19" s="294"/>
      <c r="IEA19" s="294"/>
      <c r="IEB19" s="294"/>
      <c r="IEC19" s="294"/>
      <c r="IED19" s="294"/>
      <c r="IEE19" s="294"/>
      <c r="IEF19" s="294"/>
      <c r="IEG19" s="294"/>
      <c r="IEH19" s="294"/>
      <c r="IEI19" s="294"/>
      <c r="IEJ19" s="294"/>
      <c r="IEK19" s="294"/>
      <c r="IEL19" s="294"/>
      <c r="IEM19" s="294"/>
      <c r="IEN19" s="294"/>
      <c r="IEO19" s="294"/>
      <c r="IEP19" s="294"/>
      <c r="IEQ19" s="294"/>
      <c r="IER19" s="294"/>
      <c r="IES19" s="294"/>
      <c r="IET19" s="294"/>
      <c r="IEU19" s="294"/>
      <c r="IEV19" s="294"/>
      <c r="IEW19" s="294"/>
      <c r="IEX19" s="294"/>
      <c r="IEY19" s="294"/>
      <c r="IEZ19" s="294"/>
      <c r="IFA19" s="294"/>
      <c r="IFB19" s="294"/>
      <c r="IFC19" s="294"/>
      <c r="IFD19" s="294"/>
      <c r="IFE19" s="294"/>
      <c r="IFF19" s="294"/>
      <c r="IFG19" s="294"/>
      <c r="IFH19" s="294"/>
      <c r="IFI19" s="294"/>
      <c r="IFJ19" s="294"/>
      <c r="IFK19" s="294"/>
      <c r="IFL19" s="294"/>
      <c r="IFM19" s="294"/>
      <c r="IFN19" s="294"/>
      <c r="IFO19" s="294"/>
      <c r="IFP19" s="294"/>
      <c r="IFQ19" s="294"/>
      <c r="IFR19" s="294"/>
      <c r="IFS19" s="294"/>
      <c r="IFT19" s="294"/>
      <c r="IFU19" s="294"/>
      <c r="IFV19" s="294"/>
      <c r="IFW19" s="294"/>
      <c r="IFX19" s="294"/>
      <c r="IFY19" s="294"/>
      <c r="IFZ19" s="294"/>
      <c r="IGA19" s="294"/>
      <c r="IGB19" s="294"/>
      <c r="IGC19" s="294"/>
      <c r="IGD19" s="294"/>
      <c r="IGE19" s="294"/>
      <c r="IGF19" s="294"/>
      <c r="IGG19" s="294"/>
      <c r="IGH19" s="294"/>
      <c r="IGI19" s="294"/>
      <c r="IGJ19" s="294"/>
      <c r="IGK19" s="294"/>
      <c r="IGL19" s="294"/>
      <c r="IGM19" s="294"/>
      <c r="IGN19" s="294"/>
      <c r="IGO19" s="294"/>
      <c r="IGP19" s="294"/>
      <c r="IGQ19" s="294"/>
      <c r="IGR19" s="294"/>
      <c r="IGS19" s="294"/>
      <c r="IGT19" s="294"/>
      <c r="IGU19" s="294"/>
      <c r="IGV19" s="294"/>
      <c r="IGW19" s="294"/>
      <c r="IGX19" s="294"/>
      <c r="IGY19" s="294"/>
      <c r="IGZ19" s="294"/>
      <c r="IHA19" s="294"/>
      <c r="IHB19" s="294"/>
      <c r="IHC19" s="294"/>
      <c r="IHD19" s="294"/>
      <c r="IHE19" s="294"/>
      <c r="IHF19" s="294"/>
      <c r="IHG19" s="294"/>
      <c r="IHH19" s="294"/>
      <c r="IHI19" s="294"/>
      <c r="IHJ19" s="294"/>
      <c r="IHK19" s="294"/>
      <c r="IHL19" s="294"/>
      <c r="IHM19" s="294"/>
      <c r="IHN19" s="294"/>
      <c r="IHO19" s="294"/>
      <c r="IHP19" s="294"/>
      <c r="IHQ19" s="294"/>
      <c r="IHR19" s="294"/>
      <c r="IHS19" s="294"/>
      <c r="IHT19" s="294"/>
      <c r="IHU19" s="294"/>
      <c r="IHV19" s="294"/>
      <c r="IHW19" s="294"/>
      <c r="IHX19" s="294"/>
      <c r="IHY19" s="294"/>
      <c r="IHZ19" s="294"/>
      <c r="IIA19" s="294"/>
      <c r="IIB19" s="294"/>
      <c r="IIC19" s="294"/>
      <c r="IID19" s="294"/>
      <c r="IIE19" s="294"/>
      <c r="IIF19" s="294"/>
      <c r="IIG19" s="294"/>
      <c r="IIH19" s="294"/>
      <c r="III19" s="294"/>
      <c r="IIJ19" s="294"/>
      <c r="IIK19" s="294"/>
      <c r="IIL19" s="294"/>
      <c r="IIM19" s="294"/>
      <c r="IIN19" s="294"/>
      <c r="IIO19" s="294"/>
      <c r="IIP19" s="294"/>
      <c r="IIQ19" s="294"/>
      <c r="IIR19" s="294"/>
      <c r="IIS19" s="294"/>
      <c r="IIT19" s="294"/>
      <c r="IIU19" s="294"/>
      <c r="IIV19" s="294"/>
      <c r="IIW19" s="294"/>
      <c r="IIX19" s="294"/>
      <c r="IIY19" s="294"/>
      <c r="IIZ19" s="294"/>
      <c r="IJA19" s="294"/>
      <c r="IJB19" s="294"/>
      <c r="IJC19" s="294"/>
      <c r="IJD19" s="294"/>
      <c r="IJE19" s="294"/>
      <c r="IJF19" s="294"/>
      <c r="IJG19" s="294"/>
      <c r="IJH19" s="294"/>
      <c r="IJI19" s="294"/>
      <c r="IJJ19" s="294"/>
      <c r="IJK19" s="294"/>
      <c r="IJL19" s="294"/>
      <c r="IJM19" s="294"/>
      <c r="IJN19" s="294"/>
      <c r="IJO19" s="294"/>
      <c r="IJP19" s="294"/>
      <c r="IJQ19" s="294"/>
      <c r="IJR19" s="294"/>
      <c r="IJS19" s="294"/>
      <c r="IJT19" s="294"/>
      <c r="IJU19" s="294"/>
      <c r="IJV19" s="294"/>
      <c r="IJW19" s="294"/>
      <c r="IJX19" s="294"/>
      <c r="IJY19" s="294"/>
      <c r="IJZ19" s="294"/>
      <c r="IKA19" s="294"/>
      <c r="IKB19" s="294"/>
      <c r="IKC19" s="294"/>
      <c r="IKD19" s="294"/>
      <c r="IKE19" s="294"/>
      <c r="IKF19" s="294"/>
      <c r="IKG19" s="294"/>
      <c r="IKH19" s="294"/>
      <c r="IKI19" s="294"/>
      <c r="IKJ19" s="294"/>
      <c r="IKK19" s="294"/>
      <c r="IKL19" s="294"/>
      <c r="IKM19" s="294"/>
      <c r="IKN19" s="294"/>
      <c r="IKO19" s="294"/>
      <c r="IKP19" s="294"/>
      <c r="IKQ19" s="294"/>
      <c r="IKR19" s="294"/>
      <c r="IKS19" s="294"/>
      <c r="IKT19" s="294"/>
      <c r="IKU19" s="294"/>
      <c r="IKV19" s="294"/>
      <c r="IKW19" s="294"/>
      <c r="IKX19" s="294"/>
      <c r="IKY19" s="294"/>
      <c r="IKZ19" s="294"/>
      <c r="ILA19" s="294"/>
      <c r="ILB19" s="294"/>
      <c r="ILC19" s="294"/>
      <c r="ILD19" s="294"/>
      <c r="ILE19" s="294"/>
      <c r="ILF19" s="294"/>
      <c r="ILG19" s="294"/>
      <c r="ILH19" s="294"/>
      <c r="ILI19" s="294"/>
      <c r="ILJ19" s="294"/>
      <c r="ILK19" s="294"/>
      <c r="ILL19" s="294"/>
      <c r="ILM19" s="294"/>
      <c r="ILN19" s="294"/>
      <c r="ILO19" s="294"/>
      <c r="ILP19" s="294"/>
      <c r="ILQ19" s="294"/>
      <c r="ILR19" s="294"/>
      <c r="ILS19" s="294"/>
      <c r="ILT19" s="294"/>
      <c r="ILU19" s="294"/>
      <c r="ILV19" s="294"/>
      <c r="ILW19" s="294"/>
      <c r="ILX19" s="294"/>
      <c r="ILY19" s="294"/>
      <c r="ILZ19" s="294"/>
      <c r="IMA19" s="294"/>
      <c r="IMB19" s="294"/>
      <c r="IMC19" s="294"/>
      <c r="IMD19" s="294"/>
      <c r="IME19" s="294"/>
      <c r="IMF19" s="294"/>
      <c r="IMG19" s="294"/>
      <c r="IMH19" s="294"/>
      <c r="IMI19" s="294"/>
      <c r="IMJ19" s="294"/>
      <c r="IMK19" s="294"/>
      <c r="IML19" s="294"/>
      <c r="IMM19" s="294"/>
      <c r="IMN19" s="294"/>
      <c r="IMO19" s="294"/>
      <c r="IMP19" s="294"/>
      <c r="IMQ19" s="294"/>
      <c r="IMR19" s="294"/>
      <c r="IMS19" s="294"/>
      <c r="IMT19" s="294"/>
      <c r="IMU19" s="294"/>
      <c r="IMV19" s="294"/>
      <c r="IMW19" s="294"/>
      <c r="IMX19" s="294"/>
      <c r="IMY19" s="294"/>
      <c r="IMZ19" s="294"/>
      <c r="INA19" s="294"/>
      <c r="INB19" s="294"/>
      <c r="INC19" s="294"/>
      <c r="IND19" s="294"/>
      <c r="INE19" s="294"/>
      <c r="INF19" s="294"/>
      <c r="ING19" s="294"/>
      <c r="INH19" s="294"/>
      <c r="INI19" s="294"/>
      <c r="INJ19" s="294"/>
      <c r="INK19" s="294"/>
      <c r="INL19" s="294"/>
      <c r="INM19" s="294"/>
      <c r="INN19" s="294"/>
      <c r="INO19" s="294"/>
      <c r="INP19" s="294"/>
      <c r="INQ19" s="294"/>
      <c r="INR19" s="294"/>
      <c r="INS19" s="294"/>
      <c r="INT19" s="294"/>
      <c r="INU19" s="294"/>
      <c r="INV19" s="294"/>
      <c r="INW19" s="294"/>
      <c r="INX19" s="294"/>
      <c r="INY19" s="294"/>
      <c r="INZ19" s="294"/>
      <c r="IOA19" s="294"/>
      <c r="IOB19" s="294"/>
      <c r="IOC19" s="294"/>
      <c r="IOD19" s="294"/>
      <c r="IOE19" s="294"/>
      <c r="IOF19" s="294"/>
      <c r="IOG19" s="294"/>
      <c r="IOH19" s="294"/>
      <c r="IOI19" s="294"/>
      <c r="IOJ19" s="294"/>
      <c r="IOK19" s="294"/>
      <c r="IOL19" s="294"/>
      <c r="IOM19" s="294"/>
      <c r="ION19" s="294"/>
      <c r="IOO19" s="294"/>
      <c r="IOP19" s="294"/>
      <c r="IOQ19" s="294"/>
      <c r="IOR19" s="294"/>
      <c r="IOS19" s="294"/>
      <c r="IOT19" s="294"/>
      <c r="IOU19" s="294"/>
      <c r="IOV19" s="294"/>
      <c r="IOW19" s="294"/>
      <c r="IOX19" s="294"/>
      <c r="IOY19" s="294"/>
      <c r="IOZ19" s="294"/>
      <c r="IPA19" s="294"/>
      <c r="IPB19" s="294"/>
      <c r="IPC19" s="294"/>
      <c r="IPD19" s="294"/>
      <c r="IPE19" s="294"/>
      <c r="IPF19" s="294"/>
      <c r="IPG19" s="294"/>
      <c r="IPH19" s="294"/>
      <c r="IPI19" s="294"/>
      <c r="IPJ19" s="294"/>
      <c r="IPK19" s="294"/>
      <c r="IPL19" s="294"/>
      <c r="IPM19" s="294"/>
      <c r="IPN19" s="294"/>
      <c r="IPO19" s="294"/>
      <c r="IPP19" s="294"/>
      <c r="IPQ19" s="294"/>
      <c r="IPR19" s="294"/>
      <c r="IPS19" s="294"/>
      <c r="IPT19" s="294"/>
      <c r="IPU19" s="294"/>
      <c r="IPV19" s="294"/>
      <c r="IPW19" s="294"/>
      <c r="IPX19" s="294"/>
      <c r="IPY19" s="294"/>
      <c r="IPZ19" s="294"/>
      <c r="IQA19" s="294"/>
      <c r="IQB19" s="294"/>
      <c r="IQC19" s="294"/>
      <c r="IQD19" s="294"/>
      <c r="IQE19" s="294"/>
      <c r="IQF19" s="294"/>
      <c r="IQG19" s="294"/>
      <c r="IQH19" s="294"/>
      <c r="IQI19" s="294"/>
      <c r="IQJ19" s="294"/>
      <c r="IQK19" s="294"/>
      <c r="IQL19" s="294"/>
      <c r="IQM19" s="294"/>
      <c r="IQN19" s="294"/>
      <c r="IQO19" s="294"/>
      <c r="IQP19" s="294"/>
      <c r="IQQ19" s="294"/>
      <c r="IQR19" s="294"/>
      <c r="IQS19" s="294"/>
      <c r="IQT19" s="294"/>
      <c r="IQU19" s="294"/>
      <c r="IQV19" s="294"/>
      <c r="IQW19" s="294"/>
      <c r="IQX19" s="294"/>
      <c r="IQY19" s="294"/>
      <c r="IQZ19" s="294"/>
      <c r="IRA19" s="294"/>
      <c r="IRB19" s="294"/>
      <c r="IRC19" s="294"/>
      <c r="IRD19" s="294"/>
      <c r="IRE19" s="294"/>
      <c r="IRF19" s="294"/>
      <c r="IRG19" s="294"/>
      <c r="IRH19" s="294"/>
      <c r="IRI19" s="294"/>
      <c r="IRJ19" s="294"/>
      <c r="IRK19" s="294"/>
      <c r="IRL19" s="294"/>
      <c r="IRM19" s="294"/>
      <c r="IRN19" s="294"/>
      <c r="IRO19" s="294"/>
      <c r="IRP19" s="294"/>
      <c r="IRQ19" s="294"/>
      <c r="IRR19" s="294"/>
      <c r="IRS19" s="294"/>
      <c r="IRT19" s="294"/>
      <c r="IRU19" s="294"/>
      <c r="IRV19" s="294"/>
      <c r="IRW19" s="294"/>
      <c r="IRX19" s="294"/>
      <c r="IRY19" s="294"/>
      <c r="IRZ19" s="294"/>
      <c r="ISA19" s="294"/>
      <c r="ISB19" s="294"/>
      <c r="ISC19" s="294"/>
      <c r="ISD19" s="294"/>
      <c r="ISE19" s="294"/>
      <c r="ISF19" s="294"/>
      <c r="ISG19" s="294"/>
      <c r="ISH19" s="294"/>
      <c r="ISI19" s="294"/>
      <c r="ISJ19" s="294"/>
      <c r="ISK19" s="294"/>
      <c r="ISL19" s="294"/>
      <c r="ISM19" s="294"/>
      <c r="ISN19" s="294"/>
      <c r="ISO19" s="294"/>
      <c r="ISP19" s="294"/>
      <c r="ISQ19" s="294"/>
      <c r="ISR19" s="294"/>
      <c r="ISS19" s="294"/>
      <c r="IST19" s="294"/>
      <c r="ISU19" s="294"/>
      <c r="ISV19" s="294"/>
      <c r="ISW19" s="294"/>
      <c r="ISX19" s="294"/>
      <c r="ISY19" s="294"/>
      <c r="ISZ19" s="294"/>
      <c r="ITA19" s="294"/>
      <c r="ITB19" s="294"/>
      <c r="ITC19" s="294"/>
      <c r="ITD19" s="294"/>
      <c r="ITE19" s="294"/>
      <c r="ITF19" s="294"/>
      <c r="ITG19" s="294"/>
      <c r="ITH19" s="294"/>
      <c r="ITI19" s="294"/>
      <c r="ITJ19" s="294"/>
      <c r="ITK19" s="294"/>
      <c r="ITL19" s="294"/>
      <c r="ITM19" s="294"/>
      <c r="ITN19" s="294"/>
      <c r="ITO19" s="294"/>
      <c r="ITP19" s="294"/>
      <c r="ITQ19" s="294"/>
      <c r="ITR19" s="294"/>
      <c r="ITS19" s="294"/>
      <c r="ITT19" s="294"/>
      <c r="ITU19" s="294"/>
      <c r="ITV19" s="294"/>
      <c r="ITW19" s="294"/>
      <c r="ITX19" s="294"/>
      <c r="ITY19" s="294"/>
      <c r="ITZ19" s="294"/>
      <c r="IUA19" s="294"/>
      <c r="IUB19" s="294"/>
      <c r="IUC19" s="294"/>
      <c r="IUD19" s="294"/>
      <c r="IUE19" s="294"/>
      <c r="IUF19" s="294"/>
      <c r="IUG19" s="294"/>
      <c r="IUH19" s="294"/>
      <c r="IUI19" s="294"/>
      <c r="IUJ19" s="294"/>
      <c r="IUK19" s="294"/>
      <c r="IUL19" s="294"/>
      <c r="IUM19" s="294"/>
      <c r="IUN19" s="294"/>
      <c r="IUO19" s="294"/>
      <c r="IUP19" s="294"/>
      <c r="IUQ19" s="294"/>
      <c r="IUR19" s="294"/>
      <c r="IUS19" s="294"/>
      <c r="IUT19" s="294"/>
      <c r="IUU19" s="294"/>
      <c r="IUV19" s="294"/>
      <c r="IUW19" s="294"/>
      <c r="IUX19" s="294"/>
      <c r="IUY19" s="294"/>
      <c r="IUZ19" s="294"/>
      <c r="IVA19" s="294"/>
      <c r="IVB19" s="294"/>
      <c r="IVC19" s="294"/>
      <c r="IVD19" s="294"/>
      <c r="IVE19" s="294"/>
      <c r="IVF19" s="294"/>
      <c r="IVG19" s="294"/>
      <c r="IVH19" s="294"/>
      <c r="IVI19" s="294"/>
      <c r="IVJ19" s="294"/>
      <c r="IVK19" s="294"/>
      <c r="IVL19" s="294"/>
      <c r="IVM19" s="294"/>
      <c r="IVN19" s="294"/>
      <c r="IVO19" s="294"/>
      <c r="IVP19" s="294"/>
      <c r="IVQ19" s="294"/>
      <c r="IVR19" s="294"/>
      <c r="IVS19" s="294"/>
      <c r="IVT19" s="294"/>
      <c r="IVU19" s="294"/>
      <c r="IVV19" s="294"/>
      <c r="IVW19" s="294"/>
      <c r="IVX19" s="294"/>
      <c r="IVY19" s="294"/>
      <c r="IVZ19" s="294"/>
      <c r="IWA19" s="294"/>
      <c r="IWB19" s="294"/>
      <c r="IWC19" s="294"/>
      <c r="IWD19" s="294"/>
      <c r="IWE19" s="294"/>
      <c r="IWF19" s="294"/>
      <c r="IWG19" s="294"/>
      <c r="IWH19" s="294"/>
      <c r="IWI19" s="294"/>
      <c r="IWJ19" s="294"/>
      <c r="IWK19" s="294"/>
      <c r="IWL19" s="294"/>
      <c r="IWM19" s="294"/>
      <c r="IWN19" s="294"/>
      <c r="IWO19" s="294"/>
      <c r="IWP19" s="294"/>
      <c r="IWQ19" s="294"/>
      <c r="IWR19" s="294"/>
      <c r="IWS19" s="294"/>
      <c r="IWT19" s="294"/>
      <c r="IWU19" s="294"/>
      <c r="IWV19" s="294"/>
      <c r="IWW19" s="294"/>
      <c r="IWX19" s="294"/>
      <c r="IWY19" s="294"/>
      <c r="IWZ19" s="294"/>
      <c r="IXA19" s="294"/>
      <c r="IXB19" s="294"/>
      <c r="IXC19" s="294"/>
      <c r="IXD19" s="294"/>
      <c r="IXE19" s="294"/>
      <c r="IXF19" s="294"/>
      <c r="IXG19" s="294"/>
      <c r="IXH19" s="294"/>
      <c r="IXI19" s="294"/>
      <c r="IXJ19" s="294"/>
      <c r="IXK19" s="294"/>
      <c r="IXL19" s="294"/>
      <c r="IXM19" s="294"/>
      <c r="IXN19" s="294"/>
      <c r="IXO19" s="294"/>
      <c r="IXP19" s="294"/>
      <c r="IXQ19" s="294"/>
      <c r="IXR19" s="294"/>
      <c r="IXS19" s="294"/>
      <c r="IXT19" s="294"/>
      <c r="IXU19" s="294"/>
      <c r="IXV19" s="294"/>
      <c r="IXW19" s="294"/>
      <c r="IXX19" s="294"/>
      <c r="IXY19" s="294"/>
      <c r="IXZ19" s="294"/>
      <c r="IYA19" s="294"/>
      <c r="IYB19" s="294"/>
      <c r="IYC19" s="294"/>
      <c r="IYD19" s="294"/>
      <c r="IYE19" s="294"/>
      <c r="IYF19" s="294"/>
      <c r="IYG19" s="294"/>
      <c r="IYH19" s="294"/>
      <c r="IYI19" s="294"/>
      <c r="IYJ19" s="294"/>
      <c r="IYK19" s="294"/>
      <c r="IYL19" s="294"/>
      <c r="IYM19" s="294"/>
      <c r="IYN19" s="294"/>
      <c r="IYO19" s="294"/>
      <c r="IYP19" s="294"/>
      <c r="IYQ19" s="294"/>
      <c r="IYR19" s="294"/>
      <c r="IYS19" s="294"/>
      <c r="IYT19" s="294"/>
      <c r="IYU19" s="294"/>
      <c r="IYV19" s="294"/>
      <c r="IYW19" s="294"/>
      <c r="IYX19" s="294"/>
      <c r="IYY19" s="294"/>
      <c r="IYZ19" s="294"/>
      <c r="IZA19" s="294"/>
      <c r="IZB19" s="294"/>
      <c r="IZC19" s="294"/>
      <c r="IZD19" s="294"/>
      <c r="IZE19" s="294"/>
      <c r="IZF19" s="294"/>
      <c r="IZG19" s="294"/>
      <c r="IZH19" s="294"/>
      <c r="IZI19" s="294"/>
      <c r="IZJ19" s="294"/>
      <c r="IZK19" s="294"/>
      <c r="IZL19" s="294"/>
      <c r="IZM19" s="294"/>
      <c r="IZN19" s="294"/>
      <c r="IZO19" s="294"/>
      <c r="IZP19" s="294"/>
      <c r="IZQ19" s="294"/>
      <c r="IZR19" s="294"/>
      <c r="IZS19" s="294"/>
      <c r="IZT19" s="294"/>
      <c r="IZU19" s="294"/>
      <c r="IZV19" s="294"/>
      <c r="IZW19" s="294"/>
      <c r="IZX19" s="294"/>
      <c r="IZY19" s="294"/>
      <c r="IZZ19" s="294"/>
      <c r="JAA19" s="294"/>
      <c r="JAB19" s="294"/>
      <c r="JAC19" s="294"/>
      <c r="JAD19" s="294"/>
      <c r="JAE19" s="294"/>
      <c r="JAF19" s="294"/>
      <c r="JAG19" s="294"/>
      <c r="JAH19" s="294"/>
      <c r="JAI19" s="294"/>
      <c r="JAJ19" s="294"/>
      <c r="JAK19" s="294"/>
      <c r="JAL19" s="294"/>
      <c r="JAM19" s="294"/>
      <c r="JAN19" s="294"/>
      <c r="JAO19" s="294"/>
      <c r="JAP19" s="294"/>
      <c r="JAQ19" s="294"/>
      <c r="JAR19" s="294"/>
      <c r="JAS19" s="294"/>
      <c r="JAT19" s="294"/>
      <c r="JAU19" s="294"/>
      <c r="JAV19" s="294"/>
      <c r="JAW19" s="294"/>
      <c r="JAX19" s="294"/>
      <c r="JAY19" s="294"/>
      <c r="JAZ19" s="294"/>
      <c r="JBA19" s="294"/>
      <c r="JBB19" s="294"/>
      <c r="JBC19" s="294"/>
      <c r="JBD19" s="294"/>
      <c r="JBE19" s="294"/>
      <c r="JBF19" s="294"/>
      <c r="JBG19" s="294"/>
      <c r="JBH19" s="294"/>
      <c r="JBI19" s="294"/>
      <c r="JBJ19" s="294"/>
      <c r="JBK19" s="294"/>
      <c r="JBL19" s="294"/>
      <c r="JBM19" s="294"/>
      <c r="JBN19" s="294"/>
      <c r="JBO19" s="294"/>
      <c r="JBP19" s="294"/>
      <c r="JBQ19" s="294"/>
      <c r="JBR19" s="294"/>
      <c r="JBS19" s="294"/>
      <c r="JBT19" s="294"/>
      <c r="JBU19" s="294"/>
      <c r="JBV19" s="294"/>
      <c r="JBW19" s="294"/>
      <c r="JBX19" s="294"/>
      <c r="JBY19" s="294"/>
      <c r="JBZ19" s="294"/>
      <c r="JCA19" s="294"/>
      <c r="JCB19" s="294"/>
      <c r="JCC19" s="294"/>
      <c r="JCD19" s="294"/>
      <c r="JCE19" s="294"/>
      <c r="JCF19" s="294"/>
      <c r="JCG19" s="294"/>
      <c r="JCH19" s="294"/>
      <c r="JCI19" s="294"/>
      <c r="JCJ19" s="294"/>
      <c r="JCK19" s="294"/>
      <c r="JCL19" s="294"/>
      <c r="JCM19" s="294"/>
      <c r="JCN19" s="294"/>
      <c r="JCO19" s="294"/>
      <c r="JCP19" s="294"/>
      <c r="JCQ19" s="294"/>
      <c r="JCR19" s="294"/>
      <c r="JCS19" s="294"/>
      <c r="JCT19" s="294"/>
      <c r="JCU19" s="294"/>
      <c r="JCV19" s="294"/>
      <c r="JCW19" s="294"/>
      <c r="JCX19" s="294"/>
      <c r="JCY19" s="294"/>
      <c r="JCZ19" s="294"/>
      <c r="JDA19" s="294"/>
      <c r="JDB19" s="294"/>
      <c r="JDC19" s="294"/>
      <c r="JDD19" s="294"/>
      <c r="JDE19" s="294"/>
      <c r="JDF19" s="294"/>
      <c r="JDG19" s="294"/>
      <c r="JDH19" s="294"/>
      <c r="JDI19" s="294"/>
      <c r="JDJ19" s="294"/>
      <c r="JDK19" s="294"/>
      <c r="JDL19" s="294"/>
      <c r="JDM19" s="294"/>
      <c r="JDN19" s="294"/>
      <c r="JDO19" s="294"/>
      <c r="JDP19" s="294"/>
      <c r="JDQ19" s="294"/>
      <c r="JDR19" s="294"/>
      <c r="JDS19" s="294"/>
      <c r="JDT19" s="294"/>
      <c r="JDU19" s="294"/>
      <c r="JDV19" s="294"/>
      <c r="JDW19" s="294"/>
      <c r="JDX19" s="294"/>
      <c r="JDY19" s="294"/>
      <c r="JDZ19" s="294"/>
      <c r="JEA19" s="294"/>
      <c r="JEB19" s="294"/>
      <c r="JEC19" s="294"/>
      <c r="JED19" s="294"/>
      <c r="JEE19" s="294"/>
      <c r="JEF19" s="294"/>
      <c r="JEG19" s="294"/>
      <c r="JEH19" s="294"/>
      <c r="JEI19" s="294"/>
      <c r="JEJ19" s="294"/>
      <c r="JEK19" s="294"/>
      <c r="JEL19" s="294"/>
      <c r="JEM19" s="294"/>
      <c r="JEN19" s="294"/>
      <c r="JEO19" s="294"/>
      <c r="JEP19" s="294"/>
      <c r="JEQ19" s="294"/>
      <c r="JER19" s="294"/>
      <c r="JES19" s="294"/>
      <c r="JET19" s="294"/>
      <c r="JEU19" s="294"/>
      <c r="JEV19" s="294"/>
      <c r="JEW19" s="294"/>
      <c r="JEX19" s="294"/>
      <c r="JEY19" s="294"/>
      <c r="JEZ19" s="294"/>
      <c r="JFA19" s="294"/>
      <c r="JFB19" s="294"/>
      <c r="JFC19" s="294"/>
      <c r="JFD19" s="294"/>
      <c r="JFE19" s="294"/>
      <c r="JFF19" s="294"/>
      <c r="JFG19" s="294"/>
      <c r="JFH19" s="294"/>
      <c r="JFI19" s="294"/>
      <c r="JFJ19" s="294"/>
      <c r="JFK19" s="294"/>
      <c r="JFL19" s="294"/>
      <c r="JFM19" s="294"/>
      <c r="JFN19" s="294"/>
      <c r="JFO19" s="294"/>
      <c r="JFP19" s="294"/>
      <c r="JFQ19" s="294"/>
      <c r="JFR19" s="294"/>
      <c r="JFS19" s="294"/>
      <c r="JFT19" s="294"/>
      <c r="JFU19" s="294"/>
      <c r="JFV19" s="294"/>
      <c r="JFW19" s="294"/>
      <c r="JFX19" s="294"/>
      <c r="JFY19" s="294"/>
      <c r="JFZ19" s="294"/>
      <c r="JGA19" s="294"/>
      <c r="JGB19" s="294"/>
      <c r="JGC19" s="294"/>
      <c r="JGD19" s="294"/>
      <c r="JGE19" s="294"/>
      <c r="JGF19" s="294"/>
      <c r="JGG19" s="294"/>
      <c r="JGH19" s="294"/>
      <c r="JGI19" s="294"/>
      <c r="JGJ19" s="294"/>
      <c r="JGK19" s="294"/>
      <c r="JGL19" s="294"/>
      <c r="JGM19" s="294"/>
      <c r="JGN19" s="294"/>
      <c r="JGO19" s="294"/>
      <c r="JGP19" s="294"/>
      <c r="JGQ19" s="294"/>
      <c r="JGR19" s="294"/>
      <c r="JGS19" s="294"/>
      <c r="JGT19" s="294"/>
      <c r="JGU19" s="294"/>
      <c r="JGV19" s="294"/>
      <c r="JGW19" s="294"/>
      <c r="JGX19" s="294"/>
      <c r="JGY19" s="294"/>
      <c r="JGZ19" s="294"/>
      <c r="JHA19" s="294"/>
      <c r="JHB19" s="294"/>
      <c r="JHC19" s="294"/>
      <c r="JHD19" s="294"/>
      <c r="JHE19" s="294"/>
      <c r="JHF19" s="294"/>
      <c r="JHG19" s="294"/>
      <c r="JHH19" s="294"/>
      <c r="JHI19" s="294"/>
      <c r="JHJ19" s="294"/>
      <c r="JHK19" s="294"/>
      <c r="JHL19" s="294"/>
      <c r="JHM19" s="294"/>
      <c r="JHN19" s="294"/>
      <c r="JHO19" s="294"/>
      <c r="JHP19" s="294"/>
      <c r="JHQ19" s="294"/>
      <c r="JHR19" s="294"/>
      <c r="JHS19" s="294"/>
      <c r="JHT19" s="294"/>
      <c r="JHU19" s="294"/>
      <c r="JHV19" s="294"/>
      <c r="JHW19" s="294"/>
      <c r="JHX19" s="294"/>
      <c r="JHY19" s="294"/>
      <c r="JHZ19" s="294"/>
      <c r="JIA19" s="294"/>
      <c r="JIB19" s="294"/>
      <c r="JIC19" s="294"/>
      <c r="JID19" s="294"/>
      <c r="JIE19" s="294"/>
      <c r="JIF19" s="294"/>
      <c r="JIG19" s="294"/>
      <c r="JIH19" s="294"/>
      <c r="JII19" s="294"/>
      <c r="JIJ19" s="294"/>
      <c r="JIK19" s="294"/>
      <c r="JIL19" s="294"/>
      <c r="JIM19" s="294"/>
      <c r="JIN19" s="294"/>
      <c r="JIO19" s="294"/>
      <c r="JIP19" s="294"/>
      <c r="JIQ19" s="294"/>
      <c r="JIR19" s="294"/>
      <c r="JIS19" s="294"/>
      <c r="JIT19" s="294"/>
      <c r="JIU19" s="294"/>
      <c r="JIV19" s="294"/>
      <c r="JIW19" s="294"/>
      <c r="JIX19" s="294"/>
      <c r="JIY19" s="294"/>
      <c r="JIZ19" s="294"/>
      <c r="JJA19" s="294"/>
      <c r="JJB19" s="294"/>
      <c r="JJC19" s="294"/>
      <c r="JJD19" s="294"/>
      <c r="JJE19" s="294"/>
      <c r="JJF19" s="294"/>
      <c r="JJG19" s="294"/>
      <c r="JJH19" s="294"/>
      <c r="JJI19" s="294"/>
      <c r="JJJ19" s="294"/>
      <c r="JJK19" s="294"/>
      <c r="JJL19" s="294"/>
      <c r="JJM19" s="294"/>
      <c r="JJN19" s="294"/>
      <c r="JJO19" s="294"/>
      <c r="JJP19" s="294"/>
      <c r="JJQ19" s="294"/>
      <c r="JJR19" s="294"/>
      <c r="JJS19" s="294"/>
      <c r="JJT19" s="294"/>
      <c r="JJU19" s="294"/>
      <c r="JJV19" s="294"/>
      <c r="JJW19" s="294"/>
      <c r="JJX19" s="294"/>
      <c r="JJY19" s="294"/>
      <c r="JJZ19" s="294"/>
      <c r="JKA19" s="294"/>
      <c r="JKB19" s="294"/>
      <c r="JKC19" s="294"/>
      <c r="JKD19" s="294"/>
      <c r="JKE19" s="294"/>
      <c r="JKF19" s="294"/>
      <c r="JKG19" s="294"/>
      <c r="JKH19" s="294"/>
      <c r="JKI19" s="294"/>
      <c r="JKJ19" s="294"/>
      <c r="JKK19" s="294"/>
      <c r="JKL19" s="294"/>
      <c r="JKM19" s="294"/>
      <c r="JKN19" s="294"/>
      <c r="JKO19" s="294"/>
      <c r="JKP19" s="294"/>
      <c r="JKQ19" s="294"/>
      <c r="JKR19" s="294"/>
      <c r="JKS19" s="294"/>
      <c r="JKT19" s="294"/>
      <c r="JKU19" s="294"/>
      <c r="JKV19" s="294"/>
      <c r="JKW19" s="294"/>
      <c r="JKX19" s="294"/>
      <c r="JKY19" s="294"/>
      <c r="JKZ19" s="294"/>
      <c r="JLA19" s="294"/>
      <c r="JLB19" s="294"/>
      <c r="JLC19" s="294"/>
      <c r="JLD19" s="294"/>
      <c r="JLE19" s="294"/>
      <c r="JLF19" s="294"/>
      <c r="JLG19" s="294"/>
      <c r="JLH19" s="294"/>
      <c r="JLI19" s="294"/>
      <c r="JLJ19" s="294"/>
      <c r="JLK19" s="294"/>
      <c r="JLL19" s="294"/>
      <c r="JLM19" s="294"/>
      <c r="JLN19" s="294"/>
      <c r="JLO19" s="294"/>
      <c r="JLP19" s="294"/>
      <c r="JLQ19" s="294"/>
      <c r="JLR19" s="294"/>
      <c r="JLS19" s="294"/>
      <c r="JLT19" s="294"/>
      <c r="JLU19" s="294"/>
      <c r="JLV19" s="294"/>
      <c r="JLW19" s="294"/>
      <c r="JLX19" s="294"/>
      <c r="JLY19" s="294"/>
      <c r="JLZ19" s="294"/>
      <c r="JMA19" s="294"/>
      <c r="JMB19" s="294"/>
      <c r="JMC19" s="294"/>
      <c r="JMD19" s="294"/>
      <c r="JME19" s="294"/>
      <c r="JMF19" s="294"/>
      <c r="JMG19" s="294"/>
      <c r="JMH19" s="294"/>
      <c r="JMI19" s="294"/>
      <c r="JMJ19" s="294"/>
      <c r="JMK19" s="294"/>
      <c r="JML19" s="294"/>
      <c r="JMM19" s="294"/>
      <c r="JMN19" s="294"/>
      <c r="JMO19" s="294"/>
      <c r="JMP19" s="294"/>
      <c r="JMQ19" s="294"/>
      <c r="JMR19" s="294"/>
      <c r="JMS19" s="294"/>
      <c r="JMT19" s="294"/>
      <c r="JMU19" s="294"/>
      <c r="JMV19" s="294"/>
      <c r="JMW19" s="294"/>
      <c r="JMX19" s="294"/>
      <c r="JMY19" s="294"/>
      <c r="JMZ19" s="294"/>
      <c r="JNA19" s="294"/>
      <c r="JNB19" s="294"/>
      <c r="JNC19" s="294"/>
      <c r="JND19" s="294"/>
      <c r="JNE19" s="294"/>
      <c r="JNF19" s="294"/>
      <c r="JNG19" s="294"/>
      <c r="JNH19" s="294"/>
      <c r="JNI19" s="294"/>
      <c r="JNJ19" s="294"/>
      <c r="JNK19" s="294"/>
      <c r="JNL19" s="294"/>
      <c r="JNM19" s="294"/>
      <c r="JNN19" s="294"/>
      <c r="JNO19" s="294"/>
      <c r="JNP19" s="294"/>
      <c r="JNQ19" s="294"/>
      <c r="JNR19" s="294"/>
      <c r="JNS19" s="294"/>
      <c r="JNT19" s="294"/>
      <c r="JNU19" s="294"/>
      <c r="JNV19" s="294"/>
      <c r="JNW19" s="294"/>
      <c r="JNX19" s="294"/>
      <c r="JNY19" s="294"/>
      <c r="JNZ19" s="294"/>
      <c r="JOA19" s="294"/>
      <c r="JOB19" s="294"/>
      <c r="JOC19" s="294"/>
      <c r="JOD19" s="294"/>
      <c r="JOE19" s="294"/>
      <c r="JOF19" s="294"/>
      <c r="JOG19" s="294"/>
      <c r="JOH19" s="294"/>
      <c r="JOI19" s="294"/>
      <c r="JOJ19" s="294"/>
      <c r="JOK19" s="294"/>
      <c r="JOL19" s="294"/>
      <c r="JOM19" s="294"/>
      <c r="JON19" s="294"/>
      <c r="JOO19" s="294"/>
      <c r="JOP19" s="294"/>
      <c r="JOQ19" s="294"/>
      <c r="JOR19" s="294"/>
      <c r="JOS19" s="294"/>
      <c r="JOT19" s="294"/>
      <c r="JOU19" s="294"/>
      <c r="JOV19" s="294"/>
      <c r="JOW19" s="294"/>
      <c r="JOX19" s="294"/>
      <c r="JOY19" s="294"/>
      <c r="JOZ19" s="294"/>
      <c r="JPA19" s="294"/>
      <c r="JPB19" s="294"/>
      <c r="JPC19" s="294"/>
      <c r="JPD19" s="294"/>
      <c r="JPE19" s="294"/>
      <c r="JPF19" s="294"/>
      <c r="JPG19" s="294"/>
      <c r="JPH19" s="294"/>
      <c r="JPI19" s="294"/>
      <c r="JPJ19" s="294"/>
      <c r="JPK19" s="294"/>
      <c r="JPL19" s="294"/>
      <c r="JPM19" s="294"/>
      <c r="JPN19" s="294"/>
      <c r="JPO19" s="294"/>
      <c r="JPP19" s="294"/>
      <c r="JPQ19" s="294"/>
      <c r="JPR19" s="294"/>
      <c r="JPS19" s="294"/>
      <c r="JPT19" s="294"/>
      <c r="JPU19" s="294"/>
      <c r="JPV19" s="294"/>
      <c r="JPW19" s="294"/>
      <c r="JPX19" s="294"/>
      <c r="JPY19" s="294"/>
      <c r="JPZ19" s="294"/>
      <c r="JQA19" s="294"/>
      <c r="JQB19" s="294"/>
      <c r="JQC19" s="294"/>
      <c r="JQD19" s="294"/>
      <c r="JQE19" s="294"/>
      <c r="JQF19" s="294"/>
      <c r="JQG19" s="294"/>
      <c r="JQH19" s="294"/>
      <c r="JQI19" s="294"/>
      <c r="JQJ19" s="294"/>
      <c r="JQK19" s="294"/>
      <c r="JQL19" s="294"/>
      <c r="JQM19" s="294"/>
      <c r="JQN19" s="294"/>
      <c r="JQO19" s="294"/>
      <c r="JQP19" s="294"/>
      <c r="JQQ19" s="294"/>
      <c r="JQR19" s="294"/>
      <c r="JQS19" s="294"/>
      <c r="JQT19" s="294"/>
      <c r="JQU19" s="294"/>
      <c r="JQV19" s="294"/>
      <c r="JQW19" s="294"/>
      <c r="JQX19" s="294"/>
      <c r="JQY19" s="294"/>
      <c r="JQZ19" s="294"/>
      <c r="JRA19" s="294"/>
      <c r="JRB19" s="294"/>
      <c r="JRC19" s="294"/>
      <c r="JRD19" s="294"/>
      <c r="JRE19" s="294"/>
      <c r="JRF19" s="294"/>
      <c r="JRG19" s="294"/>
      <c r="JRH19" s="294"/>
      <c r="JRI19" s="294"/>
      <c r="JRJ19" s="294"/>
      <c r="JRK19" s="294"/>
      <c r="JRL19" s="294"/>
      <c r="JRM19" s="294"/>
      <c r="JRN19" s="294"/>
      <c r="JRO19" s="294"/>
      <c r="JRP19" s="294"/>
      <c r="JRQ19" s="294"/>
      <c r="JRR19" s="294"/>
      <c r="JRS19" s="294"/>
      <c r="JRT19" s="294"/>
      <c r="JRU19" s="294"/>
      <c r="JRV19" s="294"/>
      <c r="JRW19" s="294"/>
      <c r="JRX19" s="294"/>
      <c r="JRY19" s="294"/>
      <c r="JRZ19" s="294"/>
      <c r="JSA19" s="294"/>
      <c r="JSB19" s="294"/>
      <c r="JSC19" s="294"/>
      <c r="JSD19" s="294"/>
      <c r="JSE19" s="294"/>
      <c r="JSF19" s="294"/>
      <c r="JSG19" s="294"/>
      <c r="JSH19" s="294"/>
      <c r="JSI19" s="294"/>
      <c r="JSJ19" s="294"/>
      <c r="JSK19" s="294"/>
      <c r="JSL19" s="294"/>
      <c r="JSM19" s="294"/>
      <c r="JSN19" s="294"/>
      <c r="JSO19" s="294"/>
      <c r="JSP19" s="294"/>
      <c r="JSQ19" s="294"/>
      <c r="JSR19" s="294"/>
      <c r="JSS19" s="294"/>
      <c r="JST19" s="294"/>
      <c r="JSU19" s="294"/>
      <c r="JSV19" s="294"/>
      <c r="JSW19" s="294"/>
      <c r="JSX19" s="294"/>
      <c r="JSY19" s="294"/>
      <c r="JSZ19" s="294"/>
      <c r="JTA19" s="294"/>
      <c r="JTB19" s="294"/>
      <c r="JTC19" s="294"/>
      <c r="JTD19" s="294"/>
      <c r="JTE19" s="294"/>
      <c r="JTF19" s="294"/>
      <c r="JTG19" s="294"/>
      <c r="JTH19" s="294"/>
      <c r="JTI19" s="294"/>
      <c r="JTJ19" s="294"/>
      <c r="JTK19" s="294"/>
      <c r="JTL19" s="294"/>
      <c r="JTM19" s="294"/>
      <c r="JTN19" s="294"/>
      <c r="JTO19" s="294"/>
      <c r="JTP19" s="294"/>
      <c r="JTQ19" s="294"/>
      <c r="JTR19" s="294"/>
      <c r="JTS19" s="294"/>
      <c r="JTT19" s="294"/>
      <c r="JTU19" s="294"/>
      <c r="JTV19" s="294"/>
      <c r="JTW19" s="294"/>
      <c r="JTX19" s="294"/>
      <c r="JTY19" s="294"/>
      <c r="JTZ19" s="294"/>
      <c r="JUA19" s="294"/>
      <c r="JUB19" s="294"/>
      <c r="JUC19" s="294"/>
      <c r="JUD19" s="294"/>
      <c r="JUE19" s="294"/>
      <c r="JUF19" s="294"/>
      <c r="JUG19" s="294"/>
      <c r="JUH19" s="294"/>
      <c r="JUI19" s="294"/>
      <c r="JUJ19" s="294"/>
      <c r="JUK19" s="294"/>
      <c r="JUL19" s="294"/>
      <c r="JUM19" s="294"/>
      <c r="JUN19" s="294"/>
      <c r="JUO19" s="294"/>
      <c r="JUP19" s="294"/>
      <c r="JUQ19" s="294"/>
      <c r="JUR19" s="294"/>
      <c r="JUS19" s="294"/>
      <c r="JUT19" s="294"/>
      <c r="JUU19" s="294"/>
      <c r="JUV19" s="294"/>
      <c r="JUW19" s="294"/>
      <c r="JUX19" s="294"/>
      <c r="JUY19" s="294"/>
      <c r="JUZ19" s="294"/>
      <c r="JVA19" s="294"/>
      <c r="JVB19" s="294"/>
      <c r="JVC19" s="294"/>
      <c r="JVD19" s="294"/>
      <c r="JVE19" s="294"/>
      <c r="JVF19" s="294"/>
      <c r="JVG19" s="294"/>
      <c r="JVH19" s="294"/>
      <c r="JVI19" s="294"/>
      <c r="JVJ19" s="294"/>
      <c r="JVK19" s="294"/>
      <c r="JVL19" s="294"/>
      <c r="JVM19" s="294"/>
      <c r="JVN19" s="294"/>
      <c r="JVO19" s="294"/>
      <c r="JVP19" s="294"/>
      <c r="JVQ19" s="294"/>
      <c r="JVR19" s="294"/>
      <c r="JVS19" s="294"/>
      <c r="JVT19" s="294"/>
      <c r="JVU19" s="294"/>
      <c r="JVV19" s="294"/>
      <c r="JVW19" s="294"/>
      <c r="JVX19" s="294"/>
      <c r="JVY19" s="294"/>
      <c r="JVZ19" s="294"/>
      <c r="JWA19" s="294"/>
      <c r="JWB19" s="294"/>
      <c r="JWC19" s="294"/>
      <c r="JWD19" s="294"/>
      <c r="JWE19" s="294"/>
      <c r="JWF19" s="294"/>
      <c r="JWG19" s="294"/>
      <c r="JWH19" s="294"/>
      <c r="JWI19" s="294"/>
      <c r="JWJ19" s="294"/>
      <c r="JWK19" s="294"/>
      <c r="JWL19" s="294"/>
      <c r="JWM19" s="294"/>
      <c r="JWN19" s="294"/>
      <c r="JWO19" s="294"/>
      <c r="JWP19" s="294"/>
      <c r="JWQ19" s="294"/>
      <c r="JWR19" s="294"/>
      <c r="JWS19" s="294"/>
      <c r="JWT19" s="294"/>
      <c r="JWU19" s="294"/>
      <c r="JWV19" s="294"/>
      <c r="JWW19" s="294"/>
      <c r="JWX19" s="294"/>
      <c r="JWY19" s="294"/>
      <c r="JWZ19" s="294"/>
      <c r="JXA19" s="294"/>
      <c r="JXB19" s="294"/>
      <c r="JXC19" s="294"/>
      <c r="JXD19" s="294"/>
      <c r="JXE19" s="294"/>
      <c r="JXF19" s="294"/>
      <c r="JXG19" s="294"/>
      <c r="JXH19" s="294"/>
      <c r="JXI19" s="294"/>
      <c r="JXJ19" s="294"/>
      <c r="JXK19" s="294"/>
      <c r="JXL19" s="294"/>
      <c r="JXM19" s="294"/>
      <c r="JXN19" s="294"/>
      <c r="JXO19" s="294"/>
      <c r="JXP19" s="294"/>
      <c r="JXQ19" s="294"/>
      <c r="JXR19" s="294"/>
      <c r="JXS19" s="294"/>
      <c r="JXT19" s="294"/>
      <c r="JXU19" s="294"/>
      <c r="JXV19" s="294"/>
      <c r="JXW19" s="294"/>
      <c r="JXX19" s="294"/>
      <c r="JXY19" s="294"/>
      <c r="JXZ19" s="294"/>
      <c r="JYA19" s="294"/>
      <c r="JYB19" s="294"/>
      <c r="JYC19" s="294"/>
      <c r="JYD19" s="294"/>
      <c r="JYE19" s="294"/>
      <c r="JYF19" s="294"/>
      <c r="JYG19" s="294"/>
      <c r="JYH19" s="294"/>
      <c r="JYI19" s="294"/>
      <c r="JYJ19" s="294"/>
      <c r="JYK19" s="294"/>
      <c r="JYL19" s="294"/>
      <c r="JYM19" s="294"/>
      <c r="JYN19" s="294"/>
      <c r="JYO19" s="294"/>
      <c r="JYP19" s="294"/>
      <c r="JYQ19" s="294"/>
      <c r="JYR19" s="294"/>
      <c r="JYS19" s="294"/>
      <c r="JYT19" s="294"/>
      <c r="JYU19" s="294"/>
      <c r="JYV19" s="294"/>
      <c r="JYW19" s="294"/>
      <c r="JYX19" s="294"/>
      <c r="JYY19" s="294"/>
      <c r="JYZ19" s="294"/>
      <c r="JZA19" s="294"/>
      <c r="JZB19" s="294"/>
      <c r="JZC19" s="294"/>
      <c r="JZD19" s="294"/>
      <c r="JZE19" s="294"/>
      <c r="JZF19" s="294"/>
      <c r="JZG19" s="294"/>
      <c r="JZH19" s="294"/>
      <c r="JZI19" s="294"/>
      <c r="JZJ19" s="294"/>
      <c r="JZK19" s="294"/>
      <c r="JZL19" s="294"/>
      <c r="JZM19" s="294"/>
      <c r="JZN19" s="294"/>
      <c r="JZO19" s="294"/>
      <c r="JZP19" s="294"/>
      <c r="JZQ19" s="294"/>
      <c r="JZR19" s="294"/>
      <c r="JZS19" s="294"/>
      <c r="JZT19" s="294"/>
      <c r="JZU19" s="294"/>
      <c r="JZV19" s="294"/>
      <c r="JZW19" s="294"/>
      <c r="JZX19" s="294"/>
      <c r="JZY19" s="294"/>
      <c r="JZZ19" s="294"/>
      <c r="KAA19" s="294"/>
      <c r="KAB19" s="294"/>
      <c r="KAC19" s="294"/>
      <c r="KAD19" s="294"/>
      <c r="KAE19" s="294"/>
      <c r="KAF19" s="294"/>
      <c r="KAG19" s="294"/>
      <c r="KAH19" s="294"/>
      <c r="KAI19" s="294"/>
      <c r="KAJ19" s="294"/>
      <c r="KAK19" s="294"/>
      <c r="KAL19" s="294"/>
      <c r="KAM19" s="294"/>
      <c r="KAN19" s="294"/>
      <c r="KAO19" s="294"/>
      <c r="KAP19" s="294"/>
      <c r="KAQ19" s="294"/>
      <c r="KAR19" s="294"/>
      <c r="KAS19" s="294"/>
      <c r="KAT19" s="294"/>
      <c r="KAU19" s="294"/>
      <c r="KAV19" s="294"/>
      <c r="KAW19" s="294"/>
      <c r="KAX19" s="294"/>
      <c r="KAY19" s="294"/>
      <c r="KAZ19" s="294"/>
      <c r="KBA19" s="294"/>
      <c r="KBB19" s="294"/>
      <c r="KBC19" s="294"/>
      <c r="KBD19" s="294"/>
      <c r="KBE19" s="294"/>
      <c r="KBF19" s="294"/>
      <c r="KBG19" s="294"/>
      <c r="KBH19" s="294"/>
      <c r="KBI19" s="294"/>
      <c r="KBJ19" s="294"/>
      <c r="KBK19" s="294"/>
      <c r="KBL19" s="294"/>
      <c r="KBM19" s="294"/>
      <c r="KBN19" s="294"/>
      <c r="KBO19" s="294"/>
      <c r="KBP19" s="294"/>
      <c r="KBQ19" s="294"/>
      <c r="KBR19" s="294"/>
      <c r="KBS19" s="294"/>
      <c r="KBT19" s="294"/>
      <c r="KBU19" s="294"/>
      <c r="KBV19" s="294"/>
      <c r="KBW19" s="294"/>
      <c r="KBX19" s="294"/>
      <c r="KBY19" s="294"/>
      <c r="KBZ19" s="294"/>
      <c r="KCA19" s="294"/>
      <c r="KCB19" s="294"/>
      <c r="KCC19" s="294"/>
      <c r="KCD19" s="294"/>
      <c r="KCE19" s="294"/>
      <c r="KCF19" s="294"/>
      <c r="KCG19" s="294"/>
      <c r="KCH19" s="294"/>
      <c r="KCI19" s="294"/>
      <c r="KCJ19" s="294"/>
      <c r="KCK19" s="294"/>
      <c r="KCL19" s="294"/>
      <c r="KCM19" s="294"/>
      <c r="KCN19" s="294"/>
      <c r="KCO19" s="294"/>
      <c r="KCP19" s="294"/>
      <c r="KCQ19" s="294"/>
      <c r="KCR19" s="294"/>
      <c r="KCS19" s="294"/>
      <c r="KCT19" s="294"/>
      <c r="KCU19" s="294"/>
      <c r="KCV19" s="294"/>
      <c r="KCW19" s="294"/>
      <c r="KCX19" s="294"/>
      <c r="KCY19" s="294"/>
      <c r="KCZ19" s="294"/>
      <c r="KDA19" s="294"/>
      <c r="KDB19" s="294"/>
      <c r="KDC19" s="294"/>
      <c r="KDD19" s="294"/>
      <c r="KDE19" s="294"/>
      <c r="KDF19" s="294"/>
      <c r="KDG19" s="294"/>
      <c r="KDH19" s="294"/>
      <c r="KDI19" s="294"/>
      <c r="KDJ19" s="294"/>
      <c r="KDK19" s="294"/>
      <c r="KDL19" s="294"/>
      <c r="KDM19" s="294"/>
      <c r="KDN19" s="294"/>
      <c r="KDO19" s="294"/>
      <c r="KDP19" s="294"/>
      <c r="KDQ19" s="294"/>
      <c r="KDR19" s="294"/>
      <c r="KDS19" s="294"/>
      <c r="KDT19" s="294"/>
      <c r="KDU19" s="294"/>
      <c r="KDV19" s="294"/>
      <c r="KDW19" s="294"/>
      <c r="KDX19" s="294"/>
      <c r="KDY19" s="294"/>
      <c r="KDZ19" s="294"/>
      <c r="KEA19" s="294"/>
      <c r="KEB19" s="294"/>
      <c r="KEC19" s="294"/>
      <c r="KED19" s="294"/>
      <c r="KEE19" s="294"/>
      <c r="KEF19" s="294"/>
      <c r="KEG19" s="294"/>
      <c r="KEH19" s="294"/>
      <c r="KEI19" s="294"/>
      <c r="KEJ19" s="294"/>
      <c r="KEK19" s="294"/>
      <c r="KEL19" s="294"/>
      <c r="KEM19" s="294"/>
      <c r="KEN19" s="294"/>
      <c r="KEO19" s="294"/>
      <c r="KEP19" s="294"/>
      <c r="KEQ19" s="294"/>
      <c r="KER19" s="294"/>
      <c r="KES19" s="294"/>
      <c r="KET19" s="294"/>
      <c r="KEU19" s="294"/>
      <c r="KEV19" s="294"/>
      <c r="KEW19" s="294"/>
      <c r="KEX19" s="294"/>
      <c r="KEY19" s="294"/>
      <c r="KEZ19" s="294"/>
      <c r="KFA19" s="294"/>
      <c r="KFB19" s="294"/>
      <c r="KFC19" s="294"/>
      <c r="KFD19" s="294"/>
      <c r="KFE19" s="294"/>
      <c r="KFF19" s="294"/>
      <c r="KFG19" s="294"/>
      <c r="KFH19" s="294"/>
      <c r="KFI19" s="294"/>
      <c r="KFJ19" s="294"/>
      <c r="KFK19" s="294"/>
      <c r="KFL19" s="294"/>
      <c r="KFM19" s="294"/>
      <c r="KFN19" s="294"/>
      <c r="KFO19" s="294"/>
      <c r="KFP19" s="294"/>
      <c r="KFQ19" s="294"/>
      <c r="KFR19" s="294"/>
      <c r="KFS19" s="294"/>
      <c r="KFT19" s="294"/>
      <c r="KFU19" s="294"/>
      <c r="KFV19" s="294"/>
      <c r="KFW19" s="294"/>
      <c r="KFX19" s="294"/>
      <c r="KFY19" s="294"/>
      <c r="KFZ19" s="294"/>
      <c r="KGA19" s="294"/>
      <c r="KGB19" s="294"/>
      <c r="KGC19" s="294"/>
      <c r="KGD19" s="294"/>
      <c r="KGE19" s="294"/>
      <c r="KGF19" s="294"/>
      <c r="KGG19" s="294"/>
      <c r="KGH19" s="294"/>
      <c r="KGI19" s="294"/>
      <c r="KGJ19" s="294"/>
      <c r="KGK19" s="294"/>
      <c r="KGL19" s="294"/>
      <c r="KGM19" s="294"/>
      <c r="KGN19" s="294"/>
      <c r="KGO19" s="294"/>
      <c r="KGP19" s="294"/>
      <c r="KGQ19" s="294"/>
      <c r="KGR19" s="294"/>
      <c r="KGS19" s="294"/>
      <c r="KGT19" s="294"/>
      <c r="KGU19" s="294"/>
      <c r="KGV19" s="294"/>
      <c r="KGW19" s="294"/>
      <c r="KGX19" s="294"/>
      <c r="KGY19" s="294"/>
      <c r="KGZ19" s="294"/>
      <c r="KHA19" s="294"/>
      <c r="KHB19" s="294"/>
      <c r="KHC19" s="294"/>
      <c r="KHD19" s="294"/>
      <c r="KHE19" s="294"/>
      <c r="KHF19" s="294"/>
      <c r="KHG19" s="294"/>
      <c r="KHH19" s="294"/>
      <c r="KHI19" s="294"/>
      <c r="KHJ19" s="294"/>
      <c r="KHK19" s="294"/>
      <c r="KHL19" s="294"/>
      <c r="KHM19" s="294"/>
      <c r="KHN19" s="294"/>
      <c r="KHO19" s="294"/>
      <c r="KHP19" s="294"/>
      <c r="KHQ19" s="294"/>
      <c r="KHR19" s="294"/>
      <c r="KHS19" s="294"/>
      <c r="KHT19" s="294"/>
      <c r="KHU19" s="294"/>
      <c r="KHV19" s="294"/>
      <c r="KHW19" s="294"/>
      <c r="KHX19" s="294"/>
      <c r="KHY19" s="294"/>
      <c r="KHZ19" s="294"/>
      <c r="KIA19" s="294"/>
      <c r="KIB19" s="294"/>
      <c r="KIC19" s="294"/>
      <c r="KID19" s="294"/>
      <c r="KIE19" s="294"/>
      <c r="KIF19" s="294"/>
      <c r="KIG19" s="294"/>
      <c r="KIH19" s="294"/>
      <c r="KII19" s="294"/>
      <c r="KIJ19" s="294"/>
      <c r="KIK19" s="294"/>
      <c r="KIL19" s="294"/>
      <c r="KIM19" s="294"/>
      <c r="KIN19" s="294"/>
      <c r="KIO19" s="294"/>
      <c r="KIP19" s="294"/>
      <c r="KIQ19" s="294"/>
      <c r="KIR19" s="294"/>
      <c r="KIS19" s="294"/>
      <c r="KIT19" s="294"/>
      <c r="KIU19" s="294"/>
      <c r="KIV19" s="294"/>
      <c r="KIW19" s="294"/>
      <c r="KIX19" s="294"/>
      <c r="KIY19" s="294"/>
      <c r="KIZ19" s="294"/>
      <c r="KJA19" s="294"/>
      <c r="KJB19" s="294"/>
      <c r="KJC19" s="294"/>
      <c r="KJD19" s="294"/>
      <c r="KJE19" s="294"/>
      <c r="KJF19" s="294"/>
      <c r="KJG19" s="294"/>
      <c r="KJH19" s="294"/>
      <c r="KJI19" s="294"/>
      <c r="KJJ19" s="294"/>
      <c r="KJK19" s="294"/>
      <c r="KJL19" s="294"/>
      <c r="KJM19" s="294"/>
      <c r="KJN19" s="294"/>
      <c r="KJO19" s="294"/>
      <c r="KJP19" s="294"/>
      <c r="KJQ19" s="294"/>
      <c r="KJR19" s="294"/>
      <c r="KJS19" s="294"/>
      <c r="KJT19" s="294"/>
      <c r="KJU19" s="294"/>
      <c r="KJV19" s="294"/>
      <c r="KJW19" s="294"/>
      <c r="KJX19" s="294"/>
      <c r="KJY19" s="294"/>
      <c r="KJZ19" s="294"/>
      <c r="KKA19" s="294"/>
      <c r="KKB19" s="294"/>
      <c r="KKC19" s="294"/>
      <c r="KKD19" s="294"/>
      <c r="KKE19" s="294"/>
      <c r="KKF19" s="294"/>
      <c r="KKG19" s="294"/>
      <c r="KKH19" s="294"/>
      <c r="KKI19" s="294"/>
      <c r="KKJ19" s="294"/>
      <c r="KKK19" s="294"/>
      <c r="KKL19" s="294"/>
      <c r="KKM19" s="294"/>
      <c r="KKN19" s="294"/>
      <c r="KKO19" s="294"/>
      <c r="KKP19" s="294"/>
      <c r="KKQ19" s="294"/>
      <c r="KKR19" s="294"/>
      <c r="KKS19" s="294"/>
      <c r="KKT19" s="294"/>
      <c r="KKU19" s="294"/>
      <c r="KKV19" s="294"/>
      <c r="KKW19" s="294"/>
      <c r="KKX19" s="294"/>
      <c r="KKY19" s="294"/>
      <c r="KKZ19" s="294"/>
      <c r="KLA19" s="294"/>
      <c r="KLB19" s="294"/>
      <c r="KLC19" s="294"/>
      <c r="KLD19" s="294"/>
      <c r="KLE19" s="294"/>
      <c r="KLF19" s="294"/>
      <c r="KLG19" s="294"/>
      <c r="KLH19" s="294"/>
      <c r="KLI19" s="294"/>
      <c r="KLJ19" s="294"/>
      <c r="KLK19" s="294"/>
      <c r="KLL19" s="294"/>
      <c r="KLM19" s="294"/>
      <c r="KLN19" s="294"/>
      <c r="KLO19" s="294"/>
      <c r="KLP19" s="294"/>
      <c r="KLQ19" s="294"/>
      <c r="KLR19" s="294"/>
      <c r="KLS19" s="294"/>
      <c r="KLT19" s="294"/>
      <c r="KLU19" s="294"/>
      <c r="KLV19" s="294"/>
      <c r="KLW19" s="294"/>
      <c r="KLX19" s="294"/>
      <c r="KLY19" s="294"/>
      <c r="KLZ19" s="294"/>
      <c r="KMA19" s="294"/>
      <c r="KMB19" s="294"/>
      <c r="KMC19" s="294"/>
      <c r="KMD19" s="294"/>
      <c r="KME19" s="294"/>
      <c r="KMF19" s="294"/>
      <c r="KMG19" s="294"/>
      <c r="KMH19" s="294"/>
      <c r="KMI19" s="294"/>
      <c r="KMJ19" s="294"/>
      <c r="KMK19" s="294"/>
      <c r="KML19" s="294"/>
      <c r="KMM19" s="294"/>
      <c r="KMN19" s="294"/>
      <c r="KMO19" s="294"/>
      <c r="KMP19" s="294"/>
      <c r="KMQ19" s="294"/>
      <c r="KMR19" s="294"/>
      <c r="KMS19" s="294"/>
      <c r="KMT19" s="294"/>
      <c r="KMU19" s="294"/>
      <c r="KMV19" s="294"/>
      <c r="KMW19" s="294"/>
      <c r="KMX19" s="294"/>
      <c r="KMY19" s="294"/>
      <c r="KMZ19" s="294"/>
      <c r="KNA19" s="294"/>
      <c r="KNB19" s="294"/>
      <c r="KNC19" s="294"/>
      <c r="KND19" s="294"/>
      <c r="KNE19" s="294"/>
      <c r="KNF19" s="294"/>
      <c r="KNG19" s="294"/>
      <c r="KNH19" s="294"/>
      <c r="KNI19" s="294"/>
      <c r="KNJ19" s="294"/>
      <c r="KNK19" s="294"/>
      <c r="KNL19" s="294"/>
      <c r="KNM19" s="294"/>
      <c r="KNN19" s="294"/>
      <c r="KNO19" s="294"/>
      <c r="KNP19" s="294"/>
      <c r="KNQ19" s="294"/>
      <c r="KNR19" s="294"/>
      <c r="KNS19" s="294"/>
      <c r="KNT19" s="294"/>
      <c r="KNU19" s="294"/>
      <c r="KNV19" s="294"/>
      <c r="KNW19" s="294"/>
      <c r="KNX19" s="294"/>
      <c r="KNY19" s="294"/>
      <c r="KNZ19" s="294"/>
      <c r="KOA19" s="294"/>
      <c r="KOB19" s="294"/>
      <c r="KOC19" s="294"/>
      <c r="KOD19" s="294"/>
      <c r="KOE19" s="294"/>
      <c r="KOF19" s="294"/>
      <c r="KOG19" s="294"/>
      <c r="KOH19" s="294"/>
      <c r="KOI19" s="294"/>
      <c r="KOJ19" s="294"/>
      <c r="KOK19" s="294"/>
      <c r="KOL19" s="294"/>
      <c r="KOM19" s="294"/>
      <c r="KON19" s="294"/>
      <c r="KOO19" s="294"/>
      <c r="KOP19" s="294"/>
      <c r="KOQ19" s="294"/>
      <c r="KOR19" s="294"/>
      <c r="KOS19" s="294"/>
      <c r="KOT19" s="294"/>
      <c r="KOU19" s="294"/>
      <c r="KOV19" s="294"/>
      <c r="KOW19" s="294"/>
      <c r="KOX19" s="294"/>
      <c r="KOY19" s="294"/>
      <c r="KOZ19" s="294"/>
      <c r="KPA19" s="294"/>
      <c r="KPB19" s="294"/>
      <c r="KPC19" s="294"/>
      <c r="KPD19" s="294"/>
      <c r="KPE19" s="294"/>
      <c r="KPF19" s="294"/>
      <c r="KPG19" s="294"/>
      <c r="KPH19" s="294"/>
      <c r="KPI19" s="294"/>
      <c r="KPJ19" s="294"/>
      <c r="KPK19" s="294"/>
      <c r="KPL19" s="294"/>
      <c r="KPM19" s="294"/>
      <c r="KPN19" s="294"/>
      <c r="KPO19" s="294"/>
      <c r="KPP19" s="294"/>
      <c r="KPQ19" s="294"/>
      <c r="KPR19" s="294"/>
      <c r="KPS19" s="294"/>
      <c r="KPT19" s="294"/>
      <c r="KPU19" s="294"/>
      <c r="KPV19" s="294"/>
      <c r="KPW19" s="294"/>
      <c r="KPX19" s="294"/>
      <c r="KPY19" s="294"/>
      <c r="KPZ19" s="294"/>
      <c r="KQA19" s="294"/>
      <c r="KQB19" s="294"/>
      <c r="KQC19" s="294"/>
      <c r="KQD19" s="294"/>
      <c r="KQE19" s="294"/>
      <c r="KQF19" s="294"/>
      <c r="KQG19" s="294"/>
      <c r="KQH19" s="294"/>
      <c r="KQI19" s="294"/>
      <c r="KQJ19" s="294"/>
      <c r="KQK19" s="294"/>
      <c r="KQL19" s="294"/>
      <c r="KQM19" s="294"/>
      <c r="KQN19" s="294"/>
      <c r="KQO19" s="294"/>
      <c r="KQP19" s="294"/>
      <c r="KQQ19" s="294"/>
      <c r="KQR19" s="294"/>
      <c r="KQS19" s="294"/>
      <c r="KQT19" s="294"/>
      <c r="KQU19" s="294"/>
      <c r="KQV19" s="294"/>
      <c r="KQW19" s="294"/>
      <c r="KQX19" s="294"/>
      <c r="KQY19" s="294"/>
      <c r="KQZ19" s="294"/>
      <c r="KRA19" s="294"/>
      <c r="KRB19" s="294"/>
      <c r="KRC19" s="294"/>
      <c r="KRD19" s="294"/>
      <c r="KRE19" s="294"/>
      <c r="KRF19" s="294"/>
      <c r="KRG19" s="294"/>
      <c r="KRH19" s="294"/>
      <c r="KRI19" s="294"/>
      <c r="KRJ19" s="294"/>
      <c r="KRK19" s="294"/>
      <c r="KRL19" s="294"/>
      <c r="KRM19" s="294"/>
      <c r="KRN19" s="294"/>
      <c r="KRO19" s="294"/>
      <c r="KRP19" s="294"/>
      <c r="KRQ19" s="294"/>
      <c r="KRR19" s="294"/>
      <c r="KRS19" s="294"/>
      <c r="KRT19" s="294"/>
      <c r="KRU19" s="294"/>
      <c r="KRV19" s="294"/>
      <c r="KRW19" s="294"/>
      <c r="KRX19" s="294"/>
      <c r="KRY19" s="294"/>
      <c r="KRZ19" s="294"/>
      <c r="KSA19" s="294"/>
      <c r="KSB19" s="294"/>
      <c r="KSC19" s="294"/>
      <c r="KSD19" s="294"/>
      <c r="KSE19" s="294"/>
      <c r="KSF19" s="294"/>
      <c r="KSG19" s="294"/>
      <c r="KSH19" s="294"/>
      <c r="KSI19" s="294"/>
      <c r="KSJ19" s="294"/>
      <c r="KSK19" s="294"/>
      <c r="KSL19" s="294"/>
      <c r="KSM19" s="294"/>
      <c r="KSN19" s="294"/>
      <c r="KSO19" s="294"/>
      <c r="KSP19" s="294"/>
      <c r="KSQ19" s="294"/>
      <c r="KSR19" s="294"/>
      <c r="KSS19" s="294"/>
      <c r="KST19" s="294"/>
      <c r="KSU19" s="294"/>
      <c r="KSV19" s="294"/>
      <c r="KSW19" s="294"/>
      <c r="KSX19" s="294"/>
      <c r="KSY19" s="294"/>
      <c r="KSZ19" s="294"/>
      <c r="KTA19" s="294"/>
      <c r="KTB19" s="294"/>
      <c r="KTC19" s="294"/>
      <c r="KTD19" s="294"/>
      <c r="KTE19" s="294"/>
      <c r="KTF19" s="294"/>
      <c r="KTG19" s="294"/>
      <c r="KTH19" s="294"/>
      <c r="KTI19" s="294"/>
      <c r="KTJ19" s="294"/>
      <c r="KTK19" s="294"/>
      <c r="KTL19" s="294"/>
      <c r="KTM19" s="294"/>
      <c r="KTN19" s="294"/>
      <c r="KTO19" s="294"/>
      <c r="KTP19" s="294"/>
      <c r="KTQ19" s="294"/>
      <c r="KTR19" s="294"/>
      <c r="KTS19" s="294"/>
      <c r="KTT19" s="294"/>
      <c r="KTU19" s="294"/>
      <c r="KTV19" s="294"/>
      <c r="KTW19" s="294"/>
      <c r="KTX19" s="294"/>
      <c r="KTY19" s="294"/>
      <c r="KTZ19" s="294"/>
      <c r="KUA19" s="294"/>
      <c r="KUB19" s="294"/>
      <c r="KUC19" s="294"/>
      <c r="KUD19" s="294"/>
      <c r="KUE19" s="294"/>
      <c r="KUF19" s="294"/>
      <c r="KUG19" s="294"/>
      <c r="KUH19" s="294"/>
      <c r="KUI19" s="294"/>
      <c r="KUJ19" s="294"/>
      <c r="KUK19" s="294"/>
      <c r="KUL19" s="294"/>
      <c r="KUM19" s="294"/>
      <c r="KUN19" s="294"/>
      <c r="KUO19" s="294"/>
      <c r="KUP19" s="294"/>
      <c r="KUQ19" s="294"/>
      <c r="KUR19" s="294"/>
      <c r="KUS19" s="294"/>
      <c r="KUT19" s="294"/>
      <c r="KUU19" s="294"/>
      <c r="KUV19" s="294"/>
      <c r="KUW19" s="294"/>
      <c r="KUX19" s="294"/>
      <c r="KUY19" s="294"/>
      <c r="KUZ19" s="294"/>
      <c r="KVA19" s="294"/>
      <c r="KVB19" s="294"/>
      <c r="KVC19" s="294"/>
      <c r="KVD19" s="294"/>
      <c r="KVE19" s="294"/>
      <c r="KVF19" s="294"/>
      <c r="KVG19" s="294"/>
      <c r="KVH19" s="294"/>
      <c r="KVI19" s="294"/>
      <c r="KVJ19" s="294"/>
      <c r="KVK19" s="294"/>
      <c r="KVL19" s="294"/>
      <c r="KVM19" s="294"/>
      <c r="KVN19" s="294"/>
      <c r="KVO19" s="294"/>
      <c r="KVP19" s="294"/>
      <c r="KVQ19" s="294"/>
      <c r="KVR19" s="294"/>
      <c r="KVS19" s="294"/>
      <c r="KVT19" s="294"/>
      <c r="KVU19" s="294"/>
      <c r="KVV19" s="294"/>
      <c r="KVW19" s="294"/>
      <c r="KVX19" s="294"/>
      <c r="KVY19" s="294"/>
      <c r="KVZ19" s="294"/>
      <c r="KWA19" s="294"/>
      <c r="KWB19" s="294"/>
      <c r="KWC19" s="294"/>
      <c r="KWD19" s="294"/>
      <c r="KWE19" s="294"/>
      <c r="KWF19" s="294"/>
      <c r="KWG19" s="294"/>
      <c r="KWH19" s="294"/>
      <c r="KWI19" s="294"/>
      <c r="KWJ19" s="294"/>
      <c r="KWK19" s="294"/>
      <c r="KWL19" s="294"/>
      <c r="KWM19" s="294"/>
      <c r="KWN19" s="294"/>
      <c r="KWO19" s="294"/>
      <c r="KWP19" s="294"/>
      <c r="KWQ19" s="294"/>
      <c r="KWR19" s="294"/>
      <c r="KWS19" s="294"/>
      <c r="KWT19" s="294"/>
      <c r="KWU19" s="294"/>
      <c r="KWV19" s="294"/>
      <c r="KWW19" s="294"/>
      <c r="KWX19" s="294"/>
      <c r="KWY19" s="294"/>
      <c r="KWZ19" s="294"/>
      <c r="KXA19" s="294"/>
      <c r="KXB19" s="294"/>
      <c r="KXC19" s="294"/>
      <c r="KXD19" s="294"/>
      <c r="KXE19" s="294"/>
      <c r="KXF19" s="294"/>
      <c r="KXG19" s="294"/>
      <c r="KXH19" s="294"/>
      <c r="KXI19" s="294"/>
      <c r="KXJ19" s="294"/>
      <c r="KXK19" s="294"/>
      <c r="KXL19" s="294"/>
      <c r="KXM19" s="294"/>
      <c r="KXN19" s="294"/>
      <c r="KXO19" s="294"/>
      <c r="KXP19" s="294"/>
      <c r="KXQ19" s="294"/>
      <c r="KXR19" s="294"/>
      <c r="KXS19" s="294"/>
      <c r="KXT19" s="294"/>
      <c r="KXU19" s="294"/>
      <c r="KXV19" s="294"/>
      <c r="KXW19" s="294"/>
      <c r="KXX19" s="294"/>
      <c r="KXY19" s="294"/>
      <c r="KXZ19" s="294"/>
      <c r="KYA19" s="294"/>
      <c r="KYB19" s="294"/>
      <c r="KYC19" s="294"/>
      <c r="KYD19" s="294"/>
      <c r="KYE19" s="294"/>
      <c r="KYF19" s="294"/>
      <c r="KYG19" s="294"/>
      <c r="KYH19" s="294"/>
      <c r="KYI19" s="294"/>
      <c r="KYJ19" s="294"/>
      <c r="KYK19" s="294"/>
      <c r="KYL19" s="294"/>
      <c r="KYM19" s="294"/>
      <c r="KYN19" s="294"/>
      <c r="KYO19" s="294"/>
      <c r="KYP19" s="294"/>
      <c r="KYQ19" s="294"/>
      <c r="KYR19" s="294"/>
      <c r="KYS19" s="294"/>
      <c r="KYT19" s="294"/>
      <c r="KYU19" s="294"/>
      <c r="KYV19" s="294"/>
      <c r="KYW19" s="294"/>
      <c r="KYX19" s="294"/>
      <c r="KYY19" s="294"/>
      <c r="KYZ19" s="294"/>
      <c r="KZA19" s="294"/>
      <c r="KZB19" s="294"/>
      <c r="KZC19" s="294"/>
      <c r="KZD19" s="294"/>
      <c r="KZE19" s="294"/>
      <c r="KZF19" s="294"/>
      <c r="KZG19" s="294"/>
      <c r="KZH19" s="294"/>
      <c r="KZI19" s="294"/>
      <c r="KZJ19" s="294"/>
      <c r="KZK19" s="294"/>
      <c r="KZL19" s="294"/>
      <c r="KZM19" s="294"/>
      <c r="KZN19" s="294"/>
      <c r="KZO19" s="294"/>
      <c r="KZP19" s="294"/>
      <c r="KZQ19" s="294"/>
      <c r="KZR19" s="294"/>
      <c r="KZS19" s="294"/>
      <c r="KZT19" s="294"/>
      <c r="KZU19" s="294"/>
      <c r="KZV19" s="294"/>
      <c r="KZW19" s="294"/>
      <c r="KZX19" s="294"/>
      <c r="KZY19" s="294"/>
      <c r="KZZ19" s="294"/>
      <c r="LAA19" s="294"/>
      <c r="LAB19" s="294"/>
      <c r="LAC19" s="294"/>
      <c r="LAD19" s="294"/>
      <c r="LAE19" s="294"/>
      <c r="LAF19" s="294"/>
      <c r="LAG19" s="294"/>
      <c r="LAH19" s="294"/>
      <c r="LAI19" s="294"/>
      <c r="LAJ19" s="294"/>
      <c r="LAK19" s="294"/>
      <c r="LAL19" s="294"/>
      <c r="LAM19" s="294"/>
      <c r="LAN19" s="294"/>
      <c r="LAO19" s="294"/>
      <c r="LAP19" s="294"/>
      <c r="LAQ19" s="294"/>
      <c r="LAR19" s="294"/>
      <c r="LAS19" s="294"/>
      <c r="LAT19" s="294"/>
      <c r="LAU19" s="294"/>
      <c r="LAV19" s="294"/>
      <c r="LAW19" s="294"/>
      <c r="LAX19" s="294"/>
      <c r="LAY19" s="294"/>
      <c r="LAZ19" s="294"/>
      <c r="LBA19" s="294"/>
      <c r="LBB19" s="294"/>
      <c r="LBC19" s="294"/>
      <c r="LBD19" s="294"/>
      <c r="LBE19" s="294"/>
      <c r="LBF19" s="294"/>
      <c r="LBG19" s="294"/>
      <c r="LBH19" s="294"/>
      <c r="LBI19" s="294"/>
      <c r="LBJ19" s="294"/>
      <c r="LBK19" s="294"/>
      <c r="LBL19" s="294"/>
      <c r="LBM19" s="294"/>
      <c r="LBN19" s="294"/>
      <c r="LBO19" s="294"/>
      <c r="LBP19" s="294"/>
      <c r="LBQ19" s="294"/>
      <c r="LBR19" s="294"/>
      <c r="LBS19" s="294"/>
      <c r="LBT19" s="294"/>
      <c r="LBU19" s="294"/>
      <c r="LBV19" s="294"/>
      <c r="LBW19" s="294"/>
      <c r="LBX19" s="294"/>
      <c r="LBY19" s="294"/>
      <c r="LBZ19" s="294"/>
      <c r="LCA19" s="294"/>
      <c r="LCB19" s="294"/>
      <c r="LCC19" s="294"/>
      <c r="LCD19" s="294"/>
      <c r="LCE19" s="294"/>
      <c r="LCF19" s="294"/>
      <c r="LCG19" s="294"/>
      <c r="LCH19" s="294"/>
      <c r="LCI19" s="294"/>
      <c r="LCJ19" s="294"/>
      <c r="LCK19" s="294"/>
      <c r="LCL19" s="294"/>
      <c r="LCM19" s="294"/>
      <c r="LCN19" s="294"/>
      <c r="LCO19" s="294"/>
      <c r="LCP19" s="294"/>
      <c r="LCQ19" s="294"/>
      <c r="LCR19" s="294"/>
      <c r="LCS19" s="294"/>
      <c r="LCT19" s="294"/>
      <c r="LCU19" s="294"/>
      <c r="LCV19" s="294"/>
      <c r="LCW19" s="294"/>
      <c r="LCX19" s="294"/>
      <c r="LCY19" s="294"/>
      <c r="LCZ19" s="294"/>
      <c r="LDA19" s="294"/>
      <c r="LDB19" s="294"/>
      <c r="LDC19" s="294"/>
      <c r="LDD19" s="294"/>
      <c r="LDE19" s="294"/>
      <c r="LDF19" s="294"/>
      <c r="LDG19" s="294"/>
      <c r="LDH19" s="294"/>
      <c r="LDI19" s="294"/>
      <c r="LDJ19" s="294"/>
      <c r="LDK19" s="294"/>
      <c r="LDL19" s="294"/>
      <c r="LDM19" s="294"/>
      <c r="LDN19" s="294"/>
      <c r="LDO19" s="294"/>
      <c r="LDP19" s="294"/>
      <c r="LDQ19" s="294"/>
      <c r="LDR19" s="294"/>
      <c r="LDS19" s="294"/>
      <c r="LDT19" s="294"/>
      <c r="LDU19" s="294"/>
      <c r="LDV19" s="294"/>
      <c r="LDW19" s="294"/>
      <c r="LDX19" s="294"/>
      <c r="LDY19" s="294"/>
      <c r="LDZ19" s="294"/>
      <c r="LEA19" s="294"/>
      <c r="LEB19" s="294"/>
      <c r="LEC19" s="294"/>
      <c r="LED19" s="294"/>
      <c r="LEE19" s="294"/>
      <c r="LEF19" s="294"/>
      <c r="LEG19" s="294"/>
      <c r="LEH19" s="294"/>
      <c r="LEI19" s="294"/>
      <c r="LEJ19" s="294"/>
      <c r="LEK19" s="294"/>
      <c r="LEL19" s="294"/>
      <c r="LEM19" s="294"/>
      <c r="LEN19" s="294"/>
      <c r="LEO19" s="294"/>
      <c r="LEP19" s="294"/>
      <c r="LEQ19" s="294"/>
      <c r="LER19" s="294"/>
      <c r="LES19" s="294"/>
      <c r="LET19" s="294"/>
      <c r="LEU19" s="294"/>
      <c r="LEV19" s="294"/>
      <c r="LEW19" s="294"/>
      <c r="LEX19" s="294"/>
      <c r="LEY19" s="294"/>
      <c r="LEZ19" s="294"/>
      <c r="LFA19" s="294"/>
      <c r="LFB19" s="294"/>
      <c r="LFC19" s="294"/>
      <c r="LFD19" s="294"/>
      <c r="LFE19" s="294"/>
      <c r="LFF19" s="294"/>
      <c r="LFG19" s="294"/>
      <c r="LFH19" s="294"/>
      <c r="LFI19" s="294"/>
      <c r="LFJ19" s="294"/>
      <c r="LFK19" s="294"/>
      <c r="LFL19" s="294"/>
      <c r="LFM19" s="294"/>
      <c r="LFN19" s="294"/>
      <c r="LFO19" s="294"/>
      <c r="LFP19" s="294"/>
      <c r="LFQ19" s="294"/>
      <c r="LFR19" s="294"/>
      <c r="LFS19" s="294"/>
      <c r="LFT19" s="294"/>
      <c r="LFU19" s="294"/>
      <c r="LFV19" s="294"/>
      <c r="LFW19" s="294"/>
      <c r="LFX19" s="294"/>
      <c r="LFY19" s="294"/>
      <c r="LFZ19" s="294"/>
      <c r="LGA19" s="294"/>
      <c r="LGB19" s="294"/>
      <c r="LGC19" s="294"/>
      <c r="LGD19" s="294"/>
      <c r="LGE19" s="294"/>
      <c r="LGF19" s="294"/>
      <c r="LGG19" s="294"/>
      <c r="LGH19" s="294"/>
      <c r="LGI19" s="294"/>
      <c r="LGJ19" s="294"/>
      <c r="LGK19" s="294"/>
      <c r="LGL19" s="294"/>
      <c r="LGM19" s="294"/>
      <c r="LGN19" s="294"/>
      <c r="LGO19" s="294"/>
      <c r="LGP19" s="294"/>
      <c r="LGQ19" s="294"/>
      <c r="LGR19" s="294"/>
      <c r="LGS19" s="294"/>
      <c r="LGT19" s="294"/>
      <c r="LGU19" s="294"/>
      <c r="LGV19" s="294"/>
      <c r="LGW19" s="294"/>
      <c r="LGX19" s="294"/>
      <c r="LGY19" s="294"/>
      <c r="LGZ19" s="294"/>
      <c r="LHA19" s="294"/>
      <c r="LHB19" s="294"/>
      <c r="LHC19" s="294"/>
      <c r="LHD19" s="294"/>
      <c r="LHE19" s="294"/>
      <c r="LHF19" s="294"/>
      <c r="LHG19" s="294"/>
      <c r="LHH19" s="294"/>
      <c r="LHI19" s="294"/>
      <c r="LHJ19" s="294"/>
      <c r="LHK19" s="294"/>
      <c r="LHL19" s="294"/>
      <c r="LHM19" s="294"/>
      <c r="LHN19" s="294"/>
      <c r="LHO19" s="294"/>
      <c r="LHP19" s="294"/>
      <c r="LHQ19" s="294"/>
      <c r="LHR19" s="294"/>
      <c r="LHS19" s="294"/>
      <c r="LHT19" s="294"/>
      <c r="LHU19" s="294"/>
      <c r="LHV19" s="294"/>
      <c r="LHW19" s="294"/>
      <c r="LHX19" s="294"/>
      <c r="LHY19" s="294"/>
      <c r="LHZ19" s="294"/>
      <c r="LIA19" s="294"/>
      <c r="LIB19" s="294"/>
      <c r="LIC19" s="294"/>
      <c r="LID19" s="294"/>
      <c r="LIE19" s="294"/>
      <c r="LIF19" s="294"/>
      <c r="LIG19" s="294"/>
      <c r="LIH19" s="294"/>
      <c r="LII19" s="294"/>
      <c r="LIJ19" s="294"/>
      <c r="LIK19" s="294"/>
      <c r="LIL19" s="294"/>
      <c r="LIM19" s="294"/>
      <c r="LIN19" s="294"/>
      <c r="LIO19" s="294"/>
      <c r="LIP19" s="294"/>
      <c r="LIQ19" s="294"/>
      <c r="LIR19" s="294"/>
      <c r="LIS19" s="294"/>
      <c r="LIT19" s="294"/>
      <c r="LIU19" s="294"/>
      <c r="LIV19" s="294"/>
      <c r="LIW19" s="294"/>
      <c r="LIX19" s="294"/>
      <c r="LIY19" s="294"/>
      <c r="LIZ19" s="294"/>
      <c r="LJA19" s="294"/>
      <c r="LJB19" s="294"/>
      <c r="LJC19" s="294"/>
      <c r="LJD19" s="294"/>
      <c r="LJE19" s="294"/>
      <c r="LJF19" s="294"/>
      <c r="LJG19" s="294"/>
      <c r="LJH19" s="294"/>
      <c r="LJI19" s="294"/>
      <c r="LJJ19" s="294"/>
      <c r="LJK19" s="294"/>
      <c r="LJL19" s="294"/>
      <c r="LJM19" s="294"/>
      <c r="LJN19" s="294"/>
      <c r="LJO19" s="294"/>
      <c r="LJP19" s="294"/>
      <c r="LJQ19" s="294"/>
      <c r="LJR19" s="294"/>
      <c r="LJS19" s="294"/>
      <c r="LJT19" s="294"/>
      <c r="LJU19" s="294"/>
      <c r="LJV19" s="294"/>
      <c r="LJW19" s="294"/>
      <c r="LJX19" s="294"/>
      <c r="LJY19" s="294"/>
      <c r="LJZ19" s="294"/>
      <c r="LKA19" s="294"/>
      <c r="LKB19" s="294"/>
      <c r="LKC19" s="294"/>
      <c r="LKD19" s="294"/>
      <c r="LKE19" s="294"/>
      <c r="LKF19" s="294"/>
      <c r="LKG19" s="294"/>
      <c r="LKH19" s="294"/>
      <c r="LKI19" s="294"/>
      <c r="LKJ19" s="294"/>
      <c r="LKK19" s="294"/>
      <c r="LKL19" s="294"/>
      <c r="LKM19" s="294"/>
      <c r="LKN19" s="294"/>
      <c r="LKO19" s="294"/>
      <c r="LKP19" s="294"/>
      <c r="LKQ19" s="294"/>
      <c r="LKR19" s="294"/>
      <c r="LKS19" s="294"/>
      <c r="LKT19" s="294"/>
      <c r="LKU19" s="294"/>
      <c r="LKV19" s="294"/>
      <c r="LKW19" s="294"/>
      <c r="LKX19" s="294"/>
      <c r="LKY19" s="294"/>
      <c r="LKZ19" s="294"/>
      <c r="LLA19" s="294"/>
      <c r="LLB19" s="294"/>
      <c r="LLC19" s="294"/>
      <c r="LLD19" s="294"/>
      <c r="LLE19" s="294"/>
      <c r="LLF19" s="294"/>
      <c r="LLG19" s="294"/>
      <c r="LLH19" s="294"/>
      <c r="LLI19" s="294"/>
      <c r="LLJ19" s="294"/>
      <c r="LLK19" s="294"/>
      <c r="LLL19" s="294"/>
      <c r="LLM19" s="294"/>
      <c r="LLN19" s="294"/>
      <c r="LLO19" s="294"/>
      <c r="LLP19" s="294"/>
      <c r="LLQ19" s="294"/>
      <c r="LLR19" s="294"/>
      <c r="LLS19" s="294"/>
      <c r="LLT19" s="294"/>
      <c r="LLU19" s="294"/>
      <c r="LLV19" s="294"/>
      <c r="LLW19" s="294"/>
      <c r="LLX19" s="294"/>
      <c r="LLY19" s="294"/>
      <c r="LLZ19" s="294"/>
      <c r="LMA19" s="294"/>
      <c r="LMB19" s="294"/>
      <c r="LMC19" s="294"/>
      <c r="LMD19" s="294"/>
      <c r="LME19" s="294"/>
      <c r="LMF19" s="294"/>
      <c r="LMG19" s="294"/>
      <c r="LMH19" s="294"/>
      <c r="LMI19" s="294"/>
      <c r="LMJ19" s="294"/>
      <c r="LMK19" s="294"/>
      <c r="LML19" s="294"/>
      <c r="LMM19" s="294"/>
      <c r="LMN19" s="294"/>
      <c r="LMO19" s="294"/>
      <c r="LMP19" s="294"/>
      <c r="LMQ19" s="294"/>
      <c r="LMR19" s="294"/>
      <c r="LMS19" s="294"/>
      <c r="LMT19" s="294"/>
      <c r="LMU19" s="294"/>
      <c r="LMV19" s="294"/>
      <c r="LMW19" s="294"/>
      <c r="LMX19" s="294"/>
      <c r="LMY19" s="294"/>
      <c r="LMZ19" s="294"/>
      <c r="LNA19" s="294"/>
      <c r="LNB19" s="294"/>
      <c r="LNC19" s="294"/>
      <c r="LND19" s="294"/>
      <c r="LNE19" s="294"/>
      <c r="LNF19" s="294"/>
      <c r="LNG19" s="294"/>
      <c r="LNH19" s="294"/>
      <c r="LNI19" s="294"/>
      <c r="LNJ19" s="294"/>
      <c r="LNK19" s="294"/>
      <c r="LNL19" s="294"/>
      <c r="LNM19" s="294"/>
      <c r="LNN19" s="294"/>
      <c r="LNO19" s="294"/>
      <c r="LNP19" s="294"/>
      <c r="LNQ19" s="294"/>
      <c r="LNR19" s="294"/>
      <c r="LNS19" s="294"/>
      <c r="LNT19" s="294"/>
      <c r="LNU19" s="294"/>
      <c r="LNV19" s="294"/>
      <c r="LNW19" s="294"/>
      <c r="LNX19" s="294"/>
      <c r="LNY19" s="294"/>
      <c r="LNZ19" s="294"/>
      <c r="LOA19" s="294"/>
      <c r="LOB19" s="294"/>
      <c r="LOC19" s="294"/>
      <c r="LOD19" s="294"/>
      <c r="LOE19" s="294"/>
      <c r="LOF19" s="294"/>
      <c r="LOG19" s="294"/>
      <c r="LOH19" s="294"/>
      <c r="LOI19" s="294"/>
      <c r="LOJ19" s="294"/>
      <c r="LOK19" s="294"/>
      <c r="LOL19" s="294"/>
      <c r="LOM19" s="294"/>
      <c r="LON19" s="294"/>
      <c r="LOO19" s="294"/>
      <c r="LOP19" s="294"/>
      <c r="LOQ19" s="294"/>
      <c r="LOR19" s="294"/>
      <c r="LOS19" s="294"/>
      <c r="LOT19" s="294"/>
      <c r="LOU19" s="294"/>
      <c r="LOV19" s="294"/>
      <c r="LOW19" s="294"/>
      <c r="LOX19" s="294"/>
      <c r="LOY19" s="294"/>
      <c r="LOZ19" s="294"/>
      <c r="LPA19" s="294"/>
      <c r="LPB19" s="294"/>
      <c r="LPC19" s="294"/>
      <c r="LPD19" s="294"/>
      <c r="LPE19" s="294"/>
      <c r="LPF19" s="294"/>
      <c r="LPG19" s="294"/>
      <c r="LPH19" s="294"/>
      <c r="LPI19" s="294"/>
      <c r="LPJ19" s="294"/>
      <c r="LPK19" s="294"/>
      <c r="LPL19" s="294"/>
      <c r="LPM19" s="294"/>
      <c r="LPN19" s="294"/>
      <c r="LPO19" s="294"/>
      <c r="LPP19" s="294"/>
      <c r="LPQ19" s="294"/>
      <c r="LPR19" s="294"/>
      <c r="LPS19" s="294"/>
      <c r="LPT19" s="294"/>
      <c r="LPU19" s="294"/>
      <c r="LPV19" s="294"/>
      <c r="LPW19" s="294"/>
      <c r="LPX19" s="294"/>
      <c r="LPY19" s="294"/>
      <c r="LPZ19" s="294"/>
      <c r="LQA19" s="294"/>
      <c r="LQB19" s="294"/>
      <c r="LQC19" s="294"/>
      <c r="LQD19" s="294"/>
      <c r="LQE19" s="294"/>
      <c r="LQF19" s="294"/>
      <c r="LQG19" s="294"/>
      <c r="LQH19" s="294"/>
      <c r="LQI19" s="294"/>
      <c r="LQJ19" s="294"/>
      <c r="LQK19" s="294"/>
      <c r="LQL19" s="294"/>
      <c r="LQM19" s="294"/>
      <c r="LQN19" s="294"/>
      <c r="LQO19" s="294"/>
      <c r="LQP19" s="294"/>
      <c r="LQQ19" s="294"/>
      <c r="LQR19" s="294"/>
      <c r="LQS19" s="294"/>
      <c r="LQT19" s="294"/>
      <c r="LQU19" s="294"/>
      <c r="LQV19" s="294"/>
      <c r="LQW19" s="294"/>
      <c r="LQX19" s="294"/>
      <c r="LQY19" s="294"/>
      <c r="LQZ19" s="294"/>
      <c r="LRA19" s="294"/>
      <c r="LRB19" s="294"/>
      <c r="LRC19" s="294"/>
      <c r="LRD19" s="294"/>
      <c r="LRE19" s="294"/>
      <c r="LRF19" s="294"/>
      <c r="LRG19" s="294"/>
      <c r="LRH19" s="294"/>
      <c r="LRI19" s="294"/>
      <c r="LRJ19" s="294"/>
      <c r="LRK19" s="294"/>
      <c r="LRL19" s="294"/>
      <c r="LRM19" s="294"/>
      <c r="LRN19" s="294"/>
      <c r="LRO19" s="294"/>
      <c r="LRP19" s="294"/>
      <c r="LRQ19" s="294"/>
      <c r="LRR19" s="294"/>
      <c r="LRS19" s="294"/>
      <c r="LRT19" s="294"/>
      <c r="LRU19" s="294"/>
      <c r="LRV19" s="294"/>
      <c r="LRW19" s="294"/>
      <c r="LRX19" s="294"/>
      <c r="LRY19" s="294"/>
      <c r="LRZ19" s="294"/>
      <c r="LSA19" s="294"/>
      <c r="LSB19" s="294"/>
      <c r="LSC19" s="294"/>
      <c r="LSD19" s="294"/>
      <c r="LSE19" s="294"/>
      <c r="LSF19" s="294"/>
      <c r="LSG19" s="294"/>
      <c r="LSH19" s="294"/>
      <c r="LSI19" s="294"/>
      <c r="LSJ19" s="294"/>
      <c r="LSK19" s="294"/>
      <c r="LSL19" s="294"/>
      <c r="LSM19" s="294"/>
      <c r="LSN19" s="294"/>
      <c r="LSO19" s="294"/>
      <c r="LSP19" s="294"/>
      <c r="LSQ19" s="294"/>
      <c r="LSR19" s="294"/>
      <c r="LSS19" s="294"/>
      <c r="LST19" s="294"/>
      <c r="LSU19" s="294"/>
      <c r="LSV19" s="294"/>
      <c r="LSW19" s="294"/>
      <c r="LSX19" s="294"/>
      <c r="LSY19" s="294"/>
      <c r="LSZ19" s="294"/>
      <c r="LTA19" s="294"/>
      <c r="LTB19" s="294"/>
      <c r="LTC19" s="294"/>
      <c r="LTD19" s="294"/>
      <c r="LTE19" s="294"/>
      <c r="LTF19" s="294"/>
      <c r="LTG19" s="294"/>
      <c r="LTH19" s="294"/>
      <c r="LTI19" s="294"/>
      <c r="LTJ19" s="294"/>
      <c r="LTK19" s="294"/>
      <c r="LTL19" s="294"/>
      <c r="LTM19" s="294"/>
      <c r="LTN19" s="294"/>
      <c r="LTO19" s="294"/>
      <c r="LTP19" s="294"/>
      <c r="LTQ19" s="294"/>
      <c r="LTR19" s="294"/>
      <c r="LTS19" s="294"/>
      <c r="LTT19" s="294"/>
      <c r="LTU19" s="294"/>
      <c r="LTV19" s="294"/>
      <c r="LTW19" s="294"/>
      <c r="LTX19" s="294"/>
      <c r="LTY19" s="294"/>
      <c r="LTZ19" s="294"/>
      <c r="LUA19" s="294"/>
      <c r="LUB19" s="294"/>
      <c r="LUC19" s="294"/>
      <c r="LUD19" s="294"/>
      <c r="LUE19" s="294"/>
      <c r="LUF19" s="294"/>
      <c r="LUG19" s="294"/>
      <c r="LUH19" s="294"/>
      <c r="LUI19" s="294"/>
      <c r="LUJ19" s="294"/>
      <c r="LUK19" s="294"/>
      <c r="LUL19" s="294"/>
      <c r="LUM19" s="294"/>
      <c r="LUN19" s="294"/>
      <c r="LUO19" s="294"/>
      <c r="LUP19" s="294"/>
      <c r="LUQ19" s="294"/>
      <c r="LUR19" s="294"/>
      <c r="LUS19" s="294"/>
      <c r="LUT19" s="294"/>
      <c r="LUU19" s="294"/>
      <c r="LUV19" s="294"/>
      <c r="LUW19" s="294"/>
      <c r="LUX19" s="294"/>
      <c r="LUY19" s="294"/>
      <c r="LUZ19" s="294"/>
      <c r="LVA19" s="294"/>
      <c r="LVB19" s="294"/>
      <c r="LVC19" s="294"/>
      <c r="LVD19" s="294"/>
      <c r="LVE19" s="294"/>
      <c r="LVF19" s="294"/>
      <c r="LVG19" s="294"/>
      <c r="LVH19" s="294"/>
      <c r="LVI19" s="294"/>
      <c r="LVJ19" s="294"/>
      <c r="LVK19" s="294"/>
      <c r="LVL19" s="294"/>
      <c r="LVM19" s="294"/>
      <c r="LVN19" s="294"/>
      <c r="LVO19" s="294"/>
      <c r="LVP19" s="294"/>
      <c r="LVQ19" s="294"/>
      <c r="LVR19" s="294"/>
      <c r="LVS19" s="294"/>
      <c r="LVT19" s="294"/>
      <c r="LVU19" s="294"/>
      <c r="LVV19" s="294"/>
      <c r="LVW19" s="294"/>
      <c r="LVX19" s="294"/>
      <c r="LVY19" s="294"/>
      <c r="LVZ19" s="294"/>
      <c r="LWA19" s="294"/>
      <c r="LWB19" s="294"/>
      <c r="LWC19" s="294"/>
      <c r="LWD19" s="294"/>
      <c r="LWE19" s="294"/>
      <c r="LWF19" s="294"/>
      <c r="LWG19" s="294"/>
      <c r="LWH19" s="294"/>
      <c r="LWI19" s="294"/>
      <c r="LWJ19" s="294"/>
      <c r="LWK19" s="294"/>
      <c r="LWL19" s="294"/>
      <c r="LWM19" s="294"/>
      <c r="LWN19" s="294"/>
      <c r="LWO19" s="294"/>
      <c r="LWP19" s="294"/>
      <c r="LWQ19" s="294"/>
      <c r="LWR19" s="294"/>
      <c r="LWS19" s="294"/>
      <c r="LWT19" s="294"/>
      <c r="LWU19" s="294"/>
      <c r="LWV19" s="294"/>
      <c r="LWW19" s="294"/>
      <c r="LWX19" s="294"/>
      <c r="LWY19" s="294"/>
      <c r="LWZ19" s="294"/>
      <c r="LXA19" s="294"/>
      <c r="LXB19" s="294"/>
      <c r="LXC19" s="294"/>
      <c r="LXD19" s="294"/>
      <c r="LXE19" s="294"/>
      <c r="LXF19" s="294"/>
      <c r="LXG19" s="294"/>
      <c r="LXH19" s="294"/>
      <c r="LXI19" s="294"/>
      <c r="LXJ19" s="294"/>
      <c r="LXK19" s="294"/>
      <c r="LXL19" s="294"/>
      <c r="LXM19" s="294"/>
      <c r="LXN19" s="294"/>
      <c r="LXO19" s="294"/>
      <c r="LXP19" s="294"/>
      <c r="LXQ19" s="294"/>
      <c r="LXR19" s="294"/>
      <c r="LXS19" s="294"/>
      <c r="LXT19" s="294"/>
      <c r="LXU19" s="294"/>
      <c r="LXV19" s="294"/>
      <c r="LXW19" s="294"/>
      <c r="LXX19" s="294"/>
      <c r="LXY19" s="294"/>
      <c r="LXZ19" s="294"/>
      <c r="LYA19" s="294"/>
      <c r="LYB19" s="294"/>
      <c r="LYC19" s="294"/>
      <c r="LYD19" s="294"/>
      <c r="LYE19" s="294"/>
      <c r="LYF19" s="294"/>
      <c r="LYG19" s="294"/>
      <c r="LYH19" s="294"/>
      <c r="LYI19" s="294"/>
      <c r="LYJ19" s="294"/>
      <c r="LYK19" s="294"/>
      <c r="LYL19" s="294"/>
      <c r="LYM19" s="294"/>
      <c r="LYN19" s="294"/>
      <c r="LYO19" s="294"/>
      <c r="LYP19" s="294"/>
      <c r="LYQ19" s="294"/>
      <c r="LYR19" s="294"/>
      <c r="LYS19" s="294"/>
      <c r="LYT19" s="294"/>
      <c r="LYU19" s="294"/>
      <c r="LYV19" s="294"/>
      <c r="LYW19" s="294"/>
      <c r="LYX19" s="294"/>
      <c r="LYY19" s="294"/>
      <c r="LYZ19" s="294"/>
      <c r="LZA19" s="294"/>
      <c r="LZB19" s="294"/>
      <c r="LZC19" s="294"/>
      <c r="LZD19" s="294"/>
      <c r="LZE19" s="294"/>
      <c r="LZF19" s="294"/>
      <c r="LZG19" s="294"/>
      <c r="LZH19" s="294"/>
      <c r="LZI19" s="294"/>
      <c r="LZJ19" s="294"/>
      <c r="LZK19" s="294"/>
      <c r="LZL19" s="294"/>
      <c r="LZM19" s="294"/>
      <c r="LZN19" s="294"/>
      <c r="LZO19" s="294"/>
      <c r="LZP19" s="294"/>
      <c r="LZQ19" s="294"/>
      <c r="LZR19" s="294"/>
      <c r="LZS19" s="294"/>
      <c r="LZT19" s="294"/>
      <c r="LZU19" s="294"/>
      <c r="LZV19" s="294"/>
      <c r="LZW19" s="294"/>
      <c r="LZX19" s="294"/>
      <c r="LZY19" s="294"/>
      <c r="LZZ19" s="294"/>
      <c r="MAA19" s="294"/>
      <c r="MAB19" s="294"/>
      <c r="MAC19" s="294"/>
      <c r="MAD19" s="294"/>
      <c r="MAE19" s="294"/>
      <c r="MAF19" s="294"/>
      <c r="MAG19" s="294"/>
      <c r="MAH19" s="294"/>
      <c r="MAI19" s="294"/>
      <c r="MAJ19" s="294"/>
      <c r="MAK19" s="294"/>
      <c r="MAL19" s="294"/>
      <c r="MAM19" s="294"/>
      <c r="MAN19" s="294"/>
      <c r="MAO19" s="294"/>
      <c r="MAP19" s="294"/>
      <c r="MAQ19" s="294"/>
      <c r="MAR19" s="294"/>
      <c r="MAS19" s="294"/>
      <c r="MAT19" s="294"/>
      <c r="MAU19" s="294"/>
      <c r="MAV19" s="294"/>
      <c r="MAW19" s="294"/>
      <c r="MAX19" s="294"/>
      <c r="MAY19" s="294"/>
      <c r="MAZ19" s="294"/>
      <c r="MBA19" s="294"/>
      <c r="MBB19" s="294"/>
      <c r="MBC19" s="294"/>
      <c r="MBD19" s="294"/>
      <c r="MBE19" s="294"/>
      <c r="MBF19" s="294"/>
      <c r="MBG19" s="294"/>
      <c r="MBH19" s="294"/>
      <c r="MBI19" s="294"/>
      <c r="MBJ19" s="294"/>
      <c r="MBK19" s="294"/>
      <c r="MBL19" s="294"/>
      <c r="MBM19" s="294"/>
      <c r="MBN19" s="294"/>
      <c r="MBO19" s="294"/>
      <c r="MBP19" s="294"/>
      <c r="MBQ19" s="294"/>
      <c r="MBR19" s="294"/>
      <c r="MBS19" s="294"/>
      <c r="MBT19" s="294"/>
      <c r="MBU19" s="294"/>
      <c r="MBV19" s="294"/>
      <c r="MBW19" s="294"/>
      <c r="MBX19" s="294"/>
      <c r="MBY19" s="294"/>
      <c r="MBZ19" s="294"/>
      <c r="MCA19" s="294"/>
      <c r="MCB19" s="294"/>
      <c r="MCC19" s="294"/>
      <c r="MCD19" s="294"/>
      <c r="MCE19" s="294"/>
      <c r="MCF19" s="294"/>
      <c r="MCG19" s="294"/>
      <c r="MCH19" s="294"/>
      <c r="MCI19" s="294"/>
      <c r="MCJ19" s="294"/>
      <c r="MCK19" s="294"/>
      <c r="MCL19" s="294"/>
      <c r="MCM19" s="294"/>
      <c r="MCN19" s="294"/>
      <c r="MCO19" s="294"/>
      <c r="MCP19" s="294"/>
      <c r="MCQ19" s="294"/>
      <c r="MCR19" s="294"/>
      <c r="MCS19" s="294"/>
      <c r="MCT19" s="294"/>
      <c r="MCU19" s="294"/>
      <c r="MCV19" s="294"/>
      <c r="MCW19" s="294"/>
      <c r="MCX19" s="294"/>
      <c r="MCY19" s="294"/>
      <c r="MCZ19" s="294"/>
      <c r="MDA19" s="294"/>
      <c r="MDB19" s="294"/>
      <c r="MDC19" s="294"/>
      <c r="MDD19" s="294"/>
      <c r="MDE19" s="294"/>
      <c r="MDF19" s="294"/>
      <c r="MDG19" s="294"/>
      <c r="MDH19" s="294"/>
      <c r="MDI19" s="294"/>
      <c r="MDJ19" s="294"/>
      <c r="MDK19" s="294"/>
      <c r="MDL19" s="294"/>
      <c r="MDM19" s="294"/>
      <c r="MDN19" s="294"/>
      <c r="MDO19" s="294"/>
      <c r="MDP19" s="294"/>
      <c r="MDQ19" s="294"/>
      <c r="MDR19" s="294"/>
      <c r="MDS19" s="294"/>
      <c r="MDT19" s="294"/>
      <c r="MDU19" s="294"/>
      <c r="MDV19" s="294"/>
      <c r="MDW19" s="294"/>
      <c r="MDX19" s="294"/>
      <c r="MDY19" s="294"/>
      <c r="MDZ19" s="294"/>
      <c r="MEA19" s="294"/>
      <c r="MEB19" s="294"/>
      <c r="MEC19" s="294"/>
      <c r="MED19" s="294"/>
      <c r="MEE19" s="294"/>
      <c r="MEF19" s="294"/>
      <c r="MEG19" s="294"/>
      <c r="MEH19" s="294"/>
      <c r="MEI19" s="294"/>
      <c r="MEJ19" s="294"/>
      <c r="MEK19" s="294"/>
      <c r="MEL19" s="294"/>
      <c r="MEM19" s="294"/>
      <c r="MEN19" s="294"/>
      <c r="MEO19" s="294"/>
      <c r="MEP19" s="294"/>
      <c r="MEQ19" s="294"/>
      <c r="MER19" s="294"/>
      <c r="MES19" s="294"/>
      <c r="MET19" s="294"/>
      <c r="MEU19" s="294"/>
      <c r="MEV19" s="294"/>
      <c r="MEW19" s="294"/>
      <c r="MEX19" s="294"/>
      <c r="MEY19" s="294"/>
      <c r="MEZ19" s="294"/>
      <c r="MFA19" s="294"/>
      <c r="MFB19" s="294"/>
      <c r="MFC19" s="294"/>
      <c r="MFD19" s="294"/>
      <c r="MFE19" s="294"/>
      <c r="MFF19" s="294"/>
      <c r="MFG19" s="294"/>
      <c r="MFH19" s="294"/>
      <c r="MFI19" s="294"/>
      <c r="MFJ19" s="294"/>
      <c r="MFK19" s="294"/>
      <c r="MFL19" s="294"/>
      <c r="MFM19" s="294"/>
      <c r="MFN19" s="294"/>
      <c r="MFO19" s="294"/>
      <c r="MFP19" s="294"/>
      <c r="MFQ19" s="294"/>
      <c r="MFR19" s="294"/>
      <c r="MFS19" s="294"/>
      <c r="MFT19" s="294"/>
      <c r="MFU19" s="294"/>
      <c r="MFV19" s="294"/>
      <c r="MFW19" s="294"/>
      <c r="MFX19" s="294"/>
      <c r="MFY19" s="294"/>
      <c r="MFZ19" s="294"/>
      <c r="MGA19" s="294"/>
      <c r="MGB19" s="294"/>
      <c r="MGC19" s="294"/>
      <c r="MGD19" s="294"/>
      <c r="MGE19" s="294"/>
      <c r="MGF19" s="294"/>
      <c r="MGG19" s="294"/>
      <c r="MGH19" s="294"/>
      <c r="MGI19" s="294"/>
      <c r="MGJ19" s="294"/>
      <c r="MGK19" s="294"/>
      <c r="MGL19" s="294"/>
      <c r="MGM19" s="294"/>
      <c r="MGN19" s="294"/>
      <c r="MGO19" s="294"/>
      <c r="MGP19" s="294"/>
      <c r="MGQ19" s="294"/>
      <c r="MGR19" s="294"/>
      <c r="MGS19" s="294"/>
      <c r="MGT19" s="294"/>
      <c r="MGU19" s="294"/>
      <c r="MGV19" s="294"/>
      <c r="MGW19" s="294"/>
      <c r="MGX19" s="294"/>
      <c r="MGY19" s="294"/>
      <c r="MGZ19" s="294"/>
      <c r="MHA19" s="294"/>
      <c r="MHB19" s="294"/>
      <c r="MHC19" s="294"/>
      <c r="MHD19" s="294"/>
      <c r="MHE19" s="294"/>
      <c r="MHF19" s="294"/>
      <c r="MHG19" s="294"/>
      <c r="MHH19" s="294"/>
      <c r="MHI19" s="294"/>
      <c r="MHJ19" s="294"/>
      <c r="MHK19" s="294"/>
      <c r="MHL19" s="294"/>
      <c r="MHM19" s="294"/>
      <c r="MHN19" s="294"/>
      <c r="MHO19" s="294"/>
      <c r="MHP19" s="294"/>
      <c r="MHQ19" s="294"/>
      <c r="MHR19" s="294"/>
      <c r="MHS19" s="294"/>
      <c r="MHT19" s="294"/>
      <c r="MHU19" s="294"/>
      <c r="MHV19" s="294"/>
      <c r="MHW19" s="294"/>
      <c r="MHX19" s="294"/>
      <c r="MHY19" s="294"/>
      <c r="MHZ19" s="294"/>
      <c r="MIA19" s="294"/>
      <c r="MIB19" s="294"/>
      <c r="MIC19" s="294"/>
      <c r="MID19" s="294"/>
      <c r="MIE19" s="294"/>
      <c r="MIF19" s="294"/>
      <c r="MIG19" s="294"/>
      <c r="MIH19" s="294"/>
      <c r="MII19" s="294"/>
      <c r="MIJ19" s="294"/>
      <c r="MIK19" s="294"/>
      <c r="MIL19" s="294"/>
      <c r="MIM19" s="294"/>
      <c r="MIN19" s="294"/>
      <c r="MIO19" s="294"/>
      <c r="MIP19" s="294"/>
      <c r="MIQ19" s="294"/>
      <c r="MIR19" s="294"/>
      <c r="MIS19" s="294"/>
      <c r="MIT19" s="294"/>
      <c r="MIU19" s="294"/>
      <c r="MIV19" s="294"/>
      <c r="MIW19" s="294"/>
      <c r="MIX19" s="294"/>
      <c r="MIY19" s="294"/>
      <c r="MIZ19" s="294"/>
      <c r="MJA19" s="294"/>
      <c r="MJB19" s="294"/>
      <c r="MJC19" s="294"/>
      <c r="MJD19" s="294"/>
      <c r="MJE19" s="294"/>
      <c r="MJF19" s="294"/>
      <c r="MJG19" s="294"/>
      <c r="MJH19" s="294"/>
      <c r="MJI19" s="294"/>
      <c r="MJJ19" s="294"/>
      <c r="MJK19" s="294"/>
      <c r="MJL19" s="294"/>
      <c r="MJM19" s="294"/>
      <c r="MJN19" s="294"/>
      <c r="MJO19" s="294"/>
      <c r="MJP19" s="294"/>
      <c r="MJQ19" s="294"/>
      <c r="MJR19" s="294"/>
      <c r="MJS19" s="294"/>
      <c r="MJT19" s="294"/>
      <c r="MJU19" s="294"/>
      <c r="MJV19" s="294"/>
      <c r="MJW19" s="294"/>
      <c r="MJX19" s="294"/>
      <c r="MJY19" s="294"/>
      <c r="MJZ19" s="294"/>
      <c r="MKA19" s="294"/>
      <c r="MKB19" s="294"/>
      <c r="MKC19" s="294"/>
      <c r="MKD19" s="294"/>
      <c r="MKE19" s="294"/>
      <c r="MKF19" s="294"/>
      <c r="MKG19" s="294"/>
      <c r="MKH19" s="294"/>
      <c r="MKI19" s="294"/>
      <c r="MKJ19" s="294"/>
      <c r="MKK19" s="294"/>
      <c r="MKL19" s="294"/>
      <c r="MKM19" s="294"/>
      <c r="MKN19" s="294"/>
      <c r="MKO19" s="294"/>
      <c r="MKP19" s="294"/>
      <c r="MKQ19" s="294"/>
      <c r="MKR19" s="294"/>
      <c r="MKS19" s="294"/>
      <c r="MKT19" s="294"/>
      <c r="MKU19" s="294"/>
      <c r="MKV19" s="294"/>
      <c r="MKW19" s="294"/>
      <c r="MKX19" s="294"/>
      <c r="MKY19" s="294"/>
      <c r="MKZ19" s="294"/>
      <c r="MLA19" s="294"/>
      <c r="MLB19" s="294"/>
      <c r="MLC19" s="294"/>
      <c r="MLD19" s="294"/>
      <c r="MLE19" s="294"/>
      <c r="MLF19" s="294"/>
      <c r="MLG19" s="294"/>
      <c r="MLH19" s="294"/>
      <c r="MLI19" s="294"/>
      <c r="MLJ19" s="294"/>
      <c r="MLK19" s="294"/>
      <c r="MLL19" s="294"/>
      <c r="MLM19" s="294"/>
      <c r="MLN19" s="294"/>
      <c r="MLO19" s="294"/>
      <c r="MLP19" s="294"/>
      <c r="MLQ19" s="294"/>
      <c r="MLR19" s="294"/>
      <c r="MLS19" s="294"/>
      <c r="MLT19" s="294"/>
      <c r="MLU19" s="294"/>
      <c r="MLV19" s="294"/>
      <c r="MLW19" s="294"/>
      <c r="MLX19" s="294"/>
      <c r="MLY19" s="294"/>
      <c r="MLZ19" s="294"/>
      <c r="MMA19" s="294"/>
      <c r="MMB19" s="294"/>
      <c r="MMC19" s="294"/>
      <c r="MMD19" s="294"/>
      <c r="MME19" s="294"/>
      <c r="MMF19" s="294"/>
      <c r="MMG19" s="294"/>
      <c r="MMH19" s="294"/>
      <c r="MMI19" s="294"/>
      <c r="MMJ19" s="294"/>
      <c r="MMK19" s="294"/>
      <c r="MML19" s="294"/>
      <c r="MMM19" s="294"/>
      <c r="MMN19" s="294"/>
      <c r="MMO19" s="294"/>
      <c r="MMP19" s="294"/>
      <c r="MMQ19" s="294"/>
      <c r="MMR19" s="294"/>
      <c r="MMS19" s="294"/>
      <c r="MMT19" s="294"/>
      <c r="MMU19" s="294"/>
      <c r="MMV19" s="294"/>
      <c r="MMW19" s="294"/>
      <c r="MMX19" s="294"/>
      <c r="MMY19" s="294"/>
      <c r="MMZ19" s="294"/>
      <c r="MNA19" s="294"/>
      <c r="MNB19" s="294"/>
      <c r="MNC19" s="294"/>
      <c r="MND19" s="294"/>
      <c r="MNE19" s="294"/>
      <c r="MNF19" s="294"/>
      <c r="MNG19" s="294"/>
      <c r="MNH19" s="294"/>
      <c r="MNI19" s="294"/>
      <c r="MNJ19" s="294"/>
      <c r="MNK19" s="294"/>
      <c r="MNL19" s="294"/>
      <c r="MNM19" s="294"/>
      <c r="MNN19" s="294"/>
      <c r="MNO19" s="294"/>
      <c r="MNP19" s="294"/>
      <c r="MNQ19" s="294"/>
      <c r="MNR19" s="294"/>
      <c r="MNS19" s="294"/>
      <c r="MNT19" s="294"/>
      <c r="MNU19" s="294"/>
      <c r="MNV19" s="294"/>
      <c r="MNW19" s="294"/>
      <c r="MNX19" s="294"/>
      <c r="MNY19" s="294"/>
      <c r="MNZ19" s="294"/>
      <c r="MOA19" s="294"/>
      <c r="MOB19" s="294"/>
      <c r="MOC19" s="294"/>
      <c r="MOD19" s="294"/>
      <c r="MOE19" s="294"/>
      <c r="MOF19" s="294"/>
      <c r="MOG19" s="294"/>
      <c r="MOH19" s="294"/>
      <c r="MOI19" s="294"/>
      <c r="MOJ19" s="294"/>
      <c r="MOK19" s="294"/>
      <c r="MOL19" s="294"/>
      <c r="MOM19" s="294"/>
      <c r="MON19" s="294"/>
      <c r="MOO19" s="294"/>
      <c r="MOP19" s="294"/>
      <c r="MOQ19" s="294"/>
      <c r="MOR19" s="294"/>
      <c r="MOS19" s="294"/>
      <c r="MOT19" s="294"/>
      <c r="MOU19" s="294"/>
      <c r="MOV19" s="294"/>
      <c r="MOW19" s="294"/>
      <c r="MOX19" s="294"/>
      <c r="MOY19" s="294"/>
      <c r="MOZ19" s="294"/>
      <c r="MPA19" s="294"/>
      <c r="MPB19" s="294"/>
      <c r="MPC19" s="294"/>
      <c r="MPD19" s="294"/>
      <c r="MPE19" s="294"/>
      <c r="MPF19" s="294"/>
      <c r="MPG19" s="294"/>
      <c r="MPH19" s="294"/>
      <c r="MPI19" s="294"/>
      <c r="MPJ19" s="294"/>
      <c r="MPK19" s="294"/>
      <c r="MPL19" s="294"/>
      <c r="MPM19" s="294"/>
      <c r="MPN19" s="294"/>
      <c r="MPO19" s="294"/>
      <c r="MPP19" s="294"/>
      <c r="MPQ19" s="294"/>
      <c r="MPR19" s="294"/>
      <c r="MPS19" s="294"/>
      <c r="MPT19" s="294"/>
      <c r="MPU19" s="294"/>
      <c r="MPV19" s="294"/>
      <c r="MPW19" s="294"/>
      <c r="MPX19" s="294"/>
      <c r="MPY19" s="294"/>
      <c r="MPZ19" s="294"/>
      <c r="MQA19" s="294"/>
      <c r="MQB19" s="294"/>
      <c r="MQC19" s="294"/>
      <c r="MQD19" s="294"/>
      <c r="MQE19" s="294"/>
      <c r="MQF19" s="294"/>
      <c r="MQG19" s="294"/>
      <c r="MQH19" s="294"/>
      <c r="MQI19" s="294"/>
      <c r="MQJ19" s="294"/>
      <c r="MQK19" s="294"/>
      <c r="MQL19" s="294"/>
      <c r="MQM19" s="294"/>
      <c r="MQN19" s="294"/>
      <c r="MQO19" s="294"/>
      <c r="MQP19" s="294"/>
      <c r="MQQ19" s="294"/>
      <c r="MQR19" s="294"/>
      <c r="MQS19" s="294"/>
      <c r="MQT19" s="294"/>
      <c r="MQU19" s="294"/>
      <c r="MQV19" s="294"/>
      <c r="MQW19" s="294"/>
      <c r="MQX19" s="294"/>
      <c r="MQY19" s="294"/>
      <c r="MQZ19" s="294"/>
      <c r="MRA19" s="294"/>
      <c r="MRB19" s="294"/>
      <c r="MRC19" s="294"/>
      <c r="MRD19" s="294"/>
      <c r="MRE19" s="294"/>
      <c r="MRF19" s="294"/>
      <c r="MRG19" s="294"/>
      <c r="MRH19" s="294"/>
      <c r="MRI19" s="294"/>
      <c r="MRJ19" s="294"/>
      <c r="MRK19" s="294"/>
      <c r="MRL19" s="294"/>
      <c r="MRM19" s="294"/>
      <c r="MRN19" s="294"/>
      <c r="MRO19" s="294"/>
      <c r="MRP19" s="294"/>
      <c r="MRQ19" s="294"/>
      <c r="MRR19" s="294"/>
      <c r="MRS19" s="294"/>
      <c r="MRT19" s="294"/>
      <c r="MRU19" s="294"/>
      <c r="MRV19" s="294"/>
      <c r="MRW19" s="294"/>
      <c r="MRX19" s="294"/>
      <c r="MRY19" s="294"/>
      <c r="MRZ19" s="294"/>
      <c r="MSA19" s="294"/>
      <c r="MSB19" s="294"/>
      <c r="MSC19" s="294"/>
      <c r="MSD19" s="294"/>
      <c r="MSE19" s="294"/>
      <c r="MSF19" s="294"/>
      <c r="MSG19" s="294"/>
      <c r="MSH19" s="294"/>
      <c r="MSI19" s="294"/>
      <c r="MSJ19" s="294"/>
      <c r="MSK19" s="294"/>
      <c r="MSL19" s="294"/>
      <c r="MSM19" s="294"/>
      <c r="MSN19" s="294"/>
      <c r="MSO19" s="294"/>
      <c r="MSP19" s="294"/>
      <c r="MSQ19" s="294"/>
      <c r="MSR19" s="294"/>
      <c r="MSS19" s="294"/>
      <c r="MST19" s="294"/>
      <c r="MSU19" s="294"/>
      <c r="MSV19" s="294"/>
      <c r="MSW19" s="294"/>
      <c r="MSX19" s="294"/>
      <c r="MSY19" s="294"/>
      <c r="MSZ19" s="294"/>
      <c r="MTA19" s="294"/>
      <c r="MTB19" s="294"/>
      <c r="MTC19" s="294"/>
      <c r="MTD19" s="294"/>
      <c r="MTE19" s="294"/>
      <c r="MTF19" s="294"/>
      <c r="MTG19" s="294"/>
      <c r="MTH19" s="294"/>
      <c r="MTI19" s="294"/>
      <c r="MTJ19" s="294"/>
      <c r="MTK19" s="294"/>
      <c r="MTL19" s="294"/>
      <c r="MTM19" s="294"/>
      <c r="MTN19" s="294"/>
      <c r="MTO19" s="294"/>
      <c r="MTP19" s="294"/>
      <c r="MTQ19" s="294"/>
      <c r="MTR19" s="294"/>
      <c r="MTS19" s="294"/>
      <c r="MTT19" s="294"/>
      <c r="MTU19" s="294"/>
      <c r="MTV19" s="294"/>
      <c r="MTW19" s="294"/>
      <c r="MTX19" s="294"/>
      <c r="MTY19" s="294"/>
      <c r="MTZ19" s="294"/>
      <c r="MUA19" s="294"/>
      <c r="MUB19" s="294"/>
      <c r="MUC19" s="294"/>
      <c r="MUD19" s="294"/>
      <c r="MUE19" s="294"/>
      <c r="MUF19" s="294"/>
      <c r="MUG19" s="294"/>
      <c r="MUH19" s="294"/>
      <c r="MUI19" s="294"/>
      <c r="MUJ19" s="294"/>
      <c r="MUK19" s="294"/>
      <c r="MUL19" s="294"/>
      <c r="MUM19" s="294"/>
      <c r="MUN19" s="294"/>
      <c r="MUO19" s="294"/>
      <c r="MUP19" s="294"/>
      <c r="MUQ19" s="294"/>
      <c r="MUR19" s="294"/>
      <c r="MUS19" s="294"/>
      <c r="MUT19" s="294"/>
      <c r="MUU19" s="294"/>
      <c r="MUV19" s="294"/>
      <c r="MUW19" s="294"/>
      <c r="MUX19" s="294"/>
      <c r="MUY19" s="294"/>
      <c r="MUZ19" s="294"/>
      <c r="MVA19" s="294"/>
      <c r="MVB19" s="294"/>
      <c r="MVC19" s="294"/>
      <c r="MVD19" s="294"/>
      <c r="MVE19" s="294"/>
      <c r="MVF19" s="294"/>
      <c r="MVG19" s="294"/>
      <c r="MVH19" s="294"/>
      <c r="MVI19" s="294"/>
      <c r="MVJ19" s="294"/>
      <c r="MVK19" s="294"/>
      <c r="MVL19" s="294"/>
      <c r="MVM19" s="294"/>
      <c r="MVN19" s="294"/>
      <c r="MVO19" s="294"/>
      <c r="MVP19" s="294"/>
      <c r="MVQ19" s="294"/>
      <c r="MVR19" s="294"/>
      <c r="MVS19" s="294"/>
      <c r="MVT19" s="294"/>
      <c r="MVU19" s="294"/>
      <c r="MVV19" s="294"/>
      <c r="MVW19" s="294"/>
      <c r="MVX19" s="294"/>
      <c r="MVY19" s="294"/>
      <c r="MVZ19" s="294"/>
      <c r="MWA19" s="294"/>
      <c r="MWB19" s="294"/>
      <c r="MWC19" s="294"/>
      <c r="MWD19" s="294"/>
      <c r="MWE19" s="294"/>
      <c r="MWF19" s="294"/>
      <c r="MWG19" s="294"/>
      <c r="MWH19" s="294"/>
      <c r="MWI19" s="294"/>
      <c r="MWJ19" s="294"/>
      <c r="MWK19" s="294"/>
      <c r="MWL19" s="294"/>
      <c r="MWM19" s="294"/>
      <c r="MWN19" s="294"/>
      <c r="MWO19" s="294"/>
      <c r="MWP19" s="294"/>
      <c r="MWQ19" s="294"/>
      <c r="MWR19" s="294"/>
      <c r="MWS19" s="294"/>
      <c r="MWT19" s="294"/>
      <c r="MWU19" s="294"/>
      <c r="MWV19" s="294"/>
      <c r="MWW19" s="294"/>
      <c r="MWX19" s="294"/>
      <c r="MWY19" s="294"/>
      <c r="MWZ19" s="294"/>
      <c r="MXA19" s="294"/>
      <c r="MXB19" s="294"/>
      <c r="MXC19" s="294"/>
      <c r="MXD19" s="294"/>
      <c r="MXE19" s="294"/>
      <c r="MXF19" s="294"/>
      <c r="MXG19" s="294"/>
      <c r="MXH19" s="294"/>
      <c r="MXI19" s="294"/>
      <c r="MXJ19" s="294"/>
      <c r="MXK19" s="294"/>
      <c r="MXL19" s="294"/>
      <c r="MXM19" s="294"/>
      <c r="MXN19" s="294"/>
      <c r="MXO19" s="294"/>
      <c r="MXP19" s="294"/>
      <c r="MXQ19" s="294"/>
      <c r="MXR19" s="294"/>
      <c r="MXS19" s="294"/>
      <c r="MXT19" s="294"/>
      <c r="MXU19" s="294"/>
      <c r="MXV19" s="294"/>
      <c r="MXW19" s="294"/>
      <c r="MXX19" s="294"/>
      <c r="MXY19" s="294"/>
      <c r="MXZ19" s="294"/>
      <c r="MYA19" s="294"/>
      <c r="MYB19" s="294"/>
      <c r="MYC19" s="294"/>
      <c r="MYD19" s="294"/>
      <c r="MYE19" s="294"/>
      <c r="MYF19" s="294"/>
      <c r="MYG19" s="294"/>
      <c r="MYH19" s="294"/>
      <c r="MYI19" s="294"/>
      <c r="MYJ19" s="294"/>
      <c r="MYK19" s="294"/>
      <c r="MYL19" s="294"/>
      <c r="MYM19" s="294"/>
      <c r="MYN19" s="294"/>
      <c r="MYO19" s="294"/>
      <c r="MYP19" s="294"/>
      <c r="MYQ19" s="294"/>
      <c r="MYR19" s="294"/>
      <c r="MYS19" s="294"/>
      <c r="MYT19" s="294"/>
      <c r="MYU19" s="294"/>
      <c r="MYV19" s="294"/>
      <c r="MYW19" s="294"/>
      <c r="MYX19" s="294"/>
      <c r="MYY19" s="294"/>
      <c r="MYZ19" s="294"/>
      <c r="MZA19" s="294"/>
      <c r="MZB19" s="294"/>
      <c r="MZC19" s="294"/>
      <c r="MZD19" s="294"/>
      <c r="MZE19" s="294"/>
      <c r="MZF19" s="294"/>
      <c r="MZG19" s="294"/>
      <c r="MZH19" s="294"/>
      <c r="MZI19" s="294"/>
      <c r="MZJ19" s="294"/>
      <c r="MZK19" s="294"/>
      <c r="MZL19" s="294"/>
      <c r="MZM19" s="294"/>
      <c r="MZN19" s="294"/>
      <c r="MZO19" s="294"/>
      <c r="MZP19" s="294"/>
      <c r="MZQ19" s="294"/>
      <c r="MZR19" s="294"/>
      <c r="MZS19" s="294"/>
      <c r="MZT19" s="294"/>
      <c r="MZU19" s="294"/>
      <c r="MZV19" s="294"/>
      <c r="MZW19" s="294"/>
      <c r="MZX19" s="294"/>
      <c r="MZY19" s="294"/>
      <c r="MZZ19" s="294"/>
      <c r="NAA19" s="294"/>
      <c r="NAB19" s="294"/>
      <c r="NAC19" s="294"/>
      <c r="NAD19" s="294"/>
      <c r="NAE19" s="294"/>
      <c r="NAF19" s="294"/>
      <c r="NAG19" s="294"/>
      <c r="NAH19" s="294"/>
      <c r="NAI19" s="294"/>
      <c r="NAJ19" s="294"/>
      <c r="NAK19" s="294"/>
      <c r="NAL19" s="294"/>
      <c r="NAM19" s="294"/>
      <c r="NAN19" s="294"/>
      <c r="NAO19" s="294"/>
      <c r="NAP19" s="294"/>
      <c r="NAQ19" s="294"/>
      <c r="NAR19" s="294"/>
      <c r="NAS19" s="294"/>
      <c r="NAT19" s="294"/>
      <c r="NAU19" s="294"/>
      <c r="NAV19" s="294"/>
      <c r="NAW19" s="294"/>
      <c r="NAX19" s="294"/>
      <c r="NAY19" s="294"/>
      <c r="NAZ19" s="294"/>
      <c r="NBA19" s="294"/>
      <c r="NBB19" s="294"/>
      <c r="NBC19" s="294"/>
      <c r="NBD19" s="294"/>
      <c r="NBE19" s="294"/>
      <c r="NBF19" s="294"/>
      <c r="NBG19" s="294"/>
      <c r="NBH19" s="294"/>
      <c r="NBI19" s="294"/>
      <c r="NBJ19" s="294"/>
      <c r="NBK19" s="294"/>
      <c r="NBL19" s="294"/>
      <c r="NBM19" s="294"/>
      <c r="NBN19" s="294"/>
      <c r="NBO19" s="294"/>
      <c r="NBP19" s="294"/>
      <c r="NBQ19" s="294"/>
      <c r="NBR19" s="294"/>
      <c r="NBS19" s="294"/>
      <c r="NBT19" s="294"/>
      <c r="NBU19" s="294"/>
      <c r="NBV19" s="294"/>
      <c r="NBW19" s="294"/>
      <c r="NBX19" s="294"/>
      <c r="NBY19" s="294"/>
      <c r="NBZ19" s="294"/>
      <c r="NCA19" s="294"/>
      <c r="NCB19" s="294"/>
      <c r="NCC19" s="294"/>
      <c r="NCD19" s="294"/>
      <c r="NCE19" s="294"/>
      <c r="NCF19" s="294"/>
      <c r="NCG19" s="294"/>
      <c r="NCH19" s="294"/>
      <c r="NCI19" s="294"/>
      <c r="NCJ19" s="294"/>
      <c r="NCK19" s="294"/>
      <c r="NCL19" s="294"/>
      <c r="NCM19" s="294"/>
      <c r="NCN19" s="294"/>
      <c r="NCO19" s="294"/>
      <c r="NCP19" s="294"/>
      <c r="NCQ19" s="294"/>
      <c r="NCR19" s="294"/>
      <c r="NCS19" s="294"/>
      <c r="NCT19" s="294"/>
      <c r="NCU19" s="294"/>
      <c r="NCV19" s="294"/>
      <c r="NCW19" s="294"/>
      <c r="NCX19" s="294"/>
      <c r="NCY19" s="294"/>
      <c r="NCZ19" s="294"/>
      <c r="NDA19" s="294"/>
      <c r="NDB19" s="294"/>
      <c r="NDC19" s="294"/>
      <c r="NDD19" s="294"/>
      <c r="NDE19" s="294"/>
      <c r="NDF19" s="294"/>
      <c r="NDG19" s="294"/>
      <c r="NDH19" s="294"/>
      <c r="NDI19" s="294"/>
      <c r="NDJ19" s="294"/>
      <c r="NDK19" s="294"/>
      <c r="NDL19" s="294"/>
      <c r="NDM19" s="294"/>
      <c r="NDN19" s="294"/>
      <c r="NDO19" s="294"/>
      <c r="NDP19" s="294"/>
      <c r="NDQ19" s="294"/>
      <c r="NDR19" s="294"/>
      <c r="NDS19" s="294"/>
      <c r="NDT19" s="294"/>
      <c r="NDU19" s="294"/>
      <c r="NDV19" s="294"/>
      <c r="NDW19" s="294"/>
      <c r="NDX19" s="294"/>
      <c r="NDY19" s="294"/>
      <c r="NDZ19" s="294"/>
      <c r="NEA19" s="294"/>
      <c r="NEB19" s="294"/>
      <c r="NEC19" s="294"/>
      <c r="NED19" s="294"/>
      <c r="NEE19" s="294"/>
      <c r="NEF19" s="294"/>
      <c r="NEG19" s="294"/>
      <c r="NEH19" s="294"/>
      <c r="NEI19" s="294"/>
      <c r="NEJ19" s="294"/>
      <c r="NEK19" s="294"/>
      <c r="NEL19" s="294"/>
      <c r="NEM19" s="294"/>
      <c r="NEN19" s="294"/>
      <c r="NEO19" s="294"/>
      <c r="NEP19" s="294"/>
      <c r="NEQ19" s="294"/>
      <c r="NER19" s="294"/>
      <c r="NES19" s="294"/>
      <c r="NET19" s="294"/>
      <c r="NEU19" s="294"/>
      <c r="NEV19" s="294"/>
      <c r="NEW19" s="294"/>
      <c r="NEX19" s="294"/>
      <c r="NEY19" s="294"/>
      <c r="NEZ19" s="294"/>
      <c r="NFA19" s="294"/>
      <c r="NFB19" s="294"/>
      <c r="NFC19" s="294"/>
      <c r="NFD19" s="294"/>
      <c r="NFE19" s="294"/>
      <c r="NFF19" s="294"/>
      <c r="NFG19" s="294"/>
      <c r="NFH19" s="294"/>
      <c r="NFI19" s="294"/>
      <c r="NFJ19" s="294"/>
      <c r="NFK19" s="294"/>
      <c r="NFL19" s="294"/>
      <c r="NFM19" s="294"/>
      <c r="NFN19" s="294"/>
      <c r="NFO19" s="294"/>
      <c r="NFP19" s="294"/>
      <c r="NFQ19" s="294"/>
      <c r="NFR19" s="294"/>
      <c r="NFS19" s="294"/>
      <c r="NFT19" s="294"/>
      <c r="NFU19" s="294"/>
      <c r="NFV19" s="294"/>
      <c r="NFW19" s="294"/>
      <c r="NFX19" s="294"/>
      <c r="NFY19" s="294"/>
      <c r="NFZ19" s="294"/>
      <c r="NGA19" s="294"/>
      <c r="NGB19" s="294"/>
      <c r="NGC19" s="294"/>
      <c r="NGD19" s="294"/>
      <c r="NGE19" s="294"/>
      <c r="NGF19" s="294"/>
      <c r="NGG19" s="294"/>
      <c r="NGH19" s="294"/>
      <c r="NGI19" s="294"/>
      <c r="NGJ19" s="294"/>
      <c r="NGK19" s="294"/>
      <c r="NGL19" s="294"/>
      <c r="NGM19" s="294"/>
      <c r="NGN19" s="294"/>
      <c r="NGO19" s="294"/>
      <c r="NGP19" s="294"/>
      <c r="NGQ19" s="294"/>
      <c r="NGR19" s="294"/>
      <c r="NGS19" s="294"/>
      <c r="NGT19" s="294"/>
      <c r="NGU19" s="294"/>
      <c r="NGV19" s="294"/>
      <c r="NGW19" s="294"/>
      <c r="NGX19" s="294"/>
      <c r="NGY19" s="294"/>
      <c r="NGZ19" s="294"/>
      <c r="NHA19" s="294"/>
      <c r="NHB19" s="294"/>
      <c r="NHC19" s="294"/>
      <c r="NHD19" s="294"/>
      <c r="NHE19" s="294"/>
      <c r="NHF19" s="294"/>
      <c r="NHG19" s="294"/>
      <c r="NHH19" s="294"/>
      <c r="NHI19" s="294"/>
      <c r="NHJ19" s="294"/>
      <c r="NHK19" s="294"/>
      <c r="NHL19" s="294"/>
      <c r="NHM19" s="294"/>
      <c r="NHN19" s="294"/>
      <c r="NHO19" s="294"/>
      <c r="NHP19" s="294"/>
      <c r="NHQ19" s="294"/>
      <c r="NHR19" s="294"/>
      <c r="NHS19" s="294"/>
      <c r="NHT19" s="294"/>
      <c r="NHU19" s="294"/>
      <c r="NHV19" s="294"/>
      <c r="NHW19" s="294"/>
      <c r="NHX19" s="294"/>
      <c r="NHY19" s="294"/>
      <c r="NHZ19" s="294"/>
      <c r="NIA19" s="294"/>
      <c r="NIB19" s="294"/>
      <c r="NIC19" s="294"/>
      <c r="NID19" s="294"/>
      <c r="NIE19" s="294"/>
      <c r="NIF19" s="294"/>
      <c r="NIG19" s="294"/>
      <c r="NIH19" s="294"/>
      <c r="NII19" s="294"/>
      <c r="NIJ19" s="294"/>
      <c r="NIK19" s="294"/>
      <c r="NIL19" s="294"/>
      <c r="NIM19" s="294"/>
      <c r="NIN19" s="294"/>
      <c r="NIO19" s="294"/>
      <c r="NIP19" s="294"/>
      <c r="NIQ19" s="294"/>
      <c r="NIR19" s="294"/>
      <c r="NIS19" s="294"/>
      <c r="NIT19" s="294"/>
      <c r="NIU19" s="294"/>
      <c r="NIV19" s="294"/>
      <c r="NIW19" s="294"/>
      <c r="NIX19" s="294"/>
      <c r="NIY19" s="294"/>
      <c r="NIZ19" s="294"/>
      <c r="NJA19" s="294"/>
      <c r="NJB19" s="294"/>
      <c r="NJC19" s="294"/>
      <c r="NJD19" s="294"/>
      <c r="NJE19" s="294"/>
      <c r="NJF19" s="294"/>
      <c r="NJG19" s="294"/>
      <c r="NJH19" s="294"/>
      <c r="NJI19" s="294"/>
      <c r="NJJ19" s="294"/>
      <c r="NJK19" s="294"/>
      <c r="NJL19" s="294"/>
      <c r="NJM19" s="294"/>
      <c r="NJN19" s="294"/>
      <c r="NJO19" s="294"/>
      <c r="NJP19" s="294"/>
      <c r="NJQ19" s="294"/>
      <c r="NJR19" s="294"/>
      <c r="NJS19" s="294"/>
      <c r="NJT19" s="294"/>
      <c r="NJU19" s="294"/>
      <c r="NJV19" s="294"/>
      <c r="NJW19" s="294"/>
      <c r="NJX19" s="294"/>
      <c r="NJY19" s="294"/>
      <c r="NJZ19" s="294"/>
      <c r="NKA19" s="294"/>
      <c r="NKB19" s="294"/>
      <c r="NKC19" s="294"/>
      <c r="NKD19" s="294"/>
      <c r="NKE19" s="294"/>
      <c r="NKF19" s="294"/>
      <c r="NKG19" s="294"/>
      <c r="NKH19" s="294"/>
      <c r="NKI19" s="294"/>
      <c r="NKJ19" s="294"/>
      <c r="NKK19" s="294"/>
      <c r="NKL19" s="294"/>
      <c r="NKM19" s="294"/>
      <c r="NKN19" s="294"/>
      <c r="NKO19" s="294"/>
      <c r="NKP19" s="294"/>
      <c r="NKQ19" s="294"/>
      <c r="NKR19" s="294"/>
      <c r="NKS19" s="294"/>
      <c r="NKT19" s="294"/>
      <c r="NKU19" s="294"/>
      <c r="NKV19" s="294"/>
      <c r="NKW19" s="294"/>
      <c r="NKX19" s="294"/>
      <c r="NKY19" s="294"/>
      <c r="NKZ19" s="294"/>
      <c r="NLA19" s="294"/>
      <c r="NLB19" s="294"/>
      <c r="NLC19" s="294"/>
      <c r="NLD19" s="294"/>
      <c r="NLE19" s="294"/>
      <c r="NLF19" s="294"/>
      <c r="NLG19" s="294"/>
      <c r="NLH19" s="294"/>
      <c r="NLI19" s="294"/>
      <c r="NLJ19" s="294"/>
      <c r="NLK19" s="294"/>
      <c r="NLL19" s="294"/>
      <c r="NLM19" s="294"/>
      <c r="NLN19" s="294"/>
      <c r="NLO19" s="294"/>
      <c r="NLP19" s="294"/>
      <c r="NLQ19" s="294"/>
      <c r="NLR19" s="294"/>
      <c r="NLS19" s="294"/>
      <c r="NLT19" s="294"/>
      <c r="NLU19" s="294"/>
      <c r="NLV19" s="294"/>
      <c r="NLW19" s="294"/>
      <c r="NLX19" s="294"/>
      <c r="NLY19" s="294"/>
      <c r="NLZ19" s="294"/>
      <c r="NMA19" s="294"/>
      <c r="NMB19" s="294"/>
      <c r="NMC19" s="294"/>
      <c r="NMD19" s="294"/>
      <c r="NME19" s="294"/>
      <c r="NMF19" s="294"/>
      <c r="NMG19" s="294"/>
      <c r="NMH19" s="294"/>
      <c r="NMI19" s="294"/>
      <c r="NMJ19" s="294"/>
      <c r="NMK19" s="294"/>
      <c r="NML19" s="294"/>
      <c r="NMM19" s="294"/>
      <c r="NMN19" s="294"/>
      <c r="NMO19" s="294"/>
      <c r="NMP19" s="294"/>
      <c r="NMQ19" s="294"/>
      <c r="NMR19" s="294"/>
      <c r="NMS19" s="294"/>
      <c r="NMT19" s="294"/>
      <c r="NMU19" s="294"/>
      <c r="NMV19" s="294"/>
      <c r="NMW19" s="294"/>
      <c r="NMX19" s="294"/>
      <c r="NMY19" s="294"/>
      <c r="NMZ19" s="294"/>
      <c r="NNA19" s="294"/>
      <c r="NNB19" s="294"/>
      <c r="NNC19" s="294"/>
      <c r="NND19" s="294"/>
      <c r="NNE19" s="294"/>
      <c r="NNF19" s="294"/>
      <c r="NNG19" s="294"/>
      <c r="NNH19" s="294"/>
      <c r="NNI19" s="294"/>
      <c r="NNJ19" s="294"/>
      <c r="NNK19" s="294"/>
      <c r="NNL19" s="294"/>
      <c r="NNM19" s="294"/>
      <c r="NNN19" s="294"/>
      <c r="NNO19" s="294"/>
      <c r="NNP19" s="294"/>
      <c r="NNQ19" s="294"/>
      <c r="NNR19" s="294"/>
      <c r="NNS19" s="294"/>
      <c r="NNT19" s="294"/>
      <c r="NNU19" s="294"/>
      <c r="NNV19" s="294"/>
      <c r="NNW19" s="294"/>
      <c r="NNX19" s="294"/>
      <c r="NNY19" s="294"/>
      <c r="NNZ19" s="294"/>
      <c r="NOA19" s="294"/>
      <c r="NOB19" s="294"/>
      <c r="NOC19" s="294"/>
      <c r="NOD19" s="294"/>
      <c r="NOE19" s="294"/>
      <c r="NOF19" s="294"/>
      <c r="NOG19" s="294"/>
      <c r="NOH19" s="294"/>
      <c r="NOI19" s="294"/>
      <c r="NOJ19" s="294"/>
      <c r="NOK19" s="294"/>
      <c r="NOL19" s="294"/>
      <c r="NOM19" s="294"/>
      <c r="NON19" s="294"/>
      <c r="NOO19" s="294"/>
      <c r="NOP19" s="294"/>
      <c r="NOQ19" s="294"/>
      <c r="NOR19" s="294"/>
      <c r="NOS19" s="294"/>
      <c r="NOT19" s="294"/>
      <c r="NOU19" s="294"/>
      <c r="NOV19" s="294"/>
      <c r="NOW19" s="294"/>
      <c r="NOX19" s="294"/>
      <c r="NOY19" s="294"/>
      <c r="NOZ19" s="294"/>
      <c r="NPA19" s="294"/>
      <c r="NPB19" s="294"/>
      <c r="NPC19" s="294"/>
      <c r="NPD19" s="294"/>
      <c r="NPE19" s="294"/>
      <c r="NPF19" s="294"/>
      <c r="NPG19" s="294"/>
      <c r="NPH19" s="294"/>
      <c r="NPI19" s="294"/>
      <c r="NPJ19" s="294"/>
      <c r="NPK19" s="294"/>
      <c r="NPL19" s="294"/>
      <c r="NPM19" s="294"/>
      <c r="NPN19" s="294"/>
      <c r="NPO19" s="294"/>
      <c r="NPP19" s="294"/>
      <c r="NPQ19" s="294"/>
      <c r="NPR19" s="294"/>
      <c r="NPS19" s="294"/>
      <c r="NPT19" s="294"/>
      <c r="NPU19" s="294"/>
      <c r="NPV19" s="294"/>
      <c r="NPW19" s="294"/>
      <c r="NPX19" s="294"/>
      <c r="NPY19" s="294"/>
      <c r="NPZ19" s="294"/>
      <c r="NQA19" s="294"/>
      <c r="NQB19" s="294"/>
      <c r="NQC19" s="294"/>
      <c r="NQD19" s="294"/>
      <c r="NQE19" s="294"/>
      <c r="NQF19" s="294"/>
      <c r="NQG19" s="294"/>
      <c r="NQH19" s="294"/>
      <c r="NQI19" s="294"/>
      <c r="NQJ19" s="294"/>
      <c r="NQK19" s="294"/>
      <c r="NQL19" s="294"/>
      <c r="NQM19" s="294"/>
      <c r="NQN19" s="294"/>
      <c r="NQO19" s="294"/>
      <c r="NQP19" s="294"/>
      <c r="NQQ19" s="294"/>
      <c r="NQR19" s="294"/>
      <c r="NQS19" s="294"/>
      <c r="NQT19" s="294"/>
      <c r="NQU19" s="294"/>
      <c r="NQV19" s="294"/>
      <c r="NQW19" s="294"/>
      <c r="NQX19" s="294"/>
      <c r="NQY19" s="294"/>
      <c r="NQZ19" s="294"/>
      <c r="NRA19" s="294"/>
      <c r="NRB19" s="294"/>
      <c r="NRC19" s="294"/>
      <c r="NRD19" s="294"/>
      <c r="NRE19" s="294"/>
      <c r="NRF19" s="294"/>
      <c r="NRG19" s="294"/>
      <c r="NRH19" s="294"/>
      <c r="NRI19" s="294"/>
      <c r="NRJ19" s="294"/>
      <c r="NRK19" s="294"/>
      <c r="NRL19" s="294"/>
      <c r="NRM19" s="294"/>
      <c r="NRN19" s="294"/>
      <c r="NRO19" s="294"/>
      <c r="NRP19" s="294"/>
      <c r="NRQ19" s="294"/>
      <c r="NRR19" s="294"/>
      <c r="NRS19" s="294"/>
      <c r="NRT19" s="294"/>
      <c r="NRU19" s="294"/>
      <c r="NRV19" s="294"/>
      <c r="NRW19" s="294"/>
      <c r="NRX19" s="294"/>
      <c r="NRY19" s="294"/>
      <c r="NRZ19" s="294"/>
      <c r="NSA19" s="294"/>
      <c r="NSB19" s="294"/>
      <c r="NSC19" s="294"/>
      <c r="NSD19" s="294"/>
      <c r="NSE19" s="294"/>
      <c r="NSF19" s="294"/>
      <c r="NSG19" s="294"/>
      <c r="NSH19" s="294"/>
      <c r="NSI19" s="294"/>
      <c r="NSJ19" s="294"/>
      <c r="NSK19" s="294"/>
      <c r="NSL19" s="294"/>
      <c r="NSM19" s="294"/>
      <c r="NSN19" s="294"/>
      <c r="NSO19" s="294"/>
      <c r="NSP19" s="294"/>
      <c r="NSQ19" s="294"/>
      <c r="NSR19" s="294"/>
      <c r="NSS19" s="294"/>
      <c r="NST19" s="294"/>
      <c r="NSU19" s="294"/>
      <c r="NSV19" s="294"/>
      <c r="NSW19" s="294"/>
      <c r="NSX19" s="294"/>
      <c r="NSY19" s="294"/>
      <c r="NSZ19" s="294"/>
      <c r="NTA19" s="294"/>
      <c r="NTB19" s="294"/>
      <c r="NTC19" s="294"/>
      <c r="NTD19" s="294"/>
      <c r="NTE19" s="294"/>
      <c r="NTF19" s="294"/>
      <c r="NTG19" s="294"/>
      <c r="NTH19" s="294"/>
      <c r="NTI19" s="294"/>
      <c r="NTJ19" s="294"/>
      <c r="NTK19" s="294"/>
      <c r="NTL19" s="294"/>
      <c r="NTM19" s="294"/>
      <c r="NTN19" s="294"/>
      <c r="NTO19" s="294"/>
      <c r="NTP19" s="294"/>
      <c r="NTQ19" s="294"/>
      <c r="NTR19" s="294"/>
      <c r="NTS19" s="294"/>
      <c r="NTT19" s="294"/>
      <c r="NTU19" s="294"/>
      <c r="NTV19" s="294"/>
      <c r="NTW19" s="294"/>
      <c r="NTX19" s="294"/>
      <c r="NTY19" s="294"/>
      <c r="NTZ19" s="294"/>
      <c r="NUA19" s="294"/>
      <c r="NUB19" s="294"/>
      <c r="NUC19" s="294"/>
      <c r="NUD19" s="294"/>
      <c r="NUE19" s="294"/>
      <c r="NUF19" s="294"/>
      <c r="NUG19" s="294"/>
      <c r="NUH19" s="294"/>
      <c r="NUI19" s="294"/>
      <c r="NUJ19" s="294"/>
      <c r="NUK19" s="294"/>
      <c r="NUL19" s="294"/>
      <c r="NUM19" s="294"/>
      <c r="NUN19" s="294"/>
      <c r="NUO19" s="294"/>
      <c r="NUP19" s="294"/>
      <c r="NUQ19" s="294"/>
      <c r="NUR19" s="294"/>
      <c r="NUS19" s="294"/>
      <c r="NUT19" s="294"/>
      <c r="NUU19" s="294"/>
      <c r="NUV19" s="294"/>
      <c r="NUW19" s="294"/>
      <c r="NUX19" s="294"/>
      <c r="NUY19" s="294"/>
      <c r="NUZ19" s="294"/>
      <c r="NVA19" s="294"/>
      <c r="NVB19" s="294"/>
      <c r="NVC19" s="294"/>
      <c r="NVD19" s="294"/>
      <c r="NVE19" s="294"/>
      <c r="NVF19" s="294"/>
      <c r="NVG19" s="294"/>
      <c r="NVH19" s="294"/>
      <c r="NVI19" s="294"/>
      <c r="NVJ19" s="294"/>
      <c r="NVK19" s="294"/>
      <c r="NVL19" s="294"/>
      <c r="NVM19" s="294"/>
      <c r="NVN19" s="294"/>
      <c r="NVO19" s="294"/>
      <c r="NVP19" s="294"/>
      <c r="NVQ19" s="294"/>
      <c r="NVR19" s="294"/>
      <c r="NVS19" s="294"/>
      <c r="NVT19" s="294"/>
      <c r="NVU19" s="294"/>
      <c r="NVV19" s="294"/>
      <c r="NVW19" s="294"/>
      <c r="NVX19" s="294"/>
      <c r="NVY19" s="294"/>
      <c r="NVZ19" s="294"/>
      <c r="NWA19" s="294"/>
      <c r="NWB19" s="294"/>
      <c r="NWC19" s="294"/>
      <c r="NWD19" s="294"/>
      <c r="NWE19" s="294"/>
      <c r="NWF19" s="294"/>
      <c r="NWG19" s="294"/>
      <c r="NWH19" s="294"/>
      <c r="NWI19" s="294"/>
      <c r="NWJ19" s="294"/>
      <c r="NWK19" s="294"/>
      <c r="NWL19" s="294"/>
      <c r="NWM19" s="294"/>
      <c r="NWN19" s="294"/>
      <c r="NWO19" s="294"/>
      <c r="NWP19" s="294"/>
      <c r="NWQ19" s="294"/>
      <c r="NWR19" s="294"/>
      <c r="NWS19" s="294"/>
      <c r="NWT19" s="294"/>
      <c r="NWU19" s="294"/>
      <c r="NWV19" s="294"/>
      <c r="NWW19" s="294"/>
      <c r="NWX19" s="294"/>
      <c r="NWY19" s="294"/>
      <c r="NWZ19" s="294"/>
      <c r="NXA19" s="294"/>
      <c r="NXB19" s="294"/>
      <c r="NXC19" s="294"/>
      <c r="NXD19" s="294"/>
      <c r="NXE19" s="294"/>
      <c r="NXF19" s="294"/>
      <c r="NXG19" s="294"/>
      <c r="NXH19" s="294"/>
      <c r="NXI19" s="294"/>
      <c r="NXJ19" s="294"/>
      <c r="NXK19" s="294"/>
      <c r="NXL19" s="294"/>
      <c r="NXM19" s="294"/>
      <c r="NXN19" s="294"/>
      <c r="NXO19" s="294"/>
      <c r="NXP19" s="294"/>
      <c r="NXQ19" s="294"/>
      <c r="NXR19" s="294"/>
      <c r="NXS19" s="294"/>
      <c r="NXT19" s="294"/>
      <c r="NXU19" s="294"/>
      <c r="NXV19" s="294"/>
      <c r="NXW19" s="294"/>
      <c r="NXX19" s="294"/>
      <c r="NXY19" s="294"/>
      <c r="NXZ19" s="294"/>
      <c r="NYA19" s="294"/>
      <c r="NYB19" s="294"/>
      <c r="NYC19" s="294"/>
      <c r="NYD19" s="294"/>
      <c r="NYE19" s="294"/>
      <c r="NYF19" s="294"/>
      <c r="NYG19" s="294"/>
      <c r="NYH19" s="294"/>
      <c r="NYI19" s="294"/>
      <c r="NYJ19" s="294"/>
      <c r="NYK19" s="294"/>
      <c r="NYL19" s="294"/>
      <c r="NYM19" s="294"/>
      <c r="NYN19" s="294"/>
      <c r="NYO19" s="294"/>
      <c r="NYP19" s="294"/>
      <c r="NYQ19" s="294"/>
      <c r="NYR19" s="294"/>
      <c r="NYS19" s="294"/>
      <c r="NYT19" s="294"/>
      <c r="NYU19" s="294"/>
      <c r="NYV19" s="294"/>
      <c r="NYW19" s="294"/>
      <c r="NYX19" s="294"/>
      <c r="NYY19" s="294"/>
      <c r="NYZ19" s="294"/>
      <c r="NZA19" s="294"/>
      <c r="NZB19" s="294"/>
      <c r="NZC19" s="294"/>
      <c r="NZD19" s="294"/>
      <c r="NZE19" s="294"/>
      <c r="NZF19" s="294"/>
      <c r="NZG19" s="294"/>
      <c r="NZH19" s="294"/>
      <c r="NZI19" s="294"/>
      <c r="NZJ19" s="294"/>
      <c r="NZK19" s="294"/>
      <c r="NZL19" s="294"/>
      <c r="NZM19" s="294"/>
      <c r="NZN19" s="294"/>
      <c r="NZO19" s="294"/>
      <c r="NZP19" s="294"/>
      <c r="NZQ19" s="294"/>
      <c r="NZR19" s="294"/>
      <c r="NZS19" s="294"/>
      <c r="NZT19" s="294"/>
      <c r="NZU19" s="294"/>
      <c r="NZV19" s="294"/>
      <c r="NZW19" s="294"/>
      <c r="NZX19" s="294"/>
      <c r="NZY19" s="294"/>
      <c r="NZZ19" s="294"/>
      <c r="OAA19" s="294"/>
      <c r="OAB19" s="294"/>
      <c r="OAC19" s="294"/>
      <c r="OAD19" s="294"/>
      <c r="OAE19" s="294"/>
      <c r="OAF19" s="294"/>
      <c r="OAG19" s="294"/>
      <c r="OAH19" s="294"/>
      <c r="OAI19" s="294"/>
      <c r="OAJ19" s="294"/>
      <c r="OAK19" s="294"/>
      <c r="OAL19" s="294"/>
      <c r="OAM19" s="294"/>
      <c r="OAN19" s="294"/>
      <c r="OAO19" s="294"/>
      <c r="OAP19" s="294"/>
      <c r="OAQ19" s="294"/>
      <c r="OAR19" s="294"/>
      <c r="OAS19" s="294"/>
      <c r="OAT19" s="294"/>
      <c r="OAU19" s="294"/>
      <c r="OAV19" s="294"/>
      <c r="OAW19" s="294"/>
      <c r="OAX19" s="294"/>
      <c r="OAY19" s="294"/>
      <c r="OAZ19" s="294"/>
      <c r="OBA19" s="294"/>
      <c r="OBB19" s="294"/>
      <c r="OBC19" s="294"/>
      <c r="OBD19" s="294"/>
      <c r="OBE19" s="294"/>
      <c r="OBF19" s="294"/>
      <c r="OBG19" s="294"/>
      <c r="OBH19" s="294"/>
      <c r="OBI19" s="294"/>
      <c r="OBJ19" s="294"/>
      <c r="OBK19" s="294"/>
      <c r="OBL19" s="294"/>
      <c r="OBM19" s="294"/>
      <c r="OBN19" s="294"/>
      <c r="OBO19" s="294"/>
      <c r="OBP19" s="294"/>
      <c r="OBQ19" s="294"/>
      <c r="OBR19" s="294"/>
      <c r="OBS19" s="294"/>
      <c r="OBT19" s="294"/>
      <c r="OBU19" s="294"/>
      <c r="OBV19" s="294"/>
      <c r="OBW19" s="294"/>
      <c r="OBX19" s="294"/>
      <c r="OBY19" s="294"/>
      <c r="OBZ19" s="294"/>
      <c r="OCA19" s="294"/>
      <c r="OCB19" s="294"/>
      <c r="OCC19" s="294"/>
      <c r="OCD19" s="294"/>
      <c r="OCE19" s="294"/>
      <c r="OCF19" s="294"/>
      <c r="OCG19" s="294"/>
      <c r="OCH19" s="294"/>
      <c r="OCI19" s="294"/>
      <c r="OCJ19" s="294"/>
      <c r="OCK19" s="294"/>
      <c r="OCL19" s="294"/>
      <c r="OCM19" s="294"/>
      <c r="OCN19" s="294"/>
      <c r="OCO19" s="294"/>
      <c r="OCP19" s="294"/>
      <c r="OCQ19" s="294"/>
      <c r="OCR19" s="294"/>
      <c r="OCS19" s="294"/>
      <c r="OCT19" s="294"/>
      <c r="OCU19" s="294"/>
      <c r="OCV19" s="294"/>
      <c r="OCW19" s="294"/>
      <c r="OCX19" s="294"/>
      <c r="OCY19" s="294"/>
      <c r="OCZ19" s="294"/>
      <c r="ODA19" s="294"/>
      <c r="ODB19" s="294"/>
      <c r="ODC19" s="294"/>
      <c r="ODD19" s="294"/>
      <c r="ODE19" s="294"/>
      <c r="ODF19" s="294"/>
      <c r="ODG19" s="294"/>
      <c r="ODH19" s="294"/>
      <c r="ODI19" s="294"/>
      <c r="ODJ19" s="294"/>
      <c r="ODK19" s="294"/>
      <c r="ODL19" s="294"/>
      <c r="ODM19" s="294"/>
      <c r="ODN19" s="294"/>
      <c r="ODO19" s="294"/>
      <c r="ODP19" s="294"/>
      <c r="ODQ19" s="294"/>
      <c r="ODR19" s="294"/>
      <c r="ODS19" s="294"/>
      <c r="ODT19" s="294"/>
      <c r="ODU19" s="294"/>
      <c r="ODV19" s="294"/>
      <c r="ODW19" s="294"/>
      <c r="ODX19" s="294"/>
      <c r="ODY19" s="294"/>
      <c r="ODZ19" s="294"/>
      <c r="OEA19" s="294"/>
      <c r="OEB19" s="294"/>
      <c r="OEC19" s="294"/>
      <c r="OED19" s="294"/>
      <c r="OEE19" s="294"/>
      <c r="OEF19" s="294"/>
      <c r="OEG19" s="294"/>
      <c r="OEH19" s="294"/>
      <c r="OEI19" s="294"/>
      <c r="OEJ19" s="294"/>
      <c r="OEK19" s="294"/>
      <c r="OEL19" s="294"/>
      <c r="OEM19" s="294"/>
      <c r="OEN19" s="294"/>
      <c r="OEO19" s="294"/>
      <c r="OEP19" s="294"/>
      <c r="OEQ19" s="294"/>
      <c r="OER19" s="294"/>
      <c r="OES19" s="294"/>
      <c r="OET19" s="294"/>
      <c r="OEU19" s="294"/>
      <c r="OEV19" s="294"/>
      <c r="OEW19" s="294"/>
      <c r="OEX19" s="294"/>
      <c r="OEY19" s="294"/>
      <c r="OEZ19" s="294"/>
      <c r="OFA19" s="294"/>
      <c r="OFB19" s="294"/>
      <c r="OFC19" s="294"/>
      <c r="OFD19" s="294"/>
      <c r="OFE19" s="294"/>
      <c r="OFF19" s="294"/>
      <c r="OFG19" s="294"/>
      <c r="OFH19" s="294"/>
      <c r="OFI19" s="294"/>
      <c r="OFJ19" s="294"/>
      <c r="OFK19" s="294"/>
      <c r="OFL19" s="294"/>
      <c r="OFM19" s="294"/>
      <c r="OFN19" s="294"/>
      <c r="OFO19" s="294"/>
      <c r="OFP19" s="294"/>
      <c r="OFQ19" s="294"/>
      <c r="OFR19" s="294"/>
      <c r="OFS19" s="294"/>
      <c r="OFT19" s="294"/>
      <c r="OFU19" s="294"/>
      <c r="OFV19" s="294"/>
      <c r="OFW19" s="294"/>
      <c r="OFX19" s="294"/>
      <c r="OFY19" s="294"/>
      <c r="OFZ19" s="294"/>
      <c r="OGA19" s="294"/>
      <c r="OGB19" s="294"/>
      <c r="OGC19" s="294"/>
      <c r="OGD19" s="294"/>
      <c r="OGE19" s="294"/>
      <c r="OGF19" s="294"/>
      <c r="OGG19" s="294"/>
      <c r="OGH19" s="294"/>
      <c r="OGI19" s="294"/>
      <c r="OGJ19" s="294"/>
      <c r="OGK19" s="294"/>
      <c r="OGL19" s="294"/>
      <c r="OGM19" s="294"/>
      <c r="OGN19" s="294"/>
      <c r="OGO19" s="294"/>
      <c r="OGP19" s="294"/>
      <c r="OGQ19" s="294"/>
      <c r="OGR19" s="294"/>
      <c r="OGS19" s="294"/>
      <c r="OGT19" s="294"/>
      <c r="OGU19" s="294"/>
      <c r="OGV19" s="294"/>
      <c r="OGW19" s="294"/>
      <c r="OGX19" s="294"/>
      <c r="OGY19" s="294"/>
      <c r="OGZ19" s="294"/>
      <c r="OHA19" s="294"/>
      <c r="OHB19" s="294"/>
      <c r="OHC19" s="294"/>
      <c r="OHD19" s="294"/>
      <c r="OHE19" s="294"/>
      <c r="OHF19" s="294"/>
      <c r="OHG19" s="294"/>
      <c r="OHH19" s="294"/>
      <c r="OHI19" s="294"/>
      <c r="OHJ19" s="294"/>
      <c r="OHK19" s="294"/>
      <c r="OHL19" s="294"/>
      <c r="OHM19" s="294"/>
      <c r="OHN19" s="294"/>
      <c r="OHO19" s="294"/>
      <c r="OHP19" s="294"/>
      <c r="OHQ19" s="294"/>
      <c r="OHR19" s="294"/>
      <c r="OHS19" s="294"/>
      <c r="OHT19" s="294"/>
      <c r="OHU19" s="294"/>
      <c r="OHV19" s="294"/>
      <c r="OHW19" s="294"/>
      <c r="OHX19" s="294"/>
      <c r="OHY19" s="294"/>
      <c r="OHZ19" s="294"/>
      <c r="OIA19" s="294"/>
      <c r="OIB19" s="294"/>
      <c r="OIC19" s="294"/>
      <c r="OID19" s="294"/>
      <c r="OIE19" s="294"/>
      <c r="OIF19" s="294"/>
      <c r="OIG19" s="294"/>
      <c r="OIH19" s="294"/>
      <c r="OII19" s="294"/>
      <c r="OIJ19" s="294"/>
      <c r="OIK19" s="294"/>
      <c r="OIL19" s="294"/>
      <c r="OIM19" s="294"/>
      <c r="OIN19" s="294"/>
      <c r="OIO19" s="294"/>
      <c r="OIP19" s="294"/>
      <c r="OIQ19" s="294"/>
      <c r="OIR19" s="294"/>
      <c r="OIS19" s="294"/>
      <c r="OIT19" s="294"/>
      <c r="OIU19" s="294"/>
      <c r="OIV19" s="294"/>
      <c r="OIW19" s="294"/>
      <c r="OIX19" s="294"/>
      <c r="OIY19" s="294"/>
      <c r="OIZ19" s="294"/>
      <c r="OJA19" s="294"/>
      <c r="OJB19" s="294"/>
      <c r="OJC19" s="294"/>
      <c r="OJD19" s="294"/>
      <c r="OJE19" s="294"/>
      <c r="OJF19" s="294"/>
      <c r="OJG19" s="294"/>
      <c r="OJH19" s="294"/>
      <c r="OJI19" s="294"/>
      <c r="OJJ19" s="294"/>
      <c r="OJK19" s="294"/>
      <c r="OJL19" s="294"/>
      <c r="OJM19" s="294"/>
      <c r="OJN19" s="294"/>
      <c r="OJO19" s="294"/>
      <c r="OJP19" s="294"/>
      <c r="OJQ19" s="294"/>
      <c r="OJR19" s="294"/>
      <c r="OJS19" s="294"/>
      <c r="OJT19" s="294"/>
      <c r="OJU19" s="294"/>
      <c r="OJV19" s="294"/>
      <c r="OJW19" s="294"/>
      <c r="OJX19" s="294"/>
      <c r="OJY19" s="294"/>
      <c r="OJZ19" s="294"/>
      <c r="OKA19" s="294"/>
      <c r="OKB19" s="294"/>
      <c r="OKC19" s="294"/>
      <c r="OKD19" s="294"/>
      <c r="OKE19" s="294"/>
      <c r="OKF19" s="294"/>
      <c r="OKG19" s="294"/>
      <c r="OKH19" s="294"/>
      <c r="OKI19" s="294"/>
      <c r="OKJ19" s="294"/>
      <c r="OKK19" s="294"/>
      <c r="OKL19" s="294"/>
      <c r="OKM19" s="294"/>
      <c r="OKN19" s="294"/>
      <c r="OKO19" s="294"/>
      <c r="OKP19" s="294"/>
      <c r="OKQ19" s="294"/>
      <c r="OKR19" s="294"/>
      <c r="OKS19" s="294"/>
      <c r="OKT19" s="294"/>
      <c r="OKU19" s="294"/>
      <c r="OKV19" s="294"/>
      <c r="OKW19" s="294"/>
      <c r="OKX19" s="294"/>
      <c r="OKY19" s="294"/>
      <c r="OKZ19" s="294"/>
      <c r="OLA19" s="294"/>
      <c r="OLB19" s="294"/>
      <c r="OLC19" s="294"/>
      <c r="OLD19" s="294"/>
      <c r="OLE19" s="294"/>
      <c r="OLF19" s="294"/>
      <c r="OLG19" s="294"/>
      <c r="OLH19" s="294"/>
      <c r="OLI19" s="294"/>
      <c r="OLJ19" s="294"/>
      <c r="OLK19" s="294"/>
      <c r="OLL19" s="294"/>
      <c r="OLM19" s="294"/>
      <c r="OLN19" s="294"/>
      <c r="OLO19" s="294"/>
      <c r="OLP19" s="294"/>
      <c r="OLQ19" s="294"/>
      <c r="OLR19" s="294"/>
      <c r="OLS19" s="294"/>
      <c r="OLT19" s="294"/>
      <c r="OLU19" s="294"/>
      <c r="OLV19" s="294"/>
      <c r="OLW19" s="294"/>
      <c r="OLX19" s="294"/>
      <c r="OLY19" s="294"/>
      <c r="OLZ19" s="294"/>
      <c r="OMA19" s="294"/>
      <c r="OMB19" s="294"/>
      <c r="OMC19" s="294"/>
      <c r="OMD19" s="294"/>
      <c r="OME19" s="294"/>
      <c r="OMF19" s="294"/>
      <c r="OMG19" s="294"/>
      <c r="OMH19" s="294"/>
      <c r="OMI19" s="294"/>
      <c r="OMJ19" s="294"/>
      <c r="OMK19" s="294"/>
      <c r="OML19" s="294"/>
      <c r="OMM19" s="294"/>
      <c r="OMN19" s="294"/>
      <c r="OMO19" s="294"/>
      <c r="OMP19" s="294"/>
      <c r="OMQ19" s="294"/>
      <c r="OMR19" s="294"/>
      <c r="OMS19" s="294"/>
      <c r="OMT19" s="294"/>
      <c r="OMU19" s="294"/>
      <c r="OMV19" s="294"/>
      <c r="OMW19" s="294"/>
      <c r="OMX19" s="294"/>
      <c r="OMY19" s="294"/>
      <c r="OMZ19" s="294"/>
      <c r="ONA19" s="294"/>
      <c r="ONB19" s="294"/>
      <c r="ONC19" s="294"/>
      <c r="OND19" s="294"/>
      <c r="ONE19" s="294"/>
      <c r="ONF19" s="294"/>
      <c r="ONG19" s="294"/>
      <c r="ONH19" s="294"/>
      <c r="ONI19" s="294"/>
      <c r="ONJ19" s="294"/>
      <c r="ONK19" s="294"/>
      <c r="ONL19" s="294"/>
      <c r="ONM19" s="294"/>
      <c r="ONN19" s="294"/>
      <c r="ONO19" s="294"/>
      <c r="ONP19" s="294"/>
      <c r="ONQ19" s="294"/>
      <c r="ONR19" s="294"/>
      <c r="ONS19" s="294"/>
      <c r="ONT19" s="294"/>
      <c r="ONU19" s="294"/>
      <c r="ONV19" s="294"/>
      <c r="ONW19" s="294"/>
      <c r="ONX19" s="294"/>
      <c r="ONY19" s="294"/>
      <c r="ONZ19" s="294"/>
      <c r="OOA19" s="294"/>
      <c r="OOB19" s="294"/>
      <c r="OOC19" s="294"/>
      <c r="OOD19" s="294"/>
      <c r="OOE19" s="294"/>
      <c r="OOF19" s="294"/>
      <c r="OOG19" s="294"/>
      <c r="OOH19" s="294"/>
      <c r="OOI19" s="294"/>
      <c r="OOJ19" s="294"/>
      <c r="OOK19" s="294"/>
      <c r="OOL19" s="294"/>
      <c r="OOM19" s="294"/>
      <c r="OON19" s="294"/>
      <c r="OOO19" s="294"/>
      <c r="OOP19" s="294"/>
      <c r="OOQ19" s="294"/>
      <c r="OOR19" s="294"/>
      <c r="OOS19" s="294"/>
      <c r="OOT19" s="294"/>
      <c r="OOU19" s="294"/>
      <c r="OOV19" s="294"/>
      <c r="OOW19" s="294"/>
      <c r="OOX19" s="294"/>
      <c r="OOY19" s="294"/>
      <c r="OOZ19" s="294"/>
      <c r="OPA19" s="294"/>
      <c r="OPB19" s="294"/>
      <c r="OPC19" s="294"/>
      <c r="OPD19" s="294"/>
      <c r="OPE19" s="294"/>
      <c r="OPF19" s="294"/>
      <c r="OPG19" s="294"/>
      <c r="OPH19" s="294"/>
      <c r="OPI19" s="294"/>
      <c r="OPJ19" s="294"/>
      <c r="OPK19" s="294"/>
      <c r="OPL19" s="294"/>
      <c r="OPM19" s="294"/>
      <c r="OPN19" s="294"/>
      <c r="OPO19" s="294"/>
      <c r="OPP19" s="294"/>
      <c r="OPQ19" s="294"/>
      <c r="OPR19" s="294"/>
      <c r="OPS19" s="294"/>
      <c r="OPT19" s="294"/>
      <c r="OPU19" s="294"/>
      <c r="OPV19" s="294"/>
      <c r="OPW19" s="294"/>
      <c r="OPX19" s="294"/>
      <c r="OPY19" s="294"/>
      <c r="OPZ19" s="294"/>
      <c r="OQA19" s="294"/>
      <c r="OQB19" s="294"/>
      <c r="OQC19" s="294"/>
      <c r="OQD19" s="294"/>
      <c r="OQE19" s="294"/>
      <c r="OQF19" s="294"/>
      <c r="OQG19" s="294"/>
      <c r="OQH19" s="294"/>
      <c r="OQI19" s="294"/>
      <c r="OQJ19" s="294"/>
      <c r="OQK19" s="294"/>
      <c r="OQL19" s="294"/>
      <c r="OQM19" s="294"/>
      <c r="OQN19" s="294"/>
      <c r="OQO19" s="294"/>
      <c r="OQP19" s="294"/>
      <c r="OQQ19" s="294"/>
      <c r="OQR19" s="294"/>
      <c r="OQS19" s="294"/>
      <c r="OQT19" s="294"/>
      <c r="OQU19" s="294"/>
      <c r="OQV19" s="294"/>
      <c r="OQW19" s="294"/>
      <c r="OQX19" s="294"/>
      <c r="OQY19" s="294"/>
      <c r="OQZ19" s="294"/>
      <c r="ORA19" s="294"/>
      <c r="ORB19" s="294"/>
      <c r="ORC19" s="294"/>
      <c r="ORD19" s="294"/>
      <c r="ORE19" s="294"/>
      <c r="ORF19" s="294"/>
      <c r="ORG19" s="294"/>
      <c r="ORH19" s="294"/>
      <c r="ORI19" s="294"/>
      <c r="ORJ19" s="294"/>
      <c r="ORK19" s="294"/>
      <c r="ORL19" s="294"/>
      <c r="ORM19" s="294"/>
      <c r="ORN19" s="294"/>
      <c r="ORO19" s="294"/>
      <c r="ORP19" s="294"/>
      <c r="ORQ19" s="294"/>
      <c r="ORR19" s="294"/>
      <c r="ORS19" s="294"/>
      <c r="ORT19" s="294"/>
      <c r="ORU19" s="294"/>
      <c r="ORV19" s="294"/>
      <c r="ORW19" s="294"/>
      <c r="ORX19" s="294"/>
      <c r="ORY19" s="294"/>
      <c r="ORZ19" s="294"/>
      <c r="OSA19" s="294"/>
      <c r="OSB19" s="294"/>
      <c r="OSC19" s="294"/>
      <c r="OSD19" s="294"/>
      <c r="OSE19" s="294"/>
      <c r="OSF19" s="294"/>
      <c r="OSG19" s="294"/>
      <c r="OSH19" s="294"/>
      <c r="OSI19" s="294"/>
      <c r="OSJ19" s="294"/>
      <c r="OSK19" s="294"/>
      <c r="OSL19" s="294"/>
      <c r="OSM19" s="294"/>
      <c r="OSN19" s="294"/>
      <c r="OSO19" s="294"/>
      <c r="OSP19" s="294"/>
      <c r="OSQ19" s="294"/>
      <c r="OSR19" s="294"/>
      <c r="OSS19" s="294"/>
      <c r="OST19" s="294"/>
      <c r="OSU19" s="294"/>
      <c r="OSV19" s="294"/>
      <c r="OSW19" s="294"/>
      <c r="OSX19" s="294"/>
      <c r="OSY19" s="294"/>
      <c r="OSZ19" s="294"/>
      <c r="OTA19" s="294"/>
      <c r="OTB19" s="294"/>
      <c r="OTC19" s="294"/>
      <c r="OTD19" s="294"/>
      <c r="OTE19" s="294"/>
      <c r="OTF19" s="294"/>
      <c r="OTG19" s="294"/>
      <c r="OTH19" s="294"/>
      <c r="OTI19" s="294"/>
      <c r="OTJ19" s="294"/>
      <c r="OTK19" s="294"/>
      <c r="OTL19" s="294"/>
      <c r="OTM19" s="294"/>
      <c r="OTN19" s="294"/>
      <c r="OTO19" s="294"/>
      <c r="OTP19" s="294"/>
      <c r="OTQ19" s="294"/>
      <c r="OTR19" s="294"/>
      <c r="OTS19" s="294"/>
      <c r="OTT19" s="294"/>
      <c r="OTU19" s="294"/>
      <c r="OTV19" s="294"/>
      <c r="OTW19" s="294"/>
      <c r="OTX19" s="294"/>
      <c r="OTY19" s="294"/>
      <c r="OTZ19" s="294"/>
      <c r="OUA19" s="294"/>
      <c r="OUB19" s="294"/>
      <c r="OUC19" s="294"/>
      <c r="OUD19" s="294"/>
      <c r="OUE19" s="294"/>
      <c r="OUF19" s="294"/>
      <c r="OUG19" s="294"/>
      <c r="OUH19" s="294"/>
      <c r="OUI19" s="294"/>
      <c r="OUJ19" s="294"/>
      <c r="OUK19" s="294"/>
      <c r="OUL19" s="294"/>
      <c r="OUM19" s="294"/>
      <c r="OUN19" s="294"/>
      <c r="OUO19" s="294"/>
      <c r="OUP19" s="294"/>
      <c r="OUQ19" s="294"/>
      <c r="OUR19" s="294"/>
      <c r="OUS19" s="294"/>
      <c r="OUT19" s="294"/>
      <c r="OUU19" s="294"/>
      <c r="OUV19" s="294"/>
      <c r="OUW19" s="294"/>
      <c r="OUX19" s="294"/>
      <c r="OUY19" s="294"/>
      <c r="OUZ19" s="294"/>
      <c r="OVA19" s="294"/>
      <c r="OVB19" s="294"/>
      <c r="OVC19" s="294"/>
      <c r="OVD19" s="294"/>
      <c r="OVE19" s="294"/>
      <c r="OVF19" s="294"/>
      <c r="OVG19" s="294"/>
      <c r="OVH19" s="294"/>
      <c r="OVI19" s="294"/>
      <c r="OVJ19" s="294"/>
      <c r="OVK19" s="294"/>
      <c r="OVL19" s="294"/>
      <c r="OVM19" s="294"/>
      <c r="OVN19" s="294"/>
      <c r="OVO19" s="294"/>
      <c r="OVP19" s="294"/>
      <c r="OVQ19" s="294"/>
      <c r="OVR19" s="294"/>
      <c r="OVS19" s="294"/>
      <c r="OVT19" s="294"/>
      <c r="OVU19" s="294"/>
      <c r="OVV19" s="294"/>
      <c r="OVW19" s="294"/>
      <c r="OVX19" s="294"/>
      <c r="OVY19" s="294"/>
      <c r="OVZ19" s="294"/>
      <c r="OWA19" s="294"/>
      <c r="OWB19" s="294"/>
      <c r="OWC19" s="294"/>
      <c r="OWD19" s="294"/>
      <c r="OWE19" s="294"/>
      <c r="OWF19" s="294"/>
      <c r="OWG19" s="294"/>
      <c r="OWH19" s="294"/>
      <c r="OWI19" s="294"/>
      <c r="OWJ19" s="294"/>
      <c r="OWK19" s="294"/>
      <c r="OWL19" s="294"/>
      <c r="OWM19" s="294"/>
      <c r="OWN19" s="294"/>
      <c r="OWO19" s="294"/>
      <c r="OWP19" s="294"/>
      <c r="OWQ19" s="294"/>
      <c r="OWR19" s="294"/>
      <c r="OWS19" s="294"/>
      <c r="OWT19" s="294"/>
      <c r="OWU19" s="294"/>
      <c r="OWV19" s="294"/>
      <c r="OWW19" s="294"/>
      <c r="OWX19" s="294"/>
      <c r="OWY19" s="294"/>
      <c r="OWZ19" s="294"/>
      <c r="OXA19" s="294"/>
      <c r="OXB19" s="294"/>
      <c r="OXC19" s="294"/>
      <c r="OXD19" s="294"/>
      <c r="OXE19" s="294"/>
      <c r="OXF19" s="294"/>
      <c r="OXG19" s="294"/>
      <c r="OXH19" s="294"/>
      <c r="OXI19" s="294"/>
      <c r="OXJ19" s="294"/>
      <c r="OXK19" s="294"/>
      <c r="OXL19" s="294"/>
      <c r="OXM19" s="294"/>
      <c r="OXN19" s="294"/>
      <c r="OXO19" s="294"/>
      <c r="OXP19" s="294"/>
      <c r="OXQ19" s="294"/>
      <c r="OXR19" s="294"/>
      <c r="OXS19" s="294"/>
      <c r="OXT19" s="294"/>
      <c r="OXU19" s="294"/>
      <c r="OXV19" s="294"/>
      <c r="OXW19" s="294"/>
      <c r="OXX19" s="294"/>
      <c r="OXY19" s="294"/>
      <c r="OXZ19" s="294"/>
      <c r="OYA19" s="294"/>
      <c r="OYB19" s="294"/>
      <c r="OYC19" s="294"/>
      <c r="OYD19" s="294"/>
      <c r="OYE19" s="294"/>
      <c r="OYF19" s="294"/>
      <c r="OYG19" s="294"/>
      <c r="OYH19" s="294"/>
      <c r="OYI19" s="294"/>
      <c r="OYJ19" s="294"/>
      <c r="OYK19" s="294"/>
      <c r="OYL19" s="294"/>
      <c r="OYM19" s="294"/>
      <c r="OYN19" s="294"/>
      <c r="OYO19" s="294"/>
      <c r="OYP19" s="294"/>
      <c r="OYQ19" s="294"/>
      <c r="OYR19" s="294"/>
      <c r="OYS19" s="294"/>
      <c r="OYT19" s="294"/>
      <c r="OYU19" s="294"/>
      <c r="OYV19" s="294"/>
      <c r="OYW19" s="294"/>
      <c r="OYX19" s="294"/>
      <c r="OYY19" s="294"/>
      <c r="OYZ19" s="294"/>
      <c r="OZA19" s="294"/>
      <c r="OZB19" s="294"/>
      <c r="OZC19" s="294"/>
      <c r="OZD19" s="294"/>
      <c r="OZE19" s="294"/>
      <c r="OZF19" s="294"/>
      <c r="OZG19" s="294"/>
      <c r="OZH19" s="294"/>
      <c r="OZI19" s="294"/>
      <c r="OZJ19" s="294"/>
      <c r="OZK19" s="294"/>
      <c r="OZL19" s="294"/>
      <c r="OZM19" s="294"/>
      <c r="OZN19" s="294"/>
      <c r="OZO19" s="294"/>
      <c r="OZP19" s="294"/>
      <c r="OZQ19" s="294"/>
      <c r="OZR19" s="294"/>
      <c r="OZS19" s="294"/>
      <c r="OZT19" s="294"/>
      <c r="OZU19" s="294"/>
      <c r="OZV19" s="294"/>
      <c r="OZW19" s="294"/>
      <c r="OZX19" s="294"/>
      <c r="OZY19" s="294"/>
      <c r="OZZ19" s="294"/>
      <c r="PAA19" s="294"/>
      <c r="PAB19" s="294"/>
      <c r="PAC19" s="294"/>
      <c r="PAD19" s="294"/>
      <c r="PAE19" s="294"/>
      <c r="PAF19" s="294"/>
      <c r="PAG19" s="294"/>
      <c r="PAH19" s="294"/>
      <c r="PAI19" s="294"/>
      <c r="PAJ19" s="294"/>
      <c r="PAK19" s="294"/>
      <c r="PAL19" s="294"/>
      <c r="PAM19" s="294"/>
      <c r="PAN19" s="294"/>
      <c r="PAO19" s="294"/>
      <c r="PAP19" s="294"/>
      <c r="PAQ19" s="294"/>
      <c r="PAR19" s="294"/>
      <c r="PAS19" s="294"/>
      <c r="PAT19" s="294"/>
      <c r="PAU19" s="294"/>
      <c r="PAV19" s="294"/>
      <c r="PAW19" s="294"/>
      <c r="PAX19" s="294"/>
      <c r="PAY19" s="294"/>
      <c r="PAZ19" s="294"/>
      <c r="PBA19" s="294"/>
      <c r="PBB19" s="294"/>
      <c r="PBC19" s="294"/>
      <c r="PBD19" s="294"/>
      <c r="PBE19" s="294"/>
      <c r="PBF19" s="294"/>
      <c r="PBG19" s="294"/>
      <c r="PBH19" s="294"/>
      <c r="PBI19" s="294"/>
      <c r="PBJ19" s="294"/>
      <c r="PBK19" s="294"/>
      <c r="PBL19" s="294"/>
      <c r="PBM19" s="294"/>
      <c r="PBN19" s="294"/>
      <c r="PBO19" s="294"/>
      <c r="PBP19" s="294"/>
      <c r="PBQ19" s="294"/>
      <c r="PBR19" s="294"/>
      <c r="PBS19" s="294"/>
      <c r="PBT19" s="294"/>
      <c r="PBU19" s="294"/>
      <c r="PBV19" s="294"/>
      <c r="PBW19" s="294"/>
      <c r="PBX19" s="294"/>
      <c r="PBY19" s="294"/>
      <c r="PBZ19" s="294"/>
      <c r="PCA19" s="294"/>
      <c r="PCB19" s="294"/>
      <c r="PCC19" s="294"/>
      <c r="PCD19" s="294"/>
      <c r="PCE19" s="294"/>
      <c r="PCF19" s="294"/>
      <c r="PCG19" s="294"/>
      <c r="PCH19" s="294"/>
      <c r="PCI19" s="294"/>
      <c r="PCJ19" s="294"/>
      <c r="PCK19" s="294"/>
      <c r="PCL19" s="294"/>
      <c r="PCM19" s="294"/>
      <c r="PCN19" s="294"/>
      <c r="PCO19" s="294"/>
      <c r="PCP19" s="294"/>
      <c r="PCQ19" s="294"/>
      <c r="PCR19" s="294"/>
      <c r="PCS19" s="294"/>
      <c r="PCT19" s="294"/>
      <c r="PCU19" s="294"/>
      <c r="PCV19" s="294"/>
      <c r="PCW19" s="294"/>
      <c r="PCX19" s="294"/>
      <c r="PCY19" s="294"/>
      <c r="PCZ19" s="294"/>
      <c r="PDA19" s="294"/>
      <c r="PDB19" s="294"/>
      <c r="PDC19" s="294"/>
      <c r="PDD19" s="294"/>
      <c r="PDE19" s="294"/>
      <c r="PDF19" s="294"/>
      <c r="PDG19" s="294"/>
      <c r="PDH19" s="294"/>
      <c r="PDI19" s="294"/>
      <c r="PDJ19" s="294"/>
      <c r="PDK19" s="294"/>
      <c r="PDL19" s="294"/>
      <c r="PDM19" s="294"/>
      <c r="PDN19" s="294"/>
      <c r="PDO19" s="294"/>
      <c r="PDP19" s="294"/>
      <c r="PDQ19" s="294"/>
      <c r="PDR19" s="294"/>
      <c r="PDS19" s="294"/>
      <c r="PDT19" s="294"/>
      <c r="PDU19" s="294"/>
      <c r="PDV19" s="294"/>
      <c r="PDW19" s="294"/>
      <c r="PDX19" s="294"/>
      <c r="PDY19" s="294"/>
      <c r="PDZ19" s="294"/>
      <c r="PEA19" s="294"/>
      <c r="PEB19" s="294"/>
      <c r="PEC19" s="294"/>
      <c r="PED19" s="294"/>
      <c r="PEE19" s="294"/>
      <c r="PEF19" s="294"/>
      <c r="PEG19" s="294"/>
      <c r="PEH19" s="294"/>
      <c r="PEI19" s="294"/>
      <c r="PEJ19" s="294"/>
      <c r="PEK19" s="294"/>
      <c r="PEL19" s="294"/>
      <c r="PEM19" s="294"/>
      <c r="PEN19" s="294"/>
      <c r="PEO19" s="294"/>
      <c r="PEP19" s="294"/>
      <c r="PEQ19" s="294"/>
      <c r="PER19" s="294"/>
      <c r="PES19" s="294"/>
      <c r="PET19" s="294"/>
      <c r="PEU19" s="294"/>
      <c r="PEV19" s="294"/>
      <c r="PEW19" s="294"/>
      <c r="PEX19" s="294"/>
      <c r="PEY19" s="294"/>
      <c r="PEZ19" s="294"/>
      <c r="PFA19" s="294"/>
      <c r="PFB19" s="294"/>
      <c r="PFC19" s="294"/>
      <c r="PFD19" s="294"/>
      <c r="PFE19" s="294"/>
      <c r="PFF19" s="294"/>
      <c r="PFG19" s="294"/>
      <c r="PFH19" s="294"/>
      <c r="PFI19" s="294"/>
      <c r="PFJ19" s="294"/>
      <c r="PFK19" s="294"/>
      <c r="PFL19" s="294"/>
      <c r="PFM19" s="294"/>
      <c r="PFN19" s="294"/>
      <c r="PFO19" s="294"/>
      <c r="PFP19" s="294"/>
      <c r="PFQ19" s="294"/>
      <c r="PFR19" s="294"/>
      <c r="PFS19" s="294"/>
      <c r="PFT19" s="294"/>
      <c r="PFU19" s="294"/>
      <c r="PFV19" s="294"/>
      <c r="PFW19" s="294"/>
      <c r="PFX19" s="294"/>
      <c r="PFY19" s="294"/>
      <c r="PFZ19" s="294"/>
      <c r="PGA19" s="294"/>
      <c r="PGB19" s="294"/>
      <c r="PGC19" s="294"/>
      <c r="PGD19" s="294"/>
      <c r="PGE19" s="294"/>
      <c r="PGF19" s="294"/>
      <c r="PGG19" s="294"/>
      <c r="PGH19" s="294"/>
      <c r="PGI19" s="294"/>
      <c r="PGJ19" s="294"/>
      <c r="PGK19" s="294"/>
      <c r="PGL19" s="294"/>
      <c r="PGM19" s="294"/>
      <c r="PGN19" s="294"/>
      <c r="PGO19" s="294"/>
      <c r="PGP19" s="294"/>
      <c r="PGQ19" s="294"/>
      <c r="PGR19" s="294"/>
      <c r="PGS19" s="294"/>
      <c r="PGT19" s="294"/>
      <c r="PGU19" s="294"/>
      <c r="PGV19" s="294"/>
      <c r="PGW19" s="294"/>
      <c r="PGX19" s="294"/>
      <c r="PGY19" s="294"/>
      <c r="PGZ19" s="294"/>
      <c r="PHA19" s="294"/>
      <c r="PHB19" s="294"/>
      <c r="PHC19" s="294"/>
      <c r="PHD19" s="294"/>
      <c r="PHE19" s="294"/>
      <c r="PHF19" s="294"/>
      <c r="PHG19" s="294"/>
      <c r="PHH19" s="294"/>
      <c r="PHI19" s="294"/>
      <c r="PHJ19" s="294"/>
      <c r="PHK19" s="294"/>
      <c r="PHL19" s="294"/>
      <c r="PHM19" s="294"/>
      <c r="PHN19" s="294"/>
      <c r="PHO19" s="294"/>
      <c r="PHP19" s="294"/>
      <c r="PHQ19" s="294"/>
      <c r="PHR19" s="294"/>
      <c r="PHS19" s="294"/>
      <c r="PHT19" s="294"/>
      <c r="PHU19" s="294"/>
      <c r="PHV19" s="294"/>
      <c r="PHW19" s="294"/>
      <c r="PHX19" s="294"/>
      <c r="PHY19" s="294"/>
      <c r="PHZ19" s="294"/>
      <c r="PIA19" s="294"/>
      <c r="PIB19" s="294"/>
      <c r="PIC19" s="294"/>
      <c r="PID19" s="294"/>
      <c r="PIE19" s="294"/>
      <c r="PIF19" s="294"/>
      <c r="PIG19" s="294"/>
      <c r="PIH19" s="294"/>
      <c r="PII19" s="294"/>
      <c r="PIJ19" s="294"/>
      <c r="PIK19" s="294"/>
      <c r="PIL19" s="294"/>
      <c r="PIM19" s="294"/>
      <c r="PIN19" s="294"/>
      <c r="PIO19" s="294"/>
      <c r="PIP19" s="294"/>
      <c r="PIQ19" s="294"/>
      <c r="PIR19" s="294"/>
      <c r="PIS19" s="294"/>
      <c r="PIT19" s="294"/>
      <c r="PIU19" s="294"/>
      <c r="PIV19" s="294"/>
      <c r="PIW19" s="294"/>
      <c r="PIX19" s="294"/>
      <c r="PIY19" s="294"/>
      <c r="PIZ19" s="294"/>
      <c r="PJA19" s="294"/>
      <c r="PJB19" s="294"/>
      <c r="PJC19" s="294"/>
      <c r="PJD19" s="294"/>
      <c r="PJE19" s="294"/>
      <c r="PJF19" s="294"/>
      <c r="PJG19" s="294"/>
      <c r="PJH19" s="294"/>
      <c r="PJI19" s="294"/>
      <c r="PJJ19" s="294"/>
      <c r="PJK19" s="294"/>
      <c r="PJL19" s="294"/>
      <c r="PJM19" s="294"/>
      <c r="PJN19" s="294"/>
      <c r="PJO19" s="294"/>
      <c r="PJP19" s="294"/>
      <c r="PJQ19" s="294"/>
      <c r="PJR19" s="294"/>
      <c r="PJS19" s="294"/>
      <c r="PJT19" s="294"/>
      <c r="PJU19" s="294"/>
      <c r="PJV19" s="294"/>
      <c r="PJW19" s="294"/>
      <c r="PJX19" s="294"/>
      <c r="PJY19" s="294"/>
      <c r="PJZ19" s="294"/>
      <c r="PKA19" s="294"/>
      <c r="PKB19" s="294"/>
      <c r="PKC19" s="294"/>
      <c r="PKD19" s="294"/>
      <c r="PKE19" s="294"/>
      <c r="PKF19" s="294"/>
      <c r="PKG19" s="294"/>
      <c r="PKH19" s="294"/>
      <c r="PKI19" s="294"/>
      <c r="PKJ19" s="294"/>
      <c r="PKK19" s="294"/>
      <c r="PKL19" s="294"/>
      <c r="PKM19" s="294"/>
      <c r="PKN19" s="294"/>
      <c r="PKO19" s="294"/>
      <c r="PKP19" s="294"/>
      <c r="PKQ19" s="294"/>
      <c r="PKR19" s="294"/>
      <c r="PKS19" s="294"/>
      <c r="PKT19" s="294"/>
      <c r="PKU19" s="294"/>
      <c r="PKV19" s="294"/>
      <c r="PKW19" s="294"/>
      <c r="PKX19" s="294"/>
      <c r="PKY19" s="294"/>
      <c r="PKZ19" s="294"/>
      <c r="PLA19" s="294"/>
      <c r="PLB19" s="294"/>
      <c r="PLC19" s="294"/>
      <c r="PLD19" s="294"/>
      <c r="PLE19" s="294"/>
      <c r="PLF19" s="294"/>
      <c r="PLG19" s="294"/>
      <c r="PLH19" s="294"/>
      <c r="PLI19" s="294"/>
      <c r="PLJ19" s="294"/>
      <c r="PLK19" s="294"/>
      <c r="PLL19" s="294"/>
      <c r="PLM19" s="294"/>
      <c r="PLN19" s="294"/>
      <c r="PLO19" s="294"/>
      <c r="PLP19" s="294"/>
      <c r="PLQ19" s="294"/>
      <c r="PLR19" s="294"/>
      <c r="PLS19" s="294"/>
      <c r="PLT19" s="294"/>
      <c r="PLU19" s="294"/>
      <c r="PLV19" s="294"/>
      <c r="PLW19" s="294"/>
      <c r="PLX19" s="294"/>
      <c r="PLY19" s="294"/>
      <c r="PLZ19" s="294"/>
      <c r="PMA19" s="294"/>
      <c r="PMB19" s="294"/>
      <c r="PMC19" s="294"/>
      <c r="PMD19" s="294"/>
      <c r="PME19" s="294"/>
      <c r="PMF19" s="294"/>
      <c r="PMG19" s="294"/>
      <c r="PMH19" s="294"/>
      <c r="PMI19" s="294"/>
      <c r="PMJ19" s="294"/>
      <c r="PMK19" s="294"/>
      <c r="PML19" s="294"/>
      <c r="PMM19" s="294"/>
      <c r="PMN19" s="294"/>
      <c r="PMO19" s="294"/>
      <c r="PMP19" s="294"/>
      <c r="PMQ19" s="294"/>
      <c r="PMR19" s="294"/>
      <c r="PMS19" s="294"/>
      <c r="PMT19" s="294"/>
      <c r="PMU19" s="294"/>
      <c r="PMV19" s="294"/>
      <c r="PMW19" s="294"/>
      <c r="PMX19" s="294"/>
      <c r="PMY19" s="294"/>
      <c r="PMZ19" s="294"/>
      <c r="PNA19" s="294"/>
      <c r="PNB19" s="294"/>
      <c r="PNC19" s="294"/>
      <c r="PND19" s="294"/>
      <c r="PNE19" s="294"/>
      <c r="PNF19" s="294"/>
      <c r="PNG19" s="294"/>
      <c r="PNH19" s="294"/>
      <c r="PNI19" s="294"/>
      <c r="PNJ19" s="294"/>
      <c r="PNK19" s="294"/>
      <c r="PNL19" s="294"/>
      <c r="PNM19" s="294"/>
      <c r="PNN19" s="294"/>
      <c r="PNO19" s="294"/>
      <c r="PNP19" s="294"/>
      <c r="PNQ19" s="294"/>
      <c r="PNR19" s="294"/>
      <c r="PNS19" s="294"/>
      <c r="PNT19" s="294"/>
      <c r="PNU19" s="294"/>
      <c r="PNV19" s="294"/>
      <c r="PNW19" s="294"/>
      <c r="PNX19" s="294"/>
      <c r="PNY19" s="294"/>
      <c r="PNZ19" s="294"/>
      <c r="POA19" s="294"/>
      <c r="POB19" s="294"/>
      <c r="POC19" s="294"/>
      <c r="POD19" s="294"/>
      <c r="POE19" s="294"/>
      <c r="POF19" s="294"/>
      <c r="POG19" s="294"/>
      <c r="POH19" s="294"/>
      <c r="POI19" s="294"/>
      <c r="POJ19" s="294"/>
      <c r="POK19" s="294"/>
      <c r="POL19" s="294"/>
      <c r="POM19" s="294"/>
      <c r="PON19" s="294"/>
      <c r="POO19" s="294"/>
      <c r="POP19" s="294"/>
      <c r="POQ19" s="294"/>
      <c r="POR19" s="294"/>
      <c r="POS19" s="294"/>
      <c r="POT19" s="294"/>
      <c r="POU19" s="294"/>
      <c r="POV19" s="294"/>
      <c r="POW19" s="294"/>
      <c r="POX19" s="294"/>
      <c r="POY19" s="294"/>
      <c r="POZ19" s="294"/>
      <c r="PPA19" s="294"/>
      <c r="PPB19" s="294"/>
      <c r="PPC19" s="294"/>
      <c r="PPD19" s="294"/>
      <c r="PPE19" s="294"/>
      <c r="PPF19" s="294"/>
      <c r="PPG19" s="294"/>
      <c r="PPH19" s="294"/>
      <c r="PPI19" s="294"/>
      <c r="PPJ19" s="294"/>
      <c r="PPK19" s="294"/>
      <c r="PPL19" s="294"/>
      <c r="PPM19" s="294"/>
      <c r="PPN19" s="294"/>
      <c r="PPO19" s="294"/>
      <c r="PPP19" s="294"/>
      <c r="PPQ19" s="294"/>
      <c r="PPR19" s="294"/>
      <c r="PPS19" s="294"/>
      <c r="PPT19" s="294"/>
      <c r="PPU19" s="294"/>
      <c r="PPV19" s="294"/>
      <c r="PPW19" s="294"/>
      <c r="PPX19" s="294"/>
      <c r="PPY19" s="294"/>
      <c r="PPZ19" s="294"/>
      <c r="PQA19" s="294"/>
      <c r="PQB19" s="294"/>
      <c r="PQC19" s="294"/>
      <c r="PQD19" s="294"/>
      <c r="PQE19" s="294"/>
      <c r="PQF19" s="294"/>
      <c r="PQG19" s="294"/>
      <c r="PQH19" s="294"/>
      <c r="PQI19" s="294"/>
      <c r="PQJ19" s="294"/>
      <c r="PQK19" s="294"/>
      <c r="PQL19" s="294"/>
      <c r="PQM19" s="294"/>
      <c r="PQN19" s="294"/>
      <c r="PQO19" s="294"/>
      <c r="PQP19" s="294"/>
      <c r="PQQ19" s="294"/>
      <c r="PQR19" s="294"/>
      <c r="PQS19" s="294"/>
      <c r="PQT19" s="294"/>
      <c r="PQU19" s="294"/>
      <c r="PQV19" s="294"/>
      <c r="PQW19" s="294"/>
      <c r="PQX19" s="294"/>
      <c r="PQY19" s="294"/>
      <c r="PQZ19" s="294"/>
      <c r="PRA19" s="294"/>
      <c r="PRB19" s="294"/>
      <c r="PRC19" s="294"/>
      <c r="PRD19" s="294"/>
      <c r="PRE19" s="294"/>
      <c r="PRF19" s="294"/>
      <c r="PRG19" s="294"/>
      <c r="PRH19" s="294"/>
      <c r="PRI19" s="294"/>
      <c r="PRJ19" s="294"/>
      <c r="PRK19" s="294"/>
      <c r="PRL19" s="294"/>
      <c r="PRM19" s="294"/>
      <c r="PRN19" s="294"/>
      <c r="PRO19" s="294"/>
      <c r="PRP19" s="294"/>
      <c r="PRQ19" s="294"/>
      <c r="PRR19" s="294"/>
      <c r="PRS19" s="294"/>
      <c r="PRT19" s="294"/>
      <c r="PRU19" s="294"/>
      <c r="PRV19" s="294"/>
      <c r="PRW19" s="294"/>
      <c r="PRX19" s="294"/>
      <c r="PRY19" s="294"/>
      <c r="PRZ19" s="294"/>
      <c r="PSA19" s="294"/>
      <c r="PSB19" s="294"/>
      <c r="PSC19" s="294"/>
      <c r="PSD19" s="294"/>
      <c r="PSE19" s="294"/>
      <c r="PSF19" s="294"/>
      <c r="PSG19" s="294"/>
      <c r="PSH19" s="294"/>
      <c r="PSI19" s="294"/>
      <c r="PSJ19" s="294"/>
      <c r="PSK19" s="294"/>
      <c r="PSL19" s="294"/>
      <c r="PSM19" s="294"/>
      <c r="PSN19" s="294"/>
      <c r="PSO19" s="294"/>
      <c r="PSP19" s="294"/>
      <c r="PSQ19" s="294"/>
      <c r="PSR19" s="294"/>
      <c r="PSS19" s="294"/>
      <c r="PST19" s="294"/>
      <c r="PSU19" s="294"/>
      <c r="PSV19" s="294"/>
      <c r="PSW19" s="294"/>
      <c r="PSX19" s="294"/>
      <c r="PSY19" s="294"/>
      <c r="PSZ19" s="294"/>
      <c r="PTA19" s="294"/>
      <c r="PTB19" s="294"/>
      <c r="PTC19" s="294"/>
      <c r="PTD19" s="294"/>
      <c r="PTE19" s="294"/>
      <c r="PTF19" s="294"/>
      <c r="PTG19" s="294"/>
      <c r="PTH19" s="294"/>
      <c r="PTI19" s="294"/>
      <c r="PTJ19" s="294"/>
      <c r="PTK19" s="294"/>
      <c r="PTL19" s="294"/>
      <c r="PTM19" s="294"/>
      <c r="PTN19" s="294"/>
      <c r="PTO19" s="294"/>
      <c r="PTP19" s="294"/>
      <c r="PTQ19" s="294"/>
      <c r="PTR19" s="294"/>
      <c r="PTS19" s="294"/>
      <c r="PTT19" s="294"/>
      <c r="PTU19" s="294"/>
      <c r="PTV19" s="294"/>
      <c r="PTW19" s="294"/>
      <c r="PTX19" s="294"/>
      <c r="PTY19" s="294"/>
      <c r="PTZ19" s="294"/>
      <c r="PUA19" s="294"/>
      <c r="PUB19" s="294"/>
      <c r="PUC19" s="294"/>
      <c r="PUD19" s="294"/>
      <c r="PUE19" s="294"/>
      <c r="PUF19" s="294"/>
      <c r="PUG19" s="294"/>
      <c r="PUH19" s="294"/>
      <c r="PUI19" s="294"/>
      <c r="PUJ19" s="294"/>
      <c r="PUK19" s="294"/>
      <c r="PUL19" s="294"/>
      <c r="PUM19" s="294"/>
      <c r="PUN19" s="294"/>
      <c r="PUO19" s="294"/>
      <c r="PUP19" s="294"/>
      <c r="PUQ19" s="294"/>
      <c r="PUR19" s="294"/>
      <c r="PUS19" s="294"/>
      <c r="PUT19" s="294"/>
      <c r="PUU19" s="294"/>
      <c r="PUV19" s="294"/>
      <c r="PUW19" s="294"/>
      <c r="PUX19" s="294"/>
      <c r="PUY19" s="294"/>
      <c r="PUZ19" s="294"/>
      <c r="PVA19" s="294"/>
      <c r="PVB19" s="294"/>
      <c r="PVC19" s="294"/>
      <c r="PVD19" s="294"/>
      <c r="PVE19" s="294"/>
      <c r="PVF19" s="294"/>
      <c r="PVG19" s="294"/>
      <c r="PVH19" s="294"/>
      <c r="PVI19" s="294"/>
      <c r="PVJ19" s="294"/>
      <c r="PVK19" s="294"/>
      <c r="PVL19" s="294"/>
      <c r="PVM19" s="294"/>
      <c r="PVN19" s="294"/>
      <c r="PVO19" s="294"/>
      <c r="PVP19" s="294"/>
      <c r="PVQ19" s="294"/>
      <c r="PVR19" s="294"/>
      <c r="PVS19" s="294"/>
      <c r="PVT19" s="294"/>
      <c r="PVU19" s="294"/>
      <c r="PVV19" s="294"/>
      <c r="PVW19" s="294"/>
      <c r="PVX19" s="294"/>
      <c r="PVY19" s="294"/>
      <c r="PVZ19" s="294"/>
      <c r="PWA19" s="294"/>
      <c r="PWB19" s="294"/>
      <c r="PWC19" s="294"/>
      <c r="PWD19" s="294"/>
      <c r="PWE19" s="294"/>
      <c r="PWF19" s="294"/>
      <c r="PWG19" s="294"/>
      <c r="PWH19" s="294"/>
      <c r="PWI19" s="294"/>
      <c r="PWJ19" s="294"/>
      <c r="PWK19" s="294"/>
      <c r="PWL19" s="294"/>
      <c r="PWM19" s="294"/>
      <c r="PWN19" s="294"/>
      <c r="PWO19" s="294"/>
      <c r="PWP19" s="294"/>
      <c r="PWQ19" s="294"/>
      <c r="PWR19" s="294"/>
      <c r="PWS19" s="294"/>
      <c r="PWT19" s="294"/>
      <c r="PWU19" s="294"/>
      <c r="PWV19" s="294"/>
      <c r="PWW19" s="294"/>
      <c r="PWX19" s="294"/>
      <c r="PWY19" s="294"/>
      <c r="PWZ19" s="294"/>
      <c r="PXA19" s="294"/>
      <c r="PXB19" s="294"/>
      <c r="PXC19" s="294"/>
      <c r="PXD19" s="294"/>
      <c r="PXE19" s="294"/>
      <c r="PXF19" s="294"/>
      <c r="PXG19" s="294"/>
      <c r="PXH19" s="294"/>
      <c r="PXI19" s="294"/>
      <c r="PXJ19" s="294"/>
      <c r="PXK19" s="294"/>
      <c r="PXL19" s="294"/>
      <c r="PXM19" s="294"/>
      <c r="PXN19" s="294"/>
      <c r="PXO19" s="294"/>
      <c r="PXP19" s="294"/>
      <c r="PXQ19" s="294"/>
      <c r="PXR19" s="294"/>
      <c r="PXS19" s="294"/>
      <c r="PXT19" s="294"/>
      <c r="PXU19" s="294"/>
      <c r="PXV19" s="294"/>
      <c r="PXW19" s="294"/>
      <c r="PXX19" s="294"/>
      <c r="PXY19" s="294"/>
      <c r="PXZ19" s="294"/>
      <c r="PYA19" s="294"/>
      <c r="PYB19" s="294"/>
      <c r="PYC19" s="294"/>
      <c r="PYD19" s="294"/>
      <c r="PYE19" s="294"/>
      <c r="PYF19" s="294"/>
      <c r="PYG19" s="294"/>
      <c r="PYH19" s="294"/>
      <c r="PYI19" s="294"/>
      <c r="PYJ19" s="294"/>
      <c r="PYK19" s="294"/>
      <c r="PYL19" s="294"/>
      <c r="PYM19" s="294"/>
      <c r="PYN19" s="294"/>
      <c r="PYO19" s="294"/>
      <c r="PYP19" s="294"/>
      <c r="PYQ19" s="294"/>
      <c r="PYR19" s="294"/>
      <c r="PYS19" s="294"/>
      <c r="PYT19" s="294"/>
      <c r="PYU19" s="294"/>
      <c r="PYV19" s="294"/>
      <c r="PYW19" s="294"/>
      <c r="PYX19" s="294"/>
      <c r="PYY19" s="294"/>
      <c r="PYZ19" s="294"/>
      <c r="PZA19" s="294"/>
      <c r="PZB19" s="294"/>
      <c r="PZC19" s="294"/>
      <c r="PZD19" s="294"/>
      <c r="PZE19" s="294"/>
      <c r="PZF19" s="294"/>
      <c r="PZG19" s="294"/>
      <c r="PZH19" s="294"/>
      <c r="PZI19" s="294"/>
      <c r="PZJ19" s="294"/>
      <c r="PZK19" s="294"/>
      <c r="PZL19" s="294"/>
      <c r="PZM19" s="294"/>
      <c r="PZN19" s="294"/>
      <c r="PZO19" s="294"/>
      <c r="PZP19" s="294"/>
      <c r="PZQ19" s="294"/>
      <c r="PZR19" s="294"/>
      <c r="PZS19" s="294"/>
      <c r="PZT19" s="294"/>
      <c r="PZU19" s="294"/>
      <c r="PZV19" s="294"/>
      <c r="PZW19" s="294"/>
      <c r="PZX19" s="294"/>
      <c r="PZY19" s="294"/>
      <c r="PZZ19" s="294"/>
      <c r="QAA19" s="294"/>
      <c r="QAB19" s="294"/>
      <c r="QAC19" s="294"/>
      <c r="QAD19" s="294"/>
      <c r="QAE19" s="294"/>
      <c r="QAF19" s="294"/>
      <c r="QAG19" s="294"/>
      <c r="QAH19" s="294"/>
      <c r="QAI19" s="294"/>
      <c r="QAJ19" s="294"/>
      <c r="QAK19" s="294"/>
      <c r="QAL19" s="294"/>
      <c r="QAM19" s="294"/>
      <c r="QAN19" s="294"/>
      <c r="QAO19" s="294"/>
      <c r="QAP19" s="294"/>
      <c r="QAQ19" s="294"/>
      <c r="QAR19" s="294"/>
      <c r="QAS19" s="294"/>
      <c r="QAT19" s="294"/>
      <c r="QAU19" s="294"/>
      <c r="QAV19" s="294"/>
      <c r="QAW19" s="294"/>
      <c r="QAX19" s="294"/>
      <c r="QAY19" s="294"/>
      <c r="QAZ19" s="294"/>
      <c r="QBA19" s="294"/>
      <c r="QBB19" s="294"/>
      <c r="QBC19" s="294"/>
      <c r="QBD19" s="294"/>
      <c r="QBE19" s="294"/>
      <c r="QBF19" s="294"/>
      <c r="QBG19" s="294"/>
      <c r="QBH19" s="294"/>
      <c r="QBI19" s="294"/>
      <c r="QBJ19" s="294"/>
      <c r="QBK19" s="294"/>
      <c r="QBL19" s="294"/>
      <c r="QBM19" s="294"/>
      <c r="QBN19" s="294"/>
      <c r="QBO19" s="294"/>
      <c r="QBP19" s="294"/>
      <c r="QBQ19" s="294"/>
      <c r="QBR19" s="294"/>
      <c r="QBS19" s="294"/>
      <c r="QBT19" s="294"/>
      <c r="QBU19" s="294"/>
      <c r="QBV19" s="294"/>
      <c r="QBW19" s="294"/>
      <c r="QBX19" s="294"/>
      <c r="QBY19" s="294"/>
      <c r="QBZ19" s="294"/>
      <c r="QCA19" s="294"/>
      <c r="QCB19" s="294"/>
      <c r="QCC19" s="294"/>
      <c r="QCD19" s="294"/>
      <c r="QCE19" s="294"/>
      <c r="QCF19" s="294"/>
      <c r="QCG19" s="294"/>
      <c r="QCH19" s="294"/>
      <c r="QCI19" s="294"/>
      <c r="QCJ19" s="294"/>
      <c r="QCK19" s="294"/>
      <c r="QCL19" s="294"/>
      <c r="QCM19" s="294"/>
      <c r="QCN19" s="294"/>
      <c r="QCO19" s="294"/>
      <c r="QCP19" s="294"/>
      <c r="QCQ19" s="294"/>
      <c r="QCR19" s="294"/>
      <c r="QCS19" s="294"/>
      <c r="QCT19" s="294"/>
      <c r="QCU19" s="294"/>
      <c r="QCV19" s="294"/>
      <c r="QCW19" s="294"/>
      <c r="QCX19" s="294"/>
      <c r="QCY19" s="294"/>
      <c r="QCZ19" s="294"/>
      <c r="QDA19" s="294"/>
      <c r="QDB19" s="294"/>
      <c r="QDC19" s="294"/>
      <c r="QDD19" s="294"/>
      <c r="QDE19" s="294"/>
      <c r="QDF19" s="294"/>
      <c r="QDG19" s="294"/>
      <c r="QDH19" s="294"/>
      <c r="QDI19" s="294"/>
      <c r="QDJ19" s="294"/>
      <c r="QDK19" s="294"/>
      <c r="QDL19" s="294"/>
      <c r="QDM19" s="294"/>
      <c r="QDN19" s="294"/>
      <c r="QDO19" s="294"/>
      <c r="QDP19" s="294"/>
      <c r="QDQ19" s="294"/>
      <c r="QDR19" s="294"/>
      <c r="QDS19" s="294"/>
      <c r="QDT19" s="294"/>
      <c r="QDU19" s="294"/>
      <c r="QDV19" s="294"/>
      <c r="QDW19" s="294"/>
      <c r="QDX19" s="294"/>
      <c r="QDY19" s="294"/>
      <c r="QDZ19" s="294"/>
      <c r="QEA19" s="294"/>
      <c r="QEB19" s="294"/>
      <c r="QEC19" s="294"/>
      <c r="QED19" s="294"/>
      <c r="QEE19" s="294"/>
      <c r="QEF19" s="294"/>
      <c r="QEG19" s="294"/>
      <c r="QEH19" s="294"/>
      <c r="QEI19" s="294"/>
      <c r="QEJ19" s="294"/>
      <c r="QEK19" s="294"/>
      <c r="QEL19" s="294"/>
      <c r="QEM19" s="294"/>
      <c r="QEN19" s="294"/>
      <c r="QEO19" s="294"/>
      <c r="QEP19" s="294"/>
      <c r="QEQ19" s="294"/>
      <c r="QER19" s="294"/>
      <c r="QES19" s="294"/>
      <c r="QET19" s="294"/>
      <c r="QEU19" s="294"/>
      <c r="QEV19" s="294"/>
      <c r="QEW19" s="294"/>
      <c r="QEX19" s="294"/>
      <c r="QEY19" s="294"/>
      <c r="QEZ19" s="294"/>
      <c r="QFA19" s="294"/>
      <c r="QFB19" s="294"/>
      <c r="QFC19" s="294"/>
      <c r="QFD19" s="294"/>
      <c r="QFE19" s="294"/>
      <c r="QFF19" s="294"/>
      <c r="QFG19" s="294"/>
      <c r="QFH19" s="294"/>
      <c r="QFI19" s="294"/>
      <c r="QFJ19" s="294"/>
      <c r="QFK19" s="294"/>
      <c r="QFL19" s="294"/>
      <c r="QFM19" s="294"/>
      <c r="QFN19" s="294"/>
      <c r="QFO19" s="294"/>
      <c r="QFP19" s="294"/>
      <c r="QFQ19" s="294"/>
      <c r="QFR19" s="294"/>
      <c r="QFS19" s="294"/>
      <c r="QFT19" s="294"/>
      <c r="QFU19" s="294"/>
      <c r="QFV19" s="294"/>
      <c r="QFW19" s="294"/>
      <c r="QFX19" s="294"/>
      <c r="QFY19" s="294"/>
      <c r="QFZ19" s="294"/>
      <c r="QGA19" s="294"/>
      <c r="QGB19" s="294"/>
      <c r="QGC19" s="294"/>
      <c r="QGD19" s="294"/>
      <c r="QGE19" s="294"/>
      <c r="QGF19" s="294"/>
      <c r="QGG19" s="294"/>
      <c r="QGH19" s="294"/>
      <c r="QGI19" s="294"/>
      <c r="QGJ19" s="294"/>
      <c r="QGK19" s="294"/>
      <c r="QGL19" s="294"/>
      <c r="QGM19" s="294"/>
      <c r="QGN19" s="294"/>
      <c r="QGO19" s="294"/>
      <c r="QGP19" s="294"/>
      <c r="QGQ19" s="294"/>
      <c r="QGR19" s="294"/>
      <c r="QGS19" s="294"/>
      <c r="QGT19" s="294"/>
      <c r="QGU19" s="294"/>
      <c r="QGV19" s="294"/>
      <c r="QGW19" s="294"/>
      <c r="QGX19" s="294"/>
      <c r="QGY19" s="294"/>
      <c r="QGZ19" s="294"/>
      <c r="QHA19" s="294"/>
      <c r="QHB19" s="294"/>
      <c r="QHC19" s="294"/>
      <c r="QHD19" s="294"/>
      <c r="QHE19" s="294"/>
      <c r="QHF19" s="294"/>
      <c r="QHG19" s="294"/>
      <c r="QHH19" s="294"/>
      <c r="QHI19" s="294"/>
      <c r="QHJ19" s="294"/>
      <c r="QHK19" s="294"/>
      <c r="QHL19" s="294"/>
      <c r="QHM19" s="294"/>
      <c r="QHN19" s="294"/>
      <c r="QHO19" s="294"/>
      <c r="QHP19" s="294"/>
      <c r="QHQ19" s="294"/>
      <c r="QHR19" s="294"/>
      <c r="QHS19" s="294"/>
      <c r="QHT19" s="294"/>
      <c r="QHU19" s="294"/>
      <c r="QHV19" s="294"/>
      <c r="QHW19" s="294"/>
      <c r="QHX19" s="294"/>
      <c r="QHY19" s="294"/>
      <c r="QHZ19" s="294"/>
      <c r="QIA19" s="294"/>
      <c r="QIB19" s="294"/>
      <c r="QIC19" s="294"/>
      <c r="QID19" s="294"/>
      <c r="QIE19" s="294"/>
      <c r="QIF19" s="294"/>
      <c r="QIG19" s="294"/>
      <c r="QIH19" s="294"/>
      <c r="QII19" s="294"/>
      <c r="QIJ19" s="294"/>
      <c r="QIK19" s="294"/>
      <c r="QIL19" s="294"/>
      <c r="QIM19" s="294"/>
      <c r="QIN19" s="294"/>
      <c r="QIO19" s="294"/>
      <c r="QIP19" s="294"/>
      <c r="QIQ19" s="294"/>
      <c r="QIR19" s="294"/>
      <c r="QIS19" s="294"/>
      <c r="QIT19" s="294"/>
      <c r="QIU19" s="294"/>
      <c r="QIV19" s="294"/>
      <c r="QIW19" s="294"/>
      <c r="QIX19" s="294"/>
      <c r="QIY19" s="294"/>
      <c r="QIZ19" s="294"/>
      <c r="QJA19" s="294"/>
      <c r="QJB19" s="294"/>
      <c r="QJC19" s="294"/>
      <c r="QJD19" s="294"/>
      <c r="QJE19" s="294"/>
      <c r="QJF19" s="294"/>
      <c r="QJG19" s="294"/>
      <c r="QJH19" s="294"/>
      <c r="QJI19" s="294"/>
      <c r="QJJ19" s="294"/>
      <c r="QJK19" s="294"/>
      <c r="QJL19" s="294"/>
      <c r="QJM19" s="294"/>
      <c r="QJN19" s="294"/>
      <c r="QJO19" s="294"/>
      <c r="QJP19" s="294"/>
      <c r="QJQ19" s="294"/>
      <c r="QJR19" s="294"/>
      <c r="QJS19" s="294"/>
      <c r="QJT19" s="294"/>
      <c r="QJU19" s="294"/>
      <c r="QJV19" s="294"/>
      <c r="QJW19" s="294"/>
      <c r="QJX19" s="294"/>
      <c r="QJY19" s="294"/>
      <c r="QJZ19" s="294"/>
      <c r="QKA19" s="294"/>
      <c r="QKB19" s="294"/>
      <c r="QKC19" s="294"/>
      <c r="QKD19" s="294"/>
      <c r="QKE19" s="294"/>
      <c r="QKF19" s="294"/>
      <c r="QKG19" s="294"/>
      <c r="QKH19" s="294"/>
      <c r="QKI19" s="294"/>
      <c r="QKJ19" s="294"/>
      <c r="QKK19" s="294"/>
      <c r="QKL19" s="294"/>
      <c r="QKM19" s="294"/>
      <c r="QKN19" s="294"/>
      <c r="QKO19" s="294"/>
      <c r="QKP19" s="294"/>
      <c r="QKQ19" s="294"/>
      <c r="QKR19" s="294"/>
      <c r="QKS19" s="294"/>
      <c r="QKT19" s="294"/>
      <c r="QKU19" s="294"/>
      <c r="QKV19" s="294"/>
      <c r="QKW19" s="294"/>
      <c r="QKX19" s="294"/>
      <c r="QKY19" s="294"/>
      <c r="QKZ19" s="294"/>
      <c r="QLA19" s="294"/>
      <c r="QLB19" s="294"/>
      <c r="QLC19" s="294"/>
      <c r="QLD19" s="294"/>
      <c r="QLE19" s="294"/>
      <c r="QLF19" s="294"/>
      <c r="QLG19" s="294"/>
      <c r="QLH19" s="294"/>
      <c r="QLI19" s="294"/>
      <c r="QLJ19" s="294"/>
      <c r="QLK19" s="294"/>
      <c r="QLL19" s="294"/>
      <c r="QLM19" s="294"/>
      <c r="QLN19" s="294"/>
      <c r="QLO19" s="294"/>
      <c r="QLP19" s="294"/>
      <c r="QLQ19" s="294"/>
      <c r="QLR19" s="294"/>
      <c r="QLS19" s="294"/>
      <c r="QLT19" s="294"/>
      <c r="QLU19" s="294"/>
      <c r="QLV19" s="294"/>
      <c r="QLW19" s="294"/>
      <c r="QLX19" s="294"/>
      <c r="QLY19" s="294"/>
      <c r="QLZ19" s="294"/>
      <c r="QMA19" s="294"/>
      <c r="QMB19" s="294"/>
      <c r="QMC19" s="294"/>
      <c r="QMD19" s="294"/>
      <c r="QME19" s="294"/>
      <c r="QMF19" s="294"/>
      <c r="QMG19" s="294"/>
      <c r="QMH19" s="294"/>
      <c r="QMI19" s="294"/>
      <c r="QMJ19" s="294"/>
      <c r="QMK19" s="294"/>
      <c r="QML19" s="294"/>
      <c r="QMM19" s="294"/>
      <c r="QMN19" s="294"/>
      <c r="QMO19" s="294"/>
      <c r="QMP19" s="294"/>
      <c r="QMQ19" s="294"/>
      <c r="QMR19" s="294"/>
      <c r="QMS19" s="294"/>
      <c r="QMT19" s="294"/>
      <c r="QMU19" s="294"/>
      <c r="QMV19" s="294"/>
      <c r="QMW19" s="294"/>
      <c r="QMX19" s="294"/>
      <c r="QMY19" s="294"/>
      <c r="QMZ19" s="294"/>
      <c r="QNA19" s="294"/>
      <c r="QNB19" s="294"/>
      <c r="QNC19" s="294"/>
      <c r="QND19" s="294"/>
      <c r="QNE19" s="294"/>
      <c r="QNF19" s="294"/>
      <c r="QNG19" s="294"/>
      <c r="QNH19" s="294"/>
      <c r="QNI19" s="294"/>
      <c r="QNJ19" s="294"/>
      <c r="QNK19" s="294"/>
      <c r="QNL19" s="294"/>
      <c r="QNM19" s="294"/>
      <c r="QNN19" s="294"/>
      <c r="QNO19" s="294"/>
      <c r="QNP19" s="294"/>
      <c r="QNQ19" s="294"/>
      <c r="QNR19" s="294"/>
      <c r="QNS19" s="294"/>
      <c r="QNT19" s="294"/>
      <c r="QNU19" s="294"/>
      <c r="QNV19" s="294"/>
      <c r="QNW19" s="294"/>
      <c r="QNX19" s="294"/>
      <c r="QNY19" s="294"/>
      <c r="QNZ19" s="294"/>
      <c r="QOA19" s="294"/>
      <c r="QOB19" s="294"/>
      <c r="QOC19" s="294"/>
      <c r="QOD19" s="294"/>
      <c r="QOE19" s="294"/>
      <c r="QOF19" s="294"/>
      <c r="QOG19" s="294"/>
      <c r="QOH19" s="294"/>
      <c r="QOI19" s="294"/>
      <c r="QOJ19" s="294"/>
      <c r="QOK19" s="294"/>
      <c r="QOL19" s="294"/>
      <c r="QOM19" s="294"/>
      <c r="QON19" s="294"/>
      <c r="QOO19" s="294"/>
      <c r="QOP19" s="294"/>
      <c r="QOQ19" s="294"/>
      <c r="QOR19" s="294"/>
      <c r="QOS19" s="294"/>
      <c r="QOT19" s="294"/>
      <c r="QOU19" s="294"/>
      <c r="QOV19" s="294"/>
      <c r="QOW19" s="294"/>
      <c r="QOX19" s="294"/>
      <c r="QOY19" s="294"/>
      <c r="QOZ19" s="294"/>
      <c r="QPA19" s="294"/>
      <c r="QPB19" s="294"/>
      <c r="QPC19" s="294"/>
      <c r="QPD19" s="294"/>
      <c r="QPE19" s="294"/>
      <c r="QPF19" s="294"/>
      <c r="QPG19" s="294"/>
      <c r="QPH19" s="294"/>
      <c r="QPI19" s="294"/>
      <c r="QPJ19" s="294"/>
      <c r="QPK19" s="294"/>
      <c r="QPL19" s="294"/>
      <c r="QPM19" s="294"/>
      <c r="QPN19" s="294"/>
      <c r="QPO19" s="294"/>
      <c r="QPP19" s="294"/>
      <c r="QPQ19" s="294"/>
      <c r="QPR19" s="294"/>
      <c r="QPS19" s="294"/>
      <c r="QPT19" s="294"/>
      <c r="QPU19" s="294"/>
      <c r="QPV19" s="294"/>
      <c r="QPW19" s="294"/>
      <c r="QPX19" s="294"/>
      <c r="QPY19" s="294"/>
      <c r="QPZ19" s="294"/>
      <c r="QQA19" s="294"/>
      <c r="QQB19" s="294"/>
      <c r="QQC19" s="294"/>
      <c r="QQD19" s="294"/>
      <c r="QQE19" s="294"/>
      <c r="QQF19" s="294"/>
      <c r="QQG19" s="294"/>
      <c r="QQH19" s="294"/>
      <c r="QQI19" s="294"/>
      <c r="QQJ19" s="294"/>
      <c r="QQK19" s="294"/>
      <c r="QQL19" s="294"/>
      <c r="QQM19" s="294"/>
      <c r="QQN19" s="294"/>
      <c r="QQO19" s="294"/>
      <c r="QQP19" s="294"/>
      <c r="QQQ19" s="294"/>
      <c r="QQR19" s="294"/>
      <c r="QQS19" s="294"/>
      <c r="QQT19" s="294"/>
      <c r="QQU19" s="294"/>
      <c r="QQV19" s="294"/>
      <c r="QQW19" s="294"/>
      <c r="QQX19" s="294"/>
      <c r="QQY19" s="294"/>
      <c r="QQZ19" s="294"/>
      <c r="QRA19" s="294"/>
      <c r="QRB19" s="294"/>
      <c r="QRC19" s="294"/>
      <c r="QRD19" s="294"/>
      <c r="QRE19" s="294"/>
      <c r="QRF19" s="294"/>
      <c r="QRG19" s="294"/>
      <c r="QRH19" s="294"/>
      <c r="QRI19" s="294"/>
      <c r="QRJ19" s="294"/>
      <c r="QRK19" s="294"/>
      <c r="QRL19" s="294"/>
      <c r="QRM19" s="294"/>
      <c r="QRN19" s="294"/>
      <c r="QRO19" s="294"/>
      <c r="QRP19" s="294"/>
      <c r="QRQ19" s="294"/>
      <c r="QRR19" s="294"/>
      <c r="QRS19" s="294"/>
      <c r="QRT19" s="294"/>
      <c r="QRU19" s="294"/>
      <c r="QRV19" s="294"/>
      <c r="QRW19" s="294"/>
      <c r="QRX19" s="294"/>
      <c r="QRY19" s="294"/>
      <c r="QRZ19" s="294"/>
      <c r="QSA19" s="294"/>
      <c r="QSB19" s="294"/>
      <c r="QSC19" s="294"/>
      <c r="QSD19" s="294"/>
      <c r="QSE19" s="294"/>
      <c r="QSF19" s="294"/>
      <c r="QSG19" s="294"/>
      <c r="QSH19" s="294"/>
      <c r="QSI19" s="294"/>
      <c r="QSJ19" s="294"/>
      <c r="QSK19" s="294"/>
      <c r="QSL19" s="294"/>
      <c r="QSM19" s="294"/>
      <c r="QSN19" s="294"/>
      <c r="QSO19" s="294"/>
      <c r="QSP19" s="294"/>
      <c r="QSQ19" s="294"/>
      <c r="QSR19" s="294"/>
      <c r="QSS19" s="294"/>
      <c r="QST19" s="294"/>
      <c r="QSU19" s="294"/>
      <c r="QSV19" s="294"/>
      <c r="QSW19" s="294"/>
      <c r="QSX19" s="294"/>
      <c r="QSY19" s="294"/>
      <c r="QSZ19" s="294"/>
      <c r="QTA19" s="294"/>
      <c r="QTB19" s="294"/>
      <c r="QTC19" s="294"/>
      <c r="QTD19" s="294"/>
      <c r="QTE19" s="294"/>
      <c r="QTF19" s="294"/>
      <c r="QTG19" s="294"/>
      <c r="QTH19" s="294"/>
      <c r="QTI19" s="294"/>
      <c r="QTJ19" s="294"/>
      <c r="QTK19" s="294"/>
      <c r="QTL19" s="294"/>
      <c r="QTM19" s="294"/>
      <c r="QTN19" s="294"/>
      <c r="QTO19" s="294"/>
      <c r="QTP19" s="294"/>
      <c r="QTQ19" s="294"/>
      <c r="QTR19" s="294"/>
      <c r="QTS19" s="294"/>
      <c r="QTT19" s="294"/>
      <c r="QTU19" s="294"/>
      <c r="QTV19" s="294"/>
      <c r="QTW19" s="294"/>
      <c r="QTX19" s="294"/>
      <c r="QTY19" s="294"/>
      <c r="QTZ19" s="294"/>
      <c r="QUA19" s="294"/>
      <c r="QUB19" s="294"/>
      <c r="QUC19" s="294"/>
      <c r="QUD19" s="294"/>
      <c r="QUE19" s="294"/>
      <c r="QUF19" s="294"/>
      <c r="QUG19" s="294"/>
      <c r="QUH19" s="294"/>
      <c r="QUI19" s="294"/>
      <c r="QUJ19" s="294"/>
      <c r="QUK19" s="294"/>
      <c r="QUL19" s="294"/>
      <c r="QUM19" s="294"/>
      <c r="QUN19" s="294"/>
      <c r="QUO19" s="294"/>
      <c r="QUP19" s="294"/>
      <c r="QUQ19" s="294"/>
      <c r="QUR19" s="294"/>
      <c r="QUS19" s="294"/>
      <c r="QUT19" s="294"/>
      <c r="QUU19" s="294"/>
      <c r="QUV19" s="294"/>
      <c r="QUW19" s="294"/>
      <c r="QUX19" s="294"/>
      <c r="QUY19" s="294"/>
      <c r="QUZ19" s="294"/>
      <c r="QVA19" s="294"/>
      <c r="QVB19" s="294"/>
      <c r="QVC19" s="294"/>
      <c r="QVD19" s="294"/>
      <c r="QVE19" s="294"/>
      <c r="QVF19" s="294"/>
      <c r="QVG19" s="294"/>
      <c r="QVH19" s="294"/>
      <c r="QVI19" s="294"/>
      <c r="QVJ19" s="294"/>
      <c r="QVK19" s="294"/>
      <c r="QVL19" s="294"/>
      <c r="QVM19" s="294"/>
      <c r="QVN19" s="294"/>
      <c r="QVO19" s="294"/>
      <c r="QVP19" s="294"/>
      <c r="QVQ19" s="294"/>
      <c r="QVR19" s="294"/>
      <c r="QVS19" s="294"/>
      <c r="QVT19" s="294"/>
      <c r="QVU19" s="294"/>
      <c r="QVV19" s="294"/>
      <c r="QVW19" s="294"/>
      <c r="QVX19" s="294"/>
      <c r="QVY19" s="294"/>
      <c r="QVZ19" s="294"/>
      <c r="QWA19" s="294"/>
      <c r="QWB19" s="294"/>
      <c r="QWC19" s="294"/>
      <c r="QWD19" s="294"/>
      <c r="QWE19" s="294"/>
      <c r="QWF19" s="294"/>
      <c r="QWG19" s="294"/>
      <c r="QWH19" s="294"/>
      <c r="QWI19" s="294"/>
      <c r="QWJ19" s="294"/>
      <c r="QWK19" s="294"/>
      <c r="QWL19" s="294"/>
      <c r="QWM19" s="294"/>
      <c r="QWN19" s="294"/>
      <c r="QWO19" s="294"/>
      <c r="QWP19" s="294"/>
      <c r="QWQ19" s="294"/>
      <c r="QWR19" s="294"/>
      <c r="QWS19" s="294"/>
      <c r="QWT19" s="294"/>
      <c r="QWU19" s="294"/>
      <c r="QWV19" s="294"/>
      <c r="QWW19" s="294"/>
      <c r="QWX19" s="294"/>
      <c r="QWY19" s="294"/>
      <c r="QWZ19" s="294"/>
      <c r="QXA19" s="294"/>
      <c r="QXB19" s="294"/>
      <c r="QXC19" s="294"/>
      <c r="QXD19" s="294"/>
      <c r="QXE19" s="294"/>
      <c r="QXF19" s="294"/>
      <c r="QXG19" s="294"/>
      <c r="QXH19" s="294"/>
      <c r="QXI19" s="294"/>
      <c r="QXJ19" s="294"/>
      <c r="QXK19" s="294"/>
      <c r="QXL19" s="294"/>
      <c r="QXM19" s="294"/>
      <c r="QXN19" s="294"/>
      <c r="QXO19" s="294"/>
      <c r="QXP19" s="294"/>
      <c r="QXQ19" s="294"/>
      <c r="QXR19" s="294"/>
      <c r="QXS19" s="294"/>
      <c r="QXT19" s="294"/>
      <c r="QXU19" s="294"/>
      <c r="QXV19" s="294"/>
      <c r="QXW19" s="294"/>
      <c r="QXX19" s="294"/>
      <c r="QXY19" s="294"/>
      <c r="QXZ19" s="294"/>
      <c r="QYA19" s="294"/>
      <c r="QYB19" s="294"/>
      <c r="QYC19" s="294"/>
      <c r="QYD19" s="294"/>
      <c r="QYE19" s="294"/>
      <c r="QYF19" s="294"/>
      <c r="QYG19" s="294"/>
      <c r="QYH19" s="294"/>
      <c r="QYI19" s="294"/>
      <c r="QYJ19" s="294"/>
      <c r="QYK19" s="294"/>
      <c r="QYL19" s="294"/>
      <c r="QYM19" s="294"/>
      <c r="QYN19" s="294"/>
      <c r="QYO19" s="294"/>
      <c r="QYP19" s="294"/>
      <c r="QYQ19" s="294"/>
      <c r="QYR19" s="294"/>
      <c r="QYS19" s="294"/>
      <c r="QYT19" s="294"/>
      <c r="QYU19" s="294"/>
      <c r="QYV19" s="294"/>
      <c r="QYW19" s="294"/>
      <c r="QYX19" s="294"/>
      <c r="QYY19" s="294"/>
      <c r="QYZ19" s="294"/>
      <c r="QZA19" s="294"/>
      <c r="QZB19" s="294"/>
      <c r="QZC19" s="294"/>
      <c r="QZD19" s="294"/>
      <c r="QZE19" s="294"/>
      <c r="QZF19" s="294"/>
      <c r="QZG19" s="294"/>
      <c r="QZH19" s="294"/>
      <c r="QZI19" s="294"/>
      <c r="QZJ19" s="294"/>
      <c r="QZK19" s="294"/>
      <c r="QZL19" s="294"/>
      <c r="QZM19" s="294"/>
      <c r="QZN19" s="294"/>
      <c r="QZO19" s="294"/>
      <c r="QZP19" s="294"/>
      <c r="QZQ19" s="294"/>
      <c r="QZR19" s="294"/>
      <c r="QZS19" s="294"/>
      <c r="QZT19" s="294"/>
      <c r="QZU19" s="294"/>
      <c r="QZV19" s="294"/>
      <c r="QZW19" s="294"/>
      <c r="QZX19" s="294"/>
      <c r="QZY19" s="294"/>
      <c r="QZZ19" s="294"/>
      <c r="RAA19" s="294"/>
      <c r="RAB19" s="294"/>
      <c r="RAC19" s="294"/>
      <c r="RAD19" s="294"/>
      <c r="RAE19" s="294"/>
      <c r="RAF19" s="294"/>
      <c r="RAG19" s="294"/>
      <c r="RAH19" s="294"/>
      <c r="RAI19" s="294"/>
      <c r="RAJ19" s="294"/>
      <c r="RAK19" s="294"/>
      <c r="RAL19" s="294"/>
      <c r="RAM19" s="294"/>
      <c r="RAN19" s="294"/>
      <c r="RAO19" s="294"/>
      <c r="RAP19" s="294"/>
      <c r="RAQ19" s="294"/>
      <c r="RAR19" s="294"/>
      <c r="RAS19" s="294"/>
      <c r="RAT19" s="294"/>
      <c r="RAU19" s="294"/>
      <c r="RAV19" s="294"/>
      <c r="RAW19" s="294"/>
      <c r="RAX19" s="294"/>
      <c r="RAY19" s="294"/>
      <c r="RAZ19" s="294"/>
      <c r="RBA19" s="294"/>
      <c r="RBB19" s="294"/>
      <c r="RBC19" s="294"/>
      <c r="RBD19" s="294"/>
      <c r="RBE19" s="294"/>
      <c r="RBF19" s="294"/>
      <c r="RBG19" s="294"/>
      <c r="RBH19" s="294"/>
      <c r="RBI19" s="294"/>
      <c r="RBJ19" s="294"/>
      <c r="RBK19" s="294"/>
      <c r="RBL19" s="294"/>
      <c r="RBM19" s="294"/>
      <c r="RBN19" s="294"/>
      <c r="RBO19" s="294"/>
      <c r="RBP19" s="294"/>
      <c r="RBQ19" s="294"/>
      <c r="RBR19" s="294"/>
      <c r="RBS19" s="294"/>
      <c r="RBT19" s="294"/>
      <c r="RBU19" s="294"/>
      <c r="RBV19" s="294"/>
      <c r="RBW19" s="294"/>
      <c r="RBX19" s="294"/>
      <c r="RBY19" s="294"/>
      <c r="RBZ19" s="294"/>
      <c r="RCA19" s="294"/>
      <c r="RCB19" s="294"/>
      <c r="RCC19" s="294"/>
      <c r="RCD19" s="294"/>
      <c r="RCE19" s="294"/>
      <c r="RCF19" s="294"/>
      <c r="RCG19" s="294"/>
      <c r="RCH19" s="294"/>
      <c r="RCI19" s="294"/>
      <c r="RCJ19" s="294"/>
      <c r="RCK19" s="294"/>
      <c r="RCL19" s="294"/>
      <c r="RCM19" s="294"/>
      <c r="RCN19" s="294"/>
      <c r="RCO19" s="294"/>
      <c r="RCP19" s="294"/>
      <c r="RCQ19" s="294"/>
      <c r="RCR19" s="294"/>
      <c r="RCS19" s="294"/>
      <c r="RCT19" s="294"/>
      <c r="RCU19" s="294"/>
      <c r="RCV19" s="294"/>
      <c r="RCW19" s="294"/>
      <c r="RCX19" s="294"/>
      <c r="RCY19" s="294"/>
      <c r="RCZ19" s="294"/>
      <c r="RDA19" s="294"/>
      <c r="RDB19" s="294"/>
      <c r="RDC19" s="294"/>
      <c r="RDD19" s="294"/>
      <c r="RDE19" s="294"/>
      <c r="RDF19" s="294"/>
      <c r="RDG19" s="294"/>
      <c r="RDH19" s="294"/>
      <c r="RDI19" s="294"/>
      <c r="RDJ19" s="294"/>
      <c r="RDK19" s="294"/>
      <c r="RDL19" s="294"/>
      <c r="RDM19" s="294"/>
      <c r="RDN19" s="294"/>
      <c r="RDO19" s="294"/>
      <c r="RDP19" s="294"/>
      <c r="RDQ19" s="294"/>
      <c r="RDR19" s="294"/>
      <c r="RDS19" s="294"/>
      <c r="RDT19" s="294"/>
      <c r="RDU19" s="294"/>
      <c r="RDV19" s="294"/>
      <c r="RDW19" s="294"/>
      <c r="RDX19" s="294"/>
      <c r="RDY19" s="294"/>
      <c r="RDZ19" s="294"/>
      <c r="REA19" s="294"/>
      <c r="REB19" s="294"/>
      <c r="REC19" s="294"/>
      <c r="RED19" s="294"/>
      <c r="REE19" s="294"/>
      <c r="REF19" s="294"/>
      <c r="REG19" s="294"/>
      <c r="REH19" s="294"/>
      <c r="REI19" s="294"/>
      <c r="REJ19" s="294"/>
      <c r="REK19" s="294"/>
      <c r="REL19" s="294"/>
      <c r="REM19" s="294"/>
      <c r="REN19" s="294"/>
      <c r="REO19" s="294"/>
      <c r="REP19" s="294"/>
      <c r="REQ19" s="294"/>
      <c r="RER19" s="294"/>
      <c r="RES19" s="294"/>
      <c r="RET19" s="294"/>
      <c r="REU19" s="294"/>
      <c r="REV19" s="294"/>
      <c r="REW19" s="294"/>
      <c r="REX19" s="294"/>
      <c r="REY19" s="294"/>
      <c r="REZ19" s="294"/>
      <c r="RFA19" s="294"/>
      <c r="RFB19" s="294"/>
      <c r="RFC19" s="294"/>
      <c r="RFD19" s="294"/>
      <c r="RFE19" s="294"/>
      <c r="RFF19" s="294"/>
      <c r="RFG19" s="294"/>
      <c r="RFH19" s="294"/>
      <c r="RFI19" s="294"/>
      <c r="RFJ19" s="294"/>
      <c r="RFK19" s="294"/>
      <c r="RFL19" s="294"/>
      <c r="RFM19" s="294"/>
      <c r="RFN19" s="294"/>
      <c r="RFO19" s="294"/>
      <c r="RFP19" s="294"/>
      <c r="RFQ19" s="294"/>
      <c r="RFR19" s="294"/>
      <c r="RFS19" s="294"/>
      <c r="RFT19" s="294"/>
      <c r="RFU19" s="294"/>
      <c r="RFV19" s="294"/>
      <c r="RFW19" s="294"/>
      <c r="RFX19" s="294"/>
      <c r="RFY19" s="294"/>
      <c r="RFZ19" s="294"/>
      <c r="RGA19" s="294"/>
      <c r="RGB19" s="294"/>
      <c r="RGC19" s="294"/>
      <c r="RGD19" s="294"/>
      <c r="RGE19" s="294"/>
      <c r="RGF19" s="294"/>
      <c r="RGG19" s="294"/>
      <c r="RGH19" s="294"/>
      <c r="RGI19" s="294"/>
      <c r="RGJ19" s="294"/>
      <c r="RGK19" s="294"/>
      <c r="RGL19" s="294"/>
      <c r="RGM19" s="294"/>
      <c r="RGN19" s="294"/>
      <c r="RGO19" s="294"/>
      <c r="RGP19" s="294"/>
      <c r="RGQ19" s="294"/>
      <c r="RGR19" s="294"/>
      <c r="RGS19" s="294"/>
      <c r="RGT19" s="294"/>
      <c r="RGU19" s="294"/>
      <c r="RGV19" s="294"/>
      <c r="RGW19" s="294"/>
      <c r="RGX19" s="294"/>
      <c r="RGY19" s="294"/>
      <c r="RGZ19" s="294"/>
      <c r="RHA19" s="294"/>
      <c r="RHB19" s="294"/>
      <c r="RHC19" s="294"/>
      <c r="RHD19" s="294"/>
      <c r="RHE19" s="294"/>
      <c r="RHF19" s="294"/>
      <c r="RHG19" s="294"/>
      <c r="RHH19" s="294"/>
      <c r="RHI19" s="294"/>
      <c r="RHJ19" s="294"/>
      <c r="RHK19" s="294"/>
      <c r="RHL19" s="294"/>
      <c r="RHM19" s="294"/>
      <c r="RHN19" s="294"/>
      <c r="RHO19" s="294"/>
      <c r="RHP19" s="294"/>
      <c r="RHQ19" s="294"/>
      <c r="RHR19" s="294"/>
      <c r="RHS19" s="294"/>
      <c r="RHT19" s="294"/>
      <c r="RHU19" s="294"/>
      <c r="RHV19" s="294"/>
      <c r="RHW19" s="294"/>
      <c r="RHX19" s="294"/>
      <c r="RHY19" s="294"/>
      <c r="RHZ19" s="294"/>
      <c r="RIA19" s="294"/>
      <c r="RIB19" s="294"/>
      <c r="RIC19" s="294"/>
      <c r="RID19" s="294"/>
      <c r="RIE19" s="294"/>
      <c r="RIF19" s="294"/>
      <c r="RIG19" s="294"/>
      <c r="RIH19" s="294"/>
      <c r="RII19" s="294"/>
      <c r="RIJ19" s="294"/>
      <c r="RIK19" s="294"/>
      <c r="RIL19" s="294"/>
      <c r="RIM19" s="294"/>
      <c r="RIN19" s="294"/>
      <c r="RIO19" s="294"/>
      <c r="RIP19" s="294"/>
      <c r="RIQ19" s="294"/>
      <c r="RIR19" s="294"/>
      <c r="RIS19" s="294"/>
      <c r="RIT19" s="294"/>
      <c r="RIU19" s="294"/>
      <c r="RIV19" s="294"/>
      <c r="RIW19" s="294"/>
      <c r="RIX19" s="294"/>
      <c r="RIY19" s="294"/>
      <c r="RIZ19" s="294"/>
      <c r="RJA19" s="294"/>
      <c r="RJB19" s="294"/>
      <c r="RJC19" s="294"/>
      <c r="RJD19" s="294"/>
      <c r="RJE19" s="294"/>
      <c r="RJF19" s="294"/>
      <c r="RJG19" s="294"/>
      <c r="RJH19" s="294"/>
      <c r="RJI19" s="294"/>
      <c r="RJJ19" s="294"/>
      <c r="RJK19" s="294"/>
      <c r="RJL19" s="294"/>
      <c r="RJM19" s="294"/>
      <c r="RJN19" s="294"/>
      <c r="RJO19" s="294"/>
      <c r="RJP19" s="294"/>
      <c r="RJQ19" s="294"/>
      <c r="RJR19" s="294"/>
      <c r="RJS19" s="294"/>
      <c r="RJT19" s="294"/>
      <c r="RJU19" s="294"/>
      <c r="RJV19" s="294"/>
      <c r="RJW19" s="294"/>
      <c r="RJX19" s="294"/>
      <c r="RJY19" s="294"/>
      <c r="RJZ19" s="294"/>
      <c r="RKA19" s="294"/>
      <c r="RKB19" s="294"/>
      <c r="RKC19" s="294"/>
      <c r="RKD19" s="294"/>
      <c r="RKE19" s="294"/>
      <c r="RKF19" s="294"/>
      <c r="RKG19" s="294"/>
      <c r="RKH19" s="294"/>
      <c r="RKI19" s="294"/>
      <c r="RKJ19" s="294"/>
      <c r="RKK19" s="294"/>
      <c r="RKL19" s="294"/>
      <c r="RKM19" s="294"/>
      <c r="RKN19" s="294"/>
      <c r="RKO19" s="294"/>
      <c r="RKP19" s="294"/>
      <c r="RKQ19" s="294"/>
      <c r="RKR19" s="294"/>
      <c r="RKS19" s="294"/>
      <c r="RKT19" s="294"/>
      <c r="RKU19" s="294"/>
      <c r="RKV19" s="294"/>
      <c r="RKW19" s="294"/>
      <c r="RKX19" s="294"/>
      <c r="RKY19" s="294"/>
      <c r="RKZ19" s="294"/>
      <c r="RLA19" s="294"/>
      <c r="RLB19" s="294"/>
      <c r="RLC19" s="294"/>
      <c r="RLD19" s="294"/>
      <c r="RLE19" s="294"/>
      <c r="RLF19" s="294"/>
      <c r="RLG19" s="294"/>
      <c r="RLH19" s="294"/>
      <c r="RLI19" s="294"/>
      <c r="RLJ19" s="294"/>
      <c r="RLK19" s="294"/>
      <c r="RLL19" s="294"/>
      <c r="RLM19" s="294"/>
      <c r="RLN19" s="294"/>
      <c r="RLO19" s="294"/>
      <c r="RLP19" s="294"/>
      <c r="RLQ19" s="294"/>
      <c r="RLR19" s="294"/>
      <c r="RLS19" s="294"/>
      <c r="RLT19" s="294"/>
      <c r="RLU19" s="294"/>
      <c r="RLV19" s="294"/>
      <c r="RLW19" s="294"/>
      <c r="RLX19" s="294"/>
      <c r="RLY19" s="294"/>
      <c r="RLZ19" s="294"/>
      <c r="RMA19" s="294"/>
      <c r="RMB19" s="294"/>
      <c r="RMC19" s="294"/>
      <c r="RMD19" s="294"/>
      <c r="RME19" s="294"/>
      <c r="RMF19" s="294"/>
      <c r="RMG19" s="294"/>
      <c r="RMH19" s="294"/>
      <c r="RMI19" s="294"/>
      <c r="RMJ19" s="294"/>
      <c r="RMK19" s="294"/>
      <c r="RML19" s="294"/>
      <c r="RMM19" s="294"/>
      <c r="RMN19" s="294"/>
      <c r="RMO19" s="294"/>
      <c r="RMP19" s="294"/>
      <c r="RMQ19" s="294"/>
      <c r="RMR19" s="294"/>
      <c r="RMS19" s="294"/>
      <c r="RMT19" s="294"/>
      <c r="RMU19" s="294"/>
      <c r="RMV19" s="294"/>
      <c r="RMW19" s="294"/>
      <c r="RMX19" s="294"/>
      <c r="RMY19" s="294"/>
      <c r="RMZ19" s="294"/>
      <c r="RNA19" s="294"/>
      <c r="RNB19" s="294"/>
      <c r="RNC19" s="294"/>
      <c r="RND19" s="294"/>
      <c r="RNE19" s="294"/>
      <c r="RNF19" s="294"/>
      <c r="RNG19" s="294"/>
      <c r="RNH19" s="294"/>
      <c r="RNI19" s="294"/>
      <c r="RNJ19" s="294"/>
      <c r="RNK19" s="294"/>
      <c r="RNL19" s="294"/>
      <c r="RNM19" s="294"/>
      <c r="RNN19" s="294"/>
      <c r="RNO19" s="294"/>
      <c r="RNP19" s="294"/>
      <c r="RNQ19" s="294"/>
      <c r="RNR19" s="294"/>
      <c r="RNS19" s="294"/>
      <c r="RNT19" s="294"/>
      <c r="RNU19" s="294"/>
      <c r="RNV19" s="294"/>
      <c r="RNW19" s="294"/>
      <c r="RNX19" s="294"/>
      <c r="RNY19" s="294"/>
      <c r="RNZ19" s="294"/>
      <c r="ROA19" s="294"/>
      <c r="ROB19" s="294"/>
      <c r="ROC19" s="294"/>
      <c r="ROD19" s="294"/>
      <c r="ROE19" s="294"/>
      <c r="ROF19" s="294"/>
      <c r="ROG19" s="294"/>
      <c r="ROH19" s="294"/>
      <c r="ROI19" s="294"/>
      <c r="ROJ19" s="294"/>
      <c r="ROK19" s="294"/>
      <c r="ROL19" s="294"/>
      <c r="ROM19" s="294"/>
      <c r="RON19" s="294"/>
      <c r="ROO19" s="294"/>
      <c r="ROP19" s="294"/>
      <c r="ROQ19" s="294"/>
      <c r="ROR19" s="294"/>
      <c r="ROS19" s="294"/>
      <c r="ROT19" s="294"/>
      <c r="ROU19" s="294"/>
      <c r="ROV19" s="294"/>
      <c r="ROW19" s="294"/>
      <c r="ROX19" s="294"/>
      <c r="ROY19" s="294"/>
      <c r="ROZ19" s="294"/>
      <c r="RPA19" s="294"/>
      <c r="RPB19" s="294"/>
      <c r="RPC19" s="294"/>
      <c r="RPD19" s="294"/>
      <c r="RPE19" s="294"/>
      <c r="RPF19" s="294"/>
      <c r="RPG19" s="294"/>
      <c r="RPH19" s="294"/>
      <c r="RPI19" s="294"/>
      <c r="RPJ19" s="294"/>
      <c r="RPK19" s="294"/>
      <c r="RPL19" s="294"/>
      <c r="RPM19" s="294"/>
      <c r="RPN19" s="294"/>
      <c r="RPO19" s="294"/>
      <c r="RPP19" s="294"/>
      <c r="RPQ19" s="294"/>
      <c r="RPR19" s="294"/>
      <c r="RPS19" s="294"/>
      <c r="RPT19" s="294"/>
      <c r="RPU19" s="294"/>
      <c r="RPV19" s="294"/>
      <c r="RPW19" s="294"/>
      <c r="RPX19" s="294"/>
      <c r="RPY19" s="294"/>
      <c r="RPZ19" s="294"/>
      <c r="RQA19" s="294"/>
      <c r="RQB19" s="294"/>
      <c r="RQC19" s="294"/>
      <c r="RQD19" s="294"/>
      <c r="RQE19" s="294"/>
      <c r="RQF19" s="294"/>
      <c r="RQG19" s="294"/>
      <c r="RQH19" s="294"/>
      <c r="RQI19" s="294"/>
      <c r="RQJ19" s="294"/>
      <c r="RQK19" s="294"/>
      <c r="RQL19" s="294"/>
      <c r="RQM19" s="294"/>
      <c r="RQN19" s="294"/>
      <c r="RQO19" s="294"/>
      <c r="RQP19" s="294"/>
      <c r="RQQ19" s="294"/>
      <c r="RQR19" s="294"/>
      <c r="RQS19" s="294"/>
      <c r="RQT19" s="294"/>
      <c r="RQU19" s="294"/>
      <c r="RQV19" s="294"/>
      <c r="RQW19" s="294"/>
      <c r="RQX19" s="294"/>
      <c r="RQY19" s="294"/>
      <c r="RQZ19" s="294"/>
      <c r="RRA19" s="294"/>
      <c r="RRB19" s="294"/>
      <c r="RRC19" s="294"/>
      <c r="RRD19" s="294"/>
      <c r="RRE19" s="294"/>
      <c r="RRF19" s="294"/>
      <c r="RRG19" s="294"/>
      <c r="RRH19" s="294"/>
      <c r="RRI19" s="294"/>
      <c r="RRJ19" s="294"/>
      <c r="RRK19" s="294"/>
      <c r="RRL19" s="294"/>
      <c r="RRM19" s="294"/>
      <c r="RRN19" s="294"/>
      <c r="RRO19" s="294"/>
      <c r="RRP19" s="294"/>
      <c r="RRQ19" s="294"/>
      <c r="RRR19" s="294"/>
      <c r="RRS19" s="294"/>
      <c r="RRT19" s="294"/>
      <c r="RRU19" s="294"/>
      <c r="RRV19" s="294"/>
      <c r="RRW19" s="294"/>
      <c r="RRX19" s="294"/>
      <c r="RRY19" s="294"/>
      <c r="RRZ19" s="294"/>
      <c r="RSA19" s="294"/>
      <c r="RSB19" s="294"/>
      <c r="RSC19" s="294"/>
      <c r="RSD19" s="294"/>
      <c r="RSE19" s="294"/>
      <c r="RSF19" s="294"/>
      <c r="RSG19" s="294"/>
      <c r="RSH19" s="294"/>
      <c r="RSI19" s="294"/>
      <c r="RSJ19" s="294"/>
      <c r="RSK19" s="294"/>
      <c r="RSL19" s="294"/>
      <c r="RSM19" s="294"/>
      <c r="RSN19" s="294"/>
      <c r="RSO19" s="294"/>
      <c r="RSP19" s="294"/>
      <c r="RSQ19" s="294"/>
      <c r="RSR19" s="294"/>
      <c r="RSS19" s="294"/>
      <c r="RST19" s="294"/>
      <c r="RSU19" s="294"/>
      <c r="RSV19" s="294"/>
      <c r="RSW19" s="294"/>
      <c r="RSX19" s="294"/>
      <c r="RSY19" s="294"/>
      <c r="RSZ19" s="294"/>
      <c r="RTA19" s="294"/>
      <c r="RTB19" s="294"/>
      <c r="RTC19" s="294"/>
      <c r="RTD19" s="294"/>
      <c r="RTE19" s="294"/>
      <c r="RTF19" s="294"/>
      <c r="RTG19" s="294"/>
      <c r="RTH19" s="294"/>
      <c r="RTI19" s="294"/>
      <c r="RTJ19" s="294"/>
      <c r="RTK19" s="294"/>
      <c r="RTL19" s="294"/>
      <c r="RTM19" s="294"/>
      <c r="RTN19" s="294"/>
      <c r="RTO19" s="294"/>
      <c r="RTP19" s="294"/>
      <c r="RTQ19" s="294"/>
      <c r="RTR19" s="294"/>
      <c r="RTS19" s="294"/>
      <c r="RTT19" s="294"/>
      <c r="RTU19" s="294"/>
      <c r="RTV19" s="294"/>
      <c r="RTW19" s="294"/>
      <c r="RTX19" s="294"/>
      <c r="RTY19" s="294"/>
      <c r="RTZ19" s="294"/>
      <c r="RUA19" s="294"/>
      <c r="RUB19" s="294"/>
      <c r="RUC19" s="294"/>
      <c r="RUD19" s="294"/>
      <c r="RUE19" s="294"/>
      <c r="RUF19" s="294"/>
      <c r="RUG19" s="294"/>
      <c r="RUH19" s="294"/>
      <c r="RUI19" s="294"/>
      <c r="RUJ19" s="294"/>
      <c r="RUK19" s="294"/>
      <c r="RUL19" s="294"/>
      <c r="RUM19" s="294"/>
      <c r="RUN19" s="294"/>
      <c r="RUO19" s="294"/>
      <c r="RUP19" s="294"/>
      <c r="RUQ19" s="294"/>
      <c r="RUR19" s="294"/>
      <c r="RUS19" s="294"/>
      <c r="RUT19" s="294"/>
      <c r="RUU19" s="294"/>
      <c r="RUV19" s="294"/>
      <c r="RUW19" s="294"/>
      <c r="RUX19" s="294"/>
      <c r="RUY19" s="294"/>
      <c r="RUZ19" s="294"/>
      <c r="RVA19" s="294"/>
      <c r="RVB19" s="294"/>
      <c r="RVC19" s="294"/>
      <c r="RVD19" s="294"/>
      <c r="RVE19" s="294"/>
      <c r="RVF19" s="294"/>
      <c r="RVG19" s="294"/>
      <c r="RVH19" s="294"/>
      <c r="RVI19" s="294"/>
      <c r="RVJ19" s="294"/>
      <c r="RVK19" s="294"/>
      <c r="RVL19" s="294"/>
      <c r="RVM19" s="294"/>
      <c r="RVN19" s="294"/>
      <c r="RVO19" s="294"/>
      <c r="RVP19" s="294"/>
      <c r="RVQ19" s="294"/>
      <c r="RVR19" s="294"/>
      <c r="RVS19" s="294"/>
      <c r="RVT19" s="294"/>
      <c r="RVU19" s="294"/>
      <c r="RVV19" s="294"/>
      <c r="RVW19" s="294"/>
      <c r="RVX19" s="294"/>
      <c r="RVY19" s="294"/>
      <c r="RVZ19" s="294"/>
      <c r="RWA19" s="294"/>
      <c r="RWB19" s="294"/>
      <c r="RWC19" s="294"/>
      <c r="RWD19" s="294"/>
      <c r="RWE19" s="294"/>
      <c r="RWF19" s="294"/>
      <c r="RWG19" s="294"/>
      <c r="RWH19" s="294"/>
      <c r="RWI19" s="294"/>
      <c r="RWJ19" s="294"/>
      <c r="RWK19" s="294"/>
      <c r="RWL19" s="294"/>
      <c r="RWM19" s="294"/>
      <c r="RWN19" s="294"/>
      <c r="RWO19" s="294"/>
      <c r="RWP19" s="294"/>
      <c r="RWQ19" s="294"/>
      <c r="RWR19" s="294"/>
      <c r="RWS19" s="294"/>
      <c r="RWT19" s="294"/>
      <c r="RWU19" s="294"/>
      <c r="RWV19" s="294"/>
      <c r="RWW19" s="294"/>
      <c r="RWX19" s="294"/>
      <c r="RWY19" s="294"/>
      <c r="RWZ19" s="294"/>
      <c r="RXA19" s="294"/>
      <c r="RXB19" s="294"/>
      <c r="RXC19" s="294"/>
      <c r="RXD19" s="294"/>
      <c r="RXE19" s="294"/>
      <c r="RXF19" s="294"/>
      <c r="RXG19" s="294"/>
      <c r="RXH19" s="294"/>
      <c r="RXI19" s="294"/>
      <c r="RXJ19" s="294"/>
      <c r="RXK19" s="294"/>
      <c r="RXL19" s="294"/>
      <c r="RXM19" s="294"/>
      <c r="RXN19" s="294"/>
      <c r="RXO19" s="294"/>
      <c r="RXP19" s="294"/>
      <c r="RXQ19" s="294"/>
      <c r="RXR19" s="294"/>
      <c r="RXS19" s="294"/>
      <c r="RXT19" s="294"/>
      <c r="RXU19" s="294"/>
      <c r="RXV19" s="294"/>
      <c r="RXW19" s="294"/>
      <c r="RXX19" s="294"/>
      <c r="RXY19" s="294"/>
      <c r="RXZ19" s="294"/>
      <c r="RYA19" s="294"/>
      <c r="RYB19" s="294"/>
      <c r="RYC19" s="294"/>
      <c r="RYD19" s="294"/>
      <c r="RYE19" s="294"/>
      <c r="RYF19" s="294"/>
      <c r="RYG19" s="294"/>
      <c r="RYH19" s="294"/>
      <c r="RYI19" s="294"/>
      <c r="RYJ19" s="294"/>
      <c r="RYK19" s="294"/>
      <c r="RYL19" s="294"/>
      <c r="RYM19" s="294"/>
      <c r="RYN19" s="294"/>
      <c r="RYO19" s="294"/>
      <c r="RYP19" s="294"/>
      <c r="RYQ19" s="294"/>
      <c r="RYR19" s="294"/>
      <c r="RYS19" s="294"/>
      <c r="RYT19" s="294"/>
      <c r="RYU19" s="294"/>
      <c r="RYV19" s="294"/>
      <c r="RYW19" s="294"/>
      <c r="RYX19" s="294"/>
      <c r="RYY19" s="294"/>
      <c r="RYZ19" s="294"/>
      <c r="RZA19" s="294"/>
      <c r="RZB19" s="294"/>
      <c r="RZC19" s="294"/>
      <c r="RZD19" s="294"/>
      <c r="RZE19" s="294"/>
      <c r="RZF19" s="294"/>
      <c r="RZG19" s="294"/>
      <c r="RZH19" s="294"/>
      <c r="RZI19" s="294"/>
      <c r="RZJ19" s="294"/>
      <c r="RZK19" s="294"/>
      <c r="RZL19" s="294"/>
      <c r="RZM19" s="294"/>
      <c r="RZN19" s="294"/>
      <c r="RZO19" s="294"/>
      <c r="RZP19" s="294"/>
      <c r="RZQ19" s="294"/>
      <c r="RZR19" s="294"/>
      <c r="RZS19" s="294"/>
      <c r="RZT19" s="294"/>
      <c r="RZU19" s="294"/>
      <c r="RZV19" s="294"/>
      <c r="RZW19" s="294"/>
      <c r="RZX19" s="294"/>
      <c r="RZY19" s="294"/>
      <c r="RZZ19" s="294"/>
      <c r="SAA19" s="294"/>
      <c r="SAB19" s="294"/>
      <c r="SAC19" s="294"/>
      <c r="SAD19" s="294"/>
      <c r="SAE19" s="294"/>
      <c r="SAF19" s="294"/>
      <c r="SAG19" s="294"/>
      <c r="SAH19" s="294"/>
      <c r="SAI19" s="294"/>
      <c r="SAJ19" s="294"/>
      <c r="SAK19" s="294"/>
      <c r="SAL19" s="294"/>
      <c r="SAM19" s="294"/>
      <c r="SAN19" s="294"/>
      <c r="SAO19" s="294"/>
      <c r="SAP19" s="294"/>
      <c r="SAQ19" s="294"/>
      <c r="SAR19" s="294"/>
      <c r="SAS19" s="294"/>
      <c r="SAT19" s="294"/>
      <c r="SAU19" s="294"/>
      <c r="SAV19" s="294"/>
      <c r="SAW19" s="294"/>
      <c r="SAX19" s="294"/>
      <c r="SAY19" s="294"/>
      <c r="SAZ19" s="294"/>
      <c r="SBA19" s="294"/>
      <c r="SBB19" s="294"/>
      <c r="SBC19" s="294"/>
      <c r="SBD19" s="294"/>
      <c r="SBE19" s="294"/>
      <c r="SBF19" s="294"/>
      <c r="SBG19" s="294"/>
      <c r="SBH19" s="294"/>
      <c r="SBI19" s="294"/>
      <c r="SBJ19" s="294"/>
      <c r="SBK19" s="294"/>
      <c r="SBL19" s="294"/>
      <c r="SBM19" s="294"/>
      <c r="SBN19" s="294"/>
      <c r="SBO19" s="294"/>
      <c r="SBP19" s="294"/>
      <c r="SBQ19" s="294"/>
      <c r="SBR19" s="294"/>
      <c r="SBS19" s="294"/>
      <c r="SBT19" s="294"/>
      <c r="SBU19" s="294"/>
      <c r="SBV19" s="294"/>
      <c r="SBW19" s="294"/>
      <c r="SBX19" s="294"/>
      <c r="SBY19" s="294"/>
      <c r="SBZ19" s="294"/>
      <c r="SCA19" s="294"/>
      <c r="SCB19" s="294"/>
      <c r="SCC19" s="294"/>
      <c r="SCD19" s="294"/>
      <c r="SCE19" s="294"/>
      <c r="SCF19" s="294"/>
      <c r="SCG19" s="294"/>
      <c r="SCH19" s="294"/>
      <c r="SCI19" s="294"/>
      <c r="SCJ19" s="294"/>
      <c r="SCK19" s="294"/>
      <c r="SCL19" s="294"/>
      <c r="SCM19" s="294"/>
      <c r="SCN19" s="294"/>
      <c r="SCO19" s="294"/>
      <c r="SCP19" s="294"/>
      <c r="SCQ19" s="294"/>
      <c r="SCR19" s="294"/>
      <c r="SCS19" s="294"/>
      <c r="SCT19" s="294"/>
      <c r="SCU19" s="294"/>
      <c r="SCV19" s="294"/>
      <c r="SCW19" s="294"/>
      <c r="SCX19" s="294"/>
      <c r="SCY19" s="294"/>
      <c r="SCZ19" s="294"/>
      <c r="SDA19" s="294"/>
      <c r="SDB19" s="294"/>
      <c r="SDC19" s="294"/>
      <c r="SDD19" s="294"/>
      <c r="SDE19" s="294"/>
      <c r="SDF19" s="294"/>
      <c r="SDG19" s="294"/>
      <c r="SDH19" s="294"/>
      <c r="SDI19" s="294"/>
      <c r="SDJ19" s="294"/>
      <c r="SDK19" s="294"/>
      <c r="SDL19" s="294"/>
      <c r="SDM19" s="294"/>
      <c r="SDN19" s="294"/>
      <c r="SDO19" s="294"/>
      <c r="SDP19" s="294"/>
      <c r="SDQ19" s="294"/>
      <c r="SDR19" s="294"/>
      <c r="SDS19" s="294"/>
      <c r="SDT19" s="294"/>
      <c r="SDU19" s="294"/>
      <c r="SDV19" s="294"/>
      <c r="SDW19" s="294"/>
      <c r="SDX19" s="294"/>
      <c r="SDY19" s="294"/>
      <c r="SDZ19" s="294"/>
      <c r="SEA19" s="294"/>
      <c r="SEB19" s="294"/>
      <c r="SEC19" s="294"/>
      <c r="SED19" s="294"/>
      <c r="SEE19" s="294"/>
      <c r="SEF19" s="294"/>
      <c r="SEG19" s="294"/>
      <c r="SEH19" s="294"/>
      <c r="SEI19" s="294"/>
      <c r="SEJ19" s="294"/>
      <c r="SEK19" s="294"/>
      <c r="SEL19" s="294"/>
      <c r="SEM19" s="294"/>
      <c r="SEN19" s="294"/>
      <c r="SEO19" s="294"/>
      <c r="SEP19" s="294"/>
      <c r="SEQ19" s="294"/>
      <c r="SER19" s="294"/>
      <c r="SES19" s="294"/>
      <c r="SET19" s="294"/>
      <c r="SEU19" s="294"/>
      <c r="SEV19" s="294"/>
      <c r="SEW19" s="294"/>
      <c r="SEX19" s="294"/>
      <c r="SEY19" s="294"/>
      <c r="SEZ19" s="294"/>
      <c r="SFA19" s="294"/>
      <c r="SFB19" s="294"/>
      <c r="SFC19" s="294"/>
      <c r="SFD19" s="294"/>
      <c r="SFE19" s="294"/>
      <c r="SFF19" s="294"/>
      <c r="SFG19" s="294"/>
      <c r="SFH19" s="294"/>
      <c r="SFI19" s="294"/>
      <c r="SFJ19" s="294"/>
      <c r="SFK19" s="294"/>
      <c r="SFL19" s="294"/>
      <c r="SFM19" s="294"/>
      <c r="SFN19" s="294"/>
      <c r="SFO19" s="294"/>
      <c r="SFP19" s="294"/>
      <c r="SFQ19" s="294"/>
      <c r="SFR19" s="294"/>
      <c r="SFS19" s="294"/>
      <c r="SFT19" s="294"/>
      <c r="SFU19" s="294"/>
      <c r="SFV19" s="294"/>
      <c r="SFW19" s="294"/>
      <c r="SFX19" s="294"/>
      <c r="SFY19" s="294"/>
      <c r="SFZ19" s="294"/>
      <c r="SGA19" s="294"/>
      <c r="SGB19" s="294"/>
      <c r="SGC19" s="294"/>
      <c r="SGD19" s="294"/>
      <c r="SGE19" s="294"/>
      <c r="SGF19" s="294"/>
      <c r="SGG19" s="294"/>
      <c r="SGH19" s="294"/>
      <c r="SGI19" s="294"/>
      <c r="SGJ19" s="294"/>
      <c r="SGK19" s="294"/>
      <c r="SGL19" s="294"/>
      <c r="SGM19" s="294"/>
      <c r="SGN19" s="294"/>
      <c r="SGO19" s="294"/>
      <c r="SGP19" s="294"/>
      <c r="SGQ19" s="294"/>
      <c r="SGR19" s="294"/>
      <c r="SGS19" s="294"/>
      <c r="SGT19" s="294"/>
      <c r="SGU19" s="294"/>
      <c r="SGV19" s="294"/>
      <c r="SGW19" s="294"/>
      <c r="SGX19" s="294"/>
      <c r="SGY19" s="294"/>
      <c r="SGZ19" s="294"/>
      <c r="SHA19" s="294"/>
      <c r="SHB19" s="294"/>
      <c r="SHC19" s="294"/>
      <c r="SHD19" s="294"/>
      <c r="SHE19" s="294"/>
      <c r="SHF19" s="294"/>
      <c r="SHG19" s="294"/>
      <c r="SHH19" s="294"/>
      <c r="SHI19" s="294"/>
      <c r="SHJ19" s="294"/>
      <c r="SHK19" s="294"/>
      <c r="SHL19" s="294"/>
      <c r="SHM19" s="294"/>
      <c r="SHN19" s="294"/>
      <c r="SHO19" s="294"/>
      <c r="SHP19" s="294"/>
      <c r="SHQ19" s="294"/>
      <c r="SHR19" s="294"/>
      <c r="SHS19" s="294"/>
      <c r="SHT19" s="294"/>
      <c r="SHU19" s="294"/>
      <c r="SHV19" s="294"/>
      <c r="SHW19" s="294"/>
      <c r="SHX19" s="294"/>
      <c r="SHY19" s="294"/>
      <c r="SHZ19" s="294"/>
      <c r="SIA19" s="294"/>
      <c r="SIB19" s="294"/>
      <c r="SIC19" s="294"/>
      <c r="SID19" s="294"/>
      <c r="SIE19" s="294"/>
      <c r="SIF19" s="294"/>
      <c r="SIG19" s="294"/>
      <c r="SIH19" s="294"/>
      <c r="SII19" s="294"/>
      <c r="SIJ19" s="294"/>
      <c r="SIK19" s="294"/>
      <c r="SIL19" s="294"/>
      <c r="SIM19" s="294"/>
      <c r="SIN19" s="294"/>
      <c r="SIO19" s="294"/>
      <c r="SIP19" s="294"/>
      <c r="SIQ19" s="294"/>
      <c r="SIR19" s="294"/>
      <c r="SIS19" s="294"/>
      <c r="SIT19" s="294"/>
      <c r="SIU19" s="294"/>
      <c r="SIV19" s="294"/>
      <c r="SIW19" s="294"/>
      <c r="SIX19" s="294"/>
      <c r="SIY19" s="294"/>
      <c r="SIZ19" s="294"/>
      <c r="SJA19" s="294"/>
      <c r="SJB19" s="294"/>
      <c r="SJC19" s="294"/>
      <c r="SJD19" s="294"/>
      <c r="SJE19" s="294"/>
      <c r="SJF19" s="294"/>
      <c r="SJG19" s="294"/>
      <c r="SJH19" s="294"/>
      <c r="SJI19" s="294"/>
      <c r="SJJ19" s="294"/>
      <c r="SJK19" s="294"/>
      <c r="SJL19" s="294"/>
      <c r="SJM19" s="294"/>
      <c r="SJN19" s="294"/>
      <c r="SJO19" s="294"/>
      <c r="SJP19" s="294"/>
      <c r="SJQ19" s="294"/>
      <c r="SJR19" s="294"/>
      <c r="SJS19" s="294"/>
      <c r="SJT19" s="294"/>
      <c r="SJU19" s="294"/>
      <c r="SJV19" s="294"/>
      <c r="SJW19" s="294"/>
      <c r="SJX19" s="294"/>
      <c r="SJY19" s="294"/>
      <c r="SJZ19" s="294"/>
      <c r="SKA19" s="294"/>
      <c r="SKB19" s="294"/>
      <c r="SKC19" s="294"/>
      <c r="SKD19" s="294"/>
      <c r="SKE19" s="294"/>
      <c r="SKF19" s="294"/>
      <c r="SKG19" s="294"/>
      <c r="SKH19" s="294"/>
      <c r="SKI19" s="294"/>
      <c r="SKJ19" s="294"/>
      <c r="SKK19" s="294"/>
      <c r="SKL19" s="294"/>
      <c r="SKM19" s="294"/>
      <c r="SKN19" s="294"/>
      <c r="SKO19" s="294"/>
      <c r="SKP19" s="294"/>
      <c r="SKQ19" s="294"/>
      <c r="SKR19" s="294"/>
      <c r="SKS19" s="294"/>
      <c r="SKT19" s="294"/>
      <c r="SKU19" s="294"/>
      <c r="SKV19" s="294"/>
      <c r="SKW19" s="294"/>
      <c r="SKX19" s="294"/>
      <c r="SKY19" s="294"/>
      <c r="SKZ19" s="294"/>
      <c r="SLA19" s="294"/>
      <c r="SLB19" s="294"/>
      <c r="SLC19" s="294"/>
      <c r="SLD19" s="294"/>
      <c r="SLE19" s="294"/>
      <c r="SLF19" s="294"/>
      <c r="SLG19" s="294"/>
      <c r="SLH19" s="294"/>
      <c r="SLI19" s="294"/>
      <c r="SLJ19" s="294"/>
      <c r="SLK19" s="294"/>
      <c r="SLL19" s="294"/>
      <c r="SLM19" s="294"/>
      <c r="SLN19" s="294"/>
      <c r="SLO19" s="294"/>
      <c r="SLP19" s="294"/>
      <c r="SLQ19" s="294"/>
      <c r="SLR19" s="294"/>
      <c r="SLS19" s="294"/>
      <c r="SLT19" s="294"/>
      <c r="SLU19" s="294"/>
      <c r="SLV19" s="294"/>
      <c r="SLW19" s="294"/>
      <c r="SLX19" s="294"/>
      <c r="SLY19" s="294"/>
      <c r="SLZ19" s="294"/>
      <c r="SMA19" s="294"/>
      <c r="SMB19" s="294"/>
      <c r="SMC19" s="294"/>
      <c r="SMD19" s="294"/>
      <c r="SME19" s="294"/>
      <c r="SMF19" s="294"/>
      <c r="SMG19" s="294"/>
      <c r="SMH19" s="294"/>
      <c r="SMI19" s="294"/>
      <c r="SMJ19" s="294"/>
      <c r="SMK19" s="294"/>
      <c r="SML19" s="294"/>
      <c r="SMM19" s="294"/>
      <c r="SMN19" s="294"/>
      <c r="SMO19" s="294"/>
      <c r="SMP19" s="294"/>
      <c r="SMQ19" s="294"/>
      <c r="SMR19" s="294"/>
      <c r="SMS19" s="294"/>
      <c r="SMT19" s="294"/>
      <c r="SMU19" s="294"/>
      <c r="SMV19" s="294"/>
      <c r="SMW19" s="294"/>
      <c r="SMX19" s="294"/>
      <c r="SMY19" s="294"/>
      <c r="SMZ19" s="294"/>
      <c r="SNA19" s="294"/>
      <c r="SNB19" s="294"/>
      <c r="SNC19" s="294"/>
      <c r="SND19" s="294"/>
      <c r="SNE19" s="294"/>
      <c r="SNF19" s="294"/>
      <c r="SNG19" s="294"/>
      <c r="SNH19" s="294"/>
      <c r="SNI19" s="294"/>
      <c r="SNJ19" s="294"/>
      <c r="SNK19" s="294"/>
      <c r="SNL19" s="294"/>
      <c r="SNM19" s="294"/>
      <c r="SNN19" s="294"/>
      <c r="SNO19" s="294"/>
      <c r="SNP19" s="294"/>
      <c r="SNQ19" s="294"/>
      <c r="SNR19" s="294"/>
      <c r="SNS19" s="294"/>
      <c r="SNT19" s="294"/>
      <c r="SNU19" s="294"/>
      <c r="SNV19" s="294"/>
      <c r="SNW19" s="294"/>
      <c r="SNX19" s="294"/>
      <c r="SNY19" s="294"/>
      <c r="SNZ19" s="294"/>
      <c r="SOA19" s="294"/>
      <c r="SOB19" s="294"/>
      <c r="SOC19" s="294"/>
      <c r="SOD19" s="294"/>
      <c r="SOE19" s="294"/>
      <c r="SOF19" s="294"/>
      <c r="SOG19" s="294"/>
      <c r="SOH19" s="294"/>
      <c r="SOI19" s="294"/>
      <c r="SOJ19" s="294"/>
      <c r="SOK19" s="294"/>
      <c r="SOL19" s="294"/>
      <c r="SOM19" s="294"/>
      <c r="SON19" s="294"/>
      <c r="SOO19" s="294"/>
      <c r="SOP19" s="294"/>
      <c r="SOQ19" s="294"/>
      <c r="SOR19" s="294"/>
      <c r="SOS19" s="294"/>
      <c r="SOT19" s="294"/>
      <c r="SOU19" s="294"/>
      <c r="SOV19" s="294"/>
      <c r="SOW19" s="294"/>
      <c r="SOX19" s="294"/>
      <c r="SOY19" s="294"/>
      <c r="SOZ19" s="294"/>
      <c r="SPA19" s="294"/>
      <c r="SPB19" s="294"/>
      <c r="SPC19" s="294"/>
      <c r="SPD19" s="294"/>
      <c r="SPE19" s="294"/>
      <c r="SPF19" s="294"/>
      <c r="SPG19" s="294"/>
      <c r="SPH19" s="294"/>
      <c r="SPI19" s="294"/>
      <c r="SPJ19" s="294"/>
      <c r="SPK19" s="294"/>
      <c r="SPL19" s="294"/>
      <c r="SPM19" s="294"/>
      <c r="SPN19" s="294"/>
      <c r="SPO19" s="294"/>
      <c r="SPP19" s="294"/>
      <c r="SPQ19" s="294"/>
      <c r="SPR19" s="294"/>
      <c r="SPS19" s="294"/>
      <c r="SPT19" s="294"/>
      <c r="SPU19" s="294"/>
      <c r="SPV19" s="294"/>
      <c r="SPW19" s="294"/>
      <c r="SPX19" s="294"/>
      <c r="SPY19" s="294"/>
      <c r="SPZ19" s="294"/>
      <c r="SQA19" s="294"/>
      <c r="SQB19" s="294"/>
      <c r="SQC19" s="294"/>
      <c r="SQD19" s="294"/>
      <c r="SQE19" s="294"/>
      <c r="SQF19" s="294"/>
      <c r="SQG19" s="294"/>
      <c r="SQH19" s="294"/>
      <c r="SQI19" s="294"/>
      <c r="SQJ19" s="294"/>
      <c r="SQK19" s="294"/>
      <c r="SQL19" s="294"/>
      <c r="SQM19" s="294"/>
      <c r="SQN19" s="294"/>
      <c r="SQO19" s="294"/>
      <c r="SQP19" s="294"/>
      <c r="SQQ19" s="294"/>
      <c r="SQR19" s="294"/>
      <c r="SQS19" s="294"/>
      <c r="SQT19" s="294"/>
      <c r="SQU19" s="294"/>
      <c r="SQV19" s="294"/>
      <c r="SQW19" s="294"/>
      <c r="SQX19" s="294"/>
      <c r="SQY19" s="294"/>
      <c r="SQZ19" s="294"/>
      <c r="SRA19" s="294"/>
      <c r="SRB19" s="294"/>
      <c r="SRC19" s="294"/>
      <c r="SRD19" s="294"/>
      <c r="SRE19" s="294"/>
      <c r="SRF19" s="294"/>
      <c r="SRG19" s="294"/>
      <c r="SRH19" s="294"/>
      <c r="SRI19" s="294"/>
      <c r="SRJ19" s="294"/>
      <c r="SRK19" s="294"/>
      <c r="SRL19" s="294"/>
      <c r="SRM19" s="294"/>
      <c r="SRN19" s="294"/>
      <c r="SRO19" s="294"/>
      <c r="SRP19" s="294"/>
      <c r="SRQ19" s="294"/>
      <c r="SRR19" s="294"/>
      <c r="SRS19" s="294"/>
      <c r="SRT19" s="294"/>
      <c r="SRU19" s="294"/>
      <c r="SRV19" s="294"/>
      <c r="SRW19" s="294"/>
      <c r="SRX19" s="294"/>
      <c r="SRY19" s="294"/>
      <c r="SRZ19" s="294"/>
      <c r="SSA19" s="294"/>
      <c r="SSB19" s="294"/>
      <c r="SSC19" s="294"/>
      <c r="SSD19" s="294"/>
      <c r="SSE19" s="294"/>
      <c r="SSF19" s="294"/>
      <c r="SSG19" s="294"/>
      <c r="SSH19" s="294"/>
      <c r="SSI19" s="294"/>
      <c r="SSJ19" s="294"/>
      <c r="SSK19" s="294"/>
      <c r="SSL19" s="294"/>
      <c r="SSM19" s="294"/>
      <c r="SSN19" s="294"/>
      <c r="SSO19" s="294"/>
      <c r="SSP19" s="294"/>
      <c r="SSQ19" s="294"/>
      <c r="SSR19" s="294"/>
      <c r="SSS19" s="294"/>
      <c r="SST19" s="294"/>
      <c r="SSU19" s="294"/>
      <c r="SSV19" s="294"/>
      <c r="SSW19" s="294"/>
      <c r="SSX19" s="294"/>
      <c r="SSY19" s="294"/>
      <c r="SSZ19" s="294"/>
      <c r="STA19" s="294"/>
      <c r="STB19" s="294"/>
      <c r="STC19" s="294"/>
      <c r="STD19" s="294"/>
      <c r="STE19" s="294"/>
      <c r="STF19" s="294"/>
      <c r="STG19" s="294"/>
      <c r="STH19" s="294"/>
      <c r="STI19" s="294"/>
      <c r="STJ19" s="294"/>
      <c r="STK19" s="294"/>
      <c r="STL19" s="294"/>
      <c r="STM19" s="294"/>
      <c r="STN19" s="294"/>
      <c r="STO19" s="294"/>
      <c r="STP19" s="294"/>
      <c r="STQ19" s="294"/>
      <c r="STR19" s="294"/>
      <c r="STS19" s="294"/>
      <c r="STT19" s="294"/>
      <c r="STU19" s="294"/>
      <c r="STV19" s="294"/>
      <c r="STW19" s="294"/>
      <c r="STX19" s="294"/>
      <c r="STY19" s="294"/>
      <c r="STZ19" s="294"/>
      <c r="SUA19" s="294"/>
      <c r="SUB19" s="294"/>
      <c r="SUC19" s="294"/>
      <c r="SUD19" s="294"/>
      <c r="SUE19" s="294"/>
      <c r="SUF19" s="294"/>
      <c r="SUG19" s="294"/>
      <c r="SUH19" s="294"/>
      <c r="SUI19" s="294"/>
      <c r="SUJ19" s="294"/>
      <c r="SUK19" s="294"/>
      <c r="SUL19" s="294"/>
      <c r="SUM19" s="294"/>
      <c r="SUN19" s="294"/>
      <c r="SUO19" s="294"/>
      <c r="SUP19" s="294"/>
      <c r="SUQ19" s="294"/>
      <c r="SUR19" s="294"/>
      <c r="SUS19" s="294"/>
      <c r="SUT19" s="294"/>
      <c r="SUU19" s="294"/>
      <c r="SUV19" s="294"/>
      <c r="SUW19" s="294"/>
      <c r="SUX19" s="294"/>
      <c r="SUY19" s="294"/>
      <c r="SUZ19" s="294"/>
      <c r="SVA19" s="294"/>
      <c r="SVB19" s="294"/>
      <c r="SVC19" s="294"/>
      <c r="SVD19" s="294"/>
      <c r="SVE19" s="294"/>
      <c r="SVF19" s="294"/>
      <c r="SVG19" s="294"/>
      <c r="SVH19" s="294"/>
      <c r="SVI19" s="294"/>
      <c r="SVJ19" s="294"/>
      <c r="SVK19" s="294"/>
      <c r="SVL19" s="294"/>
      <c r="SVM19" s="294"/>
      <c r="SVN19" s="294"/>
      <c r="SVO19" s="294"/>
      <c r="SVP19" s="294"/>
      <c r="SVQ19" s="294"/>
      <c r="SVR19" s="294"/>
      <c r="SVS19" s="294"/>
      <c r="SVT19" s="294"/>
      <c r="SVU19" s="294"/>
      <c r="SVV19" s="294"/>
      <c r="SVW19" s="294"/>
      <c r="SVX19" s="294"/>
      <c r="SVY19" s="294"/>
      <c r="SVZ19" s="294"/>
      <c r="SWA19" s="294"/>
      <c r="SWB19" s="294"/>
      <c r="SWC19" s="294"/>
      <c r="SWD19" s="294"/>
      <c r="SWE19" s="294"/>
      <c r="SWF19" s="294"/>
      <c r="SWG19" s="294"/>
      <c r="SWH19" s="294"/>
      <c r="SWI19" s="294"/>
      <c r="SWJ19" s="294"/>
      <c r="SWK19" s="294"/>
      <c r="SWL19" s="294"/>
      <c r="SWM19" s="294"/>
      <c r="SWN19" s="294"/>
      <c r="SWO19" s="294"/>
      <c r="SWP19" s="294"/>
      <c r="SWQ19" s="294"/>
      <c r="SWR19" s="294"/>
      <c r="SWS19" s="294"/>
      <c r="SWT19" s="294"/>
      <c r="SWU19" s="294"/>
      <c r="SWV19" s="294"/>
      <c r="SWW19" s="294"/>
      <c r="SWX19" s="294"/>
      <c r="SWY19" s="294"/>
      <c r="SWZ19" s="294"/>
      <c r="SXA19" s="294"/>
      <c r="SXB19" s="294"/>
      <c r="SXC19" s="294"/>
      <c r="SXD19" s="294"/>
      <c r="SXE19" s="294"/>
      <c r="SXF19" s="294"/>
      <c r="SXG19" s="294"/>
      <c r="SXH19" s="294"/>
      <c r="SXI19" s="294"/>
      <c r="SXJ19" s="294"/>
      <c r="SXK19" s="294"/>
      <c r="SXL19" s="294"/>
      <c r="SXM19" s="294"/>
      <c r="SXN19" s="294"/>
      <c r="SXO19" s="294"/>
      <c r="SXP19" s="294"/>
      <c r="SXQ19" s="294"/>
      <c r="SXR19" s="294"/>
      <c r="SXS19" s="294"/>
      <c r="SXT19" s="294"/>
      <c r="SXU19" s="294"/>
      <c r="SXV19" s="294"/>
      <c r="SXW19" s="294"/>
      <c r="SXX19" s="294"/>
      <c r="SXY19" s="294"/>
      <c r="SXZ19" s="294"/>
      <c r="SYA19" s="294"/>
      <c r="SYB19" s="294"/>
      <c r="SYC19" s="294"/>
      <c r="SYD19" s="294"/>
      <c r="SYE19" s="294"/>
      <c r="SYF19" s="294"/>
      <c r="SYG19" s="294"/>
      <c r="SYH19" s="294"/>
      <c r="SYI19" s="294"/>
      <c r="SYJ19" s="294"/>
      <c r="SYK19" s="294"/>
      <c r="SYL19" s="294"/>
      <c r="SYM19" s="294"/>
      <c r="SYN19" s="294"/>
      <c r="SYO19" s="294"/>
      <c r="SYP19" s="294"/>
      <c r="SYQ19" s="294"/>
      <c r="SYR19" s="294"/>
      <c r="SYS19" s="294"/>
      <c r="SYT19" s="294"/>
      <c r="SYU19" s="294"/>
      <c r="SYV19" s="294"/>
      <c r="SYW19" s="294"/>
      <c r="SYX19" s="294"/>
      <c r="SYY19" s="294"/>
      <c r="SYZ19" s="294"/>
      <c r="SZA19" s="294"/>
      <c r="SZB19" s="294"/>
      <c r="SZC19" s="294"/>
      <c r="SZD19" s="294"/>
      <c r="SZE19" s="294"/>
      <c r="SZF19" s="294"/>
      <c r="SZG19" s="294"/>
      <c r="SZH19" s="294"/>
      <c r="SZI19" s="294"/>
      <c r="SZJ19" s="294"/>
      <c r="SZK19" s="294"/>
      <c r="SZL19" s="294"/>
      <c r="SZM19" s="294"/>
      <c r="SZN19" s="294"/>
      <c r="SZO19" s="294"/>
      <c r="SZP19" s="294"/>
      <c r="SZQ19" s="294"/>
      <c r="SZR19" s="294"/>
      <c r="SZS19" s="294"/>
      <c r="SZT19" s="294"/>
      <c r="SZU19" s="294"/>
      <c r="SZV19" s="294"/>
      <c r="SZW19" s="294"/>
      <c r="SZX19" s="294"/>
      <c r="SZY19" s="294"/>
      <c r="SZZ19" s="294"/>
      <c r="TAA19" s="294"/>
      <c r="TAB19" s="294"/>
      <c r="TAC19" s="294"/>
      <c r="TAD19" s="294"/>
      <c r="TAE19" s="294"/>
      <c r="TAF19" s="294"/>
      <c r="TAG19" s="294"/>
      <c r="TAH19" s="294"/>
      <c r="TAI19" s="294"/>
      <c r="TAJ19" s="294"/>
      <c r="TAK19" s="294"/>
      <c r="TAL19" s="294"/>
      <c r="TAM19" s="294"/>
      <c r="TAN19" s="294"/>
      <c r="TAO19" s="294"/>
      <c r="TAP19" s="294"/>
      <c r="TAQ19" s="294"/>
      <c r="TAR19" s="294"/>
      <c r="TAS19" s="294"/>
      <c r="TAT19" s="294"/>
      <c r="TAU19" s="294"/>
      <c r="TAV19" s="294"/>
      <c r="TAW19" s="294"/>
      <c r="TAX19" s="294"/>
      <c r="TAY19" s="294"/>
      <c r="TAZ19" s="294"/>
      <c r="TBA19" s="294"/>
      <c r="TBB19" s="294"/>
      <c r="TBC19" s="294"/>
      <c r="TBD19" s="294"/>
      <c r="TBE19" s="294"/>
      <c r="TBF19" s="294"/>
      <c r="TBG19" s="294"/>
      <c r="TBH19" s="294"/>
      <c r="TBI19" s="294"/>
      <c r="TBJ19" s="294"/>
      <c r="TBK19" s="294"/>
      <c r="TBL19" s="294"/>
      <c r="TBM19" s="294"/>
      <c r="TBN19" s="294"/>
      <c r="TBO19" s="294"/>
      <c r="TBP19" s="294"/>
      <c r="TBQ19" s="294"/>
      <c r="TBR19" s="294"/>
      <c r="TBS19" s="294"/>
      <c r="TBT19" s="294"/>
      <c r="TBU19" s="294"/>
      <c r="TBV19" s="294"/>
      <c r="TBW19" s="294"/>
      <c r="TBX19" s="294"/>
      <c r="TBY19" s="294"/>
      <c r="TBZ19" s="294"/>
      <c r="TCA19" s="294"/>
      <c r="TCB19" s="294"/>
      <c r="TCC19" s="294"/>
      <c r="TCD19" s="294"/>
      <c r="TCE19" s="294"/>
      <c r="TCF19" s="294"/>
      <c r="TCG19" s="294"/>
      <c r="TCH19" s="294"/>
      <c r="TCI19" s="294"/>
      <c r="TCJ19" s="294"/>
      <c r="TCK19" s="294"/>
      <c r="TCL19" s="294"/>
      <c r="TCM19" s="294"/>
      <c r="TCN19" s="294"/>
      <c r="TCO19" s="294"/>
      <c r="TCP19" s="294"/>
      <c r="TCQ19" s="294"/>
      <c r="TCR19" s="294"/>
      <c r="TCS19" s="294"/>
      <c r="TCT19" s="294"/>
      <c r="TCU19" s="294"/>
      <c r="TCV19" s="294"/>
      <c r="TCW19" s="294"/>
      <c r="TCX19" s="294"/>
      <c r="TCY19" s="294"/>
      <c r="TCZ19" s="294"/>
      <c r="TDA19" s="294"/>
      <c r="TDB19" s="294"/>
      <c r="TDC19" s="294"/>
      <c r="TDD19" s="294"/>
      <c r="TDE19" s="294"/>
      <c r="TDF19" s="294"/>
      <c r="TDG19" s="294"/>
      <c r="TDH19" s="294"/>
      <c r="TDI19" s="294"/>
      <c r="TDJ19" s="294"/>
      <c r="TDK19" s="294"/>
      <c r="TDL19" s="294"/>
      <c r="TDM19" s="294"/>
      <c r="TDN19" s="294"/>
      <c r="TDO19" s="294"/>
      <c r="TDP19" s="294"/>
      <c r="TDQ19" s="294"/>
      <c r="TDR19" s="294"/>
      <c r="TDS19" s="294"/>
      <c r="TDT19" s="294"/>
      <c r="TDU19" s="294"/>
      <c r="TDV19" s="294"/>
      <c r="TDW19" s="294"/>
      <c r="TDX19" s="294"/>
      <c r="TDY19" s="294"/>
      <c r="TDZ19" s="294"/>
      <c r="TEA19" s="294"/>
      <c r="TEB19" s="294"/>
      <c r="TEC19" s="294"/>
      <c r="TED19" s="294"/>
      <c r="TEE19" s="294"/>
      <c r="TEF19" s="294"/>
      <c r="TEG19" s="294"/>
      <c r="TEH19" s="294"/>
      <c r="TEI19" s="294"/>
      <c r="TEJ19" s="294"/>
      <c r="TEK19" s="294"/>
      <c r="TEL19" s="294"/>
      <c r="TEM19" s="294"/>
      <c r="TEN19" s="294"/>
      <c r="TEO19" s="294"/>
      <c r="TEP19" s="294"/>
      <c r="TEQ19" s="294"/>
      <c r="TER19" s="294"/>
      <c r="TES19" s="294"/>
      <c r="TET19" s="294"/>
      <c r="TEU19" s="294"/>
      <c r="TEV19" s="294"/>
      <c r="TEW19" s="294"/>
      <c r="TEX19" s="294"/>
      <c r="TEY19" s="294"/>
      <c r="TEZ19" s="294"/>
      <c r="TFA19" s="294"/>
      <c r="TFB19" s="294"/>
      <c r="TFC19" s="294"/>
      <c r="TFD19" s="294"/>
      <c r="TFE19" s="294"/>
      <c r="TFF19" s="294"/>
      <c r="TFG19" s="294"/>
      <c r="TFH19" s="294"/>
      <c r="TFI19" s="294"/>
      <c r="TFJ19" s="294"/>
      <c r="TFK19" s="294"/>
      <c r="TFL19" s="294"/>
      <c r="TFM19" s="294"/>
      <c r="TFN19" s="294"/>
      <c r="TFO19" s="294"/>
      <c r="TFP19" s="294"/>
      <c r="TFQ19" s="294"/>
      <c r="TFR19" s="294"/>
      <c r="TFS19" s="294"/>
      <c r="TFT19" s="294"/>
      <c r="TFU19" s="294"/>
      <c r="TFV19" s="294"/>
      <c r="TFW19" s="294"/>
      <c r="TFX19" s="294"/>
      <c r="TFY19" s="294"/>
      <c r="TFZ19" s="294"/>
      <c r="TGA19" s="294"/>
      <c r="TGB19" s="294"/>
      <c r="TGC19" s="294"/>
      <c r="TGD19" s="294"/>
      <c r="TGE19" s="294"/>
      <c r="TGF19" s="294"/>
      <c r="TGG19" s="294"/>
      <c r="TGH19" s="294"/>
      <c r="TGI19" s="294"/>
      <c r="TGJ19" s="294"/>
      <c r="TGK19" s="294"/>
      <c r="TGL19" s="294"/>
      <c r="TGM19" s="294"/>
      <c r="TGN19" s="294"/>
      <c r="TGO19" s="294"/>
      <c r="TGP19" s="294"/>
      <c r="TGQ19" s="294"/>
      <c r="TGR19" s="294"/>
      <c r="TGS19" s="294"/>
      <c r="TGT19" s="294"/>
      <c r="TGU19" s="294"/>
      <c r="TGV19" s="294"/>
      <c r="TGW19" s="294"/>
      <c r="TGX19" s="294"/>
      <c r="TGY19" s="294"/>
      <c r="TGZ19" s="294"/>
      <c r="THA19" s="294"/>
      <c r="THB19" s="294"/>
      <c r="THC19" s="294"/>
      <c r="THD19" s="294"/>
      <c r="THE19" s="294"/>
      <c r="THF19" s="294"/>
      <c r="THG19" s="294"/>
      <c r="THH19" s="294"/>
      <c r="THI19" s="294"/>
      <c r="THJ19" s="294"/>
      <c r="THK19" s="294"/>
      <c r="THL19" s="294"/>
      <c r="THM19" s="294"/>
      <c r="THN19" s="294"/>
      <c r="THO19" s="294"/>
      <c r="THP19" s="294"/>
      <c r="THQ19" s="294"/>
      <c r="THR19" s="294"/>
      <c r="THS19" s="294"/>
      <c r="THT19" s="294"/>
      <c r="THU19" s="294"/>
      <c r="THV19" s="294"/>
      <c r="THW19" s="294"/>
      <c r="THX19" s="294"/>
      <c r="THY19" s="294"/>
      <c r="THZ19" s="294"/>
      <c r="TIA19" s="294"/>
      <c r="TIB19" s="294"/>
      <c r="TIC19" s="294"/>
      <c r="TID19" s="294"/>
      <c r="TIE19" s="294"/>
      <c r="TIF19" s="294"/>
      <c r="TIG19" s="294"/>
      <c r="TIH19" s="294"/>
      <c r="TII19" s="294"/>
      <c r="TIJ19" s="294"/>
      <c r="TIK19" s="294"/>
      <c r="TIL19" s="294"/>
      <c r="TIM19" s="294"/>
      <c r="TIN19" s="294"/>
      <c r="TIO19" s="294"/>
      <c r="TIP19" s="294"/>
      <c r="TIQ19" s="294"/>
      <c r="TIR19" s="294"/>
      <c r="TIS19" s="294"/>
      <c r="TIT19" s="294"/>
      <c r="TIU19" s="294"/>
      <c r="TIV19" s="294"/>
      <c r="TIW19" s="294"/>
      <c r="TIX19" s="294"/>
      <c r="TIY19" s="294"/>
      <c r="TIZ19" s="294"/>
      <c r="TJA19" s="294"/>
      <c r="TJB19" s="294"/>
      <c r="TJC19" s="294"/>
      <c r="TJD19" s="294"/>
      <c r="TJE19" s="294"/>
      <c r="TJF19" s="294"/>
      <c r="TJG19" s="294"/>
      <c r="TJH19" s="294"/>
      <c r="TJI19" s="294"/>
      <c r="TJJ19" s="294"/>
      <c r="TJK19" s="294"/>
      <c r="TJL19" s="294"/>
      <c r="TJM19" s="294"/>
      <c r="TJN19" s="294"/>
      <c r="TJO19" s="294"/>
      <c r="TJP19" s="294"/>
      <c r="TJQ19" s="294"/>
      <c r="TJR19" s="294"/>
      <c r="TJS19" s="294"/>
      <c r="TJT19" s="294"/>
      <c r="TJU19" s="294"/>
      <c r="TJV19" s="294"/>
      <c r="TJW19" s="294"/>
      <c r="TJX19" s="294"/>
      <c r="TJY19" s="294"/>
      <c r="TJZ19" s="294"/>
      <c r="TKA19" s="294"/>
      <c r="TKB19" s="294"/>
      <c r="TKC19" s="294"/>
      <c r="TKD19" s="294"/>
      <c r="TKE19" s="294"/>
      <c r="TKF19" s="294"/>
      <c r="TKG19" s="294"/>
      <c r="TKH19" s="294"/>
      <c r="TKI19" s="294"/>
      <c r="TKJ19" s="294"/>
      <c r="TKK19" s="294"/>
      <c r="TKL19" s="294"/>
      <c r="TKM19" s="294"/>
      <c r="TKN19" s="294"/>
      <c r="TKO19" s="294"/>
      <c r="TKP19" s="294"/>
      <c r="TKQ19" s="294"/>
      <c r="TKR19" s="294"/>
      <c r="TKS19" s="294"/>
      <c r="TKT19" s="294"/>
      <c r="TKU19" s="294"/>
      <c r="TKV19" s="294"/>
      <c r="TKW19" s="294"/>
      <c r="TKX19" s="294"/>
      <c r="TKY19" s="294"/>
      <c r="TKZ19" s="294"/>
      <c r="TLA19" s="294"/>
      <c r="TLB19" s="294"/>
      <c r="TLC19" s="294"/>
      <c r="TLD19" s="294"/>
      <c r="TLE19" s="294"/>
      <c r="TLF19" s="294"/>
      <c r="TLG19" s="294"/>
      <c r="TLH19" s="294"/>
      <c r="TLI19" s="294"/>
      <c r="TLJ19" s="294"/>
      <c r="TLK19" s="294"/>
      <c r="TLL19" s="294"/>
      <c r="TLM19" s="294"/>
      <c r="TLN19" s="294"/>
      <c r="TLO19" s="294"/>
      <c r="TLP19" s="294"/>
      <c r="TLQ19" s="294"/>
      <c r="TLR19" s="294"/>
      <c r="TLS19" s="294"/>
      <c r="TLT19" s="294"/>
      <c r="TLU19" s="294"/>
      <c r="TLV19" s="294"/>
      <c r="TLW19" s="294"/>
      <c r="TLX19" s="294"/>
      <c r="TLY19" s="294"/>
      <c r="TLZ19" s="294"/>
      <c r="TMA19" s="294"/>
      <c r="TMB19" s="294"/>
      <c r="TMC19" s="294"/>
      <c r="TMD19" s="294"/>
      <c r="TME19" s="294"/>
      <c r="TMF19" s="294"/>
      <c r="TMG19" s="294"/>
      <c r="TMH19" s="294"/>
      <c r="TMI19" s="294"/>
      <c r="TMJ19" s="294"/>
      <c r="TMK19" s="294"/>
      <c r="TML19" s="294"/>
      <c r="TMM19" s="294"/>
      <c r="TMN19" s="294"/>
      <c r="TMO19" s="294"/>
      <c r="TMP19" s="294"/>
      <c r="TMQ19" s="294"/>
      <c r="TMR19" s="294"/>
      <c r="TMS19" s="294"/>
      <c r="TMT19" s="294"/>
      <c r="TMU19" s="294"/>
      <c r="TMV19" s="294"/>
      <c r="TMW19" s="294"/>
      <c r="TMX19" s="294"/>
      <c r="TMY19" s="294"/>
      <c r="TMZ19" s="294"/>
      <c r="TNA19" s="294"/>
      <c r="TNB19" s="294"/>
      <c r="TNC19" s="294"/>
      <c r="TND19" s="294"/>
      <c r="TNE19" s="294"/>
      <c r="TNF19" s="294"/>
      <c r="TNG19" s="294"/>
      <c r="TNH19" s="294"/>
      <c r="TNI19" s="294"/>
      <c r="TNJ19" s="294"/>
      <c r="TNK19" s="294"/>
      <c r="TNL19" s="294"/>
      <c r="TNM19" s="294"/>
      <c r="TNN19" s="294"/>
      <c r="TNO19" s="294"/>
      <c r="TNP19" s="294"/>
      <c r="TNQ19" s="294"/>
      <c r="TNR19" s="294"/>
      <c r="TNS19" s="294"/>
      <c r="TNT19" s="294"/>
      <c r="TNU19" s="294"/>
      <c r="TNV19" s="294"/>
      <c r="TNW19" s="294"/>
      <c r="TNX19" s="294"/>
      <c r="TNY19" s="294"/>
      <c r="TNZ19" s="294"/>
      <c r="TOA19" s="294"/>
      <c r="TOB19" s="294"/>
      <c r="TOC19" s="294"/>
      <c r="TOD19" s="294"/>
      <c r="TOE19" s="294"/>
      <c r="TOF19" s="294"/>
      <c r="TOG19" s="294"/>
      <c r="TOH19" s="294"/>
      <c r="TOI19" s="294"/>
      <c r="TOJ19" s="294"/>
      <c r="TOK19" s="294"/>
      <c r="TOL19" s="294"/>
      <c r="TOM19" s="294"/>
      <c r="TON19" s="294"/>
      <c r="TOO19" s="294"/>
      <c r="TOP19" s="294"/>
      <c r="TOQ19" s="294"/>
      <c r="TOR19" s="294"/>
      <c r="TOS19" s="294"/>
      <c r="TOT19" s="294"/>
      <c r="TOU19" s="294"/>
      <c r="TOV19" s="294"/>
      <c r="TOW19" s="294"/>
      <c r="TOX19" s="294"/>
      <c r="TOY19" s="294"/>
      <c r="TOZ19" s="294"/>
      <c r="TPA19" s="294"/>
      <c r="TPB19" s="294"/>
      <c r="TPC19" s="294"/>
      <c r="TPD19" s="294"/>
      <c r="TPE19" s="294"/>
      <c r="TPF19" s="294"/>
      <c r="TPG19" s="294"/>
      <c r="TPH19" s="294"/>
      <c r="TPI19" s="294"/>
      <c r="TPJ19" s="294"/>
      <c r="TPK19" s="294"/>
      <c r="TPL19" s="294"/>
      <c r="TPM19" s="294"/>
      <c r="TPN19" s="294"/>
      <c r="TPO19" s="294"/>
      <c r="TPP19" s="294"/>
      <c r="TPQ19" s="294"/>
      <c r="TPR19" s="294"/>
      <c r="TPS19" s="294"/>
      <c r="TPT19" s="294"/>
      <c r="TPU19" s="294"/>
      <c r="TPV19" s="294"/>
      <c r="TPW19" s="294"/>
      <c r="TPX19" s="294"/>
      <c r="TPY19" s="294"/>
      <c r="TPZ19" s="294"/>
      <c r="TQA19" s="294"/>
      <c r="TQB19" s="294"/>
      <c r="TQC19" s="294"/>
      <c r="TQD19" s="294"/>
      <c r="TQE19" s="294"/>
      <c r="TQF19" s="294"/>
      <c r="TQG19" s="294"/>
      <c r="TQH19" s="294"/>
      <c r="TQI19" s="294"/>
      <c r="TQJ19" s="294"/>
      <c r="TQK19" s="294"/>
      <c r="TQL19" s="294"/>
      <c r="TQM19" s="294"/>
      <c r="TQN19" s="294"/>
      <c r="TQO19" s="294"/>
      <c r="TQP19" s="294"/>
      <c r="TQQ19" s="294"/>
      <c r="TQR19" s="294"/>
      <c r="TQS19" s="294"/>
      <c r="TQT19" s="294"/>
      <c r="TQU19" s="294"/>
      <c r="TQV19" s="294"/>
      <c r="TQW19" s="294"/>
      <c r="TQX19" s="294"/>
      <c r="TQY19" s="294"/>
      <c r="TQZ19" s="294"/>
      <c r="TRA19" s="294"/>
      <c r="TRB19" s="294"/>
      <c r="TRC19" s="294"/>
      <c r="TRD19" s="294"/>
      <c r="TRE19" s="294"/>
      <c r="TRF19" s="294"/>
      <c r="TRG19" s="294"/>
      <c r="TRH19" s="294"/>
      <c r="TRI19" s="294"/>
      <c r="TRJ19" s="294"/>
      <c r="TRK19" s="294"/>
      <c r="TRL19" s="294"/>
      <c r="TRM19" s="294"/>
      <c r="TRN19" s="294"/>
      <c r="TRO19" s="294"/>
      <c r="TRP19" s="294"/>
      <c r="TRQ19" s="294"/>
      <c r="TRR19" s="294"/>
      <c r="TRS19" s="294"/>
      <c r="TRT19" s="294"/>
      <c r="TRU19" s="294"/>
      <c r="TRV19" s="294"/>
      <c r="TRW19" s="294"/>
      <c r="TRX19" s="294"/>
      <c r="TRY19" s="294"/>
      <c r="TRZ19" s="294"/>
      <c r="TSA19" s="294"/>
      <c r="TSB19" s="294"/>
      <c r="TSC19" s="294"/>
      <c r="TSD19" s="294"/>
      <c r="TSE19" s="294"/>
      <c r="TSF19" s="294"/>
      <c r="TSG19" s="294"/>
      <c r="TSH19" s="294"/>
      <c r="TSI19" s="294"/>
      <c r="TSJ19" s="294"/>
      <c r="TSK19" s="294"/>
      <c r="TSL19" s="294"/>
      <c r="TSM19" s="294"/>
      <c r="TSN19" s="294"/>
      <c r="TSO19" s="294"/>
      <c r="TSP19" s="294"/>
      <c r="TSQ19" s="294"/>
      <c r="TSR19" s="294"/>
      <c r="TSS19" s="294"/>
      <c r="TST19" s="294"/>
      <c r="TSU19" s="294"/>
      <c r="TSV19" s="294"/>
      <c r="TSW19" s="294"/>
      <c r="TSX19" s="294"/>
      <c r="TSY19" s="294"/>
      <c r="TSZ19" s="294"/>
      <c r="TTA19" s="294"/>
      <c r="TTB19" s="294"/>
      <c r="TTC19" s="294"/>
      <c r="TTD19" s="294"/>
      <c r="TTE19" s="294"/>
      <c r="TTF19" s="294"/>
      <c r="TTG19" s="294"/>
      <c r="TTH19" s="294"/>
      <c r="TTI19" s="294"/>
      <c r="TTJ19" s="294"/>
      <c r="TTK19" s="294"/>
      <c r="TTL19" s="294"/>
      <c r="TTM19" s="294"/>
      <c r="TTN19" s="294"/>
      <c r="TTO19" s="294"/>
      <c r="TTP19" s="294"/>
      <c r="TTQ19" s="294"/>
      <c r="TTR19" s="294"/>
      <c r="TTS19" s="294"/>
      <c r="TTT19" s="294"/>
      <c r="TTU19" s="294"/>
      <c r="TTV19" s="294"/>
      <c r="TTW19" s="294"/>
      <c r="TTX19" s="294"/>
      <c r="TTY19" s="294"/>
      <c r="TTZ19" s="294"/>
      <c r="TUA19" s="294"/>
      <c r="TUB19" s="294"/>
      <c r="TUC19" s="294"/>
      <c r="TUD19" s="294"/>
      <c r="TUE19" s="294"/>
      <c r="TUF19" s="294"/>
      <c r="TUG19" s="294"/>
      <c r="TUH19" s="294"/>
      <c r="TUI19" s="294"/>
      <c r="TUJ19" s="294"/>
      <c r="TUK19" s="294"/>
      <c r="TUL19" s="294"/>
      <c r="TUM19" s="294"/>
      <c r="TUN19" s="294"/>
      <c r="TUO19" s="294"/>
      <c r="TUP19" s="294"/>
      <c r="TUQ19" s="294"/>
      <c r="TUR19" s="294"/>
      <c r="TUS19" s="294"/>
      <c r="TUT19" s="294"/>
      <c r="TUU19" s="294"/>
      <c r="TUV19" s="294"/>
      <c r="TUW19" s="294"/>
      <c r="TUX19" s="294"/>
      <c r="TUY19" s="294"/>
      <c r="TUZ19" s="294"/>
      <c r="TVA19" s="294"/>
      <c r="TVB19" s="294"/>
      <c r="TVC19" s="294"/>
      <c r="TVD19" s="294"/>
      <c r="TVE19" s="294"/>
      <c r="TVF19" s="294"/>
      <c r="TVG19" s="294"/>
      <c r="TVH19" s="294"/>
      <c r="TVI19" s="294"/>
      <c r="TVJ19" s="294"/>
      <c r="TVK19" s="294"/>
      <c r="TVL19" s="294"/>
      <c r="TVM19" s="294"/>
      <c r="TVN19" s="294"/>
      <c r="TVO19" s="294"/>
      <c r="TVP19" s="294"/>
      <c r="TVQ19" s="294"/>
      <c r="TVR19" s="294"/>
      <c r="TVS19" s="294"/>
      <c r="TVT19" s="294"/>
      <c r="TVU19" s="294"/>
      <c r="TVV19" s="294"/>
      <c r="TVW19" s="294"/>
      <c r="TVX19" s="294"/>
      <c r="TVY19" s="294"/>
      <c r="TVZ19" s="294"/>
      <c r="TWA19" s="294"/>
      <c r="TWB19" s="294"/>
      <c r="TWC19" s="294"/>
      <c r="TWD19" s="294"/>
      <c r="TWE19" s="294"/>
      <c r="TWF19" s="294"/>
      <c r="TWG19" s="294"/>
      <c r="TWH19" s="294"/>
      <c r="TWI19" s="294"/>
      <c r="TWJ19" s="294"/>
      <c r="TWK19" s="294"/>
      <c r="TWL19" s="294"/>
      <c r="TWM19" s="294"/>
      <c r="TWN19" s="294"/>
      <c r="TWO19" s="294"/>
      <c r="TWP19" s="294"/>
      <c r="TWQ19" s="294"/>
      <c r="TWR19" s="294"/>
      <c r="TWS19" s="294"/>
      <c r="TWT19" s="294"/>
      <c r="TWU19" s="294"/>
      <c r="TWV19" s="294"/>
      <c r="TWW19" s="294"/>
      <c r="TWX19" s="294"/>
      <c r="TWY19" s="294"/>
      <c r="TWZ19" s="294"/>
      <c r="TXA19" s="294"/>
      <c r="TXB19" s="294"/>
      <c r="TXC19" s="294"/>
      <c r="TXD19" s="294"/>
      <c r="TXE19" s="294"/>
      <c r="TXF19" s="294"/>
      <c r="TXG19" s="294"/>
      <c r="TXH19" s="294"/>
      <c r="TXI19" s="294"/>
      <c r="TXJ19" s="294"/>
      <c r="TXK19" s="294"/>
      <c r="TXL19" s="294"/>
      <c r="TXM19" s="294"/>
      <c r="TXN19" s="294"/>
      <c r="TXO19" s="294"/>
      <c r="TXP19" s="294"/>
      <c r="TXQ19" s="294"/>
      <c r="TXR19" s="294"/>
      <c r="TXS19" s="294"/>
      <c r="TXT19" s="294"/>
      <c r="TXU19" s="294"/>
      <c r="TXV19" s="294"/>
      <c r="TXW19" s="294"/>
      <c r="TXX19" s="294"/>
      <c r="TXY19" s="294"/>
      <c r="TXZ19" s="294"/>
      <c r="TYA19" s="294"/>
      <c r="TYB19" s="294"/>
      <c r="TYC19" s="294"/>
      <c r="TYD19" s="294"/>
      <c r="TYE19" s="294"/>
      <c r="TYF19" s="294"/>
      <c r="TYG19" s="294"/>
      <c r="TYH19" s="294"/>
      <c r="TYI19" s="294"/>
      <c r="TYJ19" s="294"/>
      <c r="TYK19" s="294"/>
      <c r="TYL19" s="294"/>
      <c r="TYM19" s="294"/>
      <c r="TYN19" s="294"/>
      <c r="TYO19" s="294"/>
      <c r="TYP19" s="294"/>
      <c r="TYQ19" s="294"/>
      <c r="TYR19" s="294"/>
      <c r="TYS19" s="294"/>
      <c r="TYT19" s="294"/>
      <c r="TYU19" s="294"/>
      <c r="TYV19" s="294"/>
      <c r="TYW19" s="294"/>
      <c r="TYX19" s="294"/>
      <c r="TYY19" s="294"/>
      <c r="TYZ19" s="294"/>
      <c r="TZA19" s="294"/>
      <c r="TZB19" s="294"/>
      <c r="TZC19" s="294"/>
      <c r="TZD19" s="294"/>
      <c r="TZE19" s="294"/>
      <c r="TZF19" s="294"/>
      <c r="TZG19" s="294"/>
      <c r="TZH19" s="294"/>
      <c r="TZI19" s="294"/>
      <c r="TZJ19" s="294"/>
      <c r="TZK19" s="294"/>
      <c r="TZL19" s="294"/>
      <c r="TZM19" s="294"/>
      <c r="TZN19" s="294"/>
      <c r="TZO19" s="294"/>
      <c r="TZP19" s="294"/>
      <c r="TZQ19" s="294"/>
      <c r="TZR19" s="294"/>
      <c r="TZS19" s="294"/>
      <c r="TZT19" s="294"/>
      <c r="TZU19" s="294"/>
      <c r="TZV19" s="294"/>
      <c r="TZW19" s="294"/>
      <c r="TZX19" s="294"/>
      <c r="TZY19" s="294"/>
      <c r="TZZ19" s="294"/>
      <c r="UAA19" s="294"/>
      <c r="UAB19" s="294"/>
      <c r="UAC19" s="294"/>
      <c r="UAD19" s="294"/>
      <c r="UAE19" s="294"/>
      <c r="UAF19" s="294"/>
      <c r="UAG19" s="294"/>
      <c r="UAH19" s="294"/>
      <c r="UAI19" s="294"/>
      <c r="UAJ19" s="294"/>
      <c r="UAK19" s="294"/>
      <c r="UAL19" s="294"/>
      <c r="UAM19" s="294"/>
      <c r="UAN19" s="294"/>
      <c r="UAO19" s="294"/>
      <c r="UAP19" s="294"/>
      <c r="UAQ19" s="294"/>
      <c r="UAR19" s="294"/>
      <c r="UAS19" s="294"/>
      <c r="UAT19" s="294"/>
      <c r="UAU19" s="294"/>
      <c r="UAV19" s="294"/>
      <c r="UAW19" s="294"/>
      <c r="UAX19" s="294"/>
      <c r="UAY19" s="294"/>
      <c r="UAZ19" s="294"/>
      <c r="UBA19" s="294"/>
      <c r="UBB19" s="294"/>
      <c r="UBC19" s="294"/>
      <c r="UBD19" s="294"/>
      <c r="UBE19" s="294"/>
      <c r="UBF19" s="294"/>
      <c r="UBG19" s="294"/>
      <c r="UBH19" s="294"/>
      <c r="UBI19" s="294"/>
      <c r="UBJ19" s="294"/>
      <c r="UBK19" s="294"/>
      <c r="UBL19" s="294"/>
      <c r="UBM19" s="294"/>
      <c r="UBN19" s="294"/>
      <c r="UBO19" s="294"/>
      <c r="UBP19" s="294"/>
      <c r="UBQ19" s="294"/>
      <c r="UBR19" s="294"/>
      <c r="UBS19" s="294"/>
      <c r="UBT19" s="294"/>
      <c r="UBU19" s="294"/>
      <c r="UBV19" s="294"/>
      <c r="UBW19" s="294"/>
      <c r="UBX19" s="294"/>
      <c r="UBY19" s="294"/>
      <c r="UBZ19" s="294"/>
      <c r="UCA19" s="294"/>
      <c r="UCB19" s="294"/>
      <c r="UCC19" s="294"/>
      <c r="UCD19" s="294"/>
      <c r="UCE19" s="294"/>
      <c r="UCF19" s="294"/>
      <c r="UCG19" s="294"/>
      <c r="UCH19" s="294"/>
      <c r="UCI19" s="294"/>
      <c r="UCJ19" s="294"/>
      <c r="UCK19" s="294"/>
      <c r="UCL19" s="294"/>
      <c r="UCM19" s="294"/>
      <c r="UCN19" s="294"/>
      <c r="UCO19" s="294"/>
      <c r="UCP19" s="294"/>
      <c r="UCQ19" s="294"/>
      <c r="UCR19" s="294"/>
      <c r="UCS19" s="294"/>
      <c r="UCT19" s="294"/>
      <c r="UCU19" s="294"/>
      <c r="UCV19" s="294"/>
      <c r="UCW19" s="294"/>
      <c r="UCX19" s="294"/>
      <c r="UCY19" s="294"/>
      <c r="UCZ19" s="294"/>
      <c r="UDA19" s="294"/>
      <c r="UDB19" s="294"/>
      <c r="UDC19" s="294"/>
      <c r="UDD19" s="294"/>
      <c r="UDE19" s="294"/>
      <c r="UDF19" s="294"/>
      <c r="UDG19" s="294"/>
      <c r="UDH19" s="294"/>
      <c r="UDI19" s="294"/>
      <c r="UDJ19" s="294"/>
      <c r="UDK19" s="294"/>
      <c r="UDL19" s="294"/>
      <c r="UDM19" s="294"/>
      <c r="UDN19" s="294"/>
      <c r="UDO19" s="294"/>
      <c r="UDP19" s="294"/>
      <c r="UDQ19" s="294"/>
      <c r="UDR19" s="294"/>
      <c r="UDS19" s="294"/>
      <c r="UDT19" s="294"/>
      <c r="UDU19" s="294"/>
      <c r="UDV19" s="294"/>
      <c r="UDW19" s="294"/>
      <c r="UDX19" s="294"/>
      <c r="UDY19" s="294"/>
      <c r="UDZ19" s="294"/>
      <c r="UEA19" s="294"/>
      <c r="UEB19" s="294"/>
      <c r="UEC19" s="294"/>
      <c r="UED19" s="294"/>
      <c r="UEE19" s="294"/>
      <c r="UEF19" s="294"/>
      <c r="UEG19" s="294"/>
      <c r="UEH19" s="294"/>
      <c r="UEI19" s="294"/>
      <c r="UEJ19" s="294"/>
      <c r="UEK19" s="294"/>
      <c r="UEL19" s="294"/>
      <c r="UEM19" s="294"/>
      <c r="UEN19" s="294"/>
      <c r="UEO19" s="294"/>
      <c r="UEP19" s="294"/>
      <c r="UEQ19" s="294"/>
      <c r="UER19" s="294"/>
      <c r="UES19" s="294"/>
      <c r="UET19" s="294"/>
      <c r="UEU19" s="294"/>
      <c r="UEV19" s="294"/>
      <c r="UEW19" s="294"/>
      <c r="UEX19" s="294"/>
      <c r="UEY19" s="294"/>
      <c r="UEZ19" s="294"/>
      <c r="UFA19" s="294"/>
      <c r="UFB19" s="294"/>
      <c r="UFC19" s="294"/>
      <c r="UFD19" s="294"/>
      <c r="UFE19" s="294"/>
      <c r="UFF19" s="294"/>
      <c r="UFG19" s="294"/>
      <c r="UFH19" s="294"/>
      <c r="UFI19" s="294"/>
      <c r="UFJ19" s="294"/>
      <c r="UFK19" s="294"/>
      <c r="UFL19" s="294"/>
      <c r="UFM19" s="294"/>
      <c r="UFN19" s="294"/>
      <c r="UFO19" s="294"/>
      <c r="UFP19" s="294"/>
      <c r="UFQ19" s="294"/>
      <c r="UFR19" s="294"/>
      <c r="UFS19" s="294"/>
      <c r="UFT19" s="294"/>
      <c r="UFU19" s="294"/>
      <c r="UFV19" s="294"/>
      <c r="UFW19" s="294"/>
      <c r="UFX19" s="294"/>
      <c r="UFY19" s="294"/>
      <c r="UFZ19" s="294"/>
      <c r="UGA19" s="294"/>
      <c r="UGB19" s="294"/>
      <c r="UGC19" s="294"/>
      <c r="UGD19" s="294"/>
      <c r="UGE19" s="294"/>
      <c r="UGF19" s="294"/>
      <c r="UGG19" s="294"/>
      <c r="UGH19" s="294"/>
      <c r="UGI19" s="294"/>
      <c r="UGJ19" s="294"/>
      <c r="UGK19" s="294"/>
      <c r="UGL19" s="294"/>
      <c r="UGM19" s="294"/>
      <c r="UGN19" s="294"/>
      <c r="UGO19" s="294"/>
      <c r="UGP19" s="294"/>
      <c r="UGQ19" s="294"/>
      <c r="UGR19" s="294"/>
      <c r="UGS19" s="294"/>
      <c r="UGT19" s="294"/>
      <c r="UGU19" s="294"/>
      <c r="UGV19" s="294"/>
      <c r="UGW19" s="294"/>
      <c r="UGX19" s="294"/>
      <c r="UGY19" s="294"/>
      <c r="UGZ19" s="294"/>
      <c r="UHA19" s="294"/>
      <c r="UHB19" s="294"/>
      <c r="UHC19" s="294"/>
      <c r="UHD19" s="294"/>
      <c r="UHE19" s="294"/>
      <c r="UHF19" s="294"/>
      <c r="UHG19" s="294"/>
      <c r="UHH19" s="294"/>
      <c r="UHI19" s="294"/>
      <c r="UHJ19" s="294"/>
      <c r="UHK19" s="294"/>
      <c r="UHL19" s="294"/>
      <c r="UHM19" s="294"/>
      <c r="UHN19" s="294"/>
      <c r="UHO19" s="294"/>
      <c r="UHP19" s="294"/>
      <c r="UHQ19" s="294"/>
      <c r="UHR19" s="294"/>
      <c r="UHS19" s="294"/>
      <c r="UHT19" s="294"/>
      <c r="UHU19" s="294"/>
      <c r="UHV19" s="294"/>
      <c r="UHW19" s="294"/>
      <c r="UHX19" s="294"/>
      <c r="UHY19" s="294"/>
      <c r="UHZ19" s="294"/>
      <c r="UIA19" s="294"/>
      <c r="UIB19" s="294"/>
      <c r="UIC19" s="294"/>
      <c r="UID19" s="294"/>
      <c r="UIE19" s="294"/>
      <c r="UIF19" s="294"/>
      <c r="UIG19" s="294"/>
      <c r="UIH19" s="294"/>
      <c r="UII19" s="294"/>
      <c r="UIJ19" s="294"/>
      <c r="UIK19" s="294"/>
      <c r="UIL19" s="294"/>
      <c r="UIM19" s="294"/>
      <c r="UIN19" s="294"/>
      <c r="UIO19" s="294"/>
      <c r="UIP19" s="294"/>
      <c r="UIQ19" s="294"/>
      <c r="UIR19" s="294"/>
      <c r="UIS19" s="294"/>
      <c r="UIT19" s="294"/>
      <c r="UIU19" s="294"/>
      <c r="UIV19" s="294"/>
      <c r="UIW19" s="294"/>
      <c r="UIX19" s="294"/>
      <c r="UIY19" s="294"/>
      <c r="UIZ19" s="294"/>
      <c r="UJA19" s="294"/>
      <c r="UJB19" s="294"/>
      <c r="UJC19" s="294"/>
      <c r="UJD19" s="294"/>
      <c r="UJE19" s="294"/>
      <c r="UJF19" s="294"/>
      <c r="UJG19" s="294"/>
      <c r="UJH19" s="294"/>
      <c r="UJI19" s="294"/>
      <c r="UJJ19" s="294"/>
      <c r="UJK19" s="294"/>
      <c r="UJL19" s="294"/>
      <c r="UJM19" s="294"/>
      <c r="UJN19" s="294"/>
      <c r="UJO19" s="294"/>
      <c r="UJP19" s="294"/>
      <c r="UJQ19" s="294"/>
      <c r="UJR19" s="294"/>
      <c r="UJS19" s="294"/>
      <c r="UJT19" s="294"/>
      <c r="UJU19" s="294"/>
      <c r="UJV19" s="294"/>
      <c r="UJW19" s="294"/>
      <c r="UJX19" s="294"/>
      <c r="UJY19" s="294"/>
      <c r="UJZ19" s="294"/>
      <c r="UKA19" s="294"/>
      <c r="UKB19" s="294"/>
      <c r="UKC19" s="294"/>
      <c r="UKD19" s="294"/>
      <c r="UKE19" s="294"/>
      <c r="UKF19" s="294"/>
      <c r="UKG19" s="294"/>
      <c r="UKH19" s="294"/>
      <c r="UKI19" s="294"/>
      <c r="UKJ19" s="294"/>
      <c r="UKK19" s="294"/>
      <c r="UKL19" s="294"/>
      <c r="UKM19" s="294"/>
      <c r="UKN19" s="294"/>
      <c r="UKO19" s="294"/>
      <c r="UKP19" s="294"/>
      <c r="UKQ19" s="294"/>
      <c r="UKR19" s="294"/>
      <c r="UKS19" s="294"/>
      <c r="UKT19" s="294"/>
      <c r="UKU19" s="294"/>
      <c r="UKV19" s="294"/>
      <c r="UKW19" s="294"/>
      <c r="UKX19" s="294"/>
      <c r="UKY19" s="294"/>
      <c r="UKZ19" s="294"/>
      <c r="ULA19" s="294"/>
      <c r="ULB19" s="294"/>
      <c r="ULC19" s="294"/>
      <c r="ULD19" s="294"/>
      <c r="ULE19" s="294"/>
      <c r="ULF19" s="294"/>
      <c r="ULG19" s="294"/>
      <c r="ULH19" s="294"/>
      <c r="ULI19" s="294"/>
      <c r="ULJ19" s="294"/>
      <c r="ULK19" s="294"/>
      <c r="ULL19" s="294"/>
      <c r="ULM19" s="294"/>
      <c r="ULN19" s="294"/>
      <c r="ULO19" s="294"/>
      <c r="ULP19" s="294"/>
      <c r="ULQ19" s="294"/>
      <c r="ULR19" s="294"/>
      <c r="ULS19" s="294"/>
      <c r="ULT19" s="294"/>
      <c r="ULU19" s="294"/>
      <c r="ULV19" s="294"/>
      <c r="ULW19" s="294"/>
      <c r="ULX19" s="294"/>
      <c r="ULY19" s="294"/>
      <c r="ULZ19" s="294"/>
      <c r="UMA19" s="294"/>
      <c r="UMB19" s="294"/>
      <c r="UMC19" s="294"/>
      <c r="UMD19" s="294"/>
      <c r="UME19" s="294"/>
      <c r="UMF19" s="294"/>
      <c r="UMG19" s="294"/>
      <c r="UMH19" s="294"/>
      <c r="UMI19" s="294"/>
      <c r="UMJ19" s="294"/>
      <c r="UMK19" s="294"/>
      <c r="UML19" s="294"/>
      <c r="UMM19" s="294"/>
      <c r="UMN19" s="294"/>
      <c r="UMO19" s="294"/>
      <c r="UMP19" s="294"/>
      <c r="UMQ19" s="294"/>
      <c r="UMR19" s="294"/>
      <c r="UMS19" s="294"/>
      <c r="UMT19" s="294"/>
      <c r="UMU19" s="294"/>
      <c r="UMV19" s="294"/>
      <c r="UMW19" s="294"/>
      <c r="UMX19" s="294"/>
      <c r="UMY19" s="294"/>
      <c r="UMZ19" s="294"/>
      <c r="UNA19" s="294"/>
      <c r="UNB19" s="294"/>
      <c r="UNC19" s="294"/>
      <c r="UND19" s="294"/>
      <c r="UNE19" s="294"/>
      <c r="UNF19" s="294"/>
      <c r="UNG19" s="294"/>
      <c r="UNH19" s="294"/>
      <c r="UNI19" s="294"/>
      <c r="UNJ19" s="294"/>
      <c r="UNK19" s="294"/>
      <c r="UNL19" s="294"/>
      <c r="UNM19" s="294"/>
      <c r="UNN19" s="294"/>
      <c r="UNO19" s="294"/>
      <c r="UNP19" s="294"/>
      <c r="UNQ19" s="294"/>
      <c r="UNR19" s="294"/>
      <c r="UNS19" s="294"/>
      <c r="UNT19" s="294"/>
      <c r="UNU19" s="294"/>
      <c r="UNV19" s="294"/>
      <c r="UNW19" s="294"/>
      <c r="UNX19" s="294"/>
      <c r="UNY19" s="294"/>
      <c r="UNZ19" s="294"/>
      <c r="UOA19" s="294"/>
      <c r="UOB19" s="294"/>
      <c r="UOC19" s="294"/>
      <c r="UOD19" s="294"/>
      <c r="UOE19" s="294"/>
      <c r="UOF19" s="294"/>
      <c r="UOG19" s="294"/>
      <c r="UOH19" s="294"/>
      <c r="UOI19" s="294"/>
      <c r="UOJ19" s="294"/>
      <c r="UOK19" s="294"/>
      <c r="UOL19" s="294"/>
      <c r="UOM19" s="294"/>
      <c r="UON19" s="294"/>
      <c r="UOO19" s="294"/>
      <c r="UOP19" s="294"/>
      <c r="UOQ19" s="294"/>
      <c r="UOR19" s="294"/>
      <c r="UOS19" s="294"/>
      <c r="UOT19" s="294"/>
      <c r="UOU19" s="294"/>
      <c r="UOV19" s="294"/>
      <c r="UOW19" s="294"/>
      <c r="UOX19" s="294"/>
      <c r="UOY19" s="294"/>
      <c r="UOZ19" s="294"/>
      <c r="UPA19" s="294"/>
      <c r="UPB19" s="294"/>
      <c r="UPC19" s="294"/>
      <c r="UPD19" s="294"/>
      <c r="UPE19" s="294"/>
      <c r="UPF19" s="294"/>
      <c r="UPG19" s="294"/>
      <c r="UPH19" s="294"/>
      <c r="UPI19" s="294"/>
      <c r="UPJ19" s="294"/>
      <c r="UPK19" s="294"/>
      <c r="UPL19" s="294"/>
      <c r="UPM19" s="294"/>
      <c r="UPN19" s="294"/>
      <c r="UPO19" s="294"/>
      <c r="UPP19" s="294"/>
      <c r="UPQ19" s="294"/>
      <c r="UPR19" s="294"/>
      <c r="UPS19" s="294"/>
      <c r="UPT19" s="294"/>
      <c r="UPU19" s="294"/>
      <c r="UPV19" s="294"/>
      <c r="UPW19" s="294"/>
      <c r="UPX19" s="294"/>
      <c r="UPY19" s="294"/>
      <c r="UPZ19" s="294"/>
      <c r="UQA19" s="294"/>
      <c r="UQB19" s="294"/>
      <c r="UQC19" s="294"/>
      <c r="UQD19" s="294"/>
      <c r="UQE19" s="294"/>
      <c r="UQF19" s="294"/>
      <c r="UQG19" s="294"/>
      <c r="UQH19" s="294"/>
      <c r="UQI19" s="294"/>
      <c r="UQJ19" s="294"/>
      <c r="UQK19" s="294"/>
      <c r="UQL19" s="294"/>
      <c r="UQM19" s="294"/>
      <c r="UQN19" s="294"/>
      <c r="UQO19" s="294"/>
      <c r="UQP19" s="294"/>
      <c r="UQQ19" s="294"/>
      <c r="UQR19" s="294"/>
      <c r="UQS19" s="294"/>
      <c r="UQT19" s="294"/>
      <c r="UQU19" s="294"/>
      <c r="UQV19" s="294"/>
      <c r="UQW19" s="294"/>
      <c r="UQX19" s="294"/>
      <c r="UQY19" s="294"/>
      <c r="UQZ19" s="294"/>
      <c r="URA19" s="294"/>
      <c r="URB19" s="294"/>
      <c r="URC19" s="294"/>
      <c r="URD19" s="294"/>
      <c r="URE19" s="294"/>
      <c r="URF19" s="294"/>
      <c r="URG19" s="294"/>
      <c r="URH19" s="294"/>
      <c r="URI19" s="294"/>
      <c r="URJ19" s="294"/>
      <c r="URK19" s="294"/>
      <c r="URL19" s="294"/>
      <c r="URM19" s="294"/>
      <c r="URN19" s="294"/>
      <c r="URO19" s="294"/>
      <c r="URP19" s="294"/>
      <c r="URQ19" s="294"/>
      <c r="URR19" s="294"/>
      <c r="URS19" s="294"/>
      <c r="URT19" s="294"/>
      <c r="URU19" s="294"/>
      <c r="URV19" s="294"/>
      <c r="URW19" s="294"/>
      <c r="URX19" s="294"/>
      <c r="URY19" s="294"/>
      <c r="URZ19" s="294"/>
      <c r="USA19" s="294"/>
      <c r="USB19" s="294"/>
      <c r="USC19" s="294"/>
      <c r="USD19" s="294"/>
      <c r="USE19" s="294"/>
      <c r="USF19" s="294"/>
      <c r="USG19" s="294"/>
      <c r="USH19" s="294"/>
      <c r="USI19" s="294"/>
      <c r="USJ19" s="294"/>
      <c r="USK19" s="294"/>
      <c r="USL19" s="294"/>
      <c r="USM19" s="294"/>
      <c r="USN19" s="294"/>
      <c r="USO19" s="294"/>
      <c r="USP19" s="294"/>
      <c r="USQ19" s="294"/>
      <c r="USR19" s="294"/>
      <c r="USS19" s="294"/>
      <c r="UST19" s="294"/>
      <c r="USU19" s="294"/>
      <c r="USV19" s="294"/>
      <c r="USW19" s="294"/>
      <c r="USX19" s="294"/>
      <c r="USY19" s="294"/>
      <c r="USZ19" s="294"/>
      <c r="UTA19" s="294"/>
      <c r="UTB19" s="294"/>
      <c r="UTC19" s="294"/>
      <c r="UTD19" s="294"/>
      <c r="UTE19" s="294"/>
      <c r="UTF19" s="294"/>
      <c r="UTG19" s="294"/>
      <c r="UTH19" s="294"/>
      <c r="UTI19" s="294"/>
      <c r="UTJ19" s="294"/>
      <c r="UTK19" s="294"/>
      <c r="UTL19" s="294"/>
      <c r="UTM19" s="294"/>
      <c r="UTN19" s="294"/>
      <c r="UTO19" s="294"/>
      <c r="UTP19" s="294"/>
      <c r="UTQ19" s="294"/>
      <c r="UTR19" s="294"/>
      <c r="UTS19" s="294"/>
      <c r="UTT19" s="294"/>
      <c r="UTU19" s="294"/>
      <c r="UTV19" s="294"/>
      <c r="UTW19" s="294"/>
      <c r="UTX19" s="294"/>
      <c r="UTY19" s="294"/>
      <c r="UTZ19" s="294"/>
      <c r="UUA19" s="294"/>
      <c r="UUB19" s="294"/>
      <c r="UUC19" s="294"/>
      <c r="UUD19" s="294"/>
      <c r="UUE19" s="294"/>
      <c r="UUF19" s="294"/>
      <c r="UUG19" s="294"/>
      <c r="UUH19" s="294"/>
      <c r="UUI19" s="294"/>
      <c r="UUJ19" s="294"/>
      <c r="UUK19" s="294"/>
      <c r="UUL19" s="294"/>
      <c r="UUM19" s="294"/>
      <c r="UUN19" s="294"/>
      <c r="UUO19" s="294"/>
      <c r="UUP19" s="294"/>
      <c r="UUQ19" s="294"/>
      <c r="UUR19" s="294"/>
      <c r="UUS19" s="294"/>
      <c r="UUT19" s="294"/>
      <c r="UUU19" s="294"/>
      <c r="UUV19" s="294"/>
      <c r="UUW19" s="294"/>
      <c r="UUX19" s="294"/>
      <c r="UUY19" s="294"/>
      <c r="UUZ19" s="294"/>
      <c r="UVA19" s="294"/>
      <c r="UVB19" s="294"/>
      <c r="UVC19" s="294"/>
      <c r="UVD19" s="294"/>
      <c r="UVE19" s="294"/>
      <c r="UVF19" s="294"/>
      <c r="UVG19" s="294"/>
      <c r="UVH19" s="294"/>
      <c r="UVI19" s="294"/>
      <c r="UVJ19" s="294"/>
      <c r="UVK19" s="294"/>
      <c r="UVL19" s="294"/>
      <c r="UVM19" s="294"/>
      <c r="UVN19" s="294"/>
      <c r="UVO19" s="294"/>
      <c r="UVP19" s="294"/>
      <c r="UVQ19" s="294"/>
      <c r="UVR19" s="294"/>
      <c r="UVS19" s="294"/>
      <c r="UVT19" s="294"/>
      <c r="UVU19" s="294"/>
      <c r="UVV19" s="294"/>
      <c r="UVW19" s="294"/>
      <c r="UVX19" s="294"/>
      <c r="UVY19" s="294"/>
      <c r="UVZ19" s="294"/>
      <c r="UWA19" s="294"/>
      <c r="UWB19" s="294"/>
      <c r="UWC19" s="294"/>
      <c r="UWD19" s="294"/>
      <c r="UWE19" s="294"/>
      <c r="UWF19" s="294"/>
      <c r="UWG19" s="294"/>
      <c r="UWH19" s="294"/>
      <c r="UWI19" s="294"/>
      <c r="UWJ19" s="294"/>
      <c r="UWK19" s="294"/>
      <c r="UWL19" s="294"/>
      <c r="UWM19" s="294"/>
      <c r="UWN19" s="294"/>
      <c r="UWO19" s="294"/>
      <c r="UWP19" s="294"/>
      <c r="UWQ19" s="294"/>
      <c r="UWR19" s="294"/>
      <c r="UWS19" s="294"/>
      <c r="UWT19" s="294"/>
      <c r="UWU19" s="294"/>
      <c r="UWV19" s="294"/>
      <c r="UWW19" s="294"/>
      <c r="UWX19" s="294"/>
      <c r="UWY19" s="294"/>
      <c r="UWZ19" s="294"/>
      <c r="UXA19" s="294"/>
      <c r="UXB19" s="294"/>
      <c r="UXC19" s="294"/>
      <c r="UXD19" s="294"/>
      <c r="UXE19" s="294"/>
      <c r="UXF19" s="294"/>
      <c r="UXG19" s="294"/>
      <c r="UXH19" s="294"/>
      <c r="UXI19" s="294"/>
      <c r="UXJ19" s="294"/>
      <c r="UXK19" s="294"/>
      <c r="UXL19" s="294"/>
      <c r="UXM19" s="294"/>
      <c r="UXN19" s="294"/>
      <c r="UXO19" s="294"/>
      <c r="UXP19" s="294"/>
      <c r="UXQ19" s="294"/>
      <c r="UXR19" s="294"/>
      <c r="UXS19" s="294"/>
      <c r="UXT19" s="294"/>
      <c r="UXU19" s="294"/>
      <c r="UXV19" s="294"/>
      <c r="UXW19" s="294"/>
      <c r="UXX19" s="294"/>
      <c r="UXY19" s="294"/>
      <c r="UXZ19" s="294"/>
      <c r="UYA19" s="294"/>
      <c r="UYB19" s="294"/>
      <c r="UYC19" s="294"/>
      <c r="UYD19" s="294"/>
      <c r="UYE19" s="294"/>
      <c r="UYF19" s="294"/>
      <c r="UYG19" s="294"/>
      <c r="UYH19" s="294"/>
      <c r="UYI19" s="294"/>
      <c r="UYJ19" s="294"/>
      <c r="UYK19" s="294"/>
      <c r="UYL19" s="294"/>
      <c r="UYM19" s="294"/>
      <c r="UYN19" s="294"/>
      <c r="UYO19" s="294"/>
      <c r="UYP19" s="294"/>
      <c r="UYQ19" s="294"/>
      <c r="UYR19" s="294"/>
      <c r="UYS19" s="294"/>
      <c r="UYT19" s="294"/>
      <c r="UYU19" s="294"/>
      <c r="UYV19" s="294"/>
      <c r="UYW19" s="294"/>
      <c r="UYX19" s="294"/>
      <c r="UYY19" s="294"/>
      <c r="UYZ19" s="294"/>
      <c r="UZA19" s="294"/>
      <c r="UZB19" s="294"/>
      <c r="UZC19" s="294"/>
      <c r="UZD19" s="294"/>
      <c r="UZE19" s="294"/>
      <c r="UZF19" s="294"/>
      <c r="UZG19" s="294"/>
      <c r="UZH19" s="294"/>
      <c r="UZI19" s="294"/>
      <c r="UZJ19" s="294"/>
      <c r="UZK19" s="294"/>
      <c r="UZL19" s="294"/>
      <c r="UZM19" s="294"/>
      <c r="UZN19" s="294"/>
      <c r="UZO19" s="294"/>
      <c r="UZP19" s="294"/>
      <c r="UZQ19" s="294"/>
      <c r="UZR19" s="294"/>
      <c r="UZS19" s="294"/>
      <c r="UZT19" s="294"/>
      <c r="UZU19" s="294"/>
      <c r="UZV19" s="294"/>
      <c r="UZW19" s="294"/>
      <c r="UZX19" s="294"/>
      <c r="UZY19" s="294"/>
      <c r="UZZ19" s="294"/>
      <c r="VAA19" s="294"/>
      <c r="VAB19" s="294"/>
      <c r="VAC19" s="294"/>
      <c r="VAD19" s="294"/>
      <c r="VAE19" s="294"/>
      <c r="VAF19" s="294"/>
      <c r="VAG19" s="294"/>
      <c r="VAH19" s="294"/>
      <c r="VAI19" s="294"/>
      <c r="VAJ19" s="294"/>
      <c r="VAK19" s="294"/>
      <c r="VAL19" s="294"/>
      <c r="VAM19" s="294"/>
      <c r="VAN19" s="294"/>
      <c r="VAO19" s="294"/>
      <c r="VAP19" s="294"/>
      <c r="VAQ19" s="294"/>
      <c r="VAR19" s="294"/>
      <c r="VAS19" s="294"/>
      <c r="VAT19" s="294"/>
      <c r="VAU19" s="294"/>
      <c r="VAV19" s="294"/>
      <c r="VAW19" s="294"/>
      <c r="VAX19" s="294"/>
      <c r="VAY19" s="294"/>
      <c r="VAZ19" s="294"/>
      <c r="VBA19" s="294"/>
      <c r="VBB19" s="294"/>
      <c r="VBC19" s="294"/>
      <c r="VBD19" s="294"/>
      <c r="VBE19" s="294"/>
      <c r="VBF19" s="294"/>
      <c r="VBG19" s="294"/>
      <c r="VBH19" s="294"/>
      <c r="VBI19" s="294"/>
      <c r="VBJ19" s="294"/>
      <c r="VBK19" s="294"/>
      <c r="VBL19" s="294"/>
      <c r="VBM19" s="294"/>
      <c r="VBN19" s="294"/>
      <c r="VBO19" s="294"/>
      <c r="VBP19" s="294"/>
      <c r="VBQ19" s="294"/>
      <c r="VBR19" s="294"/>
      <c r="VBS19" s="294"/>
      <c r="VBT19" s="294"/>
      <c r="VBU19" s="294"/>
      <c r="VBV19" s="294"/>
      <c r="VBW19" s="294"/>
      <c r="VBX19" s="294"/>
      <c r="VBY19" s="294"/>
      <c r="VBZ19" s="294"/>
      <c r="VCA19" s="294"/>
      <c r="VCB19" s="294"/>
      <c r="VCC19" s="294"/>
      <c r="VCD19" s="294"/>
      <c r="VCE19" s="294"/>
      <c r="VCF19" s="294"/>
      <c r="VCG19" s="294"/>
      <c r="VCH19" s="294"/>
      <c r="VCI19" s="294"/>
      <c r="VCJ19" s="294"/>
      <c r="VCK19" s="294"/>
      <c r="VCL19" s="294"/>
      <c r="VCM19" s="294"/>
      <c r="VCN19" s="294"/>
      <c r="VCO19" s="294"/>
      <c r="VCP19" s="294"/>
      <c r="VCQ19" s="294"/>
      <c r="VCR19" s="294"/>
      <c r="VCS19" s="294"/>
      <c r="VCT19" s="294"/>
      <c r="VCU19" s="294"/>
      <c r="VCV19" s="294"/>
      <c r="VCW19" s="294"/>
      <c r="VCX19" s="294"/>
      <c r="VCY19" s="294"/>
      <c r="VCZ19" s="294"/>
      <c r="VDA19" s="294"/>
      <c r="VDB19" s="294"/>
      <c r="VDC19" s="294"/>
      <c r="VDD19" s="294"/>
      <c r="VDE19" s="294"/>
      <c r="VDF19" s="294"/>
      <c r="VDG19" s="294"/>
      <c r="VDH19" s="294"/>
      <c r="VDI19" s="294"/>
      <c r="VDJ19" s="294"/>
      <c r="VDK19" s="294"/>
      <c r="VDL19" s="294"/>
      <c r="VDM19" s="294"/>
      <c r="VDN19" s="294"/>
      <c r="VDO19" s="294"/>
      <c r="VDP19" s="294"/>
      <c r="VDQ19" s="294"/>
      <c r="VDR19" s="294"/>
      <c r="VDS19" s="294"/>
      <c r="VDT19" s="294"/>
      <c r="VDU19" s="294"/>
      <c r="VDV19" s="294"/>
      <c r="VDW19" s="294"/>
      <c r="VDX19" s="294"/>
      <c r="VDY19" s="294"/>
      <c r="VDZ19" s="294"/>
      <c r="VEA19" s="294"/>
      <c r="VEB19" s="294"/>
      <c r="VEC19" s="294"/>
      <c r="VED19" s="294"/>
      <c r="VEE19" s="294"/>
      <c r="VEF19" s="294"/>
      <c r="VEG19" s="294"/>
      <c r="VEH19" s="294"/>
      <c r="VEI19" s="294"/>
      <c r="VEJ19" s="294"/>
      <c r="VEK19" s="294"/>
      <c r="VEL19" s="294"/>
      <c r="VEM19" s="294"/>
      <c r="VEN19" s="294"/>
      <c r="VEO19" s="294"/>
      <c r="VEP19" s="294"/>
      <c r="VEQ19" s="294"/>
      <c r="VER19" s="294"/>
      <c r="VES19" s="294"/>
      <c r="VET19" s="294"/>
      <c r="VEU19" s="294"/>
      <c r="VEV19" s="294"/>
      <c r="VEW19" s="294"/>
      <c r="VEX19" s="294"/>
      <c r="VEY19" s="294"/>
      <c r="VEZ19" s="294"/>
      <c r="VFA19" s="294"/>
      <c r="VFB19" s="294"/>
      <c r="VFC19" s="294"/>
      <c r="VFD19" s="294"/>
      <c r="VFE19" s="294"/>
      <c r="VFF19" s="294"/>
      <c r="VFG19" s="294"/>
      <c r="VFH19" s="294"/>
      <c r="VFI19" s="294"/>
      <c r="VFJ19" s="294"/>
      <c r="VFK19" s="294"/>
      <c r="VFL19" s="294"/>
      <c r="VFM19" s="294"/>
      <c r="VFN19" s="294"/>
      <c r="VFO19" s="294"/>
      <c r="VFP19" s="294"/>
      <c r="VFQ19" s="294"/>
      <c r="VFR19" s="294"/>
      <c r="VFS19" s="294"/>
      <c r="VFT19" s="294"/>
      <c r="VFU19" s="294"/>
      <c r="VFV19" s="294"/>
      <c r="VFW19" s="294"/>
      <c r="VFX19" s="294"/>
      <c r="VFY19" s="294"/>
      <c r="VFZ19" s="294"/>
      <c r="VGA19" s="294"/>
      <c r="VGB19" s="294"/>
      <c r="VGC19" s="294"/>
      <c r="VGD19" s="294"/>
      <c r="VGE19" s="294"/>
      <c r="VGF19" s="294"/>
      <c r="VGG19" s="294"/>
      <c r="VGH19" s="294"/>
      <c r="VGI19" s="294"/>
      <c r="VGJ19" s="294"/>
      <c r="VGK19" s="294"/>
      <c r="VGL19" s="294"/>
      <c r="VGM19" s="294"/>
      <c r="VGN19" s="294"/>
      <c r="VGO19" s="294"/>
      <c r="VGP19" s="294"/>
      <c r="VGQ19" s="294"/>
      <c r="VGR19" s="294"/>
      <c r="VGS19" s="294"/>
      <c r="VGT19" s="294"/>
      <c r="VGU19" s="294"/>
      <c r="VGV19" s="294"/>
      <c r="VGW19" s="294"/>
      <c r="VGX19" s="294"/>
      <c r="VGY19" s="294"/>
      <c r="VGZ19" s="294"/>
      <c r="VHA19" s="294"/>
      <c r="VHB19" s="294"/>
      <c r="VHC19" s="294"/>
      <c r="VHD19" s="294"/>
      <c r="VHE19" s="294"/>
      <c r="VHF19" s="294"/>
      <c r="VHG19" s="294"/>
      <c r="VHH19" s="294"/>
      <c r="VHI19" s="294"/>
      <c r="VHJ19" s="294"/>
      <c r="VHK19" s="294"/>
      <c r="VHL19" s="294"/>
      <c r="VHM19" s="294"/>
      <c r="VHN19" s="294"/>
      <c r="VHO19" s="294"/>
      <c r="VHP19" s="294"/>
      <c r="VHQ19" s="294"/>
      <c r="VHR19" s="294"/>
      <c r="VHS19" s="294"/>
      <c r="VHT19" s="294"/>
      <c r="VHU19" s="294"/>
      <c r="VHV19" s="294"/>
      <c r="VHW19" s="294"/>
      <c r="VHX19" s="294"/>
      <c r="VHY19" s="294"/>
      <c r="VHZ19" s="294"/>
      <c r="VIA19" s="294"/>
      <c r="VIB19" s="294"/>
      <c r="VIC19" s="294"/>
      <c r="VID19" s="294"/>
      <c r="VIE19" s="294"/>
      <c r="VIF19" s="294"/>
      <c r="VIG19" s="294"/>
      <c r="VIH19" s="294"/>
      <c r="VII19" s="294"/>
      <c r="VIJ19" s="294"/>
      <c r="VIK19" s="294"/>
      <c r="VIL19" s="294"/>
      <c r="VIM19" s="294"/>
      <c r="VIN19" s="294"/>
      <c r="VIO19" s="294"/>
      <c r="VIP19" s="294"/>
      <c r="VIQ19" s="294"/>
      <c r="VIR19" s="294"/>
      <c r="VIS19" s="294"/>
      <c r="VIT19" s="294"/>
      <c r="VIU19" s="294"/>
      <c r="VIV19" s="294"/>
      <c r="VIW19" s="294"/>
      <c r="VIX19" s="294"/>
      <c r="VIY19" s="294"/>
      <c r="VIZ19" s="294"/>
      <c r="VJA19" s="294"/>
      <c r="VJB19" s="294"/>
      <c r="VJC19" s="294"/>
      <c r="VJD19" s="294"/>
      <c r="VJE19" s="294"/>
      <c r="VJF19" s="294"/>
      <c r="VJG19" s="294"/>
      <c r="VJH19" s="294"/>
      <c r="VJI19" s="294"/>
      <c r="VJJ19" s="294"/>
      <c r="VJK19" s="294"/>
      <c r="VJL19" s="294"/>
      <c r="VJM19" s="294"/>
      <c r="VJN19" s="294"/>
      <c r="VJO19" s="294"/>
      <c r="VJP19" s="294"/>
      <c r="VJQ19" s="294"/>
      <c r="VJR19" s="294"/>
      <c r="VJS19" s="294"/>
      <c r="VJT19" s="294"/>
      <c r="VJU19" s="294"/>
      <c r="VJV19" s="294"/>
      <c r="VJW19" s="294"/>
      <c r="VJX19" s="294"/>
      <c r="VJY19" s="294"/>
      <c r="VJZ19" s="294"/>
      <c r="VKA19" s="294"/>
      <c r="VKB19" s="294"/>
      <c r="VKC19" s="294"/>
      <c r="VKD19" s="294"/>
      <c r="VKE19" s="294"/>
      <c r="VKF19" s="294"/>
      <c r="VKG19" s="294"/>
      <c r="VKH19" s="294"/>
      <c r="VKI19" s="294"/>
      <c r="VKJ19" s="294"/>
      <c r="VKK19" s="294"/>
      <c r="VKL19" s="294"/>
      <c r="VKM19" s="294"/>
      <c r="VKN19" s="294"/>
      <c r="VKO19" s="294"/>
      <c r="VKP19" s="294"/>
      <c r="VKQ19" s="294"/>
      <c r="VKR19" s="294"/>
      <c r="VKS19" s="294"/>
      <c r="VKT19" s="294"/>
      <c r="VKU19" s="294"/>
      <c r="VKV19" s="294"/>
      <c r="VKW19" s="294"/>
      <c r="VKX19" s="294"/>
      <c r="VKY19" s="294"/>
      <c r="VKZ19" s="294"/>
      <c r="VLA19" s="294"/>
      <c r="VLB19" s="294"/>
      <c r="VLC19" s="294"/>
      <c r="VLD19" s="294"/>
      <c r="VLE19" s="294"/>
      <c r="VLF19" s="294"/>
      <c r="VLG19" s="294"/>
      <c r="VLH19" s="294"/>
      <c r="VLI19" s="294"/>
      <c r="VLJ19" s="294"/>
      <c r="VLK19" s="294"/>
      <c r="VLL19" s="294"/>
      <c r="VLM19" s="294"/>
      <c r="VLN19" s="294"/>
      <c r="VLO19" s="294"/>
      <c r="VLP19" s="294"/>
      <c r="VLQ19" s="294"/>
      <c r="VLR19" s="294"/>
      <c r="VLS19" s="294"/>
      <c r="VLT19" s="294"/>
      <c r="VLU19" s="294"/>
      <c r="VLV19" s="294"/>
      <c r="VLW19" s="294"/>
      <c r="VLX19" s="294"/>
      <c r="VLY19" s="294"/>
      <c r="VLZ19" s="294"/>
      <c r="VMA19" s="294"/>
      <c r="VMB19" s="294"/>
      <c r="VMC19" s="294"/>
      <c r="VMD19" s="294"/>
      <c r="VME19" s="294"/>
      <c r="VMF19" s="294"/>
      <c r="VMG19" s="294"/>
      <c r="VMH19" s="294"/>
      <c r="VMI19" s="294"/>
      <c r="VMJ19" s="294"/>
      <c r="VMK19" s="294"/>
      <c r="VML19" s="294"/>
      <c r="VMM19" s="294"/>
      <c r="VMN19" s="294"/>
      <c r="VMO19" s="294"/>
      <c r="VMP19" s="294"/>
      <c r="VMQ19" s="294"/>
      <c r="VMR19" s="294"/>
      <c r="VMS19" s="294"/>
      <c r="VMT19" s="294"/>
      <c r="VMU19" s="294"/>
      <c r="VMV19" s="294"/>
      <c r="VMW19" s="294"/>
      <c r="VMX19" s="294"/>
      <c r="VMY19" s="294"/>
      <c r="VMZ19" s="294"/>
      <c r="VNA19" s="294"/>
      <c r="VNB19" s="294"/>
      <c r="VNC19" s="294"/>
      <c r="VND19" s="294"/>
      <c r="VNE19" s="294"/>
      <c r="VNF19" s="294"/>
      <c r="VNG19" s="294"/>
      <c r="VNH19" s="294"/>
      <c r="VNI19" s="294"/>
      <c r="VNJ19" s="294"/>
      <c r="VNK19" s="294"/>
      <c r="VNL19" s="294"/>
      <c r="VNM19" s="294"/>
      <c r="VNN19" s="294"/>
      <c r="VNO19" s="294"/>
      <c r="VNP19" s="294"/>
      <c r="VNQ19" s="294"/>
      <c r="VNR19" s="294"/>
      <c r="VNS19" s="294"/>
      <c r="VNT19" s="294"/>
      <c r="VNU19" s="294"/>
      <c r="VNV19" s="294"/>
      <c r="VNW19" s="294"/>
      <c r="VNX19" s="294"/>
      <c r="VNY19" s="294"/>
      <c r="VNZ19" s="294"/>
      <c r="VOA19" s="294"/>
      <c r="VOB19" s="294"/>
      <c r="VOC19" s="294"/>
      <c r="VOD19" s="294"/>
      <c r="VOE19" s="294"/>
      <c r="VOF19" s="294"/>
      <c r="VOG19" s="294"/>
      <c r="VOH19" s="294"/>
      <c r="VOI19" s="294"/>
      <c r="VOJ19" s="294"/>
      <c r="VOK19" s="294"/>
      <c r="VOL19" s="294"/>
      <c r="VOM19" s="294"/>
      <c r="VON19" s="294"/>
      <c r="VOO19" s="294"/>
      <c r="VOP19" s="294"/>
      <c r="VOQ19" s="294"/>
      <c r="VOR19" s="294"/>
      <c r="VOS19" s="294"/>
      <c r="VOT19" s="294"/>
      <c r="VOU19" s="294"/>
      <c r="VOV19" s="294"/>
      <c r="VOW19" s="294"/>
      <c r="VOX19" s="294"/>
      <c r="VOY19" s="294"/>
      <c r="VOZ19" s="294"/>
      <c r="VPA19" s="294"/>
      <c r="VPB19" s="294"/>
      <c r="VPC19" s="294"/>
      <c r="VPD19" s="294"/>
      <c r="VPE19" s="294"/>
      <c r="VPF19" s="294"/>
      <c r="VPG19" s="294"/>
      <c r="VPH19" s="294"/>
      <c r="VPI19" s="294"/>
      <c r="VPJ19" s="294"/>
      <c r="VPK19" s="294"/>
      <c r="VPL19" s="294"/>
      <c r="VPM19" s="294"/>
      <c r="VPN19" s="294"/>
      <c r="VPO19" s="294"/>
      <c r="VPP19" s="294"/>
      <c r="VPQ19" s="294"/>
      <c r="VPR19" s="294"/>
      <c r="VPS19" s="294"/>
      <c r="VPT19" s="294"/>
      <c r="VPU19" s="294"/>
      <c r="VPV19" s="294"/>
      <c r="VPW19" s="294"/>
      <c r="VPX19" s="294"/>
      <c r="VPY19" s="294"/>
      <c r="VPZ19" s="294"/>
      <c r="VQA19" s="294"/>
      <c r="VQB19" s="294"/>
      <c r="VQC19" s="294"/>
      <c r="VQD19" s="294"/>
      <c r="VQE19" s="294"/>
      <c r="VQF19" s="294"/>
      <c r="VQG19" s="294"/>
      <c r="VQH19" s="294"/>
      <c r="VQI19" s="294"/>
      <c r="VQJ19" s="294"/>
      <c r="VQK19" s="294"/>
      <c r="VQL19" s="294"/>
      <c r="VQM19" s="294"/>
      <c r="VQN19" s="294"/>
      <c r="VQO19" s="294"/>
      <c r="VQP19" s="294"/>
      <c r="VQQ19" s="294"/>
      <c r="VQR19" s="294"/>
      <c r="VQS19" s="294"/>
      <c r="VQT19" s="294"/>
      <c r="VQU19" s="294"/>
      <c r="VQV19" s="294"/>
      <c r="VQW19" s="294"/>
      <c r="VQX19" s="294"/>
      <c r="VQY19" s="294"/>
      <c r="VQZ19" s="294"/>
      <c r="VRA19" s="294"/>
      <c r="VRB19" s="294"/>
      <c r="VRC19" s="294"/>
      <c r="VRD19" s="294"/>
      <c r="VRE19" s="294"/>
      <c r="VRF19" s="294"/>
      <c r="VRG19" s="294"/>
      <c r="VRH19" s="294"/>
      <c r="VRI19" s="294"/>
      <c r="VRJ19" s="294"/>
      <c r="VRK19" s="294"/>
      <c r="VRL19" s="294"/>
      <c r="VRM19" s="294"/>
      <c r="VRN19" s="294"/>
      <c r="VRO19" s="294"/>
      <c r="VRP19" s="294"/>
      <c r="VRQ19" s="294"/>
      <c r="VRR19" s="294"/>
      <c r="VRS19" s="294"/>
      <c r="VRT19" s="294"/>
      <c r="VRU19" s="294"/>
      <c r="VRV19" s="294"/>
      <c r="VRW19" s="294"/>
      <c r="VRX19" s="294"/>
      <c r="VRY19" s="294"/>
      <c r="VRZ19" s="294"/>
      <c r="VSA19" s="294"/>
      <c r="VSB19" s="294"/>
      <c r="VSC19" s="294"/>
      <c r="VSD19" s="294"/>
      <c r="VSE19" s="294"/>
      <c r="VSF19" s="294"/>
      <c r="VSG19" s="294"/>
      <c r="VSH19" s="294"/>
      <c r="VSI19" s="294"/>
      <c r="VSJ19" s="294"/>
      <c r="VSK19" s="294"/>
      <c r="VSL19" s="294"/>
      <c r="VSM19" s="294"/>
      <c r="VSN19" s="294"/>
      <c r="VSO19" s="294"/>
      <c r="VSP19" s="294"/>
      <c r="VSQ19" s="294"/>
      <c r="VSR19" s="294"/>
      <c r="VSS19" s="294"/>
      <c r="VST19" s="294"/>
      <c r="VSU19" s="294"/>
      <c r="VSV19" s="294"/>
      <c r="VSW19" s="294"/>
      <c r="VSX19" s="294"/>
      <c r="VSY19" s="294"/>
      <c r="VSZ19" s="294"/>
      <c r="VTA19" s="294"/>
      <c r="VTB19" s="294"/>
      <c r="VTC19" s="294"/>
      <c r="VTD19" s="294"/>
      <c r="VTE19" s="294"/>
      <c r="VTF19" s="294"/>
      <c r="VTG19" s="294"/>
      <c r="VTH19" s="294"/>
      <c r="VTI19" s="294"/>
      <c r="VTJ19" s="294"/>
      <c r="VTK19" s="294"/>
      <c r="VTL19" s="294"/>
      <c r="VTM19" s="294"/>
      <c r="VTN19" s="294"/>
      <c r="VTO19" s="294"/>
      <c r="VTP19" s="294"/>
      <c r="VTQ19" s="294"/>
      <c r="VTR19" s="294"/>
      <c r="VTS19" s="294"/>
      <c r="VTT19" s="294"/>
      <c r="VTU19" s="294"/>
      <c r="VTV19" s="294"/>
      <c r="VTW19" s="294"/>
      <c r="VTX19" s="294"/>
      <c r="VTY19" s="294"/>
      <c r="VTZ19" s="294"/>
      <c r="VUA19" s="294"/>
      <c r="VUB19" s="294"/>
      <c r="VUC19" s="294"/>
      <c r="VUD19" s="294"/>
      <c r="VUE19" s="294"/>
      <c r="VUF19" s="294"/>
      <c r="VUG19" s="294"/>
      <c r="VUH19" s="294"/>
      <c r="VUI19" s="294"/>
      <c r="VUJ19" s="294"/>
      <c r="VUK19" s="294"/>
      <c r="VUL19" s="294"/>
      <c r="VUM19" s="294"/>
      <c r="VUN19" s="294"/>
      <c r="VUO19" s="294"/>
      <c r="VUP19" s="294"/>
      <c r="VUQ19" s="294"/>
      <c r="VUR19" s="294"/>
      <c r="VUS19" s="294"/>
      <c r="VUT19" s="294"/>
      <c r="VUU19" s="294"/>
      <c r="VUV19" s="294"/>
      <c r="VUW19" s="294"/>
      <c r="VUX19" s="294"/>
      <c r="VUY19" s="294"/>
      <c r="VUZ19" s="294"/>
      <c r="VVA19" s="294"/>
      <c r="VVB19" s="294"/>
      <c r="VVC19" s="294"/>
      <c r="VVD19" s="294"/>
      <c r="VVE19" s="294"/>
      <c r="VVF19" s="294"/>
      <c r="VVG19" s="294"/>
      <c r="VVH19" s="294"/>
      <c r="VVI19" s="294"/>
      <c r="VVJ19" s="294"/>
      <c r="VVK19" s="294"/>
      <c r="VVL19" s="294"/>
      <c r="VVM19" s="294"/>
      <c r="VVN19" s="294"/>
      <c r="VVO19" s="294"/>
      <c r="VVP19" s="294"/>
      <c r="VVQ19" s="294"/>
      <c r="VVR19" s="294"/>
      <c r="VVS19" s="294"/>
      <c r="VVT19" s="294"/>
      <c r="VVU19" s="294"/>
      <c r="VVV19" s="294"/>
      <c r="VVW19" s="294"/>
      <c r="VVX19" s="294"/>
      <c r="VVY19" s="294"/>
      <c r="VVZ19" s="294"/>
      <c r="VWA19" s="294"/>
      <c r="VWB19" s="294"/>
      <c r="VWC19" s="294"/>
      <c r="VWD19" s="294"/>
      <c r="VWE19" s="294"/>
      <c r="VWF19" s="294"/>
      <c r="VWG19" s="294"/>
      <c r="VWH19" s="294"/>
      <c r="VWI19" s="294"/>
      <c r="VWJ19" s="294"/>
      <c r="VWK19" s="294"/>
      <c r="VWL19" s="294"/>
      <c r="VWM19" s="294"/>
      <c r="VWN19" s="294"/>
      <c r="VWO19" s="294"/>
      <c r="VWP19" s="294"/>
      <c r="VWQ19" s="294"/>
      <c r="VWR19" s="294"/>
      <c r="VWS19" s="294"/>
      <c r="VWT19" s="294"/>
      <c r="VWU19" s="294"/>
      <c r="VWV19" s="294"/>
      <c r="VWW19" s="294"/>
      <c r="VWX19" s="294"/>
      <c r="VWY19" s="294"/>
      <c r="VWZ19" s="294"/>
      <c r="VXA19" s="294"/>
      <c r="VXB19" s="294"/>
      <c r="VXC19" s="294"/>
      <c r="VXD19" s="294"/>
      <c r="VXE19" s="294"/>
      <c r="VXF19" s="294"/>
      <c r="VXG19" s="294"/>
      <c r="VXH19" s="294"/>
      <c r="VXI19" s="294"/>
      <c r="VXJ19" s="294"/>
      <c r="VXK19" s="294"/>
      <c r="VXL19" s="294"/>
      <c r="VXM19" s="294"/>
      <c r="VXN19" s="294"/>
      <c r="VXO19" s="294"/>
      <c r="VXP19" s="294"/>
      <c r="VXQ19" s="294"/>
      <c r="VXR19" s="294"/>
      <c r="VXS19" s="294"/>
      <c r="VXT19" s="294"/>
      <c r="VXU19" s="294"/>
      <c r="VXV19" s="294"/>
      <c r="VXW19" s="294"/>
      <c r="VXX19" s="294"/>
      <c r="VXY19" s="294"/>
      <c r="VXZ19" s="294"/>
      <c r="VYA19" s="294"/>
      <c r="VYB19" s="294"/>
      <c r="VYC19" s="294"/>
      <c r="VYD19" s="294"/>
      <c r="VYE19" s="294"/>
      <c r="VYF19" s="294"/>
      <c r="VYG19" s="294"/>
      <c r="VYH19" s="294"/>
      <c r="VYI19" s="294"/>
      <c r="VYJ19" s="294"/>
      <c r="VYK19" s="294"/>
      <c r="VYL19" s="294"/>
      <c r="VYM19" s="294"/>
      <c r="VYN19" s="294"/>
      <c r="VYO19" s="294"/>
      <c r="VYP19" s="294"/>
      <c r="VYQ19" s="294"/>
      <c r="VYR19" s="294"/>
      <c r="VYS19" s="294"/>
      <c r="VYT19" s="294"/>
      <c r="VYU19" s="294"/>
      <c r="VYV19" s="294"/>
      <c r="VYW19" s="294"/>
      <c r="VYX19" s="294"/>
      <c r="VYY19" s="294"/>
      <c r="VYZ19" s="294"/>
      <c r="VZA19" s="294"/>
      <c r="VZB19" s="294"/>
      <c r="VZC19" s="294"/>
      <c r="VZD19" s="294"/>
      <c r="VZE19" s="294"/>
      <c r="VZF19" s="294"/>
      <c r="VZG19" s="294"/>
      <c r="VZH19" s="294"/>
      <c r="VZI19" s="294"/>
      <c r="VZJ19" s="294"/>
      <c r="VZK19" s="294"/>
      <c r="VZL19" s="294"/>
      <c r="VZM19" s="294"/>
      <c r="VZN19" s="294"/>
      <c r="VZO19" s="294"/>
      <c r="VZP19" s="294"/>
      <c r="VZQ19" s="294"/>
      <c r="VZR19" s="294"/>
      <c r="VZS19" s="294"/>
      <c r="VZT19" s="294"/>
      <c r="VZU19" s="294"/>
      <c r="VZV19" s="294"/>
      <c r="VZW19" s="294"/>
      <c r="VZX19" s="294"/>
      <c r="VZY19" s="294"/>
      <c r="VZZ19" s="294"/>
      <c r="WAA19" s="294"/>
      <c r="WAB19" s="294"/>
      <c r="WAC19" s="294"/>
      <c r="WAD19" s="294"/>
      <c r="WAE19" s="294"/>
      <c r="WAF19" s="294"/>
      <c r="WAG19" s="294"/>
      <c r="WAH19" s="294"/>
      <c r="WAI19" s="294"/>
      <c r="WAJ19" s="294"/>
      <c r="WAK19" s="294"/>
      <c r="WAL19" s="294"/>
      <c r="WAM19" s="294"/>
      <c r="WAN19" s="294"/>
      <c r="WAO19" s="294"/>
      <c r="WAP19" s="294"/>
      <c r="WAQ19" s="294"/>
      <c r="WAR19" s="294"/>
      <c r="WAS19" s="294"/>
      <c r="WAT19" s="294"/>
      <c r="WAU19" s="294"/>
      <c r="WAV19" s="294"/>
      <c r="WAW19" s="294"/>
      <c r="WAX19" s="294"/>
      <c r="WAY19" s="294"/>
      <c r="WAZ19" s="294"/>
      <c r="WBA19" s="294"/>
      <c r="WBB19" s="294"/>
      <c r="WBC19" s="294"/>
      <c r="WBD19" s="294"/>
      <c r="WBE19" s="294"/>
      <c r="WBF19" s="294"/>
      <c r="WBG19" s="294"/>
      <c r="WBH19" s="294"/>
      <c r="WBI19" s="294"/>
      <c r="WBJ19" s="294"/>
      <c r="WBK19" s="294"/>
      <c r="WBL19" s="294"/>
      <c r="WBM19" s="294"/>
      <c r="WBN19" s="294"/>
      <c r="WBO19" s="294"/>
      <c r="WBP19" s="294"/>
      <c r="WBQ19" s="294"/>
      <c r="WBR19" s="294"/>
      <c r="WBS19" s="294"/>
      <c r="WBT19" s="294"/>
      <c r="WBU19" s="294"/>
      <c r="WBV19" s="294"/>
      <c r="WBW19" s="294"/>
      <c r="WBX19" s="294"/>
      <c r="WBY19" s="294"/>
      <c r="WBZ19" s="294"/>
      <c r="WCA19" s="294"/>
      <c r="WCB19" s="294"/>
      <c r="WCC19" s="294"/>
      <c r="WCD19" s="294"/>
      <c r="WCE19" s="294"/>
      <c r="WCF19" s="294"/>
      <c r="WCG19" s="294"/>
      <c r="WCH19" s="294"/>
      <c r="WCI19" s="294"/>
      <c r="WCJ19" s="294"/>
      <c r="WCK19" s="294"/>
      <c r="WCL19" s="294"/>
      <c r="WCM19" s="294"/>
      <c r="WCN19" s="294"/>
      <c r="WCO19" s="294"/>
      <c r="WCP19" s="294"/>
      <c r="WCQ19" s="294"/>
      <c r="WCR19" s="294"/>
      <c r="WCS19" s="294"/>
      <c r="WCT19" s="294"/>
      <c r="WCU19" s="294"/>
      <c r="WCV19" s="294"/>
      <c r="WCW19" s="294"/>
      <c r="WCX19" s="294"/>
      <c r="WCY19" s="294"/>
      <c r="WCZ19" s="294"/>
      <c r="WDA19" s="294"/>
      <c r="WDB19" s="294"/>
      <c r="WDC19" s="294"/>
      <c r="WDD19" s="294"/>
      <c r="WDE19" s="294"/>
      <c r="WDF19" s="294"/>
      <c r="WDG19" s="294"/>
      <c r="WDH19" s="294"/>
      <c r="WDI19" s="294"/>
      <c r="WDJ19" s="294"/>
      <c r="WDK19" s="294"/>
      <c r="WDL19" s="294"/>
      <c r="WDM19" s="294"/>
      <c r="WDN19" s="294"/>
      <c r="WDO19" s="294"/>
      <c r="WDP19" s="294"/>
      <c r="WDQ19" s="294"/>
      <c r="WDR19" s="294"/>
      <c r="WDS19" s="294"/>
      <c r="WDT19" s="294"/>
      <c r="WDU19" s="294"/>
      <c r="WDV19" s="294"/>
      <c r="WDW19" s="294"/>
      <c r="WDX19" s="294"/>
      <c r="WDY19" s="294"/>
      <c r="WDZ19" s="294"/>
      <c r="WEA19" s="294"/>
      <c r="WEB19" s="294"/>
      <c r="WEC19" s="294"/>
      <c r="WED19" s="294"/>
      <c r="WEE19" s="294"/>
      <c r="WEF19" s="294"/>
      <c r="WEG19" s="294"/>
      <c r="WEH19" s="294"/>
      <c r="WEI19" s="294"/>
      <c r="WEJ19" s="294"/>
      <c r="WEK19" s="294"/>
      <c r="WEL19" s="294"/>
      <c r="WEM19" s="294"/>
      <c r="WEN19" s="294"/>
      <c r="WEO19" s="294"/>
      <c r="WEP19" s="294"/>
      <c r="WEQ19" s="294"/>
      <c r="WER19" s="294"/>
      <c r="WES19" s="294"/>
      <c r="WET19" s="294"/>
      <c r="WEU19" s="294"/>
      <c r="WEV19" s="294"/>
      <c r="WEW19" s="294"/>
      <c r="WEX19" s="294"/>
      <c r="WEY19" s="294"/>
      <c r="WEZ19" s="294"/>
      <c r="WFA19" s="294"/>
      <c r="WFB19" s="294"/>
      <c r="WFC19" s="294"/>
      <c r="WFD19" s="294"/>
      <c r="WFE19" s="294"/>
      <c r="WFF19" s="294"/>
      <c r="WFG19" s="294"/>
      <c r="WFH19" s="294"/>
      <c r="WFI19" s="294"/>
      <c r="WFJ19" s="294"/>
      <c r="WFK19" s="294"/>
      <c r="WFL19" s="294"/>
      <c r="WFM19" s="294"/>
      <c r="WFN19" s="294"/>
      <c r="WFO19" s="294"/>
      <c r="WFP19" s="294"/>
      <c r="WFQ19" s="294"/>
      <c r="WFR19" s="294"/>
      <c r="WFS19" s="294"/>
      <c r="WFT19" s="294"/>
      <c r="WFU19" s="294"/>
      <c r="WFV19" s="294"/>
      <c r="WFW19" s="294"/>
      <c r="WFX19" s="294"/>
      <c r="WFY19" s="294"/>
      <c r="WFZ19" s="294"/>
      <c r="WGA19" s="294"/>
      <c r="WGB19" s="294"/>
      <c r="WGC19" s="294"/>
      <c r="WGD19" s="294"/>
      <c r="WGE19" s="294"/>
      <c r="WGF19" s="294"/>
      <c r="WGG19" s="294"/>
      <c r="WGH19" s="294"/>
      <c r="WGI19" s="294"/>
      <c r="WGJ19" s="294"/>
      <c r="WGK19" s="294"/>
      <c r="WGL19" s="294"/>
      <c r="WGM19" s="294"/>
      <c r="WGN19" s="294"/>
      <c r="WGO19" s="294"/>
      <c r="WGP19" s="294"/>
      <c r="WGQ19" s="294"/>
      <c r="WGR19" s="294"/>
      <c r="WGS19" s="294"/>
      <c r="WGT19" s="294"/>
      <c r="WGU19" s="294"/>
      <c r="WGV19" s="294"/>
      <c r="WGW19" s="294"/>
      <c r="WGX19" s="294"/>
      <c r="WGY19" s="294"/>
      <c r="WGZ19" s="294"/>
      <c r="WHA19" s="294"/>
      <c r="WHB19" s="294"/>
      <c r="WHC19" s="294"/>
      <c r="WHD19" s="294"/>
      <c r="WHE19" s="294"/>
      <c r="WHF19" s="294"/>
      <c r="WHG19" s="294"/>
      <c r="WHH19" s="294"/>
      <c r="WHI19" s="294"/>
      <c r="WHJ19" s="294"/>
      <c r="WHK19" s="294"/>
      <c r="WHL19" s="294"/>
      <c r="WHM19" s="294"/>
      <c r="WHN19" s="294"/>
      <c r="WHO19" s="294"/>
      <c r="WHP19" s="294"/>
      <c r="WHQ19" s="294"/>
      <c r="WHR19" s="294"/>
      <c r="WHS19" s="294"/>
      <c r="WHT19" s="294"/>
      <c r="WHU19" s="294"/>
      <c r="WHV19" s="294"/>
      <c r="WHW19" s="294"/>
      <c r="WHX19" s="294"/>
      <c r="WHY19" s="294"/>
      <c r="WHZ19" s="294"/>
      <c r="WIA19" s="294"/>
      <c r="WIB19" s="294"/>
      <c r="WIC19" s="294"/>
      <c r="WID19" s="294"/>
      <c r="WIE19" s="294"/>
      <c r="WIF19" s="294"/>
      <c r="WIG19" s="294"/>
      <c r="WIH19" s="294"/>
      <c r="WII19" s="294"/>
      <c r="WIJ19" s="294"/>
      <c r="WIK19" s="294"/>
      <c r="WIL19" s="294"/>
      <c r="WIM19" s="294"/>
      <c r="WIN19" s="294"/>
      <c r="WIO19" s="294"/>
      <c r="WIP19" s="294"/>
      <c r="WIQ19" s="294"/>
      <c r="WIR19" s="294"/>
      <c r="WIS19" s="294"/>
      <c r="WIT19" s="294"/>
      <c r="WIU19" s="294"/>
      <c r="WIV19" s="294"/>
      <c r="WIW19" s="294"/>
      <c r="WIX19" s="294"/>
      <c r="WIY19" s="294"/>
      <c r="WIZ19" s="294"/>
      <c r="WJA19" s="294"/>
      <c r="WJB19" s="294"/>
      <c r="WJC19" s="294"/>
      <c r="WJD19" s="294"/>
      <c r="WJE19" s="294"/>
      <c r="WJF19" s="294"/>
      <c r="WJG19" s="294"/>
      <c r="WJH19" s="294"/>
      <c r="WJI19" s="294"/>
      <c r="WJJ19" s="294"/>
      <c r="WJK19" s="294"/>
      <c r="WJL19" s="294"/>
      <c r="WJM19" s="294"/>
      <c r="WJN19" s="294"/>
      <c r="WJO19" s="294"/>
      <c r="WJP19" s="294"/>
      <c r="WJQ19" s="294"/>
      <c r="WJR19" s="294"/>
      <c r="WJS19" s="294"/>
      <c r="WJT19" s="294"/>
      <c r="WJU19" s="294"/>
      <c r="WJV19" s="294"/>
      <c r="WJW19" s="294"/>
      <c r="WJX19" s="294"/>
      <c r="WJY19" s="294"/>
      <c r="WJZ19" s="294"/>
      <c r="WKA19" s="294"/>
      <c r="WKB19" s="294"/>
      <c r="WKC19" s="294"/>
      <c r="WKD19" s="294"/>
      <c r="WKE19" s="294"/>
      <c r="WKF19" s="294"/>
      <c r="WKG19" s="294"/>
      <c r="WKH19" s="294"/>
      <c r="WKI19" s="294"/>
      <c r="WKJ19" s="294"/>
      <c r="WKK19" s="294"/>
      <c r="WKL19" s="294"/>
      <c r="WKM19" s="294"/>
      <c r="WKN19" s="294"/>
      <c r="WKO19" s="294"/>
      <c r="WKP19" s="294"/>
      <c r="WKQ19" s="294"/>
      <c r="WKR19" s="294"/>
      <c r="WKS19" s="294"/>
      <c r="WKT19" s="294"/>
      <c r="WKU19" s="294"/>
      <c r="WKV19" s="294"/>
      <c r="WKW19" s="294"/>
      <c r="WKX19" s="294"/>
      <c r="WKY19" s="294"/>
      <c r="WKZ19" s="294"/>
      <c r="WLA19" s="294"/>
      <c r="WLB19" s="294"/>
      <c r="WLC19" s="294"/>
      <c r="WLD19" s="294"/>
      <c r="WLE19" s="294"/>
      <c r="WLF19" s="294"/>
      <c r="WLG19" s="294"/>
      <c r="WLH19" s="294"/>
      <c r="WLI19" s="294"/>
      <c r="WLJ19" s="294"/>
      <c r="WLK19" s="294"/>
      <c r="WLL19" s="294"/>
      <c r="WLM19" s="294"/>
      <c r="WLN19" s="294"/>
      <c r="WLO19" s="294"/>
      <c r="WLP19" s="294"/>
      <c r="WLQ19" s="294"/>
      <c r="WLR19" s="294"/>
      <c r="WLS19" s="294"/>
      <c r="WLT19" s="294"/>
      <c r="WLU19" s="294"/>
      <c r="WLV19" s="294"/>
      <c r="WLW19" s="294"/>
      <c r="WLX19" s="294"/>
      <c r="WLY19" s="294"/>
      <c r="WLZ19" s="294"/>
      <c r="WMA19" s="294"/>
      <c r="WMB19" s="294"/>
      <c r="WMC19" s="294"/>
      <c r="WMD19" s="294"/>
      <c r="WME19" s="294"/>
      <c r="WMF19" s="294"/>
      <c r="WMG19" s="294"/>
      <c r="WMH19" s="294"/>
      <c r="WMI19" s="294"/>
      <c r="WMJ19" s="294"/>
      <c r="WMK19" s="294"/>
      <c r="WML19" s="294"/>
      <c r="WMM19" s="294"/>
      <c r="WMN19" s="294"/>
      <c r="WMO19" s="294"/>
      <c r="WMP19" s="294"/>
      <c r="WMQ19" s="294"/>
      <c r="WMR19" s="294"/>
      <c r="WMS19" s="294"/>
      <c r="WMT19" s="294"/>
      <c r="WMU19" s="294"/>
      <c r="WMV19" s="294"/>
      <c r="WMW19" s="294"/>
      <c r="WMX19" s="294"/>
      <c r="WMY19" s="294"/>
      <c r="WMZ19" s="294"/>
      <c r="WNA19" s="294"/>
      <c r="WNB19" s="294"/>
      <c r="WNC19" s="294"/>
      <c r="WND19" s="294"/>
      <c r="WNE19" s="294"/>
      <c r="WNF19" s="294"/>
      <c r="WNG19" s="294"/>
      <c r="WNH19" s="294"/>
      <c r="WNI19" s="294"/>
      <c r="WNJ19" s="294"/>
      <c r="WNK19" s="294"/>
      <c r="WNL19" s="294"/>
      <c r="WNM19" s="294"/>
      <c r="WNN19" s="294"/>
      <c r="WNO19" s="294"/>
      <c r="WNP19" s="294"/>
      <c r="WNQ19" s="294"/>
      <c r="WNR19" s="294"/>
      <c r="WNS19" s="294"/>
      <c r="WNT19" s="294"/>
      <c r="WNU19" s="294"/>
      <c r="WNV19" s="294"/>
      <c r="WNW19" s="294"/>
      <c r="WNX19" s="294"/>
      <c r="WNY19" s="294"/>
      <c r="WNZ19" s="294"/>
      <c r="WOA19" s="294"/>
      <c r="WOB19" s="294"/>
      <c r="WOC19" s="294"/>
      <c r="WOD19" s="294"/>
      <c r="WOE19" s="294"/>
      <c r="WOF19" s="294"/>
      <c r="WOG19" s="294"/>
      <c r="WOH19" s="294"/>
      <c r="WOI19" s="294"/>
      <c r="WOJ19" s="294"/>
      <c r="WOK19" s="294"/>
      <c r="WOL19" s="294"/>
      <c r="WOM19" s="294"/>
      <c r="WON19" s="294"/>
      <c r="WOO19" s="294"/>
      <c r="WOP19" s="294"/>
      <c r="WOQ19" s="294"/>
      <c r="WOR19" s="294"/>
      <c r="WOS19" s="294"/>
      <c r="WOT19" s="294"/>
      <c r="WOU19" s="294"/>
      <c r="WOV19" s="294"/>
      <c r="WOW19" s="294"/>
      <c r="WOX19" s="294"/>
      <c r="WOY19" s="294"/>
      <c r="WOZ19" s="294"/>
      <c r="WPA19" s="294"/>
      <c r="WPB19" s="294"/>
      <c r="WPC19" s="294"/>
      <c r="WPD19" s="294"/>
      <c r="WPE19" s="294"/>
      <c r="WPF19" s="294"/>
      <c r="WPG19" s="294"/>
      <c r="WPH19" s="294"/>
      <c r="WPI19" s="294"/>
      <c r="WPJ19" s="294"/>
      <c r="WPK19" s="294"/>
      <c r="WPL19" s="294"/>
      <c r="WPM19" s="294"/>
      <c r="WPN19" s="294"/>
      <c r="WPO19" s="294"/>
      <c r="WPP19" s="294"/>
      <c r="WPQ19" s="294"/>
      <c r="WPR19" s="294"/>
      <c r="WPS19" s="294"/>
      <c r="WPT19" s="294"/>
      <c r="WPU19" s="294"/>
      <c r="WPV19" s="294"/>
      <c r="WPW19" s="294"/>
      <c r="WPX19" s="294"/>
      <c r="WPY19" s="294"/>
      <c r="WPZ19" s="294"/>
      <c r="WQA19" s="294"/>
      <c r="WQB19" s="294"/>
      <c r="WQC19" s="294"/>
      <c r="WQD19" s="294"/>
      <c r="WQE19" s="294"/>
      <c r="WQF19" s="294"/>
      <c r="WQG19" s="294"/>
      <c r="WQH19" s="294"/>
      <c r="WQI19" s="294"/>
      <c r="WQJ19" s="294"/>
      <c r="WQK19" s="294"/>
      <c r="WQL19" s="294"/>
      <c r="WQM19" s="294"/>
      <c r="WQN19" s="294"/>
      <c r="WQO19" s="294"/>
      <c r="WQP19" s="294"/>
      <c r="WQQ19" s="294"/>
      <c r="WQR19" s="294"/>
      <c r="WQS19" s="294"/>
      <c r="WQT19" s="294"/>
      <c r="WQU19" s="294"/>
      <c r="WQV19" s="294"/>
      <c r="WQW19" s="294"/>
      <c r="WQX19" s="294"/>
      <c r="WQY19" s="294"/>
      <c r="WQZ19" s="294"/>
      <c r="WRA19" s="294"/>
      <c r="WRB19" s="294"/>
      <c r="WRC19" s="294"/>
      <c r="WRD19" s="294"/>
      <c r="WRE19" s="294"/>
      <c r="WRF19" s="294"/>
      <c r="WRG19" s="294"/>
      <c r="WRH19" s="294"/>
      <c r="WRI19" s="294"/>
      <c r="WRJ19" s="294"/>
      <c r="WRK19" s="294"/>
      <c r="WRL19" s="294"/>
      <c r="WRM19" s="294"/>
      <c r="WRN19" s="294"/>
      <c r="WRO19" s="294"/>
      <c r="WRP19" s="294"/>
      <c r="WRQ19" s="294"/>
      <c r="WRR19" s="294"/>
      <c r="WRS19" s="294"/>
      <c r="WRT19" s="294"/>
      <c r="WRU19" s="294"/>
      <c r="WRV19" s="294"/>
      <c r="WRW19" s="294"/>
      <c r="WRX19" s="294"/>
      <c r="WRY19" s="294"/>
      <c r="WRZ19" s="294"/>
      <c r="WSA19" s="294"/>
      <c r="WSB19" s="294"/>
      <c r="WSC19" s="294"/>
      <c r="WSD19" s="294"/>
      <c r="WSE19" s="294"/>
      <c r="WSF19" s="294"/>
      <c r="WSG19" s="294"/>
      <c r="WSH19" s="294"/>
      <c r="WSI19" s="294"/>
      <c r="WSJ19" s="294"/>
      <c r="WSK19" s="294"/>
      <c r="WSL19" s="294"/>
      <c r="WSM19" s="294"/>
      <c r="WSN19" s="294"/>
      <c r="WSO19" s="294"/>
      <c r="WSP19" s="294"/>
      <c r="WSQ19" s="294"/>
      <c r="WSR19" s="294"/>
      <c r="WSS19" s="294"/>
      <c r="WST19" s="294"/>
      <c r="WSU19" s="294"/>
      <c r="WSV19" s="294"/>
      <c r="WSW19" s="294"/>
      <c r="WSX19" s="294"/>
      <c r="WSY19" s="294"/>
      <c r="WSZ19" s="294"/>
      <c r="WTA19" s="294"/>
      <c r="WTB19" s="294"/>
      <c r="WTC19" s="294"/>
      <c r="WTD19" s="294"/>
      <c r="WTE19" s="294"/>
      <c r="WTF19" s="294"/>
      <c r="WTG19" s="294"/>
      <c r="WTH19" s="294"/>
      <c r="WTI19" s="294"/>
      <c r="WTJ19" s="294"/>
      <c r="WTK19" s="294"/>
      <c r="WTL19" s="294"/>
      <c r="WTM19" s="294"/>
      <c r="WTN19" s="294"/>
      <c r="WTO19" s="294"/>
      <c r="WTP19" s="294"/>
      <c r="WTQ19" s="294"/>
      <c r="WTR19" s="294"/>
      <c r="WTS19" s="294"/>
      <c r="WTT19" s="294"/>
      <c r="WTU19" s="294"/>
      <c r="WTV19" s="294"/>
      <c r="WTW19" s="294"/>
      <c r="WTX19" s="294"/>
      <c r="WTY19" s="294"/>
      <c r="WTZ19" s="294"/>
      <c r="WUA19" s="294"/>
      <c r="WUB19" s="294"/>
      <c r="WUC19" s="294"/>
      <c r="WUD19" s="294"/>
      <c r="WUE19" s="294"/>
      <c r="WUF19" s="294"/>
      <c r="WUG19" s="294"/>
      <c r="WUH19" s="294"/>
      <c r="WUI19" s="294"/>
      <c r="WUJ19" s="294"/>
      <c r="WUK19" s="294"/>
      <c r="WUL19" s="294"/>
      <c r="WUM19" s="294"/>
      <c r="WUN19" s="294"/>
      <c r="WUO19" s="294"/>
      <c r="WUP19" s="294"/>
      <c r="WUQ19" s="294"/>
      <c r="WUR19" s="294"/>
      <c r="WUS19" s="294"/>
      <c r="WUT19" s="294"/>
      <c r="WUU19" s="294"/>
      <c r="WUV19" s="294"/>
      <c r="WUW19" s="294"/>
      <c r="WUX19" s="294"/>
      <c r="WUY19" s="294"/>
      <c r="WUZ19" s="294"/>
      <c r="WVA19" s="294"/>
      <c r="WVB19" s="294"/>
      <c r="WVC19" s="294"/>
      <c r="WVD19" s="294"/>
      <c r="WVE19" s="294"/>
      <c r="WVF19" s="294"/>
      <c r="WVG19" s="294"/>
      <c r="WVH19" s="294"/>
      <c r="WVI19" s="294"/>
      <c r="WVJ19" s="294"/>
      <c r="WVK19" s="294"/>
      <c r="WVL19" s="294"/>
      <c r="WVM19" s="294"/>
      <c r="WVN19" s="294"/>
      <c r="WVO19" s="294"/>
      <c r="WVP19" s="294"/>
      <c r="WVQ19" s="294"/>
      <c r="WVR19" s="294"/>
      <c r="WVS19" s="294"/>
      <c r="WVT19" s="294"/>
      <c r="WVU19" s="294"/>
      <c r="WVV19" s="294"/>
      <c r="WVW19" s="294"/>
      <c r="WVX19" s="294"/>
      <c r="WVY19" s="294"/>
      <c r="WVZ19" s="294"/>
      <c r="WWA19" s="294"/>
      <c r="WWB19" s="294"/>
      <c r="WWC19" s="294"/>
      <c r="WWD19" s="294"/>
      <c r="WWE19" s="294"/>
      <c r="WWF19" s="294"/>
      <c r="WWG19" s="294"/>
      <c r="WWH19" s="294"/>
      <c r="WWI19" s="294"/>
      <c r="WWJ19" s="294"/>
      <c r="WWK19" s="294"/>
      <c r="WWL19" s="294"/>
      <c r="WWM19" s="294"/>
      <c r="WWN19" s="294"/>
      <c r="WWO19" s="294"/>
      <c r="WWP19" s="294"/>
      <c r="WWQ19" s="294"/>
      <c r="WWR19" s="294"/>
      <c r="WWS19" s="294"/>
      <c r="WWT19" s="294"/>
      <c r="WWU19" s="294"/>
      <c r="WWV19" s="294"/>
      <c r="WWW19" s="294"/>
      <c r="WWX19" s="294"/>
      <c r="WWY19" s="294"/>
      <c r="WWZ19" s="294"/>
      <c r="WXA19" s="294"/>
      <c r="WXB19" s="294"/>
      <c r="WXC19" s="294"/>
      <c r="WXD19" s="294"/>
      <c r="WXE19" s="294"/>
      <c r="WXF19" s="294"/>
      <c r="WXG19" s="294"/>
      <c r="WXH19" s="294"/>
      <c r="WXI19" s="294"/>
      <c r="WXJ19" s="294"/>
      <c r="WXK19" s="294"/>
      <c r="WXL19" s="294"/>
      <c r="WXM19" s="294"/>
      <c r="WXN19" s="294"/>
      <c r="WXO19" s="294"/>
      <c r="WXP19" s="294"/>
      <c r="WXQ19" s="294"/>
      <c r="WXR19" s="294"/>
      <c r="WXS19" s="294"/>
      <c r="WXT19" s="294"/>
      <c r="WXU19" s="294"/>
      <c r="WXV19" s="294"/>
      <c r="WXW19" s="294"/>
      <c r="WXX19" s="294"/>
      <c r="WXY19" s="294"/>
      <c r="WXZ19" s="294"/>
      <c r="WYA19" s="294"/>
      <c r="WYB19" s="294"/>
      <c r="WYC19" s="294"/>
      <c r="WYD19" s="294"/>
      <c r="WYE19" s="294"/>
      <c r="WYF19" s="294"/>
      <c r="WYG19" s="294"/>
      <c r="WYH19" s="294"/>
      <c r="WYI19" s="294"/>
      <c r="WYJ19" s="294"/>
      <c r="WYK19" s="294"/>
      <c r="WYL19" s="294"/>
      <c r="WYM19" s="294"/>
      <c r="WYN19" s="294"/>
      <c r="WYO19" s="294"/>
      <c r="WYP19" s="294"/>
      <c r="WYQ19" s="294"/>
      <c r="WYR19" s="294"/>
      <c r="WYS19" s="294"/>
      <c r="WYT19" s="294"/>
      <c r="WYU19" s="294"/>
      <c r="WYV19" s="294"/>
      <c r="WYW19" s="294"/>
      <c r="WYX19" s="294"/>
      <c r="WYY19" s="294"/>
      <c r="WYZ19" s="294"/>
      <c r="WZA19" s="294"/>
      <c r="WZB19" s="294"/>
      <c r="WZC19" s="294"/>
      <c r="WZD19" s="294"/>
      <c r="WZE19" s="294"/>
      <c r="WZF19" s="294"/>
      <c r="WZG19" s="294"/>
      <c r="WZH19" s="294"/>
      <c r="WZI19" s="294"/>
      <c r="WZJ19" s="294"/>
      <c r="WZK19" s="294"/>
      <c r="WZL19" s="294"/>
      <c r="WZM19" s="294"/>
      <c r="WZN19" s="294"/>
      <c r="WZO19" s="294"/>
      <c r="WZP19" s="294"/>
      <c r="WZQ19" s="294"/>
      <c r="WZR19" s="294"/>
      <c r="WZS19" s="294"/>
      <c r="WZT19" s="294"/>
      <c r="WZU19" s="294"/>
      <c r="WZV19" s="294"/>
      <c r="WZW19" s="294"/>
      <c r="WZX19" s="294"/>
      <c r="WZY19" s="294"/>
      <c r="WZZ19" s="294"/>
      <c r="XAA19" s="294"/>
      <c r="XAB19" s="294"/>
      <c r="XAC19" s="294"/>
      <c r="XAD19" s="294"/>
      <c r="XAE19" s="294"/>
      <c r="XAF19" s="294"/>
      <c r="XAG19" s="294"/>
      <c r="XAH19" s="294"/>
      <c r="XAI19" s="294"/>
      <c r="XAJ19" s="294"/>
      <c r="XAK19" s="294"/>
      <c r="XAL19" s="294"/>
      <c r="XAM19" s="294"/>
      <c r="XAN19" s="294"/>
      <c r="XAO19" s="294"/>
      <c r="XAP19" s="294"/>
      <c r="XAQ19" s="294"/>
      <c r="XAR19" s="294"/>
      <c r="XAS19" s="294"/>
      <c r="XAT19" s="294"/>
      <c r="XAU19" s="294"/>
      <c r="XAV19" s="294"/>
      <c r="XAW19" s="294"/>
      <c r="XAX19" s="294"/>
      <c r="XAY19" s="294"/>
      <c r="XAZ19" s="294"/>
      <c r="XBA19" s="294"/>
      <c r="XBB19" s="294"/>
      <c r="XBC19" s="294"/>
      <c r="XBD19" s="294"/>
      <c r="XBE19" s="294"/>
      <c r="XBF19" s="294"/>
      <c r="XBG19" s="294"/>
      <c r="XBH19" s="294"/>
      <c r="XBI19" s="294"/>
      <c r="XBJ19" s="294"/>
      <c r="XBK19" s="294"/>
      <c r="XBL19" s="294"/>
      <c r="XBM19" s="294"/>
      <c r="XBN19" s="294"/>
      <c r="XBO19" s="294"/>
      <c r="XBP19" s="294"/>
      <c r="XBQ19" s="294"/>
      <c r="XBR19" s="294"/>
      <c r="XBS19" s="294"/>
      <c r="XBT19" s="294"/>
      <c r="XBU19" s="294"/>
      <c r="XBV19" s="294"/>
      <c r="XBW19" s="294"/>
      <c r="XBX19" s="294"/>
      <c r="XBY19" s="294"/>
      <c r="XBZ19" s="294"/>
      <c r="XCA19" s="294"/>
      <c r="XCB19" s="294"/>
      <c r="XCC19" s="294"/>
      <c r="XCD19" s="294"/>
      <c r="XCE19" s="294"/>
      <c r="XCF19" s="294"/>
      <c r="XCG19" s="294"/>
      <c r="XCH19" s="294"/>
      <c r="XCI19" s="294"/>
      <c r="XCJ19" s="294"/>
      <c r="XCK19" s="294"/>
      <c r="XCL19" s="294"/>
      <c r="XCM19" s="294"/>
      <c r="XCN19" s="294"/>
      <c r="XCO19" s="294"/>
      <c r="XCP19" s="294"/>
      <c r="XCQ19" s="294"/>
      <c r="XCR19" s="294"/>
      <c r="XCS19" s="294"/>
      <c r="XCT19" s="294"/>
      <c r="XCU19" s="294"/>
      <c r="XCV19" s="294"/>
      <c r="XCW19" s="294"/>
      <c r="XCX19" s="294"/>
      <c r="XCY19" s="294"/>
      <c r="XCZ19" s="294"/>
      <c r="XDA19" s="294"/>
      <c r="XDB19" s="294"/>
      <c r="XDC19" s="294"/>
      <c r="XDD19" s="294"/>
      <c r="XDE19" s="294"/>
      <c r="XDF19" s="294"/>
      <c r="XDG19" s="294"/>
      <c r="XDH19" s="294"/>
      <c r="XDI19" s="294"/>
      <c r="XDJ19" s="294"/>
      <c r="XDK19" s="294"/>
      <c r="XDL19" s="294"/>
      <c r="XDM19" s="294"/>
      <c r="XDN19" s="294"/>
      <c r="XDO19" s="294"/>
      <c r="XDP19" s="294"/>
      <c r="XDQ19" s="294"/>
      <c r="XDR19" s="294"/>
      <c r="XDS19" s="294"/>
      <c r="XDT19" s="294"/>
      <c r="XDU19" s="294"/>
      <c r="XDV19" s="294"/>
      <c r="XDW19" s="294"/>
      <c r="XDX19" s="294"/>
      <c r="XDY19" s="294"/>
      <c r="XDZ19" s="294"/>
      <c r="XEA19" s="294"/>
      <c r="XEB19" s="294"/>
      <c r="XEC19" s="294"/>
      <c r="XED19" s="294"/>
      <c r="XEE19" s="294"/>
      <c r="XEF19" s="294"/>
      <c r="XEG19" s="294"/>
      <c r="XEH19" s="294"/>
      <c r="XEI19" s="294"/>
      <c r="XEJ19" s="294"/>
      <c r="XEK19" s="294"/>
      <c r="XEL19" s="294"/>
      <c r="XEM19" s="294"/>
      <c r="XEN19" s="294"/>
      <c r="XEO19" s="294"/>
      <c r="XEP19" s="294"/>
      <c r="XEQ19" s="294"/>
      <c r="XER19" s="294"/>
      <c r="XES19" s="294"/>
      <c r="XET19" s="294"/>
      <c r="XEU19" s="294"/>
      <c r="XEV19" s="294"/>
      <c r="XEW19" s="294"/>
      <c r="XEX19" s="294"/>
      <c r="XEY19" s="294"/>
      <c r="XEZ19" s="294"/>
      <c r="XFA19" s="294"/>
      <c r="XFB19" s="294"/>
    </row>
    <row r="20" spans="1:16382" s="294" customFormat="1" ht="12.75" hidden="1" customHeight="1">
      <c r="A20" s="417" t="s">
        <v>458</v>
      </c>
      <c r="B20" s="311" t="str">
        <f t="shared" si="0"/>
        <v>RES_201301</v>
      </c>
      <c r="C20" s="311">
        <v>1</v>
      </c>
      <c r="D20" s="311">
        <v>0</v>
      </c>
      <c r="E20" s="311">
        <f t="shared" si="1"/>
        <v>1</v>
      </c>
      <c r="F20" s="311">
        <v>3</v>
      </c>
      <c r="G20" s="311" t="b">
        <v>1</v>
      </c>
      <c r="H20" s="426" t="str">
        <f t="shared" si="2"/>
        <v>Residential</v>
      </c>
      <c r="I20" s="314" t="s">
        <v>2773</v>
      </c>
      <c r="J20" s="314" t="str">
        <f>INDEX('AMMO Units'!$C:$C,MATCH(Codes!$A20,'AMMO Units'!$E:$E,0))</f>
        <v>WA Code</v>
      </c>
      <c r="K20" s="314" t="str">
        <f>INDEX('AMMO Units'!$D:$D,MATCH(Codes!$A20,'AMMO Units'!$E:$E,0))</f>
        <v>WSEC 2021</v>
      </c>
      <c r="L20" s="24">
        <v>2023</v>
      </c>
      <c r="M20" s="322">
        <f>GETPIVOTDATA("Units",'AMMO Units'!$A$3,"Year",$L20,"Measure Index",$A20,"Savings Category","Regional_Market_2021PP")</f>
        <v>0</v>
      </c>
      <c r="N20" s="2851"/>
      <c r="O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P20" s="1476">
        <f>GETPIVOTDATA("Savings Rate",'AMMO Savings Rates'!$A$3,"Year",$L20,"Measure Index",$A20,"Savings Rate Type","Savings_Rate_2021PP")</f>
        <v>126</v>
      </c>
      <c r="Q20" s="1567" t="s">
        <v>1408</v>
      </c>
      <c r="R20" s="318">
        <f t="shared" si="3"/>
        <v>0</v>
      </c>
      <c r="S20" s="319">
        <v>0</v>
      </c>
      <c r="T20" s="427">
        <f t="shared" si="4"/>
        <v>0</v>
      </c>
      <c r="U20" s="278"/>
      <c r="V20" s="278"/>
    </row>
    <row r="21" spans="1:16382" s="294" customFormat="1" ht="12.75" customHeight="1">
      <c r="A21" s="417" t="s">
        <v>74</v>
      </c>
      <c r="B21" s="311" t="str">
        <f t="shared" ref="B21:B29" si="5">LEFT(A21,10)</f>
        <v>RES_200601</v>
      </c>
      <c r="C21" s="311">
        <v>1</v>
      </c>
      <c r="D21" s="311">
        <v>0</v>
      </c>
      <c r="E21" s="311">
        <f t="shared" si="1"/>
        <v>1</v>
      </c>
      <c r="F21" s="311">
        <v>3</v>
      </c>
      <c r="G21" s="311" t="b">
        <v>1</v>
      </c>
      <c r="H21" s="426" t="str">
        <f t="shared" ref="H21:H22" si="6">IF(LEFT(A21,3)="Res","Residential",IF(LEFT(A21,3)="Ind","industrial",IF(LEFT(A21,3)="Com","Commercial",IF(LEFT(A21,3)="AGR","Agriculture",""))))</f>
        <v>Residential</v>
      </c>
      <c r="I21" s="314" t="str">
        <f>INDEX('AMMO Units'!$B:$B,MATCH(Codes!$A21,'AMMO Units'!$E:$E,0))</f>
        <v>Other Codes (Multifamily)</v>
      </c>
      <c r="J21" s="441" t="str">
        <f>INDEX('AMMO Units'!$C:$C,MATCH(Codes!$A21,'AMMO Units'!$E:$E,0))</f>
        <v>ID Multifamily Code</v>
      </c>
      <c r="K21" s="314" t="str">
        <f>INDEX('AMMO Units'!$D:$D,MATCH(Codes!$A21,'AMMO Units'!$E:$E,0))</f>
        <v>IECC 2018</v>
      </c>
      <c r="L21" s="24">
        <v>2022</v>
      </c>
      <c r="M21" s="322">
        <f>GETPIVOTDATA("Units",'AMMO Units'!$A$3,"Year",$L21,"Measure Index",$A21,"Savings Category","Regional_Market_2021PP")</f>
        <v>3278.4720588800001</v>
      </c>
      <c r="N21" s="2851"/>
      <c r="O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P21" s="1476">
        <v>1059.3107956275326</v>
      </c>
      <c r="Q21" s="86" t="s">
        <v>3061</v>
      </c>
      <c r="R21" s="359">
        <f t="shared" si="3"/>
        <v>5.5446212068170513E-2</v>
      </c>
      <c r="S21" s="636">
        <v>0</v>
      </c>
      <c r="T21" s="427">
        <f t="shared" si="4"/>
        <v>5.5446212068170513E-2</v>
      </c>
      <c r="U21" s="1054"/>
    </row>
    <row r="22" spans="1:16382" s="294" customFormat="1" ht="12.75" customHeight="1">
      <c r="A22" s="417" t="s">
        <v>75</v>
      </c>
      <c r="B22" s="311" t="str">
        <f t="shared" si="5"/>
        <v>RES_200601</v>
      </c>
      <c r="C22" s="311">
        <v>1</v>
      </c>
      <c r="D22" s="311">
        <v>0</v>
      </c>
      <c r="E22" s="311">
        <f t="shared" si="1"/>
        <v>1</v>
      </c>
      <c r="F22" s="311">
        <v>3</v>
      </c>
      <c r="G22" s="311" t="b">
        <v>1</v>
      </c>
      <c r="H22" s="426" t="str">
        <f t="shared" si="6"/>
        <v>Residential</v>
      </c>
      <c r="I22" s="314" t="str">
        <f>INDEX('AMMO Units'!$B:$B,MATCH(Codes!$A22,'AMMO Units'!$E:$E,0))</f>
        <v>Other Codes (Multifamily)</v>
      </c>
      <c r="J22" s="441" t="str">
        <f>INDEX('AMMO Units'!$C:$C,MATCH(Codes!$A22,'AMMO Units'!$E:$E,0))</f>
        <v>MT Multifamily Code</v>
      </c>
      <c r="K22" s="314" t="str">
        <f>INDEX('AMMO Units'!$D:$D,MATCH(Codes!$A22,'AMMO Units'!$E:$E,0))</f>
        <v>IECC 2018</v>
      </c>
      <c r="L22" s="24">
        <v>2022</v>
      </c>
      <c r="M22" s="322">
        <f>GETPIVOTDATA("Units",'AMMO Units'!$A$3,"Year",$L22,"Measure Index",$A22,"Savings Category","Regional_Market_2021PP")</f>
        <v>599.34946043000002</v>
      </c>
      <c r="N22" s="2851"/>
      <c r="O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P22" s="1476">
        <v>504.93804148544405</v>
      </c>
      <c r="Q22" s="86" t="s">
        <v>3061</v>
      </c>
      <c r="R22" s="359">
        <f t="shared" si="3"/>
        <v>4.8316471044215206E-3</v>
      </c>
      <c r="S22" s="636">
        <v>0</v>
      </c>
      <c r="T22" s="427">
        <f t="shared" si="4"/>
        <v>4.8316471044215206E-3</v>
      </c>
      <c r="U22" s="1054"/>
    </row>
    <row r="23" spans="1:16382" s="294" customFormat="1" ht="12.75" hidden="1" customHeight="1">
      <c r="A23" s="417" t="s">
        <v>1519</v>
      </c>
      <c r="B23" s="311" t="str">
        <f t="shared" si="5"/>
        <v>RES_200601</v>
      </c>
      <c r="C23" s="311">
        <v>1</v>
      </c>
      <c r="D23" s="311">
        <v>0</v>
      </c>
      <c r="E23" s="311">
        <f t="shared" si="1"/>
        <v>1</v>
      </c>
      <c r="F23" s="311">
        <v>3</v>
      </c>
      <c r="G23" s="311" t="b">
        <v>1</v>
      </c>
      <c r="H23" s="426" t="str">
        <f>IF(LEFT(A23,3)="Res","Residential",IF(LEFT(A23,3)="Ind","industrial",IF(LEFT(A23,3)="Com","Commercial",IF(LEFT(A23,3)="AGR","Agriculture",""))))</f>
        <v>Residential</v>
      </c>
      <c r="I23" s="314" t="str">
        <f>INDEX('AMMO Units'!$B:$B,MATCH(Codes!$A23,'AMMO Units'!$E:$E,0))</f>
        <v>Other Codes (Multifamily)</v>
      </c>
      <c r="J23" s="314" t="str">
        <f>INDEX('AMMO Units'!$C:$C,MATCH(Codes!$A23,'AMMO Units'!$E:$E,0))</f>
        <v>ID Multifamily Code</v>
      </c>
      <c r="K23" s="314" t="str">
        <f>INDEX('AMMO Units'!$D:$D,MATCH(Codes!$A23,'AMMO Units'!$E:$E,0))</f>
        <v>IECC 2021</v>
      </c>
      <c r="L23" s="24">
        <v>2022</v>
      </c>
      <c r="M23" s="322">
        <f>GETPIVOTDATA("Units",'AMMO Units'!$A$3,"Year",$L23,"Measure Index",$A23,"Savings Category","Regional_Market_2021PP")</f>
        <v>0</v>
      </c>
      <c r="N23" s="2851"/>
      <c r="O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v>
      </c>
      <c r="P23" s="1476">
        <f>GETPIVOTDATA("Savings Rate",'AMMO Savings Rates'!$A$3,"Year",$L23,"Measure Index",$A23,"Savings Rate Type","Savings_Rate_2021PP")</f>
        <v>443.7</v>
      </c>
      <c r="Q23" s="86" t="s">
        <v>332</v>
      </c>
      <c r="R23" s="318">
        <f t="shared" si="3"/>
        <v>0</v>
      </c>
      <c r="S23" s="319">
        <v>0</v>
      </c>
      <c r="T23" s="427">
        <f t="shared" si="4"/>
        <v>0</v>
      </c>
      <c r="U23" s="274"/>
    </row>
    <row r="24" spans="1:16382" s="294" customFormat="1" ht="12.75" hidden="1" customHeight="1">
      <c r="A24" s="417" t="s">
        <v>1520</v>
      </c>
      <c r="B24" s="311" t="str">
        <f t="shared" si="5"/>
        <v>RES_200601</v>
      </c>
      <c r="C24" s="311">
        <v>1</v>
      </c>
      <c r="D24" s="311">
        <v>0</v>
      </c>
      <c r="E24" s="311">
        <f t="shared" si="1"/>
        <v>1</v>
      </c>
      <c r="F24" s="311">
        <v>3</v>
      </c>
      <c r="G24" s="311" t="b">
        <v>1</v>
      </c>
      <c r="H24" s="426" t="str">
        <f t="shared" ref="H24:H34" si="7">IF(LEFT(A24,3)="Res","Residential",IF(LEFT(A24,3)="Ind","industrial",IF(LEFT(A24,3)="Com","Commercial",IF(LEFT(A24,3)="AGR","Agriculture",""))))</f>
        <v>Residential</v>
      </c>
      <c r="I24" s="314" t="str">
        <f>INDEX('AMMO Units'!$B:$B,MATCH(Codes!$A24,'AMMO Units'!$E:$E,0))</f>
        <v>Other Codes (Multifamily)</v>
      </c>
      <c r="J24" s="314" t="str">
        <f>INDEX('AMMO Units'!$C:$C,MATCH(Codes!$A24,'AMMO Units'!$E:$E,0))</f>
        <v>MT Multifamily Code</v>
      </c>
      <c r="K24" s="314" t="str">
        <f>INDEX('AMMO Units'!$D:$D,MATCH(Codes!$A24,'AMMO Units'!$E:$E,0))</f>
        <v>IECC 2021</v>
      </c>
      <c r="L24" s="24">
        <v>2022</v>
      </c>
      <c r="M24" s="322">
        <f>GETPIVOTDATA("Units",'AMMO Units'!$A$3,"Year",$L24,"Measure Index",$A24,"Savings Category","Regional_Market_2021PP")</f>
        <v>0</v>
      </c>
      <c r="N24" s="2851"/>
      <c r="O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v>
      </c>
      <c r="P24" s="1476">
        <f>GETPIVOTDATA("Savings Rate",'AMMO Savings Rates'!$A$3,"Year",$L24,"Measure Index",$A24,"Savings Rate Type","Savings_Rate_2021PP")</f>
        <v>15.83712487</v>
      </c>
      <c r="Q24" s="86" t="s">
        <v>332</v>
      </c>
      <c r="R24" s="318">
        <f t="shared" si="3"/>
        <v>0</v>
      </c>
      <c r="S24" s="319">
        <v>0</v>
      </c>
      <c r="T24" s="427">
        <f t="shared" si="4"/>
        <v>0</v>
      </c>
      <c r="U24" s="274"/>
    </row>
    <row r="25" spans="1:16382" s="294" customFormat="1" ht="12.75" hidden="1" customHeight="1">
      <c r="A25" s="417" t="s">
        <v>1312</v>
      </c>
      <c r="B25" s="311" t="str">
        <f t="shared" si="5"/>
        <v>RES_200601</v>
      </c>
      <c r="C25" s="311">
        <v>1</v>
      </c>
      <c r="D25" s="311">
        <v>0</v>
      </c>
      <c r="E25" s="311">
        <f t="shared" si="1"/>
        <v>1</v>
      </c>
      <c r="F25" s="311">
        <v>3</v>
      </c>
      <c r="G25" s="311" t="b">
        <v>1</v>
      </c>
      <c r="H25" s="426" t="str">
        <f t="shared" si="7"/>
        <v>Residential</v>
      </c>
      <c r="I25" s="314" t="str">
        <f>INDEX('AMMO Units'!$B:$B,MATCH(Codes!$A25,'AMMO Units'!$E:$E,0))</f>
        <v>Other Codes (Multifamily)</v>
      </c>
      <c r="J25" s="314" t="str">
        <f>INDEX('AMMO Units'!$C:$C,MATCH(Codes!$A25,'AMMO Units'!$E:$E,0))</f>
        <v>OR Multifamily Code</v>
      </c>
      <c r="K25" s="314" t="str">
        <f>INDEX('AMMO Units'!$D:$D,MATCH(Codes!$A25,'AMMO Units'!$E:$E,0))</f>
        <v>Or. Specialty Code 2021</v>
      </c>
      <c r="L25" s="24">
        <v>2022</v>
      </c>
      <c r="M25" s="322">
        <f>GETPIVOTDATA("Units",'AMMO Units'!$A$3,"Year",$L25,"Measure Index",$A25,"Savings Category","Regional_Market_2021PP")</f>
        <v>2186.6811668</v>
      </c>
      <c r="N25" s="2851"/>
      <c r="O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P25" s="1476">
        <f>GETPIVOTDATA("Savings Rate",'AMMO Savings Rates'!$A$3,"Year",$L25,"Measure Index",$A25,"Savings Rate Type","Savings_Rate_2021PP")</f>
        <v>0</v>
      </c>
      <c r="Q25" s="86" t="s">
        <v>332</v>
      </c>
      <c r="R25" s="318">
        <f t="shared" si="3"/>
        <v>0</v>
      </c>
      <c r="S25" s="319">
        <v>0</v>
      </c>
      <c r="T25" s="427">
        <f t="shared" si="4"/>
        <v>0</v>
      </c>
      <c r="U25" s="274"/>
    </row>
    <row r="26" spans="1:16382" s="294" customFormat="1" ht="12.75" hidden="1" customHeight="1">
      <c r="A26" s="417" t="s">
        <v>1524</v>
      </c>
      <c r="B26" s="311" t="str">
        <f t="shared" si="5"/>
        <v>RES_200601</v>
      </c>
      <c r="C26" s="311">
        <v>1</v>
      </c>
      <c r="D26" s="311">
        <v>0</v>
      </c>
      <c r="E26" s="311">
        <f t="shared" si="1"/>
        <v>1</v>
      </c>
      <c r="F26" s="311">
        <v>3</v>
      </c>
      <c r="G26" s="311" t="b">
        <v>1</v>
      </c>
      <c r="H26" s="426" t="str">
        <f t="shared" si="7"/>
        <v>Residential</v>
      </c>
      <c r="I26" s="314" t="str">
        <f>INDEX('AMMO Units'!$B:$B,MATCH(Codes!$A26,'AMMO Units'!$E:$E,0))</f>
        <v>Other Codes (Multifamily)</v>
      </c>
      <c r="J26" s="314" t="str">
        <f>INDEX('AMMO Units'!$C:$C,MATCH(Codes!$A26,'AMMO Units'!$E:$E,0))</f>
        <v>OR Multifamily Code</v>
      </c>
      <c r="K26" s="314" t="str">
        <f>INDEX('AMMO Units'!$D:$D,MATCH(Codes!$A26,'AMMO Units'!$E:$E,0))</f>
        <v>Or. Specialty Code 2023</v>
      </c>
      <c r="L26" s="24">
        <v>2022</v>
      </c>
      <c r="M26" s="322">
        <f>GETPIVOTDATA("Units",'AMMO Units'!$A$3,"Year",$L26,"Measure Index",$A26,"Savings Category","Regional_Market_2021PP")</f>
        <v>0</v>
      </c>
      <c r="N26" s="2851"/>
      <c r="O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P26" s="1476">
        <f>GETPIVOTDATA("Savings Rate",'AMMO Savings Rates'!$A$3,"Year",$L26,"Measure Index",$A26,"Savings Rate Type","Savings_Rate_2021PP")</f>
        <v>195</v>
      </c>
      <c r="Q26" s="86" t="s">
        <v>332</v>
      </c>
      <c r="R26" s="318">
        <f t="shared" si="3"/>
        <v>0</v>
      </c>
      <c r="S26" s="319">
        <v>0</v>
      </c>
      <c r="T26" s="427">
        <f t="shared" si="4"/>
        <v>0</v>
      </c>
      <c r="U26" s="274"/>
    </row>
    <row r="27" spans="1:16382" s="294" customFormat="1" ht="12.75" hidden="1" customHeight="1">
      <c r="A27" s="417" t="s">
        <v>1525</v>
      </c>
      <c r="B27" s="311" t="str">
        <f t="shared" si="5"/>
        <v>RES_200601</v>
      </c>
      <c r="C27" s="311">
        <v>1</v>
      </c>
      <c r="D27" s="311">
        <v>0</v>
      </c>
      <c r="E27" s="311">
        <f t="shared" si="1"/>
        <v>1</v>
      </c>
      <c r="F27" s="311">
        <v>3</v>
      </c>
      <c r="G27" s="311" t="b">
        <v>1</v>
      </c>
      <c r="H27" s="426" t="str">
        <f t="shared" si="7"/>
        <v>Residential</v>
      </c>
      <c r="I27" s="314" t="str">
        <f>INDEX('AMMO Units'!$B:$B,MATCH(Codes!$A27,'AMMO Units'!$E:$E,0))</f>
        <v>Other Codes (Multifamily)</v>
      </c>
      <c r="J27" s="314" t="str">
        <f>INDEX('AMMO Units'!$C:$C,MATCH(Codes!$A27,'AMMO Units'!$E:$E,0))</f>
        <v>WA Multifamily Code</v>
      </c>
      <c r="K27" s="314" t="str">
        <f>INDEX('AMMO Units'!$D:$D,MATCH(Codes!$A27,'AMMO Units'!$E:$E,0))</f>
        <v>WSEC 2021</v>
      </c>
      <c r="L27" s="24">
        <v>2022</v>
      </c>
      <c r="M27" s="322">
        <f>GETPIVOTDATA("Units",'AMMO Units'!$A$3,"Year",$L27,"Measure Index",$A27,"Savings Category","Regional_Market_2021PP")</f>
        <v>0</v>
      </c>
      <c r="N27" s="2851"/>
      <c r="O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P27" s="1476">
        <f>GETPIVOTDATA("Savings Rate",'AMMO Savings Rates'!$A$3,"Year",$L27,"Measure Index",$A27,"Savings Rate Type","Savings_Rate_2021PP")</f>
        <v>542</v>
      </c>
      <c r="Q27" s="86" t="s">
        <v>1408</v>
      </c>
      <c r="R27" s="318">
        <f t="shared" si="3"/>
        <v>0</v>
      </c>
      <c r="S27" s="319">
        <v>0</v>
      </c>
      <c r="T27" s="427">
        <f t="shared" si="4"/>
        <v>0</v>
      </c>
    </row>
    <row r="28" spans="1:16382" s="294" customFormat="1" ht="12.75" customHeight="1">
      <c r="A28" s="417" t="s">
        <v>74</v>
      </c>
      <c r="B28" s="311" t="str">
        <f t="shared" si="5"/>
        <v>RES_200601</v>
      </c>
      <c r="C28" s="311">
        <v>1</v>
      </c>
      <c r="D28" s="311">
        <v>0</v>
      </c>
      <c r="E28" s="311">
        <f t="shared" si="1"/>
        <v>1</v>
      </c>
      <c r="F28" s="311">
        <v>3</v>
      </c>
      <c r="G28" s="311" t="b">
        <v>1</v>
      </c>
      <c r="H28" s="426" t="str">
        <f t="shared" ref="H28:H29" si="8">IF(LEFT(A28,3)="Res","Residential",IF(LEFT(A28,3)="Ind","industrial",IF(LEFT(A28,3)="Com","Commercial",IF(LEFT(A28,3)="AGR","Agriculture",""))))</f>
        <v>Residential</v>
      </c>
      <c r="I28" s="314" t="str">
        <f>INDEX('AMMO Units'!$B:$B,MATCH(Codes!$A28,'AMMO Units'!$E:$E,0))</f>
        <v>Other Codes (Multifamily)</v>
      </c>
      <c r="J28" s="441" t="str">
        <f>INDEX('AMMO Units'!$C:$C,MATCH(Codes!$A28,'AMMO Units'!$E:$E,0))</f>
        <v>ID Multifamily Code</v>
      </c>
      <c r="K28" s="314" t="str">
        <f>INDEX('AMMO Units'!$D:$D,MATCH(Codes!$A28,'AMMO Units'!$E:$E,0))</f>
        <v>IECC 2018</v>
      </c>
      <c r="L28" s="24">
        <v>2023</v>
      </c>
      <c r="M28" s="322">
        <f>GETPIVOTDATA("Units",'AMMO Units'!$A$3,"Year",$L28,"Measure Index",$A28,"Savings Category","Regional_Market_2021PP")</f>
        <v>3311.2567794699999</v>
      </c>
      <c r="N28" s="2851"/>
      <c r="O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P28" s="1476">
        <v>1059.3107956275326</v>
      </c>
      <c r="Q28" s="86" t="s">
        <v>3061</v>
      </c>
      <c r="R28" s="359">
        <f t="shared" si="3"/>
        <v>5.6000674188872508E-2</v>
      </c>
      <c r="S28" s="636">
        <v>0</v>
      </c>
      <c r="T28" s="427">
        <f t="shared" si="4"/>
        <v>5.6000674188872508E-2</v>
      </c>
    </row>
    <row r="29" spans="1:16382" s="294" customFormat="1" ht="12.75" customHeight="1">
      <c r="A29" s="417" t="s">
        <v>75</v>
      </c>
      <c r="B29" s="311" t="str">
        <f t="shared" si="5"/>
        <v>RES_200601</v>
      </c>
      <c r="C29" s="311">
        <v>1</v>
      </c>
      <c r="D29" s="311">
        <v>0</v>
      </c>
      <c r="E29" s="311">
        <f t="shared" si="1"/>
        <v>1</v>
      </c>
      <c r="F29" s="311">
        <v>3</v>
      </c>
      <c r="G29" s="311" t="b">
        <v>1</v>
      </c>
      <c r="H29" s="426" t="str">
        <f t="shared" si="8"/>
        <v>Residential</v>
      </c>
      <c r="I29" s="314" t="str">
        <f>INDEX('AMMO Units'!$B:$B,MATCH(Codes!$A29,'AMMO Units'!$E:$E,0))</f>
        <v>Other Codes (Multifamily)</v>
      </c>
      <c r="J29" s="441" t="str">
        <f>INDEX('AMMO Units'!$C:$C,MATCH(Codes!$A29,'AMMO Units'!$E:$E,0))</f>
        <v>MT Multifamily Code</v>
      </c>
      <c r="K29" s="314" t="str">
        <f>INDEX('AMMO Units'!$D:$D,MATCH(Codes!$A29,'AMMO Units'!$E:$E,0))</f>
        <v>IECC 2018</v>
      </c>
      <c r="L29" s="24">
        <v>2023</v>
      </c>
      <c r="M29" s="322">
        <f>GETPIVOTDATA("Units",'AMMO Units'!$A$3,"Year",$L29,"Measure Index",$A29,"Savings Category","Regional_Market_2021PP")</f>
        <v>605.34295502999998</v>
      </c>
      <c r="N29" s="2851"/>
      <c r="O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P29" s="1476">
        <v>504.93804148544405</v>
      </c>
      <c r="Q29" s="86" t="s">
        <v>3061</v>
      </c>
      <c r="R29" s="359">
        <f t="shared" si="3"/>
        <v>4.8799635754310719E-3</v>
      </c>
      <c r="S29" s="636">
        <v>0</v>
      </c>
      <c r="T29" s="427">
        <f t="shared" si="4"/>
        <v>4.8799635754310719E-3</v>
      </c>
    </row>
    <row r="30" spans="1:16382" s="294" customFormat="1" ht="12.75" hidden="1" customHeight="1">
      <c r="A30" s="417" t="s">
        <v>1519</v>
      </c>
      <c r="B30" s="311" t="str">
        <f>LEFT(A30,10)</f>
        <v>RES_200601</v>
      </c>
      <c r="C30" s="311">
        <v>1</v>
      </c>
      <c r="D30" s="311">
        <v>0</v>
      </c>
      <c r="E30" s="311">
        <f t="shared" si="1"/>
        <v>1</v>
      </c>
      <c r="F30" s="311">
        <v>3</v>
      </c>
      <c r="G30" s="311" t="b">
        <v>1</v>
      </c>
      <c r="H30" s="426" t="str">
        <f t="shared" si="7"/>
        <v>Residential</v>
      </c>
      <c r="I30" s="314" t="str">
        <f>INDEX('AMMO Units'!$B:$B,MATCH(Codes!$A30,'AMMO Units'!$E:$E,0))</f>
        <v>Other Codes (Multifamily)</v>
      </c>
      <c r="J30" s="314" t="str">
        <f>INDEX('AMMO Units'!$C:$C,MATCH(Codes!$A30,'AMMO Units'!$E:$E,0))</f>
        <v>ID Multifamily Code</v>
      </c>
      <c r="K30" s="314" t="str">
        <f>INDEX('AMMO Units'!$D:$D,MATCH(Codes!$A30,'AMMO Units'!$E:$E,0))</f>
        <v>IECC 2021</v>
      </c>
      <c r="L30" s="24">
        <v>2023</v>
      </c>
      <c r="M30" s="322">
        <f>GETPIVOTDATA("Units",'AMMO Units'!$A$3,"Year",$L30,"Measure Index",$A30,"Savings Category","Regional_Market_2021PP")</f>
        <v>0</v>
      </c>
      <c r="N30" s="2851"/>
      <c r="O30" s="445">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v>
      </c>
      <c r="P30" s="1476">
        <f>GETPIVOTDATA("Savings Rate",'AMMO Savings Rates'!$A$3,"Year",$L30,"Measure Index",$A30,"Savings Rate Type","Savings_Rate_2021PP")</f>
        <v>443.7</v>
      </c>
      <c r="Q30" s="86" t="s">
        <v>332</v>
      </c>
      <c r="R30" s="318">
        <f t="shared" si="3"/>
        <v>0</v>
      </c>
      <c r="S30" s="319">
        <v>0</v>
      </c>
      <c r="T30" s="427">
        <f t="shared" si="4"/>
        <v>0</v>
      </c>
    </row>
    <row r="31" spans="1:16382" s="294" customFormat="1" ht="12.75" hidden="1" customHeight="1">
      <c r="A31" s="417" t="s">
        <v>1520</v>
      </c>
      <c r="B31" s="311" t="str">
        <f>LEFT(A31,10)</f>
        <v>RES_200601</v>
      </c>
      <c r="C31" s="311">
        <v>1</v>
      </c>
      <c r="D31" s="311">
        <v>0</v>
      </c>
      <c r="E31" s="311">
        <f t="shared" si="1"/>
        <v>1</v>
      </c>
      <c r="F31" s="311">
        <v>3</v>
      </c>
      <c r="G31" s="311" t="b">
        <v>1</v>
      </c>
      <c r="H31" s="426" t="str">
        <f t="shared" si="7"/>
        <v>Residential</v>
      </c>
      <c r="I31" s="314" t="str">
        <f>INDEX('AMMO Units'!$B:$B,MATCH(Codes!$A31,'AMMO Units'!$E:$E,0))</f>
        <v>Other Codes (Multifamily)</v>
      </c>
      <c r="J31" s="314" t="str">
        <f>INDEX('AMMO Units'!$C:$C,MATCH(Codes!$A31,'AMMO Units'!$E:$E,0))</f>
        <v>MT Multifamily Code</v>
      </c>
      <c r="K31" s="314" t="str">
        <f>INDEX('AMMO Units'!$D:$D,MATCH(Codes!$A31,'AMMO Units'!$E:$E,0))</f>
        <v>IECC 2021</v>
      </c>
      <c r="L31" s="24">
        <v>2023</v>
      </c>
      <c r="M31" s="322">
        <f>GETPIVOTDATA("Units",'AMMO Units'!$A$3,"Year",$L31,"Measure Index",$A31,"Savings Category","Regional_Market_2021PP")</f>
        <v>0</v>
      </c>
      <c r="N31" s="2851"/>
      <c r="O31" s="445">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v>
      </c>
      <c r="P31" s="1476">
        <f>GETPIVOTDATA("Savings Rate",'AMMO Savings Rates'!$A$3,"Year",$L31,"Measure Index",$A31,"Savings Rate Type","Savings_Rate_2021PP")</f>
        <v>15.83712487</v>
      </c>
      <c r="Q31" s="86" t="s">
        <v>332</v>
      </c>
      <c r="R31" s="318">
        <f t="shared" si="3"/>
        <v>0</v>
      </c>
      <c r="S31" s="319">
        <v>0</v>
      </c>
      <c r="T31" s="427">
        <f t="shared" si="4"/>
        <v>0</v>
      </c>
    </row>
    <row r="32" spans="1:16382" s="294" customFormat="1" ht="12.75" hidden="1" customHeight="1">
      <c r="A32" s="417" t="s">
        <v>1312</v>
      </c>
      <c r="B32" s="311" t="str">
        <f>LEFT(A32,10)</f>
        <v>RES_200601</v>
      </c>
      <c r="C32" s="311">
        <v>1</v>
      </c>
      <c r="D32" s="311">
        <v>0</v>
      </c>
      <c r="E32" s="311">
        <f t="shared" si="1"/>
        <v>1</v>
      </c>
      <c r="F32" s="311">
        <v>3</v>
      </c>
      <c r="G32" s="311" t="b">
        <v>1</v>
      </c>
      <c r="H32" s="426" t="str">
        <f t="shared" si="7"/>
        <v>Residential</v>
      </c>
      <c r="I32" s="314" t="str">
        <f>INDEX('AMMO Units'!$B:$B,MATCH(Codes!$A32,'AMMO Units'!$E:$E,0))</f>
        <v>Other Codes (Multifamily)</v>
      </c>
      <c r="J32" s="314" t="str">
        <f>INDEX('AMMO Units'!$C:$C,MATCH(Codes!$A32,'AMMO Units'!$E:$E,0))</f>
        <v>OR Multifamily Code</v>
      </c>
      <c r="K32" s="314" t="str">
        <f>INDEX('AMMO Units'!$D:$D,MATCH(Codes!$A32,'AMMO Units'!$E:$E,0))</f>
        <v>Or. Specialty Code 2021</v>
      </c>
      <c r="L32" s="24">
        <v>2023</v>
      </c>
      <c r="M32" s="322">
        <f>GETPIVOTDATA("Units",'AMMO Units'!$A$3,"Year",$L32,"Measure Index",$A32,"Savings Category","Regional_Market_2021PP")</f>
        <v>2944.73063796</v>
      </c>
      <c r="N32" s="2851"/>
      <c r="O32" s="445">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P32" s="1476">
        <f>GETPIVOTDATA("Savings Rate",'AMMO Savings Rates'!$A$3,"Year",$L32,"Measure Index",$A32,"Savings Rate Type","Savings_Rate_2021PP")</f>
        <v>0</v>
      </c>
      <c r="Q32" s="86" t="s">
        <v>332</v>
      </c>
      <c r="R32" s="318">
        <f t="shared" si="3"/>
        <v>0</v>
      </c>
      <c r="S32" s="319">
        <v>0</v>
      </c>
      <c r="T32" s="427">
        <f t="shared" si="4"/>
        <v>0</v>
      </c>
    </row>
    <row r="33" spans="1:22" s="294" customFormat="1" ht="12.75" hidden="1" customHeight="1">
      <c r="A33" s="417" t="s">
        <v>1524</v>
      </c>
      <c r="B33" s="311" t="str">
        <f>LEFT(A33,10)</f>
        <v>RES_200601</v>
      </c>
      <c r="C33" s="311">
        <v>1</v>
      </c>
      <c r="D33" s="311">
        <v>0</v>
      </c>
      <c r="E33" s="311">
        <f t="shared" si="1"/>
        <v>1</v>
      </c>
      <c r="F33" s="311">
        <v>3</v>
      </c>
      <c r="G33" s="311" t="b">
        <v>1</v>
      </c>
      <c r="H33" s="426" t="str">
        <f t="shared" si="7"/>
        <v>Residential</v>
      </c>
      <c r="I33" s="314" t="str">
        <f>INDEX('AMMO Units'!$B:$B,MATCH(Codes!$A33,'AMMO Units'!$E:$E,0))</f>
        <v>Other Codes (Multifamily)</v>
      </c>
      <c r="J33" s="314" t="str">
        <f>INDEX('AMMO Units'!$C:$C,MATCH(Codes!$A33,'AMMO Units'!$E:$E,0))</f>
        <v>OR Multifamily Code</v>
      </c>
      <c r="K33" s="314" t="str">
        <f>INDEX('AMMO Units'!$D:$D,MATCH(Codes!$A33,'AMMO Units'!$E:$E,0))</f>
        <v>Or. Specialty Code 2023</v>
      </c>
      <c r="L33" s="24">
        <v>2023</v>
      </c>
      <c r="M33" s="322">
        <f>GETPIVOTDATA("Units",'AMMO Units'!$A$3,"Year",$L33,"Measure Index",$A33,"Savings Category","Regional_Market_2021PP")</f>
        <v>0</v>
      </c>
      <c r="N33" s="2851"/>
      <c r="O33" s="445">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v>
      </c>
      <c r="P33" s="1476">
        <f>GETPIVOTDATA("Savings Rate",'AMMO Savings Rates'!$A$3,"Year",$L33,"Measure Index",$A33,"Savings Rate Type","Savings_Rate_2021PP")</f>
        <v>195</v>
      </c>
      <c r="Q33" s="86" t="s">
        <v>332</v>
      </c>
      <c r="R33" s="318">
        <f t="shared" si="3"/>
        <v>0</v>
      </c>
      <c r="S33" s="319">
        <v>0</v>
      </c>
      <c r="T33" s="427">
        <f t="shared" si="4"/>
        <v>0</v>
      </c>
      <c r="U33" s="274"/>
    </row>
    <row r="34" spans="1:22" s="294" customFormat="1" ht="12.75" hidden="1" customHeight="1">
      <c r="A34" s="417" t="s">
        <v>1525</v>
      </c>
      <c r="B34" s="311" t="str">
        <f>LEFT(A34,10)</f>
        <v>RES_200601</v>
      </c>
      <c r="C34" s="311">
        <v>1</v>
      </c>
      <c r="D34" s="311">
        <v>0</v>
      </c>
      <c r="E34" s="311">
        <f t="shared" si="1"/>
        <v>1</v>
      </c>
      <c r="F34" s="311">
        <v>3</v>
      </c>
      <c r="G34" s="311" t="b">
        <v>1</v>
      </c>
      <c r="H34" s="426" t="str">
        <f t="shared" si="7"/>
        <v>Residential</v>
      </c>
      <c r="I34" s="314" t="str">
        <f>INDEX('AMMO Units'!$B:$B,MATCH(Codes!$A34,'AMMO Units'!$E:$E,0))</f>
        <v>Other Codes (Multifamily)</v>
      </c>
      <c r="J34" s="314" t="str">
        <f>INDEX('AMMO Units'!$C:$C,MATCH(Codes!$A34,'AMMO Units'!$E:$E,0))</f>
        <v>WA Multifamily Code</v>
      </c>
      <c r="K34" s="314" t="str">
        <f>INDEX('AMMO Units'!$D:$D,MATCH(Codes!$A34,'AMMO Units'!$E:$E,0))</f>
        <v>WSEC 2021</v>
      </c>
      <c r="L34" s="24">
        <v>2023</v>
      </c>
      <c r="M34" s="322">
        <f>GETPIVOTDATA("Units",'AMMO Units'!$A$3,"Year",$L34,"Measure Index",$A34,"Savings Category","Regional_Market_2021PP")</f>
        <v>0</v>
      </c>
      <c r="N34" s="2851"/>
      <c r="O34" s="445">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v>
      </c>
      <c r="P34" s="1476">
        <f>GETPIVOTDATA("Savings Rate",'AMMO Savings Rates'!$A$3,"Year",$L34,"Measure Index",$A34,"Savings Rate Type","Savings_Rate_2021PP")</f>
        <v>542</v>
      </c>
      <c r="Q34" s="1567" t="s">
        <v>1408</v>
      </c>
      <c r="R34" s="318">
        <f t="shared" si="3"/>
        <v>0</v>
      </c>
      <c r="S34" s="319">
        <v>0</v>
      </c>
      <c r="T34" s="427">
        <f t="shared" si="4"/>
        <v>0</v>
      </c>
      <c r="U34" s="274"/>
    </row>
    <row r="35" spans="1:22" s="294" customFormat="1" ht="12.75" customHeight="1">
      <c r="A35" s="417" t="s">
        <v>1363</v>
      </c>
      <c r="B35" s="311" t="str">
        <f t="shared" si="0"/>
        <v>COM_200202</v>
      </c>
      <c r="C35" s="311">
        <v>1</v>
      </c>
      <c r="D35" s="311">
        <v>0</v>
      </c>
      <c r="E35" s="311">
        <f t="shared" si="1"/>
        <v>1</v>
      </c>
      <c r="F35" s="311">
        <v>3</v>
      </c>
      <c r="G35" s="311" t="b">
        <v>1</v>
      </c>
      <c r="H35" s="426" t="str">
        <f t="shared" si="2"/>
        <v>Commercial</v>
      </c>
      <c r="I35" s="314" t="s">
        <v>137</v>
      </c>
      <c r="J35" s="441" t="s">
        <v>296</v>
      </c>
      <c r="K35" s="314" t="s">
        <v>1364</v>
      </c>
      <c r="L35" s="24">
        <v>2022</v>
      </c>
      <c r="M35" s="2167">
        <f>GETPIVOTDATA("Units",'AMMO Units'!$A$3,"Year",$L35,"Measure Index",$A35,"Savings Category","Regional_Market_2021PP")</f>
        <v>1898280.80522979</v>
      </c>
      <c r="N35" s="2851"/>
      <c r="O35" s="445">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P35" s="1568">
        <v>0.34608330155607836</v>
      </c>
      <c r="Q35" s="86" t="s">
        <v>3256</v>
      </c>
      <c r="R35" s="359">
        <f t="shared" si="3"/>
        <v>1.0488613887682749E-2</v>
      </c>
      <c r="S35" s="636">
        <v>0</v>
      </c>
      <c r="T35" s="427">
        <f t="shared" si="4"/>
        <v>1.0488613887682749E-2</v>
      </c>
      <c r="U35" s="1054"/>
    </row>
    <row r="36" spans="1:22" s="501" customFormat="1" ht="12.75" customHeight="1">
      <c r="A36" s="417" t="s">
        <v>22</v>
      </c>
      <c r="B36" s="311" t="str">
        <f t="shared" si="0"/>
        <v>COM_200202</v>
      </c>
      <c r="C36" s="311">
        <v>1</v>
      </c>
      <c r="D36" s="311">
        <v>0</v>
      </c>
      <c r="E36" s="311">
        <f t="shared" si="1"/>
        <v>1</v>
      </c>
      <c r="F36" s="311">
        <v>3</v>
      </c>
      <c r="G36" s="311" t="b">
        <v>1</v>
      </c>
      <c r="H36" s="426" t="str">
        <f t="shared" si="2"/>
        <v>Commercial</v>
      </c>
      <c r="I36" s="314" t="s">
        <v>137</v>
      </c>
      <c r="J36" s="441" t="s">
        <v>304</v>
      </c>
      <c r="K36" s="314" t="s">
        <v>1368</v>
      </c>
      <c r="L36" s="24">
        <v>2022</v>
      </c>
      <c r="M36" s="2167">
        <f>GETPIVOTDATA("Units",'AMMO Units'!$A$3,"Year",$L36,"Measure Index",$A36,"Savings Category","Regional_Market_2021PP")</f>
        <v>558349.19078220997</v>
      </c>
      <c r="N36" s="2851"/>
      <c r="O36" s="445">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P36" s="1568">
        <v>1.5685777655339743</v>
      </c>
      <c r="Q36" s="86" t="s">
        <v>3256</v>
      </c>
      <c r="R36" s="359">
        <f t="shared" si="3"/>
        <v>1.3982632467457455E-2</v>
      </c>
      <c r="S36" s="636">
        <v>0</v>
      </c>
      <c r="T36" s="427">
        <f t="shared" si="4"/>
        <v>1.3982632467457455E-2</v>
      </c>
      <c r="U36" s="1054"/>
      <c r="V36" s="294"/>
    </row>
    <row r="37" spans="1:22" s="294" customFormat="1" ht="12.75" customHeight="1">
      <c r="A37" s="417" t="s">
        <v>1374</v>
      </c>
      <c r="B37" s="311" t="str">
        <f t="shared" si="0"/>
        <v>COM_200202</v>
      </c>
      <c r="C37" s="311">
        <v>1</v>
      </c>
      <c r="D37" s="311">
        <v>0</v>
      </c>
      <c r="E37" s="311">
        <f t="shared" si="1"/>
        <v>1</v>
      </c>
      <c r="F37" s="311">
        <v>3</v>
      </c>
      <c r="G37" s="311" t="b">
        <v>1</v>
      </c>
      <c r="H37" s="426" t="str">
        <f t="shared" si="2"/>
        <v>Commercial</v>
      </c>
      <c r="I37" s="314" t="s">
        <v>137</v>
      </c>
      <c r="J37" s="441" t="s">
        <v>310</v>
      </c>
      <c r="K37" s="314" t="s">
        <v>1512</v>
      </c>
      <c r="L37" s="24">
        <v>2022</v>
      </c>
      <c r="M37" s="2167">
        <f>GETPIVOTDATA("Units",'AMMO Units'!$A$3,"Year",$L37,"Measure Index",$A37,"Savings Category","Regional_Market_2021PP")</f>
        <v>2604890.8106224299</v>
      </c>
      <c r="N37" s="2851"/>
      <c r="O37" s="445">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P37" s="1568">
        <v>0.2632519912676427</v>
      </c>
      <c r="Q37" s="86" t="s">
        <v>3255</v>
      </c>
      <c r="R37" s="359">
        <f t="shared" si="3"/>
        <v>1.0948085623581886E-2</v>
      </c>
      <c r="S37" s="636">
        <v>0</v>
      </c>
      <c r="T37" s="427">
        <f t="shared" si="4"/>
        <v>1.0948085623581886E-2</v>
      </c>
      <c r="U37" s="1054"/>
    </row>
    <row r="38" spans="1:22" s="294" customFormat="1" ht="12.75" hidden="1" customHeight="1">
      <c r="A38" s="417" t="s">
        <v>1375</v>
      </c>
      <c r="B38" s="311" t="str">
        <f t="shared" ref="B38" si="9">LEFT(A38,10)</f>
        <v>COM_200202</v>
      </c>
      <c r="C38" s="311">
        <v>1</v>
      </c>
      <c r="D38" s="311">
        <v>0</v>
      </c>
      <c r="E38" s="311">
        <f t="shared" si="1"/>
        <v>1</v>
      </c>
      <c r="F38" s="311">
        <v>3</v>
      </c>
      <c r="G38" s="311" t="b">
        <v>1</v>
      </c>
      <c r="H38" s="426" t="str">
        <f t="shared" ref="H38" si="10">IF(LEFT(A38,3)="Res","Residential",IF(LEFT(A38,3)="Ind","industrial",IF(LEFT(A38,3)="Com","Commercial",IF(LEFT(A38,3)="AGR","Agriculture",""))))</f>
        <v>Commercial</v>
      </c>
      <c r="I38" s="314" t="s">
        <v>137</v>
      </c>
      <c r="J38" s="314" t="s">
        <v>310</v>
      </c>
      <c r="K38" s="314" t="s">
        <v>1513</v>
      </c>
      <c r="L38" s="24">
        <v>2022</v>
      </c>
      <c r="M38" s="2167">
        <f>GETPIVOTDATA("Units",'AMMO Units'!$A$3,"Year",$L38,"Measure Index",$A38,"Savings Category","Regional_Market_2021PP")</f>
        <v>0</v>
      </c>
      <c r="N38" s="2851"/>
      <c r="O38" s="445">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v>
      </c>
      <c r="P38" s="1568">
        <v>0.42931032370694672</v>
      </c>
      <c r="Q38" s="86" t="s">
        <v>3257</v>
      </c>
      <c r="R38" s="318">
        <f t="shared" si="3"/>
        <v>0</v>
      </c>
      <c r="S38" s="319">
        <v>0</v>
      </c>
      <c r="T38" s="427">
        <f t="shared" si="4"/>
        <v>0</v>
      </c>
      <c r="U38" s="1054"/>
    </row>
    <row r="39" spans="1:22" s="294" customFormat="1" ht="12.75" hidden="1" customHeight="1">
      <c r="A39" s="417" t="s">
        <v>883</v>
      </c>
      <c r="B39" s="311" t="str">
        <f t="shared" si="0"/>
        <v>COM_200202</v>
      </c>
      <c r="C39" s="311">
        <v>1</v>
      </c>
      <c r="D39" s="311">
        <v>0</v>
      </c>
      <c r="E39" s="311">
        <f t="shared" ref="E39:E72" si="11">COUNTIFS($A:$A,A39,$L:$L,L39)</f>
        <v>1</v>
      </c>
      <c r="F39" s="311">
        <v>3</v>
      </c>
      <c r="G39" s="311" t="b">
        <v>1</v>
      </c>
      <c r="H39" s="426" t="str">
        <f t="shared" si="2"/>
        <v>Commercial</v>
      </c>
      <c r="I39" s="314" t="s">
        <v>137</v>
      </c>
      <c r="J39" s="314" t="s">
        <v>328</v>
      </c>
      <c r="K39" s="314" t="s">
        <v>1379</v>
      </c>
      <c r="L39" s="24">
        <v>2022</v>
      </c>
      <c r="M39" s="2167">
        <f>GETPIVOTDATA("Units",'AMMO Units'!$A$3,"Year",$L39,"Measure Index",$A39,"Savings Category","Regional_Market_2021PP")</f>
        <v>0</v>
      </c>
      <c r="N39" s="2851"/>
      <c r="O39" s="445">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v>
      </c>
      <c r="P39" s="1568">
        <v>1.6904363032420013</v>
      </c>
      <c r="Q39" s="1567" t="s">
        <v>2941</v>
      </c>
      <c r="R39" s="318">
        <f t="shared" si="3"/>
        <v>0</v>
      </c>
      <c r="S39" s="319">
        <v>0</v>
      </c>
      <c r="T39" s="427">
        <f t="shared" si="4"/>
        <v>0</v>
      </c>
      <c r="U39" s="1054"/>
      <c r="V39" s="829"/>
    </row>
    <row r="40" spans="1:22" s="501" customFormat="1" ht="12.75" customHeight="1">
      <c r="A40" s="417" t="s">
        <v>1363</v>
      </c>
      <c r="B40" s="311" t="str">
        <f t="shared" si="0"/>
        <v>COM_200202</v>
      </c>
      <c r="C40" s="311">
        <v>1</v>
      </c>
      <c r="D40" s="311">
        <v>0</v>
      </c>
      <c r="E40" s="311">
        <f t="shared" si="11"/>
        <v>1</v>
      </c>
      <c r="F40" s="311">
        <v>3</v>
      </c>
      <c r="G40" s="311" t="b">
        <v>1</v>
      </c>
      <c r="H40" s="426" t="str">
        <f t="shared" si="2"/>
        <v>Commercial</v>
      </c>
      <c r="I40" s="314" t="s">
        <v>137</v>
      </c>
      <c r="J40" s="441" t="s">
        <v>296</v>
      </c>
      <c r="K40" s="314" t="s">
        <v>1364</v>
      </c>
      <c r="L40" s="24">
        <v>2023</v>
      </c>
      <c r="M40" s="2167">
        <f>GETPIVOTDATA("Units",'AMMO Units'!$A$3,"Year",$L40,"Measure Index",$A40,"Savings Category","Regional_Market_2021PP")</f>
        <v>3795521.14592552</v>
      </c>
      <c r="N40" s="2851"/>
      <c r="O40" s="445">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P40" s="1568">
        <v>0.34758840910611205</v>
      </c>
      <c r="Q40" s="86" t="s">
        <v>3256</v>
      </c>
      <c r="R40" s="359">
        <f t="shared" si="3"/>
        <v>2.1062683305837347E-2</v>
      </c>
      <c r="S40" s="636">
        <v>0</v>
      </c>
      <c r="T40" s="427">
        <f t="shared" si="4"/>
        <v>2.1062683305837347E-2</v>
      </c>
      <c r="U40" s="1055"/>
      <c r="V40" s="294"/>
    </row>
    <row r="41" spans="1:22" s="294" customFormat="1" ht="12.75" customHeight="1">
      <c r="A41" s="417" t="s">
        <v>22</v>
      </c>
      <c r="B41" s="311" t="str">
        <f t="shared" si="0"/>
        <v>COM_200202</v>
      </c>
      <c r="C41" s="311">
        <v>1</v>
      </c>
      <c r="D41" s="311">
        <v>0</v>
      </c>
      <c r="E41" s="311">
        <f t="shared" si="11"/>
        <v>1</v>
      </c>
      <c r="F41" s="311">
        <v>3</v>
      </c>
      <c r="G41" s="311" t="b">
        <v>1</v>
      </c>
      <c r="H41" s="426" t="str">
        <f t="shared" si="2"/>
        <v>Commercial</v>
      </c>
      <c r="I41" s="314" t="s">
        <v>137</v>
      </c>
      <c r="J41" s="441" t="s">
        <v>304</v>
      </c>
      <c r="K41" s="314" t="s">
        <v>1368</v>
      </c>
      <c r="L41" s="24">
        <v>2023</v>
      </c>
      <c r="M41" s="2167">
        <f>GETPIVOTDATA("Units",'AMMO Units'!$A$3,"Year",$L41,"Measure Index",$A41,"Savings Category","Regional_Market_2021PP")</f>
        <v>1175776.2432295</v>
      </c>
      <c r="N41" s="2851"/>
      <c r="O41" s="445">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P41" s="1568">
        <v>1.5773073740866181</v>
      </c>
      <c r="Q41" s="86" t="s">
        <v>3256</v>
      </c>
      <c r="R41" s="359">
        <f t="shared" si="3"/>
        <v>2.9608609441035307E-2</v>
      </c>
      <c r="S41" s="636">
        <v>0</v>
      </c>
      <c r="T41" s="427">
        <f t="shared" si="4"/>
        <v>2.9608609441035307E-2</v>
      </c>
      <c r="U41" s="1054"/>
    </row>
    <row r="42" spans="1:22" s="294" customFormat="1" ht="11.25" customHeight="1">
      <c r="A42" s="417" t="s">
        <v>1374</v>
      </c>
      <c r="B42" s="311" t="str">
        <f t="shared" si="0"/>
        <v>COM_200202</v>
      </c>
      <c r="C42" s="311">
        <v>1</v>
      </c>
      <c r="D42" s="311">
        <v>0</v>
      </c>
      <c r="E42" s="311">
        <f t="shared" si="11"/>
        <v>1</v>
      </c>
      <c r="F42" s="311">
        <v>3</v>
      </c>
      <c r="G42" s="311" t="b">
        <v>1</v>
      </c>
      <c r="H42" s="426" t="str">
        <f t="shared" si="2"/>
        <v>Commercial</v>
      </c>
      <c r="I42" s="314" t="s">
        <v>137</v>
      </c>
      <c r="J42" s="441" t="s">
        <v>310</v>
      </c>
      <c r="K42" s="314" t="s">
        <v>1512</v>
      </c>
      <c r="L42" s="24">
        <v>2023</v>
      </c>
      <c r="M42" s="2167">
        <f>GETPIVOTDATA("Units",'AMMO Units'!$A$3,"Year",$L42,"Measure Index",$A42,"Savings Category","Regional_Market_2021PP")</f>
        <v>6826984.60438162</v>
      </c>
      <c r="N42" s="2851"/>
      <c r="O42" s="445">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P42" s="1568">
        <v>0.26277029475888208</v>
      </c>
      <c r="Q42" s="86" t="s">
        <v>3255</v>
      </c>
      <c r="R42" s="359">
        <f t="shared" si="3"/>
        <v>2.8640605047043251E-2</v>
      </c>
      <c r="S42" s="636">
        <v>0</v>
      </c>
      <c r="T42" s="427">
        <f t="shared" si="4"/>
        <v>2.8640605047043251E-2</v>
      </c>
      <c r="U42" s="1054"/>
    </row>
    <row r="43" spans="1:22" s="294" customFormat="1" ht="11.25" customHeight="1">
      <c r="A43" s="417" t="s">
        <v>1375</v>
      </c>
      <c r="B43" s="311" t="str">
        <f t="shared" ref="B43" si="12">LEFT(A43,10)</f>
        <v>COM_200202</v>
      </c>
      <c r="C43" s="311">
        <v>1</v>
      </c>
      <c r="D43" s="311">
        <v>0</v>
      </c>
      <c r="E43" s="311">
        <f t="shared" si="11"/>
        <v>1</v>
      </c>
      <c r="F43" s="311">
        <v>3</v>
      </c>
      <c r="G43" s="311" t="b">
        <v>1</v>
      </c>
      <c r="H43" s="426" t="str">
        <f t="shared" ref="H43" si="13">IF(LEFT(A43,3)="Res","Residential",IF(LEFT(A43,3)="Ind","industrial",IF(LEFT(A43,3)="Com","Commercial",IF(LEFT(A43,3)="AGR","Agriculture",""))))</f>
        <v>Commercial</v>
      </c>
      <c r="I43" s="314" t="s">
        <v>137</v>
      </c>
      <c r="J43" s="441" t="s">
        <v>310</v>
      </c>
      <c r="K43" s="314" t="s">
        <v>1513</v>
      </c>
      <c r="L43" s="24">
        <v>2023</v>
      </c>
      <c r="M43" s="2167">
        <f>GETPIVOTDATA("Units",'AMMO Units'!$A$3,"Year",$L43,"Measure Index",$A43,"Savings Category","Regional_Market_2021PP")</f>
        <v>48418.330527530001</v>
      </c>
      <c r="N43" s="2851"/>
      <c r="O43" s="445">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P43" s="1568">
        <v>0.43101649113363472</v>
      </c>
      <c r="Q43" s="86" t="s">
        <v>3257</v>
      </c>
      <c r="R43" s="359">
        <f t="shared" si="3"/>
        <v>3.3318135845062085E-4</v>
      </c>
      <c r="S43" s="636">
        <v>0</v>
      </c>
      <c r="T43" s="427">
        <f t="shared" si="4"/>
        <v>3.3318135845062085E-4</v>
      </c>
      <c r="U43" s="1054"/>
    </row>
    <row r="44" spans="1:22" s="294" customFormat="1" ht="12.75" customHeight="1">
      <c r="A44" s="417" t="s">
        <v>883</v>
      </c>
      <c r="B44" s="311" t="str">
        <f t="shared" si="0"/>
        <v>COM_200202</v>
      </c>
      <c r="C44" s="311">
        <v>1</v>
      </c>
      <c r="D44" s="311">
        <v>0</v>
      </c>
      <c r="E44" s="311">
        <f t="shared" si="11"/>
        <v>1</v>
      </c>
      <c r="F44" s="311">
        <v>3</v>
      </c>
      <c r="G44" s="311" t="b">
        <v>1</v>
      </c>
      <c r="H44" s="426" t="str">
        <f t="shared" si="2"/>
        <v>Commercial</v>
      </c>
      <c r="I44" s="314" t="s">
        <v>137</v>
      </c>
      <c r="J44" s="441" t="s">
        <v>328</v>
      </c>
      <c r="K44" s="314" t="s">
        <v>1379</v>
      </c>
      <c r="L44" s="24">
        <v>2023</v>
      </c>
      <c r="M44" s="2167">
        <f>GETPIVOTDATA("Units",'AMMO Units'!$A$3,"Year",$L44,"Measure Index",$A44,"Savings Category","Regional_Market_2021PP")</f>
        <v>734869.23396694998</v>
      </c>
      <c r="N44" s="2851"/>
      <c r="O44" s="445">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P44" s="1568">
        <v>1.6708463291658848</v>
      </c>
      <c r="Q44" s="1567" t="s">
        <v>2941</v>
      </c>
      <c r="R44" s="359">
        <f t="shared" si="3"/>
        <v>1.9603046548602822E-2</v>
      </c>
      <c r="S44" s="636">
        <v>0</v>
      </c>
      <c r="T44" s="427">
        <f t="shared" si="4"/>
        <v>1.9603046548602822E-2</v>
      </c>
      <c r="U44" s="1054"/>
    </row>
    <row r="45" spans="1:22" s="294" customFormat="1" ht="12.75" hidden="1" customHeight="1">
      <c r="A45" s="272" t="s">
        <v>1363</v>
      </c>
      <c r="B45" s="311" t="str">
        <f>LEFT(A45,10)</f>
        <v>COM_200202</v>
      </c>
      <c r="C45" s="311">
        <v>1</v>
      </c>
      <c r="D45" s="311">
        <v>0</v>
      </c>
      <c r="E45" s="311">
        <f t="shared" si="11"/>
        <v>1</v>
      </c>
      <c r="F45" s="311">
        <v>3</v>
      </c>
      <c r="G45" s="311" t="b">
        <v>1</v>
      </c>
      <c r="H45" s="426" t="str">
        <f t="shared" ref="H45:H56" si="14">IF(LEFT(A45,3)="Res","Residential",IF(LEFT(A45,3)="Ind","industrial",IF(LEFT(A45,3)="Com","Commercial",IF(LEFT(A45,3)="AGR","Agriculture",""))))</f>
        <v>Commercial</v>
      </c>
      <c r="I45" s="314" t="s">
        <v>137</v>
      </c>
      <c r="J45" s="441" t="s">
        <v>296</v>
      </c>
      <c r="K45" s="314" t="s">
        <v>1364</v>
      </c>
      <c r="L45" s="24">
        <v>2024</v>
      </c>
      <c r="M45" s="2167">
        <f>GETPIVOTDATA("Units",'AMMO Units'!$A$3,"Year",$L45,"Measure Index",$A45,"Savings Category","Regional_Market_2021PP")</f>
        <v>5027181.0715006003</v>
      </c>
      <c r="N45" s="2851"/>
      <c r="O45" s="445">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P45" s="1568">
        <v>0.34764253279266971</v>
      </c>
      <c r="Q45" s="86" t="s">
        <v>3256</v>
      </c>
      <c r="R45" s="359">
        <f t="shared" ref="R45:R52" si="15">M45*O45*P45/8760000</f>
        <v>2.7901941911897769E-2</v>
      </c>
      <c r="S45" s="636">
        <v>0</v>
      </c>
      <c r="T45" s="427">
        <f t="shared" ref="T45:T51" si="16">R45-S45</f>
        <v>2.7901941911897769E-2</v>
      </c>
      <c r="U45" s="1054"/>
    </row>
    <row r="46" spans="1:22" s="294" customFormat="1" ht="12.75" hidden="1" customHeight="1">
      <c r="A46" s="272" t="s">
        <v>22</v>
      </c>
      <c r="B46" s="311" t="str">
        <f>LEFT(A46,10)</f>
        <v>COM_200202</v>
      </c>
      <c r="C46" s="311">
        <v>1</v>
      </c>
      <c r="D46" s="311">
        <v>0</v>
      </c>
      <c r="E46" s="311">
        <f t="shared" si="11"/>
        <v>1</v>
      </c>
      <c r="F46" s="311">
        <v>3</v>
      </c>
      <c r="G46" s="311" t="b">
        <v>1</v>
      </c>
      <c r="H46" s="426" t="str">
        <f t="shared" si="14"/>
        <v>Commercial</v>
      </c>
      <c r="I46" s="314" t="s">
        <v>137</v>
      </c>
      <c r="J46" s="441" t="s">
        <v>304</v>
      </c>
      <c r="K46" s="314" t="s">
        <v>1368</v>
      </c>
      <c r="L46" s="24">
        <v>2024</v>
      </c>
      <c r="M46" s="2167">
        <f>GETPIVOTDATA("Units",'AMMO Units'!$A$3,"Year",$L46,"Measure Index",$A46,"Savings Category","Regional_Market_2021PP")</f>
        <v>1539078.8846195701</v>
      </c>
      <c r="N46" s="2851"/>
      <c r="O46" s="445">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P46" s="1568">
        <v>1.5756065441047529</v>
      </c>
      <c r="Q46" s="86" t="s">
        <v>3256</v>
      </c>
      <c r="R46" s="359">
        <f t="shared" si="15"/>
        <v>3.8715569547055413E-2</v>
      </c>
      <c r="S46" s="636">
        <v>0</v>
      </c>
      <c r="T46" s="427">
        <f t="shared" si="16"/>
        <v>3.8715569547055413E-2</v>
      </c>
      <c r="U46" s="1054"/>
    </row>
    <row r="47" spans="1:22" s="294" customFormat="1" ht="12.75" hidden="1" customHeight="1">
      <c r="A47" s="272" t="s">
        <v>1374</v>
      </c>
      <c r="B47" s="311" t="str">
        <f>LEFT(A47,10)</f>
        <v>COM_200202</v>
      </c>
      <c r="C47" s="311">
        <v>1</v>
      </c>
      <c r="D47" s="311">
        <v>0</v>
      </c>
      <c r="E47" s="311">
        <f t="shared" si="11"/>
        <v>1</v>
      </c>
      <c r="F47" s="311">
        <v>3</v>
      </c>
      <c r="G47" s="311" t="b">
        <v>1</v>
      </c>
      <c r="H47" s="426" t="str">
        <f t="shared" si="14"/>
        <v>Commercial</v>
      </c>
      <c r="I47" s="314" t="s">
        <v>137</v>
      </c>
      <c r="J47" s="441" t="s">
        <v>310</v>
      </c>
      <c r="K47" s="314" t="s">
        <v>1512</v>
      </c>
      <c r="L47" s="24">
        <v>2024</v>
      </c>
      <c r="M47" s="2167">
        <f>GETPIVOTDATA("Units",'AMMO Units'!$A$3,"Year",$L47,"Measure Index",$A47,"Savings Category","Regional_Market_2021PP")</f>
        <v>10784874.656686051</v>
      </c>
      <c r="N47" s="2851"/>
      <c r="O47" s="445">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P47" s="1568">
        <v>0.26462156251558538</v>
      </c>
      <c r="Q47" s="86" t="s">
        <v>3255</v>
      </c>
      <c r="R47" s="359">
        <f t="shared" si="15"/>
        <v>4.5563526318607432E-2</v>
      </c>
      <c r="S47" s="636">
        <v>0</v>
      </c>
      <c r="T47" s="427">
        <f t="shared" si="16"/>
        <v>4.5563526318607432E-2</v>
      </c>
      <c r="U47" s="1054"/>
    </row>
    <row r="48" spans="1:22" s="294" customFormat="1" ht="12.75" hidden="1" customHeight="1">
      <c r="A48" s="272" t="s">
        <v>1375</v>
      </c>
      <c r="B48" s="311" t="str">
        <f>LEFT(A48,10)</f>
        <v>COM_200202</v>
      </c>
      <c r="C48" s="311">
        <v>1</v>
      </c>
      <c r="D48" s="311">
        <v>0</v>
      </c>
      <c r="E48" s="311">
        <f t="shared" si="11"/>
        <v>1</v>
      </c>
      <c r="F48" s="311">
        <v>3</v>
      </c>
      <c r="G48" s="311" t="b">
        <v>1</v>
      </c>
      <c r="H48" s="426" t="str">
        <f t="shared" si="14"/>
        <v>Commercial</v>
      </c>
      <c r="I48" s="314" t="s">
        <v>137</v>
      </c>
      <c r="J48" s="314" t="s">
        <v>310</v>
      </c>
      <c r="K48" s="314" t="s">
        <v>1513</v>
      </c>
      <c r="L48" s="24">
        <v>2024</v>
      </c>
      <c r="M48" s="2167">
        <f>GETPIVOTDATA("Units",'AMMO Units'!$A$3,"Year",$L48,"Measure Index",$A48,"Savings Category","Regional_Market_2021PP")</f>
        <v>2597026.6731819198</v>
      </c>
      <c r="N48" s="2851"/>
      <c r="O48" s="445">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P48" s="1568">
        <v>0.43272265856032244</v>
      </c>
      <c r="Q48" s="86" t="s">
        <v>3257</v>
      </c>
      <c r="R48" s="359">
        <f t="shared" si="15"/>
        <v>1.7941677397574376E-2</v>
      </c>
      <c r="S48" s="636">
        <v>0</v>
      </c>
      <c r="T48" s="427">
        <f t="shared" si="16"/>
        <v>1.7941677397574376E-2</v>
      </c>
      <c r="U48" s="1054"/>
    </row>
    <row r="49" spans="1:21" s="294" customFormat="1" ht="12.75" hidden="1" customHeight="1">
      <c r="A49" s="272" t="s">
        <v>883</v>
      </c>
      <c r="B49" s="311" t="str">
        <f>LEFT(A49,10)</f>
        <v>COM_200202</v>
      </c>
      <c r="C49" s="311">
        <v>1</v>
      </c>
      <c r="D49" s="311">
        <v>0</v>
      </c>
      <c r="E49" s="311">
        <f t="shared" si="11"/>
        <v>1</v>
      </c>
      <c r="F49" s="311">
        <v>3</v>
      </c>
      <c r="G49" s="311" t="b">
        <v>1</v>
      </c>
      <c r="H49" s="426" t="str">
        <f t="shared" si="14"/>
        <v>Commercial</v>
      </c>
      <c r="I49" s="314" t="s">
        <v>137</v>
      </c>
      <c r="J49" s="314" t="s">
        <v>328</v>
      </c>
      <c r="K49" s="314" t="s">
        <v>1379</v>
      </c>
      <c r="L49" s="24">
        <v>2024</v>
      </c>
      <c r="M49" s="2167">
        <f>GETPIVOTDATA("Units",'AMMO Units'!$A$3,"Year",$L49,"Measure Index",$A49,"Savings Category","Regional_Market_2021PP")</f>
        <v>7659376.6179301403</v>
      </c>
      <c r="N49" s="2851"/>
      <c r="O49" s="445">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P49" s="1568">
        <v>1.6774262662306769</v>
      </c>
      <c r="Q49" s="1567" t="s">
        <v>2941</v>
      </c>
      <c r="R49" s="359">
        <f t="shared" si="15"/>
        <v>0.20512276431170387</v>
      </c>
      <c r="S49" s="636">
        <v>0</v>
      </c>
      <c r="T49" s="427">
        <f t="shared" si="16"/>
        <v>0.20512276431170387</v>
      </c>
      <c r="U49" s="1054"/>
    </row>
    <row r="50" spans="1:21" s="294" customFormat="1" ht="12.75" hidden="1" customHeight="1">
      <c r="A50" s="272" t="s">
        <v>871</v>
      </c>
      <c r="B50" s="311" t="str">
        <f t="shared" ref="B50:B51" si="17">LEFT(A50,10)</f>
        <v>COM_200202</v>
      </c>
      <c r="C50" s="311">
        <v>1</v>
      </c>
      <c r="D50" s="311">
        <v>0</v>
      </c>
      <c r="E50" s="311">
        <f t="shared" si="11"/>
        <v>1</v>
      </c>
      <c r="F50" s="311">
        <v>3</v>
      </c>
      <c r="G50" s="311" t="b">
        <v>1</v>
      </c>
      <c r="H50" s="426" t="str">
        <f t="shared" ref="H50:H51" si="18">IF(LEFT(A50,3)="Res","Residential",IF(LEFT(A50,3)="Ind","industrial",IF(LEFT(A50,3)="Com","Commercial",IF(LEFT(A50,3)="AGR","Agriculture",""))))</f>
        <v>Commercial</v>
      </c>
      <c r="I50" s="314" t="s">
        <v>137</v>
      </c>
      <c r="J50" s="441" t="s">
        <v>296</v>
      </c>
      <c r="K50" s="314" t="s">
        <v>1365</v>
      </c>
      <c r="L50" s="24">
        <v>2024</v>
      </c>
      <c r="M50" s="2167">
        <f>GETPIVOTDATA("Units",'AMMO Units'!$A$3,"Year",$L50,"Measure Index",$A50,"Savings Category","Regional_Market_2021PP")</f>
        <v>748840.51377561002</v>
      </c>
      <c r="N50" s="2851"/>
      <c r="O50" s="445">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P50" s="1568">
        <v>0.35742083458869472</v>
      </c>
      <c r="Q50" s="86" t="s">
        <v>3002</v>
      </c>
      <c r="R50" s="359">
        <f t="shared" si="15"/>
        <v>4.2731308703251245E-3</v>
      </c>
      <c r="S50" s="636">
        <v>0</v>
      </c>
      <c r="T50" s="427">
        <f t="shared" si="16"/>
        <v>4.2731308703251245E-3</v>
      </c>
      <c r="U50" s="1054"/>
    </row>
    <row r="51" spans="1:21" s="294" customFormat="1" ht="12.75" hidden="1" customHeight="1">
      <c r="A51" s="272" t="s">
        <v>1369</v>
      </c>
      <c r="B51" s="311" t="str">
        <f t="shared" si="17"/>
        <v>COM_200202</v>
      </c>
      <c r="C51" s="311">
        <v>1</v>
      </c>
      <c r="D51" s="311">
        <v>0</v>
      </c>
      <c r="E51" s="311">
        <f t="shared" si="11"/>
        <v>1</v>
      </c>
      <c r="F51" s="311">
        <v>3</v>
      </c>
      <c r="G51" s="311" t="b">
        <v>1</v>
      </c>
      <c r="H51" s="426" t="str">
        <f t="shared" si="18"/>
        <v>Commercial</v>
      </c>
      <c r="I51" s="314" t="s">
        <v>137</v>
      </c>
      <c r="J51" s="441" t="s">
        <v>304</v>
      </c>
      <c r="K51" s="314" t="s">
        <v>1370</v>
      </c>
      <c r="L51" s="24">
        <v>2024</v>
      </c>
      <c r="M51" s="2167">
        <f>GETPIVOTDATA("Units",'AMMO Units'!$A$3,"Year",$L51,"Measure Index",$A51,"Savings Category","Regional_Market_2021PP")</f>
        <v>252394.81708784</v>
      </c>
      <c r="N51" s="2851"/>
      <c r="O51" s="445">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P51" s="1568">
        <v>0.43505218072093038</v>
      </c>
      <c r="Q51" s="86" t="s">
        <v>3002</v>
      </c>
      <c r="R51" s="359">
        <f t="shared" si="15"/>
        <v>1.753068067682474E-3</v>
      </c>
      <c r="S51" s="636">
        <v>0</v>
      </c>
      <c r="T51" s="427">
        <f t="shared" si="16"/>
        <v>1.753068067682474E-3</v>
      </c>
      <c r="U51" s="1054"/>
    </row>
    <row r="52" spans="1:21" s="294" customFormat="1" ht="12.75" hidden="1" customHeight="1">
      <c r="A52" s="417" t="s">
        <v>1363</v>
      </c>
      <c r="B52" s="311" t="str">
        <f t="shared" ref="B52:B58" si="19">LEFT(A52,10)</f>
        <v>COM_200202</v>
      </c>
      <c r="C52" s="311">
        <v>1</v>
      </c>
      <c r="D52" s="311">
        <v>0</v>
      </c>
      <c r="E52" s="311">
        <f t="shared" si="11"/>
        <v>1</v>
      </c>
      <c r="F52" s="311">
        <v>3</v>
      </c>
      <c r="G52" s="311" t="b">
        <v>1</v>
      </c>
      <c r="H52" s="426" t="str">
        <f t="shared" si="14"/>
        <v>Commercial</v>
      </c>
      <c r="I52" s="314" t="s">
        <v>137</v>
      </c>
      <c r="J52" s="441" t="s">
        <v>296</v>
      </c>
      <c r="K52" s="314" t="s">
        <v>1364</v>
      </c>
      <c r="L52" s="24">
        <v>2025</v>
      </c>
      <c r="M52" s="2167">
        <f>GETPIVOTDATA("Units",'AMMO Units'!$A$3,"Year",$L52,"Measure Index",$A52,"Savings Category","Regional_Market_2021PP")</f>
        <v>5524545.3902984802</v>
      </c>
      <c r="N52" s="2851"/>
      <c r="O52" s="445">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P52" s="1568">
        <v>0.34766965042176057</v>
      </c>
      <c r="Q52" s="86" t="s">
        <v>3256</v>
      </c>
      <c r="R52" s="359">
        <f t="shared" si="15"/>
        <v>3.0664813222339146E-2</v>
      </c>
      <c r="S52" s="636">
        <v>0</v>
      </c>
      <c r="T52" s="427">
        <f t="shared" ref="T52:T56" si="20">R52-S52</f>
        <v>3.0664813222339146E-2</v>
      </c>
      <c r="U52" s="1054"/>
    </row>
    <row r="53" spans="1:21" s="294" customFormat="1" ht="12.75" hidden="1" customHeight="1">
      <c r="A53" s="417" t="s">
        <v>22</v>
      </c>
      <c r="B53" s="311" t="str">
        <f t="shared" si="19"/>
        <v>COM_200202</v>
      </c>
      <c r="C53" s="311">
        <v>1</v>
      </c>
      <c r="D53" s="311">
        <v>0</v>
      </c>
      <c r="E53" s="311">
        <f t="shared" si="11"/>
        <v>1</v>
      </c>
      <c r="F53" s="311">
        <v>3</v>
      </c>
      <c r="G53" s="311" t="b">
        <v>1</v>
      </c>
      <c r="H53" s="426" t="str">
        <f t="shared" si="14"/>
        <v>Commercial</v>
      </c>
      <c r="I53" s="314" t="s">
        <v>137</v>
      </c>
      <c r="J53" s="441" t="s">
        <v>304</v>
      </c>
      <c r="K53" s="314" t="s">
        <v>1368</v>
      </c>
      <c r="L53" s="24">
        <v>2025</v>
      </c>
      <c r="M53" s="2167">
        <f>GETPIVOTDATA("Units",'AMMO Units'!$A$3,"Year",$L53,"Measure Index",$A53,"Savings Category","Regional_Market_2021PP")</f>
        <v>1752789.5425660801</v>
      </c>
      <c r="N53" s="2851"/>
      <c r="O53" s="445">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P53" s="1568">
        <v>1.5764808856936936</v>
      </c>
      <c r="Q53" s="86" t="s">
        <v>3256</v>
      </c>
      <c r="R53" s="359">
        <f t="shared" ref="R53:R56" si="21">M53*O53*P53/8760000</f>
        <v>4.4115934135111723E-2</v>
      </c>
      <c r="S53" s="636">
        <v>0</v>
      </c>
      <c r="T53" s="427">
        <f t="shared" si="20"/>
        <v>4.4115934135111723E-2</v>
      </c>
      <c r="U53" s="1054"/>
    </row>
    <row r="54" spans="1:21" s="294" customFormat="1" ht="12.75" hidden="1" customHeight="1">
      <c r="A54" s="417" t="s">
        <v>1374</v>
      </c>
      <c r="B54" s="311" t="str">
        <f t="shared" si="19"/>
        <v>COM_200202</v>
      </c>
      <c r="C54" s="311">
        <v>1</v>
      </c>
      <c r="D54" s="311">
        <v>0</v>
      </c>
      <c r="E54" s="311">
        <f t="shared" si="11"/>
        <v>1</v>
      </c>
      <c r="F54" s="311">
        <v>3</v>
      </c>
      <c r="G54" s="311" t="b">
        <v>1</v>
      </c>
      <c r="H54" s="426" t="str">
        <f t="shared" si="14"/>
        <v>Commercial</v>
      </c>
      <c r="I54" s="314" t="s">
        <v>137</v>
      </c>
      <c r="J54" s="441" t="s">
        <v>310</v>
      </c>
      <c r="K54" s="314" t="s">
        <v>1512</v>
      </c>
      <c r="L54" s="24">
        <v>2025</v>
      </c>
      <c r="M54" s="2167">
        <f>GETPIVOTDATA("Units",'AMMO Units'!$A$3,"Year",$L54,"Measure Index",$A54,"Savings Category","Regional_Market_2021PP")</f>
        <v>12053542.65454459</v>
      </c>
      <c r="N54" s="2851"/>
      <c r="O54" s="445">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P54" s="1568">
        <v>0.26519665581428264</v>
      </c>
      <c r="Q54" s="86" t="s">
        <v>3255</v>
      </c>
      <c r="R54" s="359">
        <f t="shared" si="21"/>
        <v>5.1034016421554376E-2</v>
      </c>
      <c r="S54" s="636">
        <v>0</v>
      </c>
      <c r="T54" s="427">
        <f t="shared" si="20"/>
        <v>5.1034016421554376E-2</v>
      </c>
      <c r="U54" s="1054"/>
    </row>
    <row r="55" spans="1:21" s="294" customFormat="1" ht="12.75" hidden="1" customHeight="1">
      <c r="A55" s="417" t="s">
        <v>1375</v>
      </c>
      <c r="B55" s="311" t="str">
        <f t="shared" si="19"/>
        <v>COM_200202</v>
      </c>
      <c r="C55" s="311">
        <v>1</v>
      </c>
      <c r="D55" s="311">
        <v>0</v>
      </c>
      <c r="E55" s="311">
        <f t="shared" si="11"/>
        <v>1</v>
      </c>
      <c r="F55" s="311">
        <v>3</v>
      </c>
      <c r="G55" s="311" t="b">
        <v>1</v>
      </c>
      <c r="H55" s="426" t="str">
        <f t="shared" si="14"/>
        <v>Commercial</v>
      </c>
      <c r="I55" s="314" t="s">
        <v>137</v>
      </c>
      <c r="J55" s="441" t="s">
        <v>310</v>
      </c>
      <c r="K55" s="314" t="s">
        <v>1513</v>
      </c>
      <c r="L55" s="24">
        <v>2025</v>
      </c>
      <c r="M55" s="2167">
        <f>GETPIVOTDATA("Units",'AMMO Units'!$A$3,"Year",$L55,"Measure Index",$A55,"Savings Category","Regional_Market_2021PP")</f>
        <v>7081456.3095449498</v>
      </c>
      <c r="N55" s="2851"/>
      <c r="O55" s="445">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P55" s="1568">
        <v>0.43442882598701044</v>
      </c>
      <c r="Q55" s="86" t="s">
        <v>3257</v>
      </c>
      <c r="R55" s="359">
        <f t="shared" si="21"/>
        <v>4.9115459490482731E-2</v>
      </c>
      <c r="S55" s="636">
        <v>0</v>
      </c>
      <c r="T55" s="427">
        <f t="shared" si="20"/>
        <v>4.9115459490482731E-2</v>
      </c>
      <c r="U55" s="1054"/>
    </row>
    <row r="56" spans="1:21" s="294" customFormat="1" ht="12.75" hidden="1" customHeight="1">
      <c r="A56" s="417" t="s">
        <v>883</v>
      </c>
      <c r="B56" s="311" t="str">
        <f t="shared" si="19"/>
        <v>COM_200202</v>
      </c>
      <c r="C56" s="311">
        <v>1</v>
      </c>
      <c r="D56" s="311">
        <v>0</v>
      </c>
      <c r="E56" s="311">
        <f t="shared" si="11"/>
        <v>1</v>
      </c>
      <c r="F56" s="311">
        <v>3</v>
      </c>
      <c r="G56" s="311" t="b">
        <v>1</v>
      </c>
      <c r="H56" s="426" t="str">
        <f t="shared" si="14"/>
        <v>Commercial</v>
      </c>
      <c r="I56" s="314" t="s">
        <v>137</v>
      </c>
      <c r="J56" s="441" t="s">
        <v>328</v>
      </c>
      <c r="K56" s="314" t="s">
        <v>1379</v>
      </c>
      <c r="L56" s="24">
        <v>2025</v>
      </c>
      <c r="M56" s="2167">
        <f>GETPIVOTDATA("Units",'AMMO Units'!$A$3,"Year",$L56,"Measure Index",$A56,"Savings Category","Regional_Market_2021PP")</f>
        <v>17055495.664873861</v>
      </c>
      <c r="N56" s="2851"/>
      <c r="O56" s="445">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P56" s="1568">
        <v>1.7635916649384347</v>
      </c>
      <c r="Q56" s="1567" t="s">
        <v>2941</v>
      </c>
      <c r="R56" s="359">
        <f t="shared" si="21"/>
        <v>0.48021904492188378</v>
      </c>
      <c r="S56" s="636">
        <v>0</v>
      </c>
      <c r="T56" s="427">
        <f t="shared" si="20"/>
        <v>0.48021904492188378</v>
      </c>
      <c r="U56" s="1054"/>
    </row>
    <row r="57" spans="1:21" s="294" customFormat="1" ht="12.75" hidden="1" customHeight="1">
      <c r="A57" s="272" t="s">
        <v>871</v>
      </c>
      <c r="B57" s="311" t="str">
        <f t="shared" si="19"/>
        <v>COM_200202</v>
      </c>
      <c r="C57" s="311">
        <v>1</v>
      </c>
      <c r="D57" s="311">
        <v>0</v>
      </c>
      <c r="E57" s="311">
        <f t="shared" si="11"/>
        <v>1</v>
      </c>
      <c r="F57" s="311">
        <v>3</v>
      </c>
      <c r="G57" s="311" t="b">
        <v>1</v>
      </c>
      <c r="H57" s="426" t="str">
        <f t="shared" ref="H57:H58" si="22">IF(LEFT(A57,3)="Res","Residential",IF(LEFT(A57,3)="Ind","industrial",IF(LEFT(A57,3)="Com","Commercial",IF(LEFT(A57,3)="AGR","Agriculture",""))))</f>
        <v>Commercial</v>
      </c>
      <c r="I57" s="314" t="s">
        <v>137</v>
      </c>
      <c r="J57" s="441" t="s">
        <v>296</v>
      </c>
      <c r="K57" s="314" t="s">
        <v>1365</v>
      </c>
      <c r="L57" s="24">
        <v>2025</v>
      </c>
      <c r="M57" s="2167">
        <f>GETPIVOTDATA("Units",'AMMO Units'!$A$3,"Year",$L57,"Measure Index",$A57,"Savings Category","Regional_Market_2021PP")</f>
        <v>2762272.6951492401</v>
      </c>
      <c r="N57" s="2851"/>
      <c r="O57" s="445">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P57" s="1568">
        <v>0.35917097146285681</v>
      </c>
      <c r="Q57" s="86" t="s">
        <v>3002</v>
      </c>
      <c r="R57" s="359">
        <f>M57*O57*P57/8760000</f>
        <v>1.5839620659199836E-2</v>
      </c>
      <c r="S57" s="636">
        <v>0</v>
      </c>
      <c r="T57" s="427">
        <f>R57-S57</f>
        <v>1.5839620659199836E-2</v>
      </c>
      <c r="U57" s="1054"/>
    </row>
    <row r="58" spans="1:21" s="294" customFormat="1" ht="12.75" hidden="1" customHeight="1">
      <c r="A58" s="272" t="s">
        <v>1369</v>
      </c>
      <c r="B58" s="311" t="str">
        <f t="shared" si="19"/>
        <v>COM_200202</v>
      </c>
      <c r="C58" s="311">
        <v>1</v>
      </c>
      <c r="D58" s="311">
        <v>0</v>
      </c>
      <c r="E58" s="311">
        <f t="shared" si="11"/>
        <v>1</v>
      </c>
      <c r="F58" s="311">
        <v>3</v>
      </c>
      <c r="G58" s="311" t="b">
        <v>1</v>
      </c>
      <c r="H58" s="426" t="str">
        <f t="shared" si="22"/>
        <v>Commercial</v>
      </c>
      <c r="I58" s="314" t="s">
        <v>137</v>
      </c>
      <c r="J58" s="441" t="s">
        <v>304</v>
      </c>
      <c r="K58" s="314" t="s">
        <v>1370</v>
      </c>
      <c r="L58" s="24">
        <v>2025</v>
      </c>
      <c r="M58" s="2167">
        <f>GETPIVOTDATA("Units",'AMMO Units'!$A$3,"Year",$L58,"Measure Index",$A58,"Savings Category","Regional_Market_2021PP")</f>
        <v>876394.77128304006</v>
      </c>
      <c r="N58" s="2851"/>
      <c r="O58" s="445">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P58" s="1568">
        <v>0.43718244507594617</v>
      </c>
      <c r="Q58" s="86" t="s">
        <v>3002</v>
      </c>
      <c r="R58" s="359">
        <f>M58*O58*P58/8760000</f>
        <v>6.1170142077272543E-3</v>
      </c>
      <c r="S58" s="636">
        <v>0</v>
      </c>
      <c r="T58" s="427">
        <f>R58-S58</f>
        <v>6.1170142077272543E-3</v>
      </c>
      <c r="U58" s="1054"/>
    </row>
    <row r="59" spans="1:21" s="294" customFormat="1" ht="12.75" hidden="1" customHeight="1">
      <c r="A59" s="272" t="s">
        <v>62</v>
      </c>
      <c r="B59" s="311" t="str">
        <f t="shared" si="0"/>
        <v>RES_201301</v>
      </c>
      <c r="C59" s="311">
        <v>1</v>
      </c>
      <c r="D59" s="311">
        <v>0</v>
      </c>
      <c r="E59" s="311">
        <f t="shared" si="11"/>
        <v>1</v>
      </c>
      <c r="F59" s="311">
        <v>3</v>
      </c>
      <c r="G59" s="311" t="b">
        <v>1</v>
      </c>
      <c r="H59" s="426" t="str">
        <f t="shared" si="2"/>
        <v>Residential</v>
      </c>
      <c r="I59" s="314" t="s">
        <v>2773</v>
      </c>
      <c r="J59" s="441" t="s">
        <v>295</v>
      </c>
      <c r="K59" s="314" t="s">
        <v>357</v>
      </c>
      <c r="L59" s="24">
        <v>2024</v>
      </c>
      <c r="M59" s="322">
        <f>GETPIVOTDATA("Units",'AMMO Units'!$A$3,"Year",$L59,"Measure Index",$A59,"Savings Category","Regional_Market_2021PP")</f>
        <v>17982</v>
      </c>
      <c r="N59" s="2851"/>
      <c r="O59" s="445">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P59" s="1476">
        <v>746.36554108311145</v>
      </c>
      <c r="Q59" s="86" t="s">
        <v>3061</v>
      </c>
      <c r="R59" s="359">
        <f t="shared" ref="R59:R72" si="23">M59*O59*P59/8760000</f>
        <v>0.21427256592042312</v>
      </c>
      <c r="S59" s="636">
        <v>0</v>
      </c>
      <c r="T59" s="427">
        <f t="shared" ref="T59:T72" si="24">R59-S59</f>
        <v>0.21427256592042312</v>
      </c>
      <c r="U59" s="1054"/>
    </row>
    <row r="60" spans="1:21" s="294" customFormat="1" ht="12.75" hidden="1" customHeight="1">
      <c r="A60" s="272" t="s">
        <v>63</v>
      </c>
      <c r="B60" s="311" t="str">
        <f t="shared" si="0"/>
        <v>RES_201301</v>
      </c>
      <c r="C60" s="311">
        <v>1</v>
      </c>
      <c r="D60" s="311">
        <v>0</v>
      </c>
      <c r="E60" s="311">
        <f t="shared" si="11"/>
        <v>1</v>
      </c>
      <c r="F60" s="311">
        <v>3</v>
      </c>
      <c r="G60" s="311" t="b">
        <v>1</v>
      </c>
      <c r="H60" s="426" t="str">
        <f t="shared" si="2"/>
        <v>Residential</v>
      </c>
      <c r="I60" s="314" t="s">
        <v>2773</v>
      </c>
      <c r="J60" s="441" t="s">
        <v>303</v>
      </c>
      <c r="K60" s="314" t="s">
        <v>357</v>
      </c>
      <c r="L60" s="24">
        <v>2024</v>
      </c>
      <c r="M60" s="322">
        <f>GETPIVOTDATA("Units",'AMMO Units'!$A$3,"Year",$L60,"Measure Index",$A60,"Savings Category","Regional_Market_2021PP")</f>
        <v>3095</v>
      </c>
      <c r="N60" s="2851"/>
      <c r="O60" s="445">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P60" s="1476">
        <v>850.39740425965704</v>
      </c>
      <c r="Q60" s="86" t="s">
        <v>3061</v>
      </c>
      <c r="R60" s="359">
        <f t="shared" si="23"/>
        <v>4.2020341341390294E-2</v>
      </c>
      <c r="S60" s="636">
        <v>0</v>
      </c>
      <c r="T60" s="427">
        <f t="shared" si="24"/>
        <v>4.2020341341390294E-2</v>
      </c>
      <c r="U60" s="1054"/>
    </row>
    <row r="61" spans="1:21" s="294" customFormat="1" ht="12.75" hidden="1" customHeight="1">
      <c r="A61" s="272" t="s">
        <v>2305</v>
      </c>
      <c r="B61" s="311" t="str">
        <f t="shared" si="0"/>
        <v>RES_201301</v>
      </c>
      <c r="C61" s="311">
        <v>1</v>
      </c>
      <c r="D61" s="311">
        <v>0</v>
      </c>
      <c r="E61" s="311">
        <f t="shared" si="11"/>
        <v>1</v>
      </c>
      <c r="F61" s="311">
        <v>3</v>
      </c>
      <c r="G61" s="311" t="b">
        <v>1</v>
      </c>
      <c r="H61" s="426" t="str">
        <f t="shared" si="2"/>
        <v>Residential</v>
      </c>
      <c r="I61" s="314" t="s">
        <v>2773</v>
      </c>
      <c r="J61" s="441" t="s">
        <v>295</v>
      </c>
      <c r="K61" s="314" t="s">
        <v>367</v>
      </c>
      <c r="L61" s="24">
        <v>2024</v>
      </c>
      <c r="M61" s="322">
        <f>GETPIVOTDATA("Units",'AMMO Units'!$A$3,"Year",$L61,"Measure Index",$A61,"Savings Category","Regional_Market_2021PP")</f>
        <v>8991</v>
      </c>
      <c r="N61" s="2851"/>
      <c r="O61" s="445">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P61" s="1476">
        <f>GETPIVOTDATA("Savings Rate",'AMMO Savings Rates'!$A$3,"Year",$L61,"Measure Index",$A61,"Savings Rate Type","Savings_Rate_2021PP")</f>
        <v>504</v>
      </c>
      <c r="Q61" s="86" t="s">
        <v>332</v>
      </c>
      <c r="R61" s="359">
        <f t="shared" si="23"/>
        <v>7.2346167715068493E-2</v>
      </c>
      <c r="S61" s="636">
        <v>0</v>
      </c>
      <c r="T61" s="427">
        <f t="shared" si="24"/>
        <v>7.2346167715068493E-2</v>
      </c>
      <c r="U61" s="1054"/>
    </row>
    <row r="62" spans="1:21" s="294" customFormat="1" ht="12.75" hidden="1" customHeight="1">
      <c r="A62" s="272" t="s">
        <v>64</v>
      </c>
      <c r="B62" s="311" t="str">
        <f t="shared" si="0"/>
        <v>RES_201301</v>
      </c>
      <c r="C62" s="311">
        <v>1</v>
      </c>
      <c r="D62" s="311">
        <v>0</v>
      </c>
      <c r="E62" s="311">
        <f t="shared" si="11"/>
        <v>1</v>
      </c>
      <c r="F62" s="311">
        <v>3</v>
      </c>
      <c r="G62" s="311" t="b">
        <v>1</v>
      </c>
      <c r="H62" s="426" t="str">
        <f t="shared" si="2"/>
        <v>Residential</v>
      </c>
      <c r="I62" s="314" t="s">
        <v>2773</v>
      </c>
      <c r="J62" s="441" t="s">
        <v>303</v>
      </c>
      <c r="K62" s="314" t="s">
        <v>367</v>
      </c>
      <c r="L62" s="24">
        <v>2024</v>
      </c>
      <c r="M62" s="322">
        <f>GETPIVOTDATA("Units",'AMMO Units'!$A$3,"Year",$L62,"Measure Index",$A62,"Savings Category","Regional_Market_2021PP")</f>
        <v>2063</v>
      </c>
      <c r="N62" s="2851"/>
      <c r="O62" s="445">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P62" s="1476">
        <f>GETPIVOTDATA("Savings Rate",'AMMO Savings Rates'!$A$3,"Year",$L62,"Measure Index",$A62,"Savings Rate Type","Savings_Rate_2021PP")</f>
        <v>5</v>
      </c>
      <c r="Q62" s="86" t="s">
        <v>332</v>
      </c>
      <c r="R62" s="359">
        <f t="shared" si="23"/>
        <v>1.6468203652968038E-4</v>
      </c>
      <c r="S62" s="636">
        <v>0</v>
      </c>
      <c r="T62" s="427">
        <f t="shared" si="24"/>
        <v>1.6468203652968038E-4</v>
      </c>
      <c r="U62" s="1054"/>
    </row>
    <row r="63" spans="1:21" s="294" customFormat="1" ht="12.75" hidden="1" customHeight="1">
      <c r="A63" s="272" t="s">
        <v>65</v>
      </c>
      <c r="B63" s="311" t="str">
        <f t="shared" si="0"/>
        <v>RES_201301</v>
      </c>
      <c r="C63" s="311">
        <v>1</v>
      </c>
      <c r="D63" s="311">
        <v>0</v>
      </c>
      <c r="E63" s="311">
        <f t="shared" si="11"/>
        <v>1</v>
      </c>
      <c r="F63" s="311">
        <v>3</v>
      </c>
      <c r="G63" s="311" t="b">
        <v>1</v>
      </c>
      <c r="H63" s="426" t="str">
        <f t="shared" si="2"/>
        <v>Residential</v>
      </c>
      <c r="I63" s="314" t="s">
        <v>2773</v>
      </c>
      <c r="J63" s="441" t="s">
        <v>309</v>
      </c>
      <c r="K63" s="314" t="s">
        <v>1564</v>
      </c>
      <c r="L63" s="24">
        <v>2024</v>
      </c>
      <c r="M63" s="322">
        <f>GETPIVOTDATA("Units",'AMMO Units'!$A$3,"Year",$L63,"Measure Index",$A63,"Savings Category","Regional_Market_2021PP")</f>
        <v>11763</v>
      </c>
      <c r="N63" s="2851"/>
      <c r="O63" s="445">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P63" s="1476">
        <f>GETPIVOTDATA("Savings Rate",'AMMO Savings Rates'!$A$3,"Year",$L63,"Measure Index",$A63,"Savings Rate Type","Savings_Rate_2021PP")</f>
        <v>671</v>
      </c>
      <c r="Q63" s="86" t="s">
        <v>2775</v>
      </c>
      <c r="R63" s="359">
        <f t="shared" si="23"/>
        <v>0.1260136566082192</v>
      </c>
      <c r="S63" s="636">
        <v>0</v>
      </c>
      <c r="T63" s="427">
        <f t="shared" si="24"/>
        <v>0.1260136566082192</v>
      </c>
      <c r="U63" s="1054"/>
    </row>
    <row r="64" spans="1:21" s="294" customFormat="1" ht="12.75" hidden="1" customHeight="1">
      <c r="A64" s="272" t="s">
        <v>66</v>
      </c>
      <c r="B64" s="311" t="str">
        <f t="shared" si="0"/>
        <v>RES_201301</v>
      </c>
      <c r="C64" s="311">
        <v>1</v>
      </c>
      <c r="D64" s="311">
        <v>0</v>
      </c>
      <c r="E64" s="311">
        <f t="shared" si="11"/>
        <v>1</v>
      </c>
      <c r="F64" s="311">
        <v>3</v>
      </c>
      <c r="G64" s="311" t="b">
        <v>1</v>
      </c>
      <c r="H64" s="426" t="str">
        <f t="shared" si="2"/>
        <v>Residential</v>
      </c>
      <c r="I64" s="314" t="s">
        <v>2773</v>
      </c>
      <c r="J64" s="441" t="s">
        <v>309</v>
      </c>
      <c r="K64" s="314" t="s">
        <v>944</v>
      </c>
      <c r="L64" s="24">
        <v>2024</v>
      </c>
      <c r="M64" s="322">
        <f>GETPIVOTDATA("Units",'AMMO Units'!$A$3,"Year",$L64,"Measure Index",$A64,"Savings Category","Regional_Market_2021PP")</f>
        <v>5882</v>
      </c>
      <c r="N64" s="2851"/>
      <c r="O64" s="445">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P64" s="1476">
        <f>GETPIVOTDATA("Savings Rate",'AMMO Savings Rates'!$A$3,"Year",$L64,"Measure Index",$A64,"Savings Rate Type","Savings_Rate_2021PP")</f>
        <v>943</v>
      </c>
      <c r="Q64" s="86" t="s">
        <v>2776</v>
      </c>
      <c r="R64" s="359">
        <f t="shared" si="23"/>
        <v>8.8555126878538823E-2</v>
      </c>
      <c r="S64" s="636">
        <v>0</v>
      </c>
      <c r="T64" s="427">
        <f t="shared" si="24"/>
        <v>8.8555126878538823E-2</v>
      </c>
      <c r="U64" s="1054"/>
    </row>
    <row r="65" spans="1:21" s="294" customFormat="1" ht="12.75" hidden="1" customHeight="1">
      <c r="A65" s="272" t="s">
        <v>458</v>
      </c>
      <c r="B65" s="311" t="str">
        <f t="shared" si="0"/>
        <v>RES_201301</v>
      </c>
      <c r="C65" s="311">
        <v>1</v>
      </c>
      <c r="D65" s="311">
        <v>0</v>
      </c>
      <c r="E65" s="311">
        <f t="shared" si="11"/>
        <v>1</v>
      </c>
      <c r="F65" s="311">
        <v>3</v>
      </c>
      <c r="G65" s="311" t="b">
        <v>1</v>
      </c>
      <c r="H65" s="426" t="str">
        <f t="shared" si="2"/>
        <v>Residential</v>
      </c>
      <c r="I65" s="314" t="s">
        <v>2773</v>
      </c>
      <c r="J65" s="441" t="s">
        <v>327</v>
      </c>
      <c r="K65" s="314" t="s">
        <v>885</v>
      </c>
      <c r="L65" s="24">
        <v>2024</v>
      </c>
      <c r="M65" s="322">
        <f>GETPIVOTDATA("Units",'AMMO Units'!$A$3,"Year",$L65,"Measure Index",$A65,"Savings Category","Regional_Market_2021PP")</f>
        <v>28055</v>
      </c>
      <c r="N65" s="2851"/>
      <c r="O65" s="445">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P65" s="1476">
        <f>GETPIVOTDATA("Savings Rate",'AMMO Savings Rates'!$A$3,"Year",$L65,"Measure Index",$A65,"Savings Rate Type","Savings_Rate_2021PP")</f>
        <v>126</v>
      </c>
      <c r="Q65" s="1567" t="s">
        <v>1408</v>
      </c>
      <c r="R65" s="359">
        <f t="shared" si="23"/>
        <v>5.6436206630136987E-2</v>
      </c>
      <c r="S65" s="636">
        <v>0</v>
      </c>
      <c r="T65" s="427">
        <f t="shared" si="24"/>
        <v>5.6436206630136987E-2</v>
      </c>
      <c r="U65" s="1054"/>
    </row>
    <row r="66" spans="1:21" s="294" customFormat="1" ht="12.75" hidden="1" customHeight="1">
      <c r="A66" s="272" t="s">
        <v>74</v>
      </c>
      <c r="B66" s="311" t="str">
        <f t="shared" si="0"/>
        <v>RES_200601</v>
      </c>
      <c r="C66" s="311">
        <v>1</v>
      </c>
      <c r="D66" s="311">
        <v>0</v>
      </c>
      <c r="E66" s="311">
        <f t="shared" si="11"/>
        <v>1</v>
      </c>
      <c r="F66" s="311">
        <v>3</v>
      </c>
      <c r="G66" s="311" t="b">
        <v>1</v>
      </c>
      <c r="H66" s="426" t="str">
        <f t="shared" si="2"/>
        <v>Residential</v>
      </c>
      <c r="I66" s="314" t="s">
        <v>149</v>
      </c>
      <c r="J66" s="441" t="s">
        <v>298</v>
      </c>
      <c r="K66" s="314" t="s">
        <v>357</v>
      </c>
      <c r="L66" s="24">
        <v>2024</v>
      </c>
      <c r="M66" s="322">
        <f>GETPIVOTDATA("Units",'AMMO Units'!$A$3,"Year",$L66,"Measure Index",$A66,"Savings Category","Regional_Market_2021PP")</f>
        <v>3344.3693472599998</v>
      </c>
      <c r="N66" s="2851"/>
      <c r="O66" s="445">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P66" s="1476">
        <v>1059.3107956275326</v>
      </c>
      <c r="Q66" s="86" t="s">
        <v>3061</v>
      </c>
      <c r="R66" s="359">
        <f t="shared" si="23"/>
        <v>5.6560680930681749E-2</v>
      </c>
      <c r="S66" s="636">
        <v>0</v>
      </c>
      <c r="T66" s="427">
        <f t="shared" si="24"/>
        <v>5.6560680930681749E-2</v>
      </c>
      <c r="U66" s="1054"/>
    </row>
    <row r="67" spans="1:21" s="294" customFormat="1" ht="12.75" hidden="1" customHeight="1">
      <c r="A67" s="272" t="s">
        <v>75</v>
      </c>
      <c r="B67" s="311" t="str">
        <f t="shared" si="0"/>
        <v>RES_200601</v>
      </c>
      <c r="C67" s="311">
        <v>1</v>
      </c>
      <c r="D67" s="311">
        <v>0</v>
      </c>
      <c r="E67" s="311">
        <f t="shared" si="11"/>
        <v>1</v>
      </c>
      <c r="F67" s="311">
        <v>3</v>
      </c>
      <c r="G67" s="311" t="b">
        <v>1</v>
      </c>
      <c r="H67" s="426" t="str">
        <f t="shared" si="2"/>
        <v>Residential</v>
      </c>
      <c r="I67" s="314" t="s">
        <v>149</v>
      </c>
      <c r="J67" s="441" t="s">
        <v>306</v>
      </c>
      <c r="K67" s="314" t="s">
        <v>357</v>
      </c>
      <c r="L67" s="24">
        <v>2024</v>
      </c>
      <c r="M67" s="322">
        <f>GETPIVOTDATA("Units",'AMMO Units'!$A$3,"Year",$L67,"Measure Index",$A67,"Savings Category","Regional_Market_2021PP")</f>
        <v>611.39638458000002</v>
      </c>
      <c r="N67" s="2851"/>
      <c r="O67" s="445">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P67" s="1476">
        <v>504.93804148544405</v>
      </c>
      <c r="Q67" s="86" t="s">
        <v>3061</v>
      </c>
      <c r="R67" s="359">
        <f t="shared" si="23"/>
        <v>4.9287632111829635E-3</v>
      </c>
      <c r="S67" s="636">
        <v>0</v>
      </c>
      <c r="T67" s="427">
        <f t="shared" si="24"/>
        <v>4.9287632111829635E-3</v>
      </c>
      <c r="U67" s="1054"/>
    </row>
    <row r="68" spans="1:21" s="294" customFormat="1" ht="12.75" hidden="1" customHeight="1">
      <c r="A68" s="272" t="s">
        <v>1519</v>
      </c>
      <c r="B68" s="311" t="str">
        <f t="shared" si="0"/>
        <v>RES_200601</v>
      </c>
      <c r="C68" s="311">
        <v>1</v>
      </c>
      <c r="D68" s="311">
        <v>0</v>
      </c>
      <c r="E68" s="311">
        <f t="shared" si="11"/>
        <v>1</v>
      </c>
      <c r="F68" s="311">
        <v>3</v>
      </c>
      <c r="G68" s="311" t="b">
        <v>1</v>
      </c>
      <c r="H68" s="426" t="str">
        <f t="shared" si="2"/>
        <v>Residential</v>
      </c>
      <c r="I68" s="314" t="s">
        <v>149</v>
      </c>
      <c r="J68" s="441" t="s">
        <v>298</v>
      </c>
      <c r="K68" s="314" t="s">
        <v>367</v>
      </c>
      <c r="L68" s="24">
        <v>2024</v>
      </c>
      <c r="M68" s="322">
        <f>GETPIVOTDATA("Units",'AMMO Units'!$A$3,"Year",$L68,"Measure Index",$A68,"Savings Category","Regional_Market_2021PP")</f>
        <v>1672.1846736299999</v>
      </c>
      <c r="N68" s="2851"/>
      <c r="O68" s="445">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P68" s="1476">
        <f>GETPIVOTDATA("Savings Rate",'AMMO Savings Rates'!$A$3,"Year",$L68,"Measure Index",$A68,"Savings Rate Type","Savings_Rate_2021PP")</f>
        <v>443.7</v>
      </c>
      <c r="Q68" s="86" t="s">
        <v>332</v>
      </c>
      <c r="R68" s="359">
        <f t="shared" si="23"/>
        <v>1.1845425456122492E-2</v>
      </c>
      <c r="S68" s="636">
        <v>0</v>
      </c>
      <c r="T68" s="427">
        <f t="shared" si="24"/>
        <v>1.1845425456122492E-2</v>
      </c>
      <c r="U68" s="1054"/>
    </row>
    <row r="69" spans="1:21" s="294" customFormat="1" ht="12.75" hidden="1" customHeight="1">
      <c r="A69" s="272" t="s">
        <v>1520</v>
      </c>
      <c r="B69" s="311" t="str">
        <f t="shared" si="0"/>
        <v>RES_200601</v>
      </c>
      <c r="C69" s="311">
        <v>1</v>
      </c>
      <c r="D69" s="311">
        <v>0</v>
      </c>
      <c r="E69" s="311">
        <f t="shared" si="11"/>
        <v>1</v>
      </c>
      <c r="F69" s="311">
        <v>3</v>
      </c>
      <c r="G69" s="311" t="b">
        <v>1</v>
      </c>
      <c r="H69" s="426" t="str">
        <f t="shared" si="2"/>
        <v>Residential</v>
      </c>
      <c r="I69" s="314" t="s">
        <v>149</v>
      </c>
      <c r="J69" s="441" t="s">
        <v>306</v>
      </c>
      <c r="K69" s="314" t="s">
        <v>367</v>
      </c>
      <c r="L69" s="24">
        <v>2024</v>
      </c>
      <c r="M69" s="322">
        <f>GETPIVOTDATA("Units",'AMMO Units'!$A$3,"Year",$L69,"Measure Index",$A69,"Savings Category","Regional_Market_2021PP")</f>
        <v>407.59758971999997</v>
      </c>
      <c r="N69" s="2851"/>
      <c r="O69" s="445">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P69" s="1476">
        <f>GETPIVOTDATA("Savings Rate",'AMMO Savings Rates'!$A$3,"Year",$L69,"Measure Index",$A69,"Savings Rate Type","Savings_Rate_2021PP")</f>
        <v>15.83712487</v>
      </c>
      <c r="Q69" s="1897" t="s">
        <v>332</v>
      </c>
      <c r="R69" s="359">
        <f t="shared" si="23"/>
        <v>1.0305876763352947E-4</v>
      </c>
      <c r="S69" s="636">
        <v>0</v>
      </c>
      <c r="T69" s="427">
        <f t="shared" si="24"/>
        <v>1.0305876763352947E-4</v>
      </c>
      <c r="U69" s="1054"/>
    </row>
    <row r="70" spans="1:21" s="294" customFormat="1" ht="12.75" hidden="1" customHeight="1">
      <c r="A70" s="272" t="s">
        <v>1312</v>
      </c>
      <c r="B70" s="311" t="str">
        <f t="shared" si="0"/>
        <v>RES_200601</v>
      </c>
      <c r="C70" s="311">
        <v>1</v>
      </c>
      <c r="D70" s="311">
        <v>0</v>
      </c>
      <c r="E70" s="311">
        <f t="shared" si="11"/>
        <v>1</v>
      </c>
      <c r="F70" s="311">
        <v>3</v>
      </c>
      <c r="G70" s="311" t="b">
        <v>1</v>
      </c>
      <c r="H70" s="426" t="str">
        <f t="shared" si="2"/>
        <v>Residential</v>
      </c>
      <c r="I70" s="314" t="s">
        <v>149</v>
      </c>
      <c r="J70" s="441" t="s">
        <v>312</v>
      </c>
      <c r="K70" s="314" t="s">
        <v>1564</v>
      </c>
      <c r="L70" s="24">
        <v>2024</v>
      </c>
      <c r="M70" s="322">
        <f>GETPIVOTDATA("Units",'AMMO Units'!$A$3,"Year",$L70,"Measure Index",$A70,"Savings Category","Regional_Market_2021PP")</f>
        <v>2974.1779443400001</v>
      </c>
      <c r="N70" s="2851"/>
      <c r="O70" s="445">
        <f>IF(Selection!$A$2="regional",1,IF($M70=0,0,
(   INDEX('Funder Share Table'!$C:$C,MATCH(L70,'Funder Share Table'!$A:$A,0)) * INDEX('AMMO Measure Funding Cycles'!$D:$D, MATCH($A70&amp;L70,'AMMO Measure Funding Cycles'!$J:$J,0))
 + INDEX('Funder Share Table'!$D:$D,MATCH(L70,'Funder Share Table'!$A:$A,0)) * INDEX('AMMO Measure Funding Cycles'!$E:$E, MATCH($A70&amp;L70,'AMMO Measure Funding Cycles'!$J:$J,0))
 + INDEX('Funder Share Table'!$E:$E,MATCH(L70,'Funder Share Table'!$A:$A,0)) * INDEX('AMMO Measure Funding Cycles'!$F:$F, MATCH($A70&amp;L70,'AMMO Measure Funding Cycles'!$J:$J,0))
 + INDEX('Funder Share Table'!$F:$F,MATCH(L70,'Funder Share Table'!$A:$A,0)) * INDEX('AMMO Measure Funding Cycles'!$G:$G, MATCH($A70&amp;L70,'AMMO Measure Funding Cycles'!$J:$J,0))
 + INDEX('Funder Share Table'!$G:$G,MATCH(L70,'Funder Share Table'!$A:$A,0)) * INDEX('AMMO Measure Funding Cycles'!$H:$H, MATCH($A70&amp;L70,'AMMO Measure Funding Cycles'!$J:$J,0)))
))</f>
        <v>0.13985600000000001</v>
      </c>
      <c r="P70" s="1476">
        <f>GETPIVOTDATA("Savings Rate",'AMMO Savings Rates'!$A$3,"Year",$L70,"Measure Index",$A70,"Savings Rate Type","Savings_Rate_2021PP")</f>
        <v>0</v>
      </c>
      <c r="Q70" s="1897" t="s">
        <v>332</v>
      </c>
      <c r="R70" s="359">
        <f t="shared" si="23"/>
        <v>0</v>
      </c>
      <c r="S70" s="636">
        <v>0</v>
      </c>
      <c r="T70" s="427">
        <f t="shared" si="24"/>
        <v>0</v>
      </c>
      <c r="U70" s="1054"/>
    </row>
    <row r="71" spans="1:21" s="294" customFormat="1" ht="12.75" hidden="1" customHeight="1">
      <c r="A71" s="272" t="s">
        <v>1524</v>
      </c>
      <c r="B71" s="311" t="str">
        <f t="shared" si="0"/>
        <v>RES_200601</v>
      </c>
      <c r="C71" s="311">
        <v>1</v>
      </c>
      <c r="D71" s="311">
        <v>0</v>
      </c>
      <c r="E71" s="311">
        <f t="shared" si="11"/>
        <v>1</v>
      </c>
      <c r="F71" s="311">
        <v>3</v>
      </c>
      <c r="G71" s="311" t="b">
        <v>1</v>
      </c>
      <c r="H71" s="426" t="str">
        <f t="shared" si="2"/>
        <v>Residential</v>
      </c>
      <c r="I71" s="314" t="s">
        <v>149</v>
      </c>
      <c r="J71" s="441" t="s">
        <v>312</v>
      </c>
      <c r="K71" s="314" t="s">
        <v>944</v>
      </c>
      <c r="L71" s="24">
        <v>2024</v>
      </c>
      <c r="M71" s="322">
        <f>GETPIVOTDATA("Units",'AMMO Units'!$A$3,"Year",$L71,"Measure Index",$A71,"Savings Category","Regional_Market_2021PP")</f>
        <v>1487.08897217</v>
      </c>
      <c r="N71" s="2851"/>
      <c r="O71" s="445">
        <f>IF(Selection!$A$2="regional",1,IF($M71=0,0,
(   INDEX('Funder Share Table'!$C:$C,MATCH(L71,'Funder Share Table'!$A:$A,0)) * INDEX('AMMO Measure Funding Cycles'!$D:$D, MATCH($A71&amp;L71,'AMMO Measure Funding Cycles'!$J:$J,0))
 + INDEX('Funder Share Table'!$D:$D,MATCH(L71,'Funder Share Table'!$A:$A,0)) * INDEX('AMMO Measure Funding Cycles'!$E:$E, MATCH($A71&amp;L71,'AMMO Measure Funding Cycles'!$J:$J,0))
 + INDEX('Funder Share Table'!$E:$E,MATCH(L71,'Funder Share Table'!$A:$A,0)) * INDEX('AMMO Measure Funding Cycles'!$F:$F, MATCH($A71&amp;L71,'AMMO Measure Funding Cycles'!$J:$J,0))
 + INDEX('Funder Share Table'!$F:$F,MATCH(L71,'Funder Share Table'!$A:$A,0)) * INDEX('AMMO Measure Funding Cycles'!$G:$G, MATCH($A71&amp;L71,'AMMO Measure Funding Cycles'!$J:$J,0))
 + INDEX('Funder Share Table'!$G:$G,MATCH(L71,'Funder Share Table'!$A:$A,0)) * INDEX('AMMO Measure Funding Cycles'!$H:$H, MATCH($A71&amp;L71,'AMMO Measure Funding Cycles'!$J:$J,0)))
))</f>
        <v>0.13985600000000001</v>
      </c>
      <c r="P71" s="1476">
        <f>GETPIVOTDATA("Savings Rate",'AMMO Savings Rates'!$A$3,"Year",$L71,"Measure Index",$A71,"Savings Rate Type","Savings_Rate_2021PP")</f>
        <v>195</v>
      </c>
      <c r="Q71" s="1897" t="s">
        <v>332</v>
      </c>
      <c r="R71" s="359">
        <f t="shared" si="23"/>
        <v>4.6296542787559901E-3</v>
      </c>
      <c r="S71" s="636">
        <v>0</v>
      </c>
      <c r="T71" s="427">
        <f t="shared" si="24"/>
        <v>4.6296542787559901E-3</v>
      </c>
      <c r="U71" s="1054"/>
    </row>
    <row r="72" spans="1:21" s="294" customFormat="1" ht="12.75" hidden="1" customHeight="1">
      <c r="A72" s="272" t="s">
        <v>1525</v>
      </c>
      <c r="B72" s="311" t="str">
        <f t="shared" si="0"/>
        <v>RES_200601</v>
      </c>
      <c r="C72" s="311">
        <v>1</v>
      </c>
      <c r="D72" s="311">
        <v>0</v>
      </c>
      <c r="E72" s="311">
        <f t="shared" si="11"/>
        <v>1</v>
      </c>
      <c r="F72" s="311">
        <v>3</v>
      </c>
      <c r="G72" s="311" t="b">
        <v>1</v>
      </c>
      <c r="H72" s="426" t="str">
        <f t="shared" si="2"/>
        <v>Residential</v>
      </c>
      <c r="I72" s="314" t="s">
        <v>149</v>
      </c>
      <c r="J72" s="441" t="s">
        <v>330</v>
      </c>
      <c r="K72" s="314" t="s">
        <v>885</v>
      </c>
      <c r="L72" s="24">
        <v>2024</v>
      </c>
      <c r="M72" s="322">
        <f>GETPIVOTDATA("Units",'AMMO Units'!$A$3,"Year",$L72,"Measure Index",$A72,"Savings Category","Regional_Market_2021PP")</f>
        <v>4789.5970612900001</v>
      </c>
      <c r="N72" s="2851"/>
      <c r="O72" s="445">
        <f>IF(Selection!$A$2="regional",1,IF($M72=0,0,
(   INDEX('Funder Share Table'!$C:$C,MATCH(L72,'Funder Share Table'!$A:$A,0)) * INDEX('AMMO Measure Funding Cycles'!$D:$D, MATCH($A72&amp;L72,'AMMO Measure Funding Cycles'!$J:$J,0))
 + INDEX('Funder Share Table'!$D:$D,MATCH(L72,'Funder Share Table'!$A:$A,0)) * INDEX('AMMO Measure Funding Cycles'!$E:$E, MATCH($A72&amp;L72,'AMMO Measure Funding Cycles'!$J:$J,0))
 + INDEX('Funder Share Table'!$E:$E,MATCH(L72,'Funder Share Table'!$A:$A,0)) * INDEX('AMMO Measure Funding Cycles'!$F:$F, MATCH($A72&amp;L72,'AMMO Measure Funding Cycles'!$J:$J,0))
 + INDEX('Funder Share Table'!$F:$F,MATCH(L72,'Funder Share Table'!$A:$A,0)) * INDEX('AMMO Measure Funding Cycles'!$G:$G, MATCH($A72&amp;L72,'AMMO Measure Funding Cycles'!$J:$J,0))
 + INDEX('Funder Share Table'!$G:$G,MATCH(L72,'Funder Share Table'!$A:$A,0)) * INDEX('AMMO Measure Funding Cycles'!$H:$H, MATCH($A72&amp;L72,'AMMO Measure Funding Cycles'!$J:$J,0)))
))</f>
        <v>0.13985600000000001</v>
      </c>
      <c r="P72" s="1476">
        <f>GETPIVOTDATA("Savings Rate",'AMMO Savings Rates'!$A$3,"Year",$L72,"Measure Index",$A72,"Savings Rate Type","Savings_Rate_2021PP")</f>
        <v>542</v>
      </c>
      <c r="Q72" s="1897" t="s">
        <v>1408</v>
      </c>
      <c r="R72" s="359">
        <f t="shared" si="23"/>
        <v>4.1445297550142195E-2</v>
      </c>
      <c r="S72" s="636">
        <v>0</v>
      </c>
      <c r="T72" s="427">
        <f t="shared" si="24"/>
        <v>4.1445297550142195E-2</v>
      </c>
      <c r="U72" s="1054"/>
    </row>
    <row r="73" spans="1:21" s="294" customFormat="1" ht="12.75" hidden="1" customHeight="1">
      <c r="A73" s="272" t="s">
        <v>62</v>
      </c>
      <c r="B73" s="311" t="s">
        <v>252</v>
      </c>
      <c r="C73" s="311">
        <v>1</v>
      </c>
      <c r="D73" s="311">
        <v>0</v>
      </c>
      <c r="E73" s="311">
        <v>1</v>
      </c>
      <c r="F73" s="311">
        <v>3</v>
      </c>
      <c r="G73" s="311" t="b">
        <v>1</v>
      </c>
      <c r="H73" s="426" t="s">
        <v>236</v>
      </c>
      <c r="I73" s="314" t="s">
        <v>2773</v>
      </c>
      <c r="J73" s="441" t="s">
        <v>295</v>
      </c>
      <c r="K73" s="314" t="s">
        <v>357</v>
      </c>
      <c r="L73" s="24">
        <v>2025</v>
      </c>
      <c r="M73" s="322">
        <f>GETPIVOTDATA("Units",'AMMO Units'!$A$3,"Year",$L73,"Measure Index",$A73,"Savings Category","Regional_Market_2021PP")</f>
        <v>18145</v>
      </c>
      <c r="N73" s="2851"/>
      <c r="O73" s="445">
        <f>IF(Selection!$A$2="regional",1,IF($M73=0,0,
(   INDEX('Funder Share Table'!$C:$C,MATCH(L73,'Funder Share Table'!$A:$A,0)) * INDEX('AMMO Measure Funding Cycles'!$D:$D, MATCH($A73&amp;L73,'AMMO Measure Funding Cycles'!$J:$J,0))
 + INDEX('Funder Share Table'!$D:$D,MATCH(L73,'Funder Share Table'!$A:$A,0)) * INDEX('AMMO Measure Funding Cycles'!$E:$E, MATCH($A73&amp;L73,'AMMO Measure Funding Cycles'!$J:$J,0))
 + INDEX('Funder Share Table'!$E:$E,MATCH(L73,'Funder Share Table'!$A:$A,0)) * INDEX('AMMO Measure Funding Cycles'!$F:$F, MATCH($A73&amp;L73,'AMMO Measure Funding Cycles'!$J:$J,0))
 + INDEX('Funder Share Table'!$F:$F,MATCH(L73,'Funder Share Table'!$A:$A,0)) * INDEX('AMMO Measure Funding Cycles'!$G:$G, MATCH($A73&amp;L73,'AMMO Measure Funding Cycles'!$J:$J,0))
 + INDEX('Funder Share Table'!$G:$G,MATCH(L73,'Funder Share Table'!$A:$A,0)) * INDEX('AMMO Measure Funding Cycles'!$H:$H, MATCH($A73&amp;L73,'AMMO Measure Funding Cycles'!$J:$J,0)))
))</f>
        <v>0.13985600000000001</v>
      </c>
      <c r="P73" s="1476">
        <v>746.36554108311145</v>
      </c>
      <c r="Q73" s="1897" t="s">
        <v>3061</v>
      </c>
      <c r="R73" s="359">
        <f t="shared" ref="R73:R86" si="25">M73*O73*P73/8760000</f>
        <v>0.2162148653445711</v>
      </c>
      <c r="S73" s="636">
        <v>0</v>
      </c>
      <c r="T73" s="427">
        <f t="shared" ref="T73:T86" si="26">R73-S73</f>
        <v>0.2162148653445711</v>
      </c>
      <c r="U73" s="1054"/>
    </row>
    <row r="74" spans="1:21" s="294" customFormat="1" ht="12.75" hidden="1" customHeight="1">
      <c r="A74" s="272" t="s">
        <v>63</v>
      </c>
      <c r="B74" s="311" t="s">
        <v>252</v>
      </c>
      <c r="C74" s="311">
        <v>1</v>
      </c>
      <c r="D74" s="311">
        <v>0</v>
      </c>
      <c r="E74" s="311">
        <v>1</v>
      </c>
      <c r="F74" s="311">
        <v>3</v>
      </c>
      <c r="G74" s="311" t="b">
        <v>1</v>
      </c>
      <c r="H74" s="426" t="s">
        <v>236</v>
      </c>
      <c r="I74" s="314" t="s">
        <v>2773</v>
      </c>
      <c r="J74" s="441" t="s">
        <v>303</v>
      </c>
      <c r="K74" s="314" t="s">
        <v>357</v>
      </c>
      <c r="L74" s="24">
        <v>2025</v>
      </c>
      <c r="M74" s="322">
        <f>GETPIVOTDATA("Units",'AMMO Units'!$A$3,"Year",$L74,"Measure Index",$A74,"Savings Category","Regional_Market_2021PP")</f>
        <v>3071</v>
      </c>
      <c r="N74" s="2851"/>
      <c r="O74" s="445">
        <f>IF(Selection!$A$2="regional",1,IF($M74=0,0,
(   INDEX('Funder Share Table'!$C:$C,MATCH(L74,'Funder Share Table'!$A:$A,0)) * INDEX('AMMO Measure Funding Cycles'!$D:$D, MATCH($A74&amp;L74,'AMMO Measure Funding Cycles'!$J:$J,0))
 + INDEX('Funder Share Table'!$D:$D,MATCH(L74,'Funder Share Table'!$A:$A,0)) * INDEX('AMMO Measure Funding Cycles'!$E:$E, MATCH($A74&amp;L74,'AMMO Measure Funding Cycles'!$J:$J,0))
 + INDEX('Funder Share Table'!$E:$E,MATCH(L74,'Funder Share Table'!$A:$A,0)) * INDEX('AMMO Measure Funding Cycles'!$F:$F, MATCH($A74&amp;L74,'AMMO Measure Funding Cycles'!$J:$J,0))
 + INDEX('Funder Share Table'!$F:$F,MATCH(L74,'Funder Share Table'!$A:$A,0)) * INDEX('AMMO Measure Funding Cycles'!$G:$G, MATCH($A74&amp;L74,'AMMO Measure Funding Cycles'!$J:$J,0))
 + INDEX('Funder Share Table'!$G:$G,MATCH(L74,'Funder Share Table'!$A:$A,0)) * INDEX('AMMO Measure Funding Cycles'!$H:$H, MATCH($A74&amp;L74,'AMMO Measure Funding Cycles'!$J:$J,0)))
))</f>
        <v>0.13985600000000001</v>
      </c>
      <c r="P74" s="1476">
        <v>850.39740425965704</v>
      </c>
      <c r="Q74" s="1897" t="s">
        <v>3061</v>
      </c>
      <c r="R74" s="359">
        <f t="shared" si="25"/>
        <v>4.1694497014348825E-2</v>
      </c>
      <c r="S74" s="636">
        <v>0</v>
      </c>
      <c r="T74" s="427">
        <f t="shared" si="26"/>
        <v>4.1694497014348825E-2</v>
      </c>
      <c r="U74" s="1054"/>
    </row>
    <row r="75" spans="1:21" s="294" customFormat="1" ht="12.75" hidden="1" customHeight="1">
      <c r="A75" s="272" t="s">
        <v>2305</v>
      </c>
      <c r="B75" s="311" t="s">
        <v>252</v>
      </c>
      <c r="C75" s="311">
        <v>1</v>
      </c>
      <c r="D75" s="311">
        <v>0</v>
      </c>
      <c r="E75" s="311">
        <v>1</v>
      </c>
      <c r="F75" s="311">
        <v>3</v>
      </c>
      <c r="G75" s="311" t="b">
        <v>1</v>
      </c>
      <c r="H75" s="426" t="s">
        <v>236</v>
      </c>
      <c r="I75" s="314" t="s">
        <v>2773</v>
      </c>
      <c r="J75" s="441" t="s">
        <v>295</v>
      </c>
      <c r="K75" s="314" t="s">
        <v>367</v>
      </c>
      <c r="L75" s="24">
        <v>2025</v>
      </c>
      <c r="M75" s="322">
        <f>GETPIVOTDATA("Units",'AMMO Units'!$A$3,"Year",$L75,"Measure Index",$A75,"Savings Category","Regional_Market_2021PP")</f>
        <v>18145</v>
      </c>
      <c r="N75" s="2851"/>
      <c r="O75" s="445">
        <f>IF(Selection!$A$2="regional",1,IF($M75=0,0,
(   INDEX('Funder Share Table'!$C:$C,MATCH(L75,'Funder Share Table'!$A:$A,0)) * INDEX('AMMO Measure Funding Cycles'!$D:$D, MATCH($A75&amp;L75,'AMMO Measure Funding Cycles'!$J:$J,0))
 + INDEX('Funder Share Table'!$D:$D,MATCH(L75,'Funder Share Table'!$A:$A,0)) * INDEX('AMMO Measure Funding Cycles'!$E:$E, MATCH($A75&amp;L75,'AMMO Measure Funding Cycles'!$J:$J,0))
 + INDEX('Funder Share Table'!$E:$E,MATCH(L75,'Funder Share Table'!$A:$A,0)) * INDEX('AMMO Measure Funding Cycles'!$F:$F, MATCH($A75&amp;L75,'AMMO Measure Funding Cycles'!$J:$J,0))
 + INDEX('Funder Share Table'!$F:$F,MATCH(L75,'Funder Share Table'!$A:$A,0)) * INDEX('AMMO Measure Funding Cycles'!$G:$G, MATCH($A75&amp;L75,'AMMO Measure Funding Cycles'!$J:$J,0))
 + INDEX('Funder Share Table'!$G:$G,MATCH(L75,'Funder Share Table'!$A:$A,0)) * INDEX('AMMO Measure Funding Cycles'!$H:$H, MATCH($A75&amp;L75,'AMMO Measure Funding Cycles'!$J:$J,0)))
))</f>
        <v>0.13985600000000001</v>
      </c>
      <c r="P75" s="1476">
        <f>GETPIVOTDATA("Savings Rate",'AMMO Savings Rates'!$A$3,"Year",$L75,"Measure Index",$A75,"Savings Rate Type","Savings_Rate_2021PP")</f>
        <v>504</v>
      </c>
      <c r="Q75" s="1897" t="s">
        <v>332</v>
      </c>
      <c r="R75" s="359">
        <f t="shared" si="25"/>
        <v>0.1460039164931507</v>
      </c>
      <c r="S75" s="636">
        <v>0</v>
      </c>
      <c r="T75" s="427">
        <f t="shared" si="26"/>
        <v>0.1460039164931507</v>
      </c>
      <c r="U75" s="1054"/>
    </row>
    <row r="76" spans="1:21" s="294" customFormat="1" ht="12.75" hidden="1" customHeight="1">
      <c r="A76" s="272" t="s">
        <v>64</v>
      </c>
      <c r="B76" s="311" t="s">
        <v>252</v>
      </c>
      <c r="C76" s="311">
        <v>1</v>
      </c>
      <c r="D76" s="311">
        <v>0</v>
      </c>
      <c r="E76" s="311">
        <v>1</v>
      </c>
      <c r="F76" s="311">
        <v>3</v>
      </c>
      <c r="G76" s="311" t="b">
        <v>1</v>
      </c>
      <c r="H76" s="426" t="s">
        <v>236</v>
      </c>
      <c r="I76" s="314" t="s">
        <v>2773</v>
      </c>
      <c r="J76" s="441" t="s">
        <v>303</v>
      </c>
      <c r="K76" s="314" t="s">
        <v>367</v>
      </c>
      <c r="L76" s="24">
        <v>2025</v>
      </c>
      <c r="M76" s="322">
        <f>GETPIVOTDATA("Units",'AMMO Units'!$A$3,"Year",$L76,"Measure Index",$A76,"Savings Category","Regional_Market_2021PP")</f>
        <v>3071</v>
      </c>
      <c r="N76" s="2851"/>
      <c r="O76" s="445">
        <f>IF(Selection!$A$2="regional",1,IF($M76=0,0,
(   INDEX('Funder Share Table'!$C:$C,MATCH(L76,'Funder Share Table'!$A:$A,0)) * INDEX('AMMO Measure Funding Cycles'!$D:$D, MATCH($A76&amp;L76,'AMMO Measure Funding Cycles'!$J:$J,0))
 + INDEX('Funder Share Table'!$D:$D,MATCH(L76,'Funder Share Table'!$A:$A,0)) * INDEX('AMMO Measure Funding Cycles'!$E:$E, MATCH($A76&amp;L76,'AMMO Measure Funding Cycles'!$J:$J,0))
 + INDEX('Funder Share Table'!$E:$E,MATCH(L76,'Funder Share Table'!$A:$A,0)) * INDEX('AMMO Measure Funding Cycles'!$F:$F, MATCH($A76&amp;L76,'AMMO Measure Funding Cycles'!$J:$J,0))
 + INDEX('Funder Share Table'!$F:$F,MATCH(L76,'Funder Share Table'!$A:$A,0)) * INDEX('AMMO Measure Funding Cycles'!$G:$G, MATCH($A76&amp;L76,'AMMO Measure Funding Cycles'!$J:$J,0))
 + INDEX('Funder Share Table'!$G:$G,MATCH(L76,'Funder Share Table'!$A:$A,0)) * INDEX('AMMO Measure Funding Cycles'!$H:$H, MATCH($A76&amp;L76,'AMMO Measure Funding Cycles'!$J:$J,0)))
))</f>
        <v>0.13985600000000001</v>
      </c>
      <c r="P76" s="1476">
        <f>GETPIVOTDATA("Savings Rate",'AMMO Savings Rates'!$A$3,"Year",$L76,"Measure Index",$A76,"Savings Rate Type","Savings_Rate_2021PP")</f>
        <v>5</v>
      </c>
      <c r="Q76" s="1897" t="s">
        <v>332</v>
      </c>
      <c r="R76" s="359">
        <f t="shared" si="25"/>
        <v>2.4514713242009136E-4</v>
      </c>
      <c r="S76" s="636">
        <v>0</v>
      </c>
      <c r="T76" s="427">
        <f t="shared" si="26"/>
        <v>2.4514713242009136E-4</v>
      </c>
      <c r="U76" s="1054"/>
    </row>
    <row r="77" spans="1:21" s="294" customFormat="1" ht="12.75" hidden="1" customHeight="1">
      <c r="A77" s="272" t="s">
        <v>65</v>
      </c>
      <c r="B77" s="311" t="s">
        <v>252</v>
      </c>
      <c r="C77" s="311">
        <v>1</v>
      </c>
      <c r="D77" s="311">
        <v>0</v>
      </c>
      <c r="E77" s="311">
        <v>1</v>
      </c>
      <c r="F77" s="311">
        <v>3</v>
      </c>
      <c r="G77" s="311" t="b">
        <v>1</v>
      </c>
      <c r="H77" s="426" t="s">
        <v>236</v>
      </c>
      <c r="I77" s="314" t="s">
        <v>2773</v>
      </c>
      <c r="J77" s="441" t="s">
        <v>309</v>
      </c>
      <c r="K77" s="314" t="s">
        <v>1564</v>
      </c>
      <c r="L77" s="24">
        <v>2025</v>
      </c>
      <c r="M77" s="322">
        <f>GETPIVOTDATA("Units",'AMMO Units'!$A$3,"Year",$L77,"Measure Index",$A77,"Savings Category","Regional_Market_2021PP")</f>
        <v>12308</v>
      </c>
      <c r="N77" s="2851"/>
      <c r="O77" s="445">
        <f>IF(Selection!$A$2="regional",1,IF($M77=0,0,
(   INDEX('Funder Share Table'!$C:$C,MATCH(L77,'Funder Share Table'!$A:$A,0)) * INDEX('AMMO Measure Funding Cycles'!$D:$D, MATCH($A77&amp;L77,'AMMO Measure Funding Cycles'!$J:$J,0))
 + INDEX('Funder Share Table'!$D:$D,MATCH(L77,'Funder Share Table'!$A:$A,0)) * INDEX('AMMO Measure Funding Cycles'!$E:$E, MATCH($A77&amp;L77,'AMMO Measure Funding Cycles'!$J:$J,0))
 + INDEX('Funder Share Table'!$E:$E,MATCH(L77,'Funder Share Table'!$A:$A,0)) * INDEX('AMMO Measure Funding Cycles'!$F:$F, MATCH($A77&amp;L77,'AMMO Measure Funding Cycles'!$J:$J,0))
 + INDEX('Funder Share Table'!$F:$F,MATCH(L77,'Funder Share Table'!$A:$A,0)) * INDEX('AMMO Measure Funding Cycles'!$G:$G, MATCH($A77&amp;L77,'AMMO Measure Funding Cycles'!$J:$J,0))
 + INDEX('Funder Share Table'!$G:$G,MATCH(L77,'Funder Share Table'!$A:$A,0)) * INDEX('AMMO Measure Funding Cycles'!$H:$H, MATCH($A77&amp;L77,'AMMO Measure Funding Cycles'!$J:$J,0)))
))</f>
        <v>0.13985600000000001</v>
      </c>
      <c r="P77" s="1476">
        <f>GETPIVOTDATA("Savings Rate",'AMMO Savings Rates'!$A$3,"Year",$L77,"Measure Index",$A77,"Savings Rate Type","Savings_Rate_2021PP")</f>
        <v>671</v>
      </c>
      <c r="Q77" s="1897" t="s">
        <v>2775</v>
      </c>
      <c r="R77" s="359">
        <f t="shared" si="25"/>
        <v>0.13185208582283106</v>
      </c>
      <c r="S77" s="636">
        <v>0</v>
      </c>
      <c r="T77" s="427">
        <f t="shared" si="26"/>
        <v>0.13185208582283106</v>
      </c>
      <c r="U77" s="1054"/>
    </row>
    <row r="78" spans="1:21" s="294" customFormat="1" ht="12.75" hidden="1" customHeight="1">
      <c r="A78" s="272" t="s">
        <v>66</v>
      </c>
      <c r="B78" s="311" t="s">
        <v>252</v>
      </c>
      <c r="C78" s="311">
        <v>1</v>
      </c>
      <c r="D78" s="311">
        <v>0</v>
      </c>
      <c r="E78" s="311">
        <v>1</v>
      </c>
      <c r="F78" s="311">
        <v>3</v>
      </c>
      <c r="G78" s="311" t="b">
        <v>1</v>
      </c>
      <c r="H78" s="426" t="s">
        <v>236</v>
      </c>
      <c r="I78" s="314" t="s">
        <v>2773</v>
      </c>
      <c r="J78" s="441" t="s">
        <v>309</v>
      </c>
      <c r="K78" s="314" t="s">
        <v>944</v>
      </c>
      <c r="L78" s="24">
        <v>2025</v>
      </c>
      <c r="M78" s="322">
        <f>GETPIVOTDATA("Units",'AMMO Units'!$A$3,"Year",$L78,"Measure Index",$A78,"Savings Category","Regional_Market_2021PP")</f>
        <v>12308</v>
      </c>
      <c r="N78" s="2851"/>
      <c r="O78" s="445">
        <f>IF(Selection!$A$2="regional",1,IF($M78=0,0,
(   INDEX('Funder Share Table'!$C:$C,MATCH(L78,'Funder Share Table'!$A:$A,0)) * INDEX('AMMO Measure Funding Cycles'!$D:$D, MATCH($A78&amp;L78,'AMMO Measure Funding Cycles'!$J:$J,0))
 + INDEX('Funder Share Table'!$D:$D,MATCH(L78,'Funder Share Table'!$A:$A,0)) * INDEX('AMMO Measure Funding Cycles'!$E:$E, MATCH($A78&amp;L78,'AMMO Measure Funding Cycles'!$J:$J,0))
 + INDEX('Funder Share Table'!$E:$E,MATCH(L78,'Funder Share Table'!$A:$A,0)) * INDEX('AMMO Measure Funding Cycles'!$F:$F, MATCH($A78&amp;L78,'AMMO Measure Funding Cycles'!$J:$J,0))
 + INDEX('Funder Share Table'!$F:$F,MATCH(L78,'Funder Share Table'!$A:$A,0)) * INDEX('AMMO Measure Funding Cycles'!$G:$G, MATCH($A78&amp;L78,'AMMO Measure Funding Cycles'!$J:$J,0))
 + INDEX('Funder Share Table'!$G:$G,MATCH(L78,'Funder Share Table'!$A:$A,0)) * INDEX('AMMO Measure Funding Cycles'!$H:$H, MATCH($A78&amp;L78,'AMMO Measure Funding Cycles'!$J:$J,0)))
))</f>
        <v>0.13985600000000001</v>
      </c>
      <c r="P78" s="1476">
        <f>GETPIVOTDATA("Savings Rate",'AMMO Savings Rates'!$A$3,"Year",$L78,"Measure Index",$A78,"Savings Rate Type","Savings_Rate_2021PP")</f>
        <v>943</v>
      </c>
      <c r="Q78" s="1897" t="s">
        <v>2776</v>
      </c>
      <c r="R78" s="359">
        <f t="shared" si="25"/>
        <v>0.1853003232949772</v>
      </c>
      <c r="S78" s="636">
        <v>0</v>
      </c>
      <c r="T78" s="427">
        <f t="shared" si="26"/>
        <v>0.1853003232949772</v>
      </c>
      <c r="U78" s="1054"/>
    </row>
    <row r="79" spans="1:21" s="294" customFormat="1" ht="12.75" hidden="1" customHeight="1">
      <c r="A79" s="272" t="s">
        <v>458</v>
      </c>
      <c r="B79" s="311" t="s">
        <v>252</v>
      </c>
      <c r="C79" s="311">
        <v>1</v>
      </c>
      <c r="D79" s="311">
        <v>0</v>
      </c>
      <c r="E79" s="311">
        <v>1</v>
      </c>
      <c r="F79" s="311">
        <v>3</v>
      </c>
      <c r="G79" s="311" t="b">
        <v>1</v>
      </c>
      <c r="H79" s="426" t="s">
        <v>236</v>
      </c>
      <c r="I79" s="314" t="s">
        <v>2773</v>
      </c>
      <c r="J79" s="441" t="s">
        <v>327</v>
      </c>
      <c r="K79" s="314" t="s">
        <v>885</v>
      </c>
      <c r="L79" s="24">
        <v>2025</v>
      </c>
      <c r="M79" s="322">
        <f>GETPIVOTDATA("Units",'AMMO Units'!$A$3,"Year",$L79,"Measure Index",$A79,"Savings Category","Regional_Market_2021PP")</f>
        <v>29250</v>
      </c>
      <c r="N79" s="2851"/>
      <c r="O79" s="445">
        <f>IF(Selection!$A$2="regional",1,IF($M79=0,0,
(   INDEX('Funder Share Table'!$C:$C,MATCH(L79,'Funder Share Table'!$A:$A,0)) * INDEX('AMMO Measure Funding Cycles'!$D:$D, MATCH($A79&amp;L79,'AMMO Measure Funding Cycles'!$J:$J,0))
 + INDEX('Funder Share Table'!$D:$D,MATCH(L79,'Funder Share Table'!$A:$A,0)) * INDEX('AMMO Measure Funding Cycles'!$E:$E, MATCH($A79&amp;L79,'AMMO Measure Funding Cycles'!$J:$J,0))
 + INDEX('Funder Share Table'!$E:$E,MATCH(L79,'Funder Share Table'!$A:$A,0)) * INDEX('AMMO Measure Funding Cycles'!$F:$F, MATCH($A79&amp;L79,'AMMO Measure Funding Cycles'!$J:$J,0))
 + INDEX('Funder Share Table'!$F:$F,MATCH(L79,'Funder Share Table'!$A:$A,0)) * INDEX('AMMO Measure Funding Cycles'!$G:$G, MATCH($A79&amp;L79,'AMMO Measure Funding Cycles'!$J:$J,0))
 + INDEX('Funder Share Table'!$G:$G,MATCH(L79,'Funder Share Table'!$A:$A,0)) * INDEX('AMMO Measure Funding Cycles'!$H:$H, MATCH($A79&amp;L79,'AMMO Measure Funding Cycles'!$J:$J,0)))
))</f>
        <v>0.13985600000000001</v>
      </c>
      <c r="P79" s="1476">
        <f>GETPIVOTDATA("Savings Rate",'AMMO Savings Rates'!$A$3,"Year",$L79,"Measure Index",$A79,"Savings Rate Type","Savings_Rate_2021PP")</f>
        <v>126</v>
      </c>
      <c r="Q79" s="1567" t="s">
        <v>1408</v>
      </c>
      <c r="R79" s="359">
        <f t="shared" si="25"/>
        <v>5.8840101369863014E-2</v>
      </c>
      <c r="S79" s="636">
        <v>0</v>
      </c>
      <c r="T79" s="427">
        <f t="shared" si="26"/>
        <v>5.8840101369863014E-2</v>
      </c>
      <c r="U79" s="1054"/>
    </row>
    <row r="80" spans="1:21" s="294" customFormat="1" ht="12.75" hidden="1" customHeight="1">
      <c r="A80" s="272" t="s">
        <v>74</v>
      </c>
      <c r="B80" s="311" t="s">
        <v>251</v>
      </c>
      <c r="C80" s="311">
        <v>1</v>
      </c>
      <c r="D80" s="311">
        <v>0</v>
      </c>
      <c r="E80" s="311">
        <v>1</v>
      </c>
      <c r="F80" s="311">
        <v>3</v>
      </c>
      <c r="G80" s="311" t="b">
        <v>1</v>
      </c>
      <c r="H80" s="426" t="s">
        <v>236</v>
      </c>
      <c r="I80" s="314" t="s">
        <v>149</v>
      </c>
      <c r="J80" s="441" t="s">
        <v>298</v>
      </c>
      <c r="K80" s="314" t="s">
        <v>357</v>
      </c>
      <c r="L80" s="24">
        <v>2025</v>
      </c>
      <c r="M80" s="322">
        <f>GETPIVOTDATA("Units",'AMMO Units'!$A$3,"Year",$L80,"Measure Index",$A80,"Savings Category","Regional_Market_2021PP")</f>
        <v>3377.8130407399999</v>
      </c>
      <c r="N80" s="2851"/>
      <c r="O80" s="445">
        <f>IF(Selection!$A$2="regional",1,IF($M80=0,0,
(   INDEX('Funder Share Table'!$C:$C,MATCH(L80,'Funder Share Table'!$A:$A,0)) * INDEX('AMMO Measure Funding Cycles'!$D:$D, MATCH($A80&amp;L80,'AMMO Measure Funding Cycles'!$J:$J,0))
 + INDEX('Funder Share Table'!$D:$D,MATCH(L80,'Funder Share Table'!$A:$A,0)) * INDEX('AMMO Measure Funding Cycles'!$E:$E, MATCH($A80&amp;L80,'AMMO Measure Funding Cycles'!$J:$J,0))
 + INDEX('Funder Share Table'!$E:$E,MATCH(L80,'Funder Share Table'!$A:$A,0)) * INDEX('AMMO Measure Funding Cycles'!$F:$F, MATCH($A80&amp;L80,'AMMO Measure Funding Cycles'!$J:$J,0))
 + INDEX('Funder Share Table'!$F:$F,MATCH(L80,'Funder Share Table'!$A:$A,0)) * INDEX('AMMO Measure Funding Cycles'!$G:$G, MATCH($A80&amp;L80,'AMMO Measure Funding Cycles'!$J:$J,0))
 + INDEX('Funder Share Table'!$G:$G,MATCH(L80,'Funder Share Table'!$A:$A,0)) * INDEX('AMMO Measure Funding Cycles'!$H:$H, MATCH($A80&amp;L80,'AMMO Measure Funding Cycles'!$J:$J,0)))
))</f>
        <v>0.13985600000000001</v>
      </c>
      <c r="P80" s="1476">
        <v>1059.3107956275326</v>
      </c>
      <c r="Q80" s="1897" t="s">
        <v>3061</v>
      </c>
      <c r="R80" s="359">
        <f t="shared" si="25"/>
        <v>5.7126287740113711E-2</v>
      </c>
      <c r="S80" s="636">
        <v>0</v>
      </c>
      <c r="T80" s="427">
        <f t="shared" si="26"/>
        <v>5.7126287740113711E-2</v>
      </c>
      <c r="U80" s="1054"/>
    </row>
    <row r="81" spans="1:22" s="294" customFormat="1" ht="12.75" hidden="1" customHeight="1">
      <c r="A81" s="272" t="s">
        <v>75</v>
      </c>
      <c r="B81" s="311" t="s">
        <v>251</v>
      </c>
      <c r="C81" s="311">
        <v>1</v>
      </c>
      <c r="D81" s="311">
        <v>0</v>
      </c>
      <c r="E81" s="311">
        <v>1</v>
      </c>
      <c r="F81" s="311">
        <v>3</v>
      </c>
      <c r="G81" s="311" t="b">
        <v>1</v>
      </c>
      <c r="H81" s="426" t="s">
        <v>236</v>
      </c>
      <c r="I81" s="314" t="s">
        <v>149</v>
      </c>
      <c r="J81" s="441" t="s">
        <v>306</v>
      </c>
      <c r="K81" s="314" t="s">
        <v>357</v>
      </c>
      <c r="L81" s="24">
        <v>2025</v>
      </c>
      <c r="M81" s="322">
        <f>GETPIVOTDATA("Units",'AMMO Units'!$A$3,"Year",$L81,"Measure Index",$A81,"Savings Category","Regional_Market_2021PP")</f>
        <v>617.51034843000002</v>
      </c>
      <c r="N81" s="2851"/>
      <c r="O81" s="445">
        <f>IF(Selection!$A$2="regional",1,IF($M81=0,0,
(   INDEX('Funder Share Table'!$C:$C,MATCH(L81,'Funder Share Table'!$A:$A,0)) * INDEX('AMMO Measure Funding Cycles'!$D:$D, MATCH($A81&amp;L81,'AMMO Measure Funding Cycles'!$J:$J,0))
 + INDEX('Funder Share Table'!$D:$D,MATCH(L81,'Funder Share Table'!$A:$A,0)) * INDEX('AMMO Measure Funding Cycles'!$E:$E, MATCH($A81&amp;L81,'AMMO Measure Funding Cycles'!$J:$J,0))
 + INDEX('Funder Share Table'!$E:$E,MATCH(L81,'Funder Share Table'!$A:$A,0)) * INDEX('AMMO Measure Funding Cycles'!$F:$F, MATCH($A81&amp;L81,'AMMO Measure Funding Cycles'!$J:$J,0))
 + INDEX('Funder Share Table'!$F:$F,MATCH(L81,'Funder Share Table'!$A:$A,0)) * INDEX('AMMO Measure Funding Cycles'!$G:$G, MATCH($A81&amp;L81,'AMMO Measure Funding Cycles'!$J:$J,0))
 + INDEX('Funder Share Table'!$G:$G,MATCH(L81,'Funder Share Table'!$A:$A,0)) * INDEX('AMMO Measure Funding Cycles'!$H:$H, MATCH($A81&amp;L81,'AMMO Measure Funding Cycles'!$J:$J,0)))
))</f>
        <v>0.13985600000000001</v>
      </c>
      <c r="P81" s="1476">
        <v>504.93804148544405</v>
      </c>
      <c r="Q81" s="1897" t="s">
        <v>3061</v>
      </c>
      <c r="R81" s="359">
        <f t="shared" si="25"/>
        <v>4.9780508433286521E-3</v>
      </c>
      <c r="S81" s="636">
        <v>0</v>
      </c>
      <c r="T81" s="427">
        <f t="shared" si="26"/>
        <v>4.9780508433286521E-3</v>
      </c>
      <c r="U81" s="1054"/>
    </row>
    <row r="82" spans="1:22" s="294" customFormat="1" ht="12.75" hidden="1" customHeight="1">
      <c r="A82" s="272" t="s">
        <v>1519</v>
      </c>
      <c r="B82" s="311" t="s">
        <v>251</v>
      </c>
      <c r="C82" s="311">
        <v>1</v>
      </c>
      <c r="D82" s="311">
        <v>0</v>
      </c>
      <c r="E82" s="311">
        <v>1</v>
      </c>
      <c r="F82" s="311">
        <v>3</v>
      </c>
      <c r="G82" s="311" t="b">
        <v>1</v>
      </c>
      <c r="H82" s="426" t="s">
        <v>236</v>
      </c>
      <c r="I82" s="314" t="s">
        <v>149</v>
      </c>
      <c r="J82" s="441" t="s">
        <v>298</v>
      </c>
      <c r="K82" s="314" t="s">
        <v>367</v>
      </c>
      <c r="L82" s="24">
        <v>2025</v>
      </c>
      <c r="M82" s="322">
        <f>GETPIVOTDATA("Units",'AMMO Units'!$A$3,"Year",$L82,"Measure Index",$A82,"Savings Category","Regional_Market_2021PP")</f>
        <v>3377.8130407399999</v>
      </c>
      <c r="N82" s="2851"/>
      <c r="O82" s="445">
        <f>IF(Selection!$A$2="regional",1,IF($M82=0,0,
(   INDEX('Funder Share Table'!$C:$C,MATCH(L82,'Funder Share Table'!$A:$A,0)) * INDEX('AMMO Measure Funding Cycles'!$D:$D, MATCH($A82&amp;L82,'AMMO Measure Funding Cycles'!$J:$J,0))
 + INDEX('Funder Share Table'!$D:$D,MATCH(L82,'Funder Share Table'!$A:$A,0)) * INDEX('AMMO Measure Funding Cycles'!$E:$E, MATCH($A82&amp;L82,'AMMO Measure Funding Cycles'!$J:$J,0))
 + INDEX('Funder Share Table'!$E:$E,MATCH(L82,'Funder Share Table'!$A:$A,0)) * INDEX('AMMO Measure Funding Cycles'!$F:$F, MATCH($A82&amp;L82,'AMMO Measure Funding Cycles'!$J:$J,0))
 + INDEX('Funder Share Table'!$F:$F,MATCH(L82,'Funder Share Table'!$A:$A,0)) * INDEX('AMMO Measure Funding Cycles'!$G:$G, MATCH($A82&amp;L82,'AMMO Measure Funding Cycles'!$J:$J,0))
 + INDEX('Funder Share Table'!$G:$G,MATCH(L82,'Funder Share Table'!$A:$A,0)) * INDEX('AMMO Measure Funding Cycles'!$H:$H, MATCH($A82&amp;L82,'AMMO Measure Funding Cycles'!$J:$J,0)))
))</f>
        <v>0.13985600000000001</v>
      </c>
      <c r="P82" s="1476">
        <f>GETPIVOTDATA("Savings Rate",'AMMO Savings Rates'!$A$3,"Year",$L82,"Measure Index",$A82,"Savings Rate Type","Savings_Rate_2021PP")</f>
        <v>443.7</v>
      </c>
      <c r="Q82" s="1897" t="s">
        <v>332</v>
      </c>
      <c r="R82" s="359">
        <f t="shared" si="25"/>
        <v>2.3927759421419854E-2</v>
      </c>
      <c r="S82" s="636">
        <v>0</v>
      </c>
      <c r="T82" s="427">
        <f t="shared" si="26"/>
        <v>2.3927759421419854E-2</v>
      </c>
      <c r="U82" s="1054"/>
    </row>
    <row r="83" spans="1:22" s="294" customFormat="1" ht="12.75" hidden="1" customHeight="1">
      <c r="A83" s="272" t="s">
        <v>1520</v>
      </c>
      <c r="B83" s="311" t="s">
        <v>251</v>
      </c>
      <c r="C83" s="311">
        <v>1</v>
      </c>
      <c r="D83" s="311">
        <v>0</v>
      </c>
      <c r="E83" s="311">
        <v>1</v>
      </c>
      <c r="F83" s="311">
        <v>3</v>
      </c>
      <c r="G83" s="311" t="b">
        <v>1</v>
      </c>
      <c r="H83" s="426" t="s">
        <v>236</v>
      </c>
      <c r="I83" s="314" t="s">
        <v>149</v>
      </c>
      <c r="J83" s="441" t="s">
        <v>306</v>
      </c>
      <c r="K83" s="314" t="s">
        <v>367</v>
      </c>
      <c r="L83" s="24">
        <v>2025</v>
      </c>
      <c r="M83" s="322">
        <f>GETPIVOTDATA("Units",'AMMO Units'!$A$3,"Year",$L83,"Measure Index",$A83,"Savings Category","Regional_Market_2021PP")</f>
        <v>617.51034843000002</v>
      </c>
      <c r="N83" s="2851"/>
      <c r="O83" s="445">
        <f>IF(Selection!$A$2="regional",1,IF($M83=0,0,
(   INDEX('Funder Share Table'!$C:$C,MATCH(L83,'Funder Share Table'!$A:$A,0)) * INDEX('AMMO Measure Funding Cycles'!$D:$D, MATCH($A83&amp;L83,'AMMO Measure Funding Cycles'!$J:$J,0))
 + INDEX('Funder Share Table'!$D:$D,MATCH(L83,'Funder Share Table'!$A:$A,0)) * INDEX('AMMO Measure Funding Cycles'!$E:$E, MATCH($A83&amp;L83,'AMMO Measure Funding Cycles'!$J:$J,0))
 + INDEX('Funder Share Table'!$E:$E,MATCH(L83,'Funder Share Table'!$A:$A,0)) * INDEX('AMMO Measure Funding Cycles'!$F:$F, MATCH($A83&amp;L83,'AMMO Measure Funding Cycles'!$J:$J,0))
 + INDEX('Funder Share Table'!$F:$F,MATCH(L83,'Funder Share Table'!$A:$A,0)) * INDEX('AMMO Measure Funding Cycles'!$G:$G, MATCH($A83&amp;L83,'AMMO Measure Funding Cycles'!$J:$J,0))
 + INDEX('Funder Share Table'!$G:$G,MATCH(L83,'Funder Share Table'!$A:$A,0)) * INDEX('AMMO Measure Funding Cycles'!$H:$H, MATCH($A83&amp;L83,'AMMO Measure Funding Cycles'!$J:$J,0)))
))</f>
        <v>0.13985600000000001</v>
      </c>
      <c r="P83" s="1476">
        <f>GETPIVOTDATA("Savings Rate",'AMMO Savings Rates'!$A$3,"Year",$L83,"Measure Index",$A83,"Savings Rate Type","Savings_Rate_2021PP")</f>
        <v>15.83712487</v>
      </c>
      <c r="Q83" s="1897" t="s">
        <v>332</v>
      </c>
      <c r="R83" s="359">
        <f t="shared" si="25"/>
        <v>1.5613403296585915E-4</v>
      </c>
      <c r="S83" s="636">
        <v>0</v>
      </c>
      <c r="T83" s="427">
        <f t="shared" si="26"/>
        <v>1.5613403296585915E-4</v>
      </c>
      <c r="U83" s="1054"/>
    </row>
    <row r="84" spans="1:22" s="294" customFormat="1" ht="12.75" hidden="1" customHeight="1">
      <c r="A84" s="272" t="s">
        <v>1312</v>
      </c>
      <c r="B84" s="311" t="s">
        <v>251</v>
      </c>
      <c r="C84" s="311">
        <v>1</v>
      </c>
      <c r="D84" s="311">
        <v>0</v>
      </c>
      <c r="E84" s="311">
        <v>1</v>
      </c>
      <c r="F84" s="311">
        <v>3</v>
      </c>
      <c r="G84" s="311" t="b">
        <v>1</v>
      </c>
      <c r="H84" s="426" t="s">
        <v>236</v>
      </c>
      <c r="I84" s="314" t="s">
        <v>149</v>
      </c>
      <c r="J84" s="441" t="s">
        <v>312</v>
      </c>
      <c r="K84" s="314" t="s">
        <v>1564</v>
      </c>
      <c r="L84" s="24">
        <v>2025</v>
      </c>
      <c r="M84" s="322">
        <f>GETPIVOTDATA("Units",'AMMO Units'!$A$3,"Year",$L84,"Measure Index",$A84,"Savings Category","Regional_Market_2021PP")</f>
        <v>3003.9197237799999</v>
      </c>
      <c r="N84" s="2851"/>
      <c r="O84" s="445">
        <f>IF(Selection!$A$2="regional",1,IF($M84=0,0,
(   INDEX('Funder Share Table'!$C:$C,MATCH(L84,'Funder Share Table'!$A:$A,0)) * INDEX('AMMO Measure Funding Cycles'!$D:$D, MATCH($A84&amp;L84,'AMMO Measure Funding Cycles'!$J:$J,0))
 + INDEX('Funder Share Table'!$D:$D,MATCH(L84,'Funder Share Table'!$A:$A,0)) * INDEX('AMMO Measure Funding Cycles'!$E:$E, MATCH($A84&amp;L84,'AMMO Measure Funding Cycles'!$J:$J,0))
 + INDEX('Funder Share Table'!$E:$E,MATCH(L84,'Funder Share Table'!$A:$A,0)) * INDEX('AMMO Measure Funding Cycles'!$F:$F, MATCH($A84&amp;L84,'AMMO Measure Funding Cycles'!$J:$J,0))
 + INDEX('Funder Share Table'!$F:$F,MATCH(L84,'Funder Share Table'!$A:$A,0)) * INDEX('AMMO Measure Funding Cycles'!$G:$G, MATCH($A84&amp;L84,'AMMO Measure Funding Cycles'!$J:$J,0))
 + INDEX('Funder Share Table'!$G:$G,MATCH(L84,'Funder Share Table'!$A:$A,0)) * INDEX('AMMO Measure Funding Cycles'!$H:$H, MATCH($A84&amp;L84,'AMMO Measure Funding Cycles'!$J:$J,0)))
))</f>
        <v>0.13985600000000001</v>
      </c>
      <c r="P84" s="1476">
        <f>GETPIVOTDATA("Savings Rate",'AMMO Savings Rates'!$A$3,"Year",$L84,"Measure Index",$A84,"Savings Rate Type","Savings_Rate_2021PP")</f>
        <v>0</v>
      </c>
      <c r="Q84" s="1897" t="s">
        <v>332</v>
      </c>
      <c r="R84" s="359">
        <f t="shared" si="25"/>
        <v>0</v>
      </c>
      <c r="S84" s="636">
        <v>0</v>
      </c>
      <c r="T84" s="427">
        <f t="shared" si="26"/>
        <v>0</v>
      </c>
      <c r="U84" s="1054"/>
    </row>
    <row r="85" spans="1:22" s="294" customFormat="1" ht="12.75" hidden="1" customHeight="1">
      <c r="A85" s="272" t="s">
        <v>1524</v>
      </c>
      <c r="B85" s="311" t="s">
        <v>251</v>
      </c>
      <c r="C85" s="311">
        <v>1</v>
      </c>
      <c r="D85" s="311">
        <v>0</v>
      </c>
      <c r="E85" s="311">
        <v>1</v>
      </c>
      <c r="F85" s="311">
        <v>3</v>
      </c>
      <c r="G85" s="311" t="b">
        <v>1</v>
      </c>
      <c r="H85" s="426" t="s">
        <v>236</v>
      </c>
      <c r="I85" s="314" t="s">
        <v>149</v>
      </c>
      <c r="J85" s="441" t="s">
        <v>312</v>
      </c>
      <c r="K85" s="314" t="s">
        <v>944</v>
      </c>
      <c r="L85" s="24">
        <v>2025</v>
      </c>
      <c r="M85" s="322">
        <f>GETPIVOTDATA("Units",'AMMO Units'!$A$3,"Year",$L85,"Measure Index",$A85,"Savings Category","Regional_Market_2021PP")</f>
        <v>3003.9197237799999</v>
      </c>
      <c r="N85" s="2851"/>
      <c r="O85" s="445">
        <f>IF(Selection!$A$2="regional",1,IF($M85=0,0,
(   INDEX('Funder Share Table'!$C:$C,MATCH(L85,'Funder Share Table'!$A:$A,0)) * INDEX('AMMO Measure Funding Cycles'!$D:$D, MATCH($A85&amp;L85,'AMMO Measure Funding Cycles'!$J:$J,0))
 + INDEX('Funder Share Table'!$D:$D,MATCH(L85,'Funder Share Table'!$A:$A,0)) * INDEX('AMMO Measure Funding Cycles'!$E:$E, MATCH($A85&amp;L85,'AMMO Measure Funding Cycles'!$J:$J,0))
 + INDEX('Funder Share Table'!$E:$E,MATCH(L85,'Funder Share Table'!$A:$A,0)) * INDEX('AMMO Measure Funding Cycles'!$F:$F, MATCH($A85&amp;L85,'AMMO Measure Funding Cycles'!$J:$J,0))
 + INDEX('Funder Share Table'!$F:$F,MATCH(L85,'Funder Share Table'!$A:$A,0)) * INDEX('AMMO Measure Funding Cycles'!$G:$G, MATCH($A85&amp;L85,'AMMO Measure Funding Cycles'!$J:$J,0))
 + INDEX('Funder Share Table'!$G:$G,MATCH(L85,'Funder Share Table'!$A:$A,0)) * INDEX('AMMO Measure Funding Cycles'!$H:$H, MATCH($A85&amp;L85,'AMMO Measure Funding Cycles'!$J:$J,0)))
))</f>
        <v>0.13985600000000001</v>
      </c>
      <c r="P85" s="1476">
        <f>GETPIVOTDATA("Savings Rate",'AMMO Savings Rates'!$A$3,"Year",$L85,"Measure Index",$A85,"Savings Rate Type","Savings_Rate_2021PP")</f>
        <v>195</v>
      </c>
      <c r="Q85" s="1897" t="s">
        <v>332</v>
      </c>
      <c r="R85" s="359">
        <f t="shared" si="25"/>
        <v>9.3519016430765149E-3</v>
      </c>
      <c r="S85" s="636">
        <v>0</v>
      </c>
      <c r="T85" s="427">
        <f t="shared" si="26"/>
        <v>9.3519016430765149E-3</v>
      </c>
      <c r="U85" s="1054"/>
    </row>
    <row r="86" spans="1:22" s="294" customFormat="1" ht="12.75" hidden="1" customHeight="1">
      <c r="A86" s="272" t="s">
        <v>1525</v>
      </c>
      <c r="B86" s="311" t="s">
        <v>251</v>
      </c>
      <c r="C86" s="311">
        <v>1</v>
      </c>
      <c r="D86" s="311">
        <v>0</v>
      </c>
      <c r="E86" s="311">
        <v>1</v>
      </c>
      <c r="F86" s="311">
        <v>3</v>
      </c>
      <c r="G86" s="311" t="b">
        <v>1</v>
      </c>
      <c r="H86" s="426" t="s">
        <v>236</v>
      </c>
      <c r="I86" s="314" t="s">
        <v>149</v>
      </c>
      <c r="J86" s="441" t="s">
        <v>330</v>
      </c>
      <c r="K86" s="314" t="s">
        <v>885</v>
      </c>
      <c r="L86" s="24">
        <v>2025</v>
      </c>
      <c r="M86" s="322">
        <f>GETPIVOTDATA("Units",'AMMO Units'!$A$3,"Year",$L86,"Measure Index",$A86,"Savings Category","Regional_Market_2021PP")</f>
        <v>4837.4930318999996</v>
      </c>
      <c r="N86" s="2851"/>
      <c r="O86" s="445">
        <f>IF(Selection!$A$2="regional",1,IF($M86=0,0,
(   INDEX('Funder Share Table'!$C:$C,MATCH(L86,'Funder Share Table'!$A:$A,0)) * INDEX('AMMO Measure Funding Cycles'!$D:$D, MATCH($A86&amp;L86,'AMMO Measure Funding Cycles'!$J:$J,0))
 + INDEX('Funder Share Table'!$D:$D,MATCH(L86,'Funder Share Table'!$A:$A,0)) * INDEX('AMMO Measure Funding Cycles'!$E:$E, MATCH($A86&amp;L86,'AMMO Measure Funding Cycles'!$J:$J,0))
 + INDEX('Funder Share Table'!$E:$E,MATCH(L86,'Funder Share Table'!$A:$A,0)) * INDEX('AMMO Measure Funding Cycles'!$F:$F, MATCH($A86&amp;L86,'AMMO Measure Funding Cycles'!$J:$J,0))
 + INDEX('Funder Share Table'!$F:$F,MATCH(L86,'Funder Share Table'!$A:$A,0)) * INDEX('AMMO Measure Funding Cycles'!$G:$G, MATCH($A86&amp;L86,'AMMO Measure Funding Cycles'!$J:$J,0))
 + INDEX('Funder Share Table'!$G:$G,MATCH(L86,'Funder Share Table'!$A:$A,0)) * INDEX('AMMO Measure Funding Cycles'!$H:$H, MATCH($A86&amp;L86,'AMMO Measure Funding Cycles'!$J:$J,0)))
))</f>
        <v>0.13985600000000001</v>
      </c>
      <c r="P86" s="1476">
        <f>GETPIVOTDATA("Savings Rate",'AMMO Savings Rates'!$A$3,"Year",$L86,"Measure Index",$A86,"Savings Rate Type","Savings_Rate_2021PP")</f>
        <v>542</v>
      </c>
      <c r="Q86" s="1567" t="s">
        <v>1408</v>
      </c>
      <c r="R86" s="359">
        <f t="shared" si="25"/>
        <v>4.1859750525618515E-2</v>
      </c>
      <c r="S86" s="636">
        <v>0</v>
      </c>
      <c r="T86" s="427">
        <f t="shared" si="26"/>
        <v>4.1859750525618515E-2</v>
      </c>
      <c r="U86" s="1054"/>
    </row>
    <row r="87" spans="1:22" ht="9.75" customHeight="1">
      <c r="V87" s="294"/>
    </row>
    <row r="88" spans="1:22" ht="12.75" customHeight="1">
      <c r="H88" s="233" t="s">
        <v>840</v>
      </c>
      <c r="I88" s="639"/>
      <c r="J88" s="639"/>
      <c r="K88" s="639"/>
      <c r="L88" s="639"/>
      <c r="M88" s="756"/>
      <c r="N88" s="1045"/>
    </row>
    <row r="89" spans="1:22" ht="12.75" customHeight="1">
      <c r="H89" s="638" t="s">
        <v>994</v>
      </c>
      <c r="N89" s="1044"/>
      <c r="O89" s="1044"/>
      <c r="P89" s="275"/>
    </row>
    <row r="90" spans="1:22" ht="16.5" customHeight="1">
      <c r="H90" s="2807" t="s">
        <v>3276</v>
      </c>
      <c r="I90" s="2842"/>
      <c r="J90" s="2842"/>
      <c r="K90" s="2842"/>
      <c r="L90" s="2842"/>
      <c r="M90" s="2843"/>
      <c r="N90" s="1044"/>
      <c r="O90" s="1044"/>
      <c r="P90" s="275"/>
    </row>
    <row r="91" spans="1:22" ht="16.5" customHeight="1">
      <c r="H91" s="2844"/>
      <c r="I91" s="2845"/>
      <c r="J91" s="2845"/>
      <c r="K91" s="2845"/>
      <c r="L91" s="2845"/>
      <c r="M91" s="2846"/>
    </row>
    <row r="92" spans="1:22" ht="16.5" customHeight="1">
      <c r="H92" s="2844"/>
      <c r="I92" s="2845"/>
      <c r="J92" s="2845"/>
      <c r="K92" s="2845"/>
      <c r="L92" s="2845"/>
      <c r="M92" s="2846"/>
      <c r="O92" s="275"/>
    </row>
    <row r="93" spans="1:22" ht="16.5" customHeight="1">
      <c r="H93" s="2844"/>
      <c r="I93" s="2845"/>
      <c r="J93" s="2845"/>
      <c r="K93" s="2845"/>
      <c r="L93" s="2845"/>
      <c r="M93" s="2846"/>
    </row>
    <row r="94" spans="1:22" ht="16.5" customHeight="1">
      <c r="H94" s="2844"/>
      <c r="I94" s="2845"/>
      <c r="J94" s="2845"/>
      <c r="K94" s="2845"/>
      <c r="L94" s="2845"/>
      <c r="M94" s="2846"/>
    </row>
    <row r="95" spans="1:22" ht="16.5" customHeight="1">
      <c r="H95" s="2844"/>
      <c r="I95" s="2845"/>
      <c r="J95" s="2845"/>
      <c r="K95" s="2845"/>
      <c r="L95" s="2845"/>
      <c r="M95" s="2846"/>
    </row>
    <row r="96" spans="1:22" ht="16.5" customHeight="1">
      <c r="H96" s="2847"/>
      <c r="I96" s="2848"/>
      <c r="J96" s="2848"/>
      <c r="K96" s="2848"/>
      <c r="L96" s="2848"/>
      <c r="M96" s="2849"/>
    </row>
    <row r="97" spans="1:20" customFormat="1" ht="16.5" customHeight="1">
      <c r="A97" s="272"/>
      <c r="B97" s="272"/>
      <c r="C97" s="273"/>
      <c r="D97" s="273"/>
      <c r="E97" s="273"/>
      <c r="F97" s="273"/>
      <c r="G97" s="272"/>
    </row>
    <row r="98" spans="1:20" ht="12.75" customHeight="1">
      <c r="H98" s="638" t="s">
        <v>997</v>
      </c>
      <c r="N98" s="1044"/>
      <c r="O98" s="1044"/>
      <c r="P98" s="275"/>
      <c r="T98" s="1056"/>
    </row>
    <row r="99" spans="1:20" ht="18" customHeight="1">
      <c r="H99" s="2855" t="s">
        <v>3277</v>
      </c>
      <c r="I99" s="2619"/>
      <c r="J99" s="2619"/>
      <c r="K99" s="2619"/>
      <c r="L99" s="2619"/>
      <c r="M99" s="2856"/>
      <c r="N99" s="1044"/>
      <c r="O99" s="1044"/>
      <c r="P99" s="275"/>
    </row>
    <row r="100" spans="1:20" ht="18" customHeight="1">
      <c r="H100" s="2857"/>
      <c r="I100" s="2858"/>
      <c r="J100" s="2858"/>
      <c r="K100" s="2858"/>
      <c r="L100" s="2858"/>
      <c r="M100" s="2859"/>
      <c r="N100" s="1044"/>
      <c r="O100" s="1044"/>
      <c r="P100" s="275"/>
    </row>
    <row r="101" spans="1:20" ht="18" customHeight="1">
      <c r="H101" s="2841"/>
      <c r="I101" s="2842"/>
      <c r="J101" s="2842"/>
      <c r="K101" s="2842"/>
      <c r="L101" s="2842"/>
      <c r="M101" s="2843"/>
      <c r="N101" s="1044"/>
      <c r="O101" s="1044"/>
      <c r="P101" s="275"/>
    </row>
    <row r="102" spans="1:20" ht="18" customHeight="1">
      <c r="H102" s="2844"/>
      <c r="I102" s="2845"/>
      <c r="J102" s="2845"/>
      <c r="K102" s="2845"/>
      <c r="L102" s="2845"/>
      <c r="M102" s="2846"/>
      <c r="N102" s="1044"/>
      <c r="O102" s="1044"/>
      <c r="P102" s="275"/>
    </row>
    <row r="103" spans="1:20" ht="18" customHeight="1">
      <c r="H103" s="2844"/>
      <c r="I103" s="2845"/>
      <c r="J103" s="2845"/>
      <c r="K103" s="2845"/>
      <c r="L103" s="2845"/>
      <c r="M103" s="2846"/>
      <c r="N103" s="1044"/>
      <c r="O103" s="1044"/>
      <c r="P103" s="275"/>
    </row>
    <row r="104" spans="1:20" ht="18" customHeight="1">
      <c r="H104" s="2844"/>
      <c r="I104" s="2845"/>
      <c r="J104" s="2845"/>
      <c r="K104" s="2845"/>
      <c r="L104" s="2845"/>
      <c r="M104" s="2846"/>
      <c r="N104" s="1044"/>
      <c r="O104" s="1044"/>
      <c r="P104" s="275"/>
    </row>
    <row r="105" spans="1:20" ht="18" customHeight="1">
      <c r="H105" s="2847"/>
      <c r="I105" s="2848"/>
      <c r="J105" s="2848"/>
      <c r="K105" s="2848"/>
      <c r="L105" s="2848"/>
      <c r="M105" s="2849"/>
      <c r="N105" s="1044"/>
      <c r="O105" s="1044"/>
      <c r="P105" s="275"/>
    </row>
    <row r="106" spans="1:20" customFormat="1" ht="12.75" customHeight="1">
      <c r="A106" s="272"/>
      <c r="B106" s="272"/>
      <c r="C106" s="273"/>
      <c r="D106" s="273"/>
      <c r="E106" s="273"/>
      <c r="F106" s="273"/>
      <c r="G106" s="272"/>
    </row>
    <row r="107" spans="1:20" ht="12.75" customHeight="1">
      <c r="H107" s="638" t="s">
        <v>998</v>
      </c>
    </row>
    <row r="108" spans="1:20" ht="12.75" customHeight="1">
      <c r="H108" s="2807" t="s">
        <v>1571</v>
      </c>
      <c r="I108" s="2842"/>
      <c r="J108" s="2842"/>
      <c r="K108" s="2842"/>
      <c r="L108" s="2842"/>
      <c r="M108" s="2843"/>
    </row>
    <row r="109" spans="1:20" ht="12.75" customHeight="1">
      <c r="H109" s="2844"/>
      <c r="I109" s="2845"/>
      <c r="J109" s="2845"/>
      <c r="K109" s="2845"/>
      <c r="L109" s="2845"/>
      <c r="M109" s="2846"/>
    </row>
    <row r="110" spans="1:20" ht="12.75" customHeight="1">
      <c r="H110" s="2844"/>
      <c r="I110" s="2845"/>
      <c r="J110" s="2845"/>
      <c r="K110" s="2845"/>
      <c r="L110" s="2845"/>
      <c r="M110" s="2846"/>
    </row>
    <row r="111" spans="1:20" ht="12.75" customHeight="1">
      <c r="H111" s="2847"/>
      <c r="I111" s="2848"/>
      <c r="J111" s="2848"/>
      <c r="K111" s="2848"/>
      <c r="L111" s="2848"/>
      <c r="M111" s="2849"/>
    </row>
    <row r="113" spans="1:13" ht="12.75" customHeight="1">
      <c r="H113" s="233" t="s">
        <v>1738</v>
      </c>
    </row>
    <row r="114" spans="1:13" ht="12.75" customHeight="1">
      <c r="H114" s="638" t="s">
        <v>996</v>
      </c>
    </row>
    <row r="115" spans="1:13" ht="18.75" customHeight="1">
      <c r="H115" s="2841" t="s">
        <v>3060</v>
      </c>
      <c r="I115" s="2842"/>
      <c r="J115" s="2842"/>
      <c r="K115" s="2842"/>
      <c r="L115" s="2842"/>
      <c r="M115" s="2843"/>
    </row>
    <row r="116" spans="1:13" ht="18.75" customHeight="1">
      <c r="H116" s="2844"/>
      <c r="I116" s="2845"/>
      <c r="J116" s="2845"/>
      <c r="K116" s="2845"/>
      <c r="L116" s="2845"/>
      <c r="M116" s="2846"/>
    </row>
    <row r="117" spans="1:13" ht="18.75" customHeight="1">
      <c r="H117" s="2844"/>
      <c r="I117" s="2845"/>
      <c r="J117" s="2845"/>
      <c r="K117" s="2845"/>
      <c r="L117" s="2845"/>
      <c r="M117" s="2846"/>
    </row>
    <row r="118" spans="1:13" ht="48" customHeight="1">
      <c r="H118" s="2844"/>
      <c r="I118" s="2845"/>
      <c r="J118" s="2845"/>
      <c r="K118" s="2845"/>
      <c r="L118" s="2845"/>
      <c r="M118" s="2846"/>
    </row>
    <row r="119" spans="1:13" ht="6.75" customHeight="1">
      <c r="H119" s="2852"/>
      <c r="I119" s="2853"/>
      <c r="J119" s="2853"/>
      <c r="K119" s="2853"/>
      <c r="L119" s="2853"/>
      <c r="M119" s="2854"/>
    </row>
    <row r="120" spans="1:13" customFormat="1" ht="18.75" customHeight="1">
      <c r="A120" s="272"/>
      <c r="B120" s="272"/>
      <c r="C120" s="273"/>
      <c r="D120" s="273"/>
      <c r="E120" s="273"/>
      <c r="F120" s="273"/>
      <c r="G120" s="272"/>
    </row>
    <row r="121" spans="1:13" ht="12.75" customHeight="1">
      <c r="H121" s="638" t="s">
        <v>998</v>
      </c>
    </row>
    <row r="122" spans="1:13" ht="12.75" customHeight="1">
      <c r="H122" s="2841" t="s">
        <v>3270</v>
      </c>
      <c r="I122" s="2842"/>
      <c r="J122" s="2842"/>
      <c r="K122" s="2842"/>
      <c r="L122" s="2842"/>
      <c r="M122" s="2843"/>
    </row>
    <row r="123" spans="1:13" ht="12.75" customHeight="1">
      <c r="H123" s="2844"/>
      <c r="I123" s="2845"/>
      <c r="J123" s="2845"/>
      <c r="K123" s="2845"/>
      <c r="L123" s="2845"/>
      <c r="M123" s="2846"/>
    </row>
    <row r="124" spans="1:13" ht="12.75" customHeight="1">
      <c r="H124" s="2844"/>
      <c r="I124" s="2845"/>
      <c r="J124" s="2845"/>
      <c r="K124" s="2845"/>
      <c r="L124" s="2845"/>
      <c r="M124" s="2846"/>
    </row>
    <row r="125" spans="1:13" ht="12.75" customHeight="1">
      <c r="H125" s="2844"/>
      <c r="I125" s="2845"/>
      <c r="J125" s="2845"/>
      <c r="K125" s="2845"/>
      <c r="L125" s="2845"/>
      <c r="M125" s="2846"/>
    </row>
    <row r="126" spans="1:13" ht="12.75" customHeight="1">
      <c r="H126" s="2844"/>
      <c r="I126" s="2845"/>
      <c r="J126" s="2845"/>
      <c r="K126" s="2845"/>
      <c r="L126" s="2845"/>
      <c r="M126" s="2846"/>
    </row>
    <row r="127" spans="1:13" ht="12.75" customHeight="1">
      <c r="H127" s="2844"/>
      <c r="I127" s="2845"/>
      <c r="J127" s="2845"/>
      <c r="K127" s="2845"/>
      <c r="L127" s="2845"/>
      <c r="M127" s="2846"/>
    </row>
    <row r="128" spans="1:13" ht="12.75" customHeight="1">
      <c r="H128" s="2844"/>
      <c r="I128" s="2845"/>
      <c r="J128" s="2845"/>
      <c r="K128" s="2845"/>
      <c r="L128" s="2845"/>
      <c r="M128" s="2846"/>
    </row>
    <row r="129" spans="8:13" ht="12.75" customHeight="1">
      <c r="H129" s="2844"/>
      <c r="I129" s="2845"/>
      <c r="J129" s="2845"/>
      <c r="K129" s="2845"/>
      <c r="L129" s="2845"/>
      <c r="M129" s="2846"/>
    </row>
    <row r="130" spans="8:13" ht="12.75" customHeight="1">
      <c r="H130" s="2844"/>
      <c r="I130" s="2845"/>
      <c r="J130" s="2845"/>
      <c r="K130" s="2845"/>
      <c r="L130" s="2845"/>
      <c r="M130" s="2846"/>
    </row>
    <row r="131" spans="8:13" ht="12.75" customHeight="1">
      <c r="H131" s="2844"/>
      <c r="I131" s="2845"/>
      <c r="J131" s="2845"/>
      <c r="K131" s="2845"/>
      <c r="L131" s="2845"/>
      <c r="M131" s="2846"/>
    </row>
    <row r="132" spans="8:13" ht="12.75" customHeight="1">
      <c r="H132" s="2844"/>
      <c r="I132" s="2845"/>
      <c r="J132" s="2845"/>
      <c r="K132" s="2845"/>
      <c r="L132" s="2845"/>
      <c r="M132" s="2846"/>
    </row>
    <row r="133" spans="8:13" ht="12.75" customHeight="1">
      <c r="H133" s="2844"/>
      <c r="I133" s="2845"/>
      <c r="J133" s="2845"/>
      <c r="K133" s="2845"/>
      <c r="L133" s="2845"/>
      <c r="M133" s="2846"/>
    </row>
    <row r="134" spans="8:13" ht="12.75" customHeight="1">
      <c r="H134" s="2844"/>
      <c r="I134" s="2845"/>
      <c r="J134" s="2845"/>
      <c r="K134" s="2845"/>
      <c r="L134" s="2845"/>
      <c r="M134" s="2846"/>
    </row>
    <row r="135" spans="8:13" ht="12.75" customHeight="1">
      <c r="H135" s="2844"/>
      <c r="I135" s="2845"/>
      <c r="J135" s="2845"/>
      <c r="K135" s="2845"/>
      <c r="L135" s="2845"/>
      <c r="M135" s="2846"/>
    </row>
    <row r="136" spans="8:13" ht="12.75" customHeight="1">
      <c r="H136" s="2844"/>
      <c r="I136" s="2845"/>
      <c r="J136" s="2845"/>
      <c r="K136" s="2845"/>
      <c r="L136" s="2845"/>
      <c r="M136" s="2846"/>
    </row>
    <row r="137" spans="8:13" ht="12.75" customHeight="1">
      <c r="H137" s="2844"/>
      <c r="I137" s="2845"/>
      <c r="J137" s="2845"/>
      <c r="K137" s="2845"/>
      <c r="L137" s="2845"/>
      <c r="M137" s="2846"/>
    </row>
    <row r="138" spans="8:13" ht="12.75" customHeight="1">
      <c r="H138" s="2844"/>
      <c r="I138" s="2845"/>
      <c r="J138" s="2845"/>
      <c r="K138" s="2845"/>
      <c r="L138" s="2845"/>
      <c r="M138" s="2846"/>
    </row>
    <row r="139" spans="8:13" ht="12.75" customHeight="1">
      <c r="H139" s="2844"/>
      <c r="I139" s="2845"/>
      <c r="J139" s="2845"/>
      <c r="K139" s="2845"/>
      <c r="L139" s="2845"/>
      <c r="M139" s="2846"/>
    </row>
    <row r="140" spans="8:13" ht="12.75" customHeight="1">
      <c r="H140" s="2844"/>
      <c r="I140" s="2845"/>
      <c r="J140" s="2845"/>
      <c r="K140" s="2845"/>
      <c r="L140" s="2845"/>
      <c r="M140" s="2846"/>
    </row>
    <row r="141" spans="8:13" ht="12.75" customHeight="1">
      <c r="H141" s="2844"/>
      <c r="I141" s="2845"/>
      <c r="J141" s="2845"/>
      <c r="K141" s="2845"/>
      <c r="L141" s="2845"/>
      <c r="M141" s="2846"/>
    </row>
    <row r="142" spans="8:13" ht="12.75" customHeight="1">
      <c r="H142" s="2847"/>
      <c r="I142" s="2848"/>
      <c r="J142" s="2848"/>
      <c r="K142" s="2848"/>
      <c r="L142" s="2848"/>
      <c r="M142" s="2849"/>
    </row>
    <row r="148" spans="9:18" ht="12.75" customHeight="1">
      <c r="I148" s="278" t="s">
        <v>3258</v>
      </c>
    </row>
    <row r="149" spans="9:18" ht="12.75" customHeight="1">
      <c r="I149" s="270" t="s">
        <v>3262</v>
      </c>
      <c r="J149" s="270"/>
      <c r="K149" s="270"/>
      <c r="L149" s="270"/>
      <c r="M149" s="270"/>
      <c r="N149" s="270"/>
      <c r="O149" s="270"/>
      <c r="P149" s="270"/>
      <c r="Q149" s="270"/>
      <c r="R149" s="270"/>
    </row>
    <row r="150" spans="9:18" ht="12.75" customHeight="1">
      <c r="I150" s="2165"/>
      <c r="J150" s="1838">
        <v>2006</v>
      </c>
      <c r="K150" s="1838">
        <v>2009</v>
      </c>
      <c r="L150" s="1838">
        <v>2012</v>
      </c>
      <c r="M150" s="1838">
        <v>2015</v>
      </c>
      <c r="N150" s="1838">
        <v>2018</v>
      </c>
      <c r="O150" s="1838">
        <v>2021</v>
      </c>
      <c r="P150" s="1838">
        <v>2024</v>
      </c>
      <c r="Q150" s="1838">
        <v>2027</v>
      </c>
      <c r="R150" s="1838">
        <v>2030</v>
      </c>
    </row>
    <row r="151" spans="9:18" ht="12.75" customHeight="1">
      <c r="I151" s="2164" t="s">
        <v>525</v>
      </c>
      <c r="J151" s="2168">
        <v>1</v>
      </c>
      <c r="K151" s="2168">
        <v>0.86799999999999999</v>
      </c>
      <c r="L151" s="2168">
        <v>0.82</v>
      </c>
      <c r="M151" s="2168"/>
      <c r="N151" s="2168">
        <v>0.69599999999999995</v>
      </c>
      <c r="O151" s="1845"/>
      <c r="P151" s="1845"/>
      <c r="Q151" s="1845"/>
      <c r="R151" s="1845"/>
    </row>
    <row r="152" spans="9:18" ht="25.5">
      <c r="I152" s="2164" t="s">
        <v>3259</v>
      </c>
      <c r="J152" s="2169">
        <v>1</v>
      </c>
      <c r="K152" s="2169">
        <v>0.91</v>
      </c>
      <c r="L152" s="2169">
        <v>0.83</v>
      </c>
      <c r="M152" s="2169">
        <v>0.74</v>
      </c>
      <c r="N152" s="2169">
        <v>0.65</v>
      </c>
      <c r="O152" s="1845">
        <v>0.56000000000000005</v>
      </c>
      <c r="P152" s="1845">
        <v>0.48</v>
      </c>
      <c r="Q152" s="1845">
        <v>0.39</v>
      </c>
      <c r="R152" s="1845">
        <v>0.3</v>
      </c>
    </row>
    <row r="153" spans="9:18" ht="25.5">
      <c r="I153" s="2164" t="s">
        <v>3260</v>
      </c>
      <c r="J153" s="2169">
        <v>1</v>
      </c>
      <c r="K153" s="2169">
        <v>0.86</v>
      </c>
      <c r="L153" s="2169">
        <v>0.74</v>
      </c>
      <c r="M153" s="2169">
        <v>0.64</v>
      </c>
      <c r="N153" s="2169">
        <v>0.55000000000000004</v>
      </c>
      <c r="O153" s="1845">
        <v>0.47</v>
      </c>
      <c r="P153" s="1845">
        <v>0.41</v>
      </c>
      <c r="Q153" s="1845">
        <v>0.35</v>
      </c>
      <c r="R153" s="1845">
        <v>0.3</v>
      </c>
    </row>
    <row r="154" spans="9:18" ht="12.75" customHeight="1">
      <c r="J154" s="275"/>
      <c r="K154" s="275"/>
      <c r="L154" s="2182"/>
      <c r="M154" s="2183"/>
      <c r="N154" s="2181" t="s">
        <v>3271</v>
      </c>
      <c r="O154" s="2184">
        <v>0.61</v>
      </c>
      <c r="P154" s="2185">
        <v>0.5</v>
      </c>
      <c r="Q154" s="1863">
        <v>0.39</v>
      </c>
      <c r="R154" s="1863">
        <v>0.3</v>
      </c>
    </row>
    <row r="155" spans="9:18" ht="12.75" customHeight="1">
      <c r="N155" s="2188" t="s">
        <v>3274</v>
      </c>
      <c r="P155" s="2180"/>
    </row>
    <row r="157" spans="9:18" ht="12.75" customHeight="1">
      <c r="I157" s="274" t="s">
        <v>3261</v>
      </c>
      <c r="N157" s="274"/>
      <c r="O157" s="2163" t="s">
        <v>2939</v>
      </c>
    </row>
    <row r="158" spans="9:18" ht="12.75" customHeight="1">
      <c r="I158" s="2174" t="s">
        <v>2608</v>
      </c>
      <c r="J158" s="2175" t="s">
        <v>3263</v>
      </c>
      <c r="K158" s="2176" t="s">
        <v>3264</v>
      </c>
      <c r="L158" s="2177"/>
      <c r="N158" s="2179" t="s">
        <v>3269</v>
      </c>
      <c r="O158" s="2179" t="s">
        <v>3273</v>
      </c>
    </row>
    <row r="159" spans="9:18" ht="12.75" customHeight="1">
      <c r="I159" s="1838" t="s">
        <v>2932</v>
      </c>
      <c r="J159" s="1838">
        <v>70</v>
      </c>
      <c r="K159" s="2165">
        <v>36</v>
      </c>
      <c r="L159" s="2166"/>
      <c r="N159" s="2178">
        <f>K159*(1-$N$177)</f>
        <v>31.551724137931036</v>
      </c>
      <c r="O159" s="2189">
        <f t="shared" ref="O159:O176" si="27">K159-N159</f>
        <v>4.4482758620689644</v>
      </c>
    </row>
    <row r="160" spans="9:18" ht="12.75" customHeight="1">
      <c r="I160" s="1838" t="s">
        <v>2938</v>
      </c>
      <c r="J160" s="1838">
        <v>14</v>
      </c>
      <c r="K160" s="2165">
        <v>8</v>
      </c>
      <c r="L160" s="2166"/>
      <c r="N160" s="2178">
        <f t="shared" ref="N160:N176" si="28">K160*(1-$N$177)</f>
        <v>7.0114942528735638</v>
      </c>
      <c r="O160" s="2189">
        <f t="shared" si="27"/>
        <v>0.98850574712643624</v>
      </c>
    </row>
    <row r="161" spans="9:17" ht="12.75" customHeight="1">
      <c r="I161" s="1838" t="s">
        <v>2924</v>
      </c>
      <c r="J161" s="1838">
        <v>40</v>
      </c>
      <c r="K161" s="2165">
        <v>27</v>
      </c>
      <c r="L161" s="2166" t="s">
        <v>3265</v>
      </c>
      <c r="N161" s="2178">
        <f t="shared" si="28"/>
        <v>23.663793103448278</v>
      </c>
      <c r="O161" s="2189">
        <f t="shared" si="27"/>
        <v>3.3362068965517224</v>
      </c>
    </row>
    <row r="162" spans="9:17" ht="12.75" customHeight="1">
      <c r="I162" s="1838" t="s">
        <v>2926</v>
      </c>
      <c r="J162" s="1838">
        <v>39</v>
      </c>
      <c r="K162" s="2165">
        <v>22</v>
      </c>
      <c r="L162" s="2166" t="s">
        <v>3265</v>
      </c>
      <c r="N162" s="2178">
        <f t="shared" si="28"/>
        <v>19.2816091954023</v>
      </c>
      <c r="O162" s="2189">
        <f t="shared" si="27"/>
        <v>2.7183908045976999</v>
      </c>
    </row>
    <row r="163" spans="9:17" ht="12.75" customHeight="1">
      <c r="I163" s="1838" t="s">
        <v>2925</v>
      </c>
      <c r="J163" s="1838">
        <v>43</v>
      </c>
      <c r="K163" s="2165">
        <v>26</v>
      </c>
      <c r="L163" s="2166" t="s">
        <v>3265</v>
      </c>
      <c r="N163" s="2178">
        <f t="shared" si="28"/>
        <v>22.787356321839081</v>
      </c>
      <c r="O163" s="2189">
        <f t="shared" si="27"/>
        <v>3.2126436781609193</v>
      </c>
    </row>
    <row r="164" spans="9:17" ht="12.75" customHeight="1">
      <c r="I164" s="1838" t="s">
        <v>2928</v>
      </c>
      <c r="J164" s="1838">
        <v>47</v>
      </c>
      <c r="K164" s="2165">
        <v>37</v>
      </c>
      <c r="L164" s="2166"/>
      <c r="N164" s="2178">
        <f t="shared" si="28"/>
        <v>32.428160919540232</v>
      </c>
      <c r="O164" s="2189">
        <f t="shared" si="27"/>
        <v>4.5718390804597675</v>
      </c>
      <c r="Q164" s="2860" t="s">
        <v>3275</v>
      </c>
    </row>
    <row r="165" spans="9:17" ht="12.75" customHeight="1">
      <c r="I165" s="1838" t="s">
        <v>3266</v>
      </c>
      <c r="J165" s="1838">
        <v>52</v>
      </c>
      <c r="K165" s="2165">
        <v>36</v>
      </c>
      <c r="L165" s="2166" t="s">
        <v>3265</v>
      </c>
      <c r="N165" s="2178">
        <f t="shared" si="28"/>
        <v>31.551724137931036</v>
      </c>
      <c r="O165" s="2189">
        <f t="shared" si="27"/>
        <v>4.4482758620689644</v>
      </c>
      <c r="Q165" s="2860"/>
    </row>
    <row r="166" spans="9:17" ht="12.75" customHeight="1">
      <c r="I166" s="1838" t="s">
        <v>2930</v>
      </c>
      <c r="J166" s="1838">
        <v>125</v>
      </c>
      <c r="K166" s="2165">
        <v>103</v>
      </c>
      <c r="L166" s="2166"/>
      <c r="N166" s="2178">
        <f t="shared" si="28"/>
        <v>90.272988505747136</v>
      </c>
      <c r="O166" s="2189">
        <f t="shared" si="27"/>
        <v>12.727011494252864</v>
      </c>
    </row>
    <row r="167" spans="9:17" ht="12.75" customHeight="1">
      <c r="I167" s="1838" t="s">
        <v>2936</v>
      </c>
      <c r="J167" s="1838">
        <v>98</v>
      </c>
      <c r="K167" s="2165">
        <v>75</v>
      </c>
      <c r="L167" s="2166" t="s">
        <v>3265</v>
      </c>
      <c r="N167" s="2178">
        <f t="shared" si="28"/>
        <v>65.732758620689665</v>
      </c>
      <c r="O167" s="2189">
        <f t="shared" si="27"/>
        <v>9.2672413793103345</v>
      </c>
    </row>
    <row r="168" spans="9:17" ht="12.75" customHeight="1">
      <c r="I168" s="1838" t="s">
        <v>2931</v>
      </c>
      <c r="J168" s="1838">
        <v>74</v>
      </c>
      <c r="K168" s="2165">
        <v>65</v>
      </c>
      <c r="L168" s="2166"/>
      <c r="N168" s="2178">
        <f t="shared" si="28"/>
        <v>56.968390804597703</v>
      </c>
      <c r="O168" s="2189">
        <f t="shared" si="27"/>
        <v>8.0316091954022966</v>
      </c>
    </row>
    <row r="169" spans="9:17" ht="12.75" customHeight="1">
      <c r="I169" s="1838" t="s">
        <v>2929</v>
      </c>
      <c r="J169" s="1838">
        <v>174</v>
      </c>
      <c r="K169" s="2165">
        <v>123</v>
      </c>
      <c r="L169" s="2166"/>
      <c r="N169" s="2178">
        <f t="shared" si="28"/>
        <v>107.80172413793105</v>
      </c>
      <c r="O169" s="2189">
        <f t="shared" si="27"/>
        <v>15.198275862068954</v>
      </c>
    </row>
    <row r="170" spans="9:17" ht="12.75" customHeight="1">
      <c r="I170" s="1838" t="s">
        <v>2933</v>
      </c>
      <c r="J170" s="1838">
        <v>76</v>
      </c>
      <c r="K170" s="2165">
        <v>35</v>
      </c>
      <c r="L170" s="2166"/>
      <c r="N170" s="2178">
        <f t="shared" si="28"/>
        <v>30.675287356321842</v>
      </c>
      <c r="O170" s="2189">
        <f t="shared" si="27"/>
        <v>4.3247126436781578</v>
      </c>
    </row>
    <row r="171" spans="9:17" ht="12.75" customHeight="1">
      <c r="I171" s="1838" t="s">
        <v>3267</v>
      </c>
      <c r="J171" s="1838">
        <v>47</v>
      </c>
      <c r="K171" s="2165">
        <v>31</v>
      </c>
      <c r="L171" s="2166" t="s">
        <v>3265</v>
      </c>
      <c r="N171" s="2178">
        <f t="shared" si="28"/>
        <v>27.169540229885058</v>
      </c>
      <c r="O171" s="2189">
        <f t="shared" si="27"/>
        <v>3.8304597701149419</v>
      </c>
    </row>
    <row r="172" spans="9:17" ht="12.75" customHeight="1">
      <c r="I172" s="1838" t="s">
        <v>1663</v>
      </c>
      <c r="J172" s="1838">
        <v>202</v>
      </c>
      <c r="K172" s="2165">
        <v>163</v>
      </c>
      <c r="L172" s="2166"/>
      <c r="N172" s="2178">
        <f t="shared" si="28"/>
        <v>142.85919540229887</v>
      </c>
      <c r="O172" s="2189">
        <f t="shared" si="27"/>
        <v>20.140804597701134</v>
      </c>
    </row>
    <row r="173" spans="9:17" ht="12.75" customHeight="1">
      <c r="I173" s="1838" t="s">
        <v>2934</v>
      </c>
      <c r="J173" s="1838">
        <v>437</v>
      </c>
      <c r="K173" s="2165">
        <v>353</v>
      </c>
      <c r="L173" s="2166"/>
      <c r="N173" s="2178">
        <f t="shared" si="28"/>
        <v>309.38218390804599</v>
      </c>
      <c r="O173" s="2189">
        <f t="shared" si="27"/>
        <v>43.617816091954012</v>
      </c>
    </row>
    <row r="174" spans="9:17" ht="12.75" customHeight="1">
      <c r="I174" s="1838" t="s">
        <v>2937</v>
      </c>
      <c r="J174" s="1838">
        <v>69</v>
      </c>
      <c r="K174" s="2165">
        <v>57</v>
      </c>
      <c r="L174" s="2166" t="s">
        <v>3265</v>
      </c>
      <c r="N174" s="2178">
        <f t="shared" si="28"/>
        <v>49.956896551724142</v>
      </c>
      <c r="O174" s="2189">
        <f t="shared" si="27"/>
        <v>7.0431034482758577</v>
      </c>
    </row>
    <row r="175" spans="9:17" ht="12.75" customHeight="1">
      <c r="I175" s="1838" t="s">
        <v>2927</v>
      </c>
      <c r="J175" s="1838">
        <v>48</v>
      </c>
      <c r="K175" s="2165">
        <v>37</v>
      </c>
      <c r="L175" s="2166"/>
      <c r="N175" s="2178">
        <f t="shared" si="28"/>
        <v>32.428160919540232</v>
      </c>
      <c r="O175" s="2189">
        <f t="shared" si="27"/>
        <v>4.5718390804597675</v>
      </c>
    </row>
    <row r="176" spans="9:17" ht="12.75" customHeight="1">
      <c r="I176" s="1838" t="s">
        <v>2935</v>
      </c>
      <c r="J176" s="1838">
        <v>588</v>
      </c>
      <c r="K176" s="2165">
        <v>479</v>
      </c>
      <c r="L176" s="2166"/>
      <c r="N176" s="2178">
        <f t="shared" si="28"/>
        <v>419.81321839080465</v>
      </c>
      <c r="O176" s="2189">
        <f t="shared" si="27"/>
        <v>59.18678160919535</v>
      </c>
    </row>
    <row r="177" spans="9:14" ht="12.75" customHeight="1">
      <c r="I177" s="2170"/>
      <c r="J177" s="2171"/>
      <c r="K177" s="2172" t="s">
        <v>3268</v>
      </c>
      <c r="L177" s="2173"/>
      <c r="N177" s="2186">
        <f>(N151-O154)/N151</f>
        <v>0.12356321839080456</v>
      </c>
    </row>
    <row r="178" spans="9:14" ht="25.5">
      <c r="N178" s="2187" t="s">
        <v>3272</v>
      </c>
    </row>
  </sheetData>
  <autoFilter ref="A6:XFB109" xr:uid="{9396EF69-5E8F-4E10-A06B-49D6377F75A0}">
    <filterColumn colId="11">
      <filters blank="1">
        <filter val="2022"/>
        <filter val="2023"/>
      </filters>
    </filterColumn>
    <filterColumn colId="17">
      <filters blank="1">
        <filter val="0.00"/>
        <filter val="0.01"/>
        <filter val="0.02"/>
        <filter val="0.03"/>
        <filter val="0.04"/>
        <filter val="0.09"/>
      </filters>
    </filterColumn>
  </autoFilter>
  <dataConsolidate/>
  <mergeCells count="16">
    <mergeCell ref="Q164:Q165"/>
    <mergeCell ref="I3:L3"/>
    <mergeCell ref="I2:L2"/>
    <mergeCell ref="H90:M96"/>
    <mergeCell ref="R5:T5"/>
    <mergeCell ref="P5:Q5"/>
    <mergeCell ref="I4:L4"/>
    <mergeCell ref="A5:G5"/>
    <mergeCell ref="H5:L5"/>
    <mergeCell ref="M5:O5"/>
    <mergeCell ref="H122:M142"/>
    <mergeCell ref="N7:N86"/>
    <mergeCell ref="H119:M119"/>
    <mergeCell ref="H108:M111"/>
    <mergeCell ref="H115:M118"/>
    <mergeCell ref="H99:M105"/>
  </mergeCells>
  <phoneticPr fontId="183" type="noConversion"/>
  <hyperlinks>
    <hyperlink ref="H1" location="'Summary ALL'!A1" display="Summary Page" xr:uid="{59365460-7FF2-49F1-B150-01B71E544D4C}"/>
  </hyperlinks>
  <pageMargins left="0.7" right="0.7" top="0.75" bottom="0.75" header="0.3" footer="0.3"/>
  <pageSetup scale="1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34"/>
  <sheetViews>
    <sheetView showGridLines="0" topLeftCell="H1" zoomScale="90" zoomScaleNormal="90" workbookViewId="0">
      <selection activeCell="Q13" sqref="Q13"/>
    </sheetView>
  </sheetViews>
  <sheetFormatPr defaultColWidth="19.28515625" defaultRowHeight="12.75" customHeight="1" outlineLevelCol="1"/>
  <cols>
    <col min="1" max="1" width="29.42578125" style="272" hidden="1" customWidth="1" outlineLevel="1"/>
    <col min="2" max="2" width="11.28515625" style="272" hidden="1" customWidth="1" outlineLevel="1"/>
    <col min="3" max="3" width="4.42578125" style="273" hidden="1" customWidth="1" outlineLevel="1"/>
    <col min="4" max="4" width="7.28515625" style="273" hidden="1" customWidth="1" outlineLevel="1"/>
    <col min="5" max="5" width="8.28515625" style="273" hidden="1" customWidth="1" outlineLevel="1"/>
    <col min="6" max="6" width="15.28515625" style="273" hidden="1" customWidth="1" outlineLevel="1"/>
    <col min="7" max="7" width="8.5703125" style="272" hidden="1" customWidth="1" outlineLevel="1"/>
    <col min="8" max="8" width="13.28515625" style="274" customWidth="1" collapsed="1"/>
    <col min="9" max="9" width="33" style="274" customWidth="1"/>
    <col min="10" max="10" width="35.5703125" style="274" customWidth="1"/>
    <col min="11" max="11" width="29.140625" style="274" customWidth="1"/>
    <col min="12" max="12" width="10.28515625" style="274" customWidth="1"/>
    <col min="13" max="13" width="12.42578125" style="274" customWidth="1"/>
    <col min="14" max="14" width="12.7109375" style="275" customWidth="1"/>
    <col min="15" max="15" width="12.7109375" style="275" hidden="1" customWidth="1"/>
    <col min="16" max="16" width="58" style="275" customWidth="1"/>
    <col min="17" max="17" width="12.7109375" style="274" customWidth="1"/>
    <col min="18" max="18" width="11.7109375" style="274" customWidth="1"/>
    <col min="19" max="19" width="13.42578125" style="274" customWidth="1"/>
    <col min="20" max="20" width="11.28515625" style="274" customWidth="1"/>
    <col min="21" max="21" width="11.5703125" style="274" customWidth="1"/>
    <col min="22" max="22" width="12.28515625" style="974" customWidth="1"/>
    <col min="23" max="16384" width="19.28515625" style="274"/>
  </cols>
  <sheetData>
    <row r="1" spans="1:22" ht="12.75" customHeight="1">
      <c r="H1" s="168" t="s">
        <v>674</v>
      </c>
    </row>
    <row r="2" spans="1:22" ht="88.5" customHeight="1">
      <c r="H2" s="691" t="s">
        <v>1914</v>
      </c>
      <c r="I2" s="2568" t="str">
        <f>INDEX(Programs!C:C,MATCH(I6,Programs!B:B,0))</f>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v>
      </c>
      <c r="J2" s="2568"/>
      <c r="K2" s="2568"/>
      <c r="L2" s="2568"/>
      <c r="M2" s="2568"/>
    </row>
    <row r="3" spans="1:22" ht="36.75" customHeight="1" thickBot="1">
      <c r="H3" s="486"/>
    </row>
    <row r="4" spans="1:22" ht="15.75" customHeight="1">
      <c r="A4" s="2867" t="s">
        <v>131</v>
      </c>
      <c r="B4" s="2835"/>
      <c r="C4" s="2835"/>
      <c r="D4" s="2835"/>
      <c r="E4" s="2835"/>
      <c r="F4" s="2835"/>
      <c r="G4" s="2868"/>
      <c r="H4" s="2836" t="s">
        <v>7</v>
      </c>
      <c r="I4" s="2837"/>
      <c r="J4" s="2837"/>
      <c r="K4" s="2837"/>
      <c r="L4" s="2837"/>
      <c r="M4" s="2837"/>
      <c r="N4" s="2838" t="s">
        <v>127</v>
      </c>
      <c r="O4" s="2839"/>
      <c r="P4" s="2839"/>
      <c r="Q4" s="2840"/>
      <c r="R4" s="2864" t="s">
        <v>129</v>
      </c>
      <c r="S4" s="2865"/>
      <c r="T4" s="2861" t="s">
        <v>130</v>
      </c>
      <c r="U4" s="2862"/>
      <c r="V4" s="2866"/>
    </row>
    <row r="5" spans="1:22" s="491" customFormat="1" ht="60" customHeight="1" thickBot="1">
      <c r="A5" s="487" t="s">
        <v>0</v>
      </c>
      <c r="B5" s="488" t="s">
        <v>11</v>
      </c>
      <c r="C5" s="489" t="s">
        <v>1</v>
      </c>
      <c r="D5" s="489" t="s">
        <v>2</v>
      </c>
      <c r="E5" s="489" t="s">
        <v>211</v>
      </c>
      <c r="F5" s="489" t="s">
        <v>237</v>
      </c>
      <c r="G5" s="488" t="s">
        <v>12</v>
      </c>
      <c r="H5" s="2077" t="s">
        <v>3</v>
      </c>
      <c r="I5" s="763" t="s">
        <v>4</v>
      </c>
      <c r="J5" s="763" t="s">
        <v>5</v>
      </c>
      <c r="K5" s="763" t="s">
        <v>6</v>
      </c>
      <c r="L5" s="763" t="s">
        <v>1097</v>
      </c>
      <c r="M5" s="763" t="s">
        <v>8</v>
      </c>
      <c r="N5" s="764" t="s">
        <v>13</v>
      </c>
      <c r="O5" s="763" t="s">
        <v>14</v>
      </c>
      <c r="P5" s="763" t="s">
        <v>124</v>
      </c>
      <c r="Q5" s="1477" t="str">
        <f>"Funder Share: "&amp;Selection!A2&amp;" "&amp;Selection!A3</f>
        <v>Funder Share: Puget Sound Energy Washington</v>
      </c>
      <c r="R5" s="1478" t="s">
        <v>550</v>
      </c>
      <c r="S5" s="765" t="s">
        <v>125</v>
      </c>
      <c r="T5" s="764" t="s">
        <v>126</v>
      </c>
      <c r="U5" s="763" t="s">
        <v>18</v>
      </c>
      <c r="V5" s="2078" t="s">
        <v>17</v>
      </c>
    </row>
    <row r="6" spans="1:22" ht="13.5" thickTop="1">
      <c r="A6" s="310" t="s">
        <v>2319</v>
      </c>
      <c r="B6" s="311" t="str">
        <f t="shared" ref="B6:B16" si="0">LEFT(A6,10)</f>
        <v>RES_201402</v>
      </c>
      <c r="C6" s="311">
        <v>0</v>
      </c>
      <c r="D6" s="311">
        <v>1</v>
      </c>
      <c r="E6" s="311">
        <f>COUNTIFS($A:$A,A6,$M:$M,M6)</f>
        <v>1</v>
      </c>
      <c r="F6" s="311">
        <v>3</v>
      </c>
      <c r="G6" s="311" t="b">
        <v>1</v>
      </c>
      <c r="H6" s="2157" t="s">
        <v>236</v>
      </c>
      <c r="I6" s="2158" t="str">
        <f>INDEX('AMMO Measures'!B:B,MATCH($A6,'AMMO Measures'!$A:$A,0))</f>
        <v>Other Residential Standards</v>
      </c>
      <c r="J6" s="2159" t="str">
        <f>INDEX('AMMO Units'!$C:$C,MATCH($A6,'AMMO Units'!$E:$E,0))</f>
        <v>Uninterruptible Power Supplies</v>
      </c>
      <c r="K6" s="2159" t="str">
        <f>INDEX('AMMO Units'!$D:$D,MATCH($A6,'AMMO Units'!$E:$E,0))</f>
        <v>Residential Applications</v>
      </c>
      <c r="L6" s="314">
        <f>VALUE(INDEX('AMMO Measures'!H:H,MATCH($A6,'AMMO Measures'!A:A,0)))</f>
        <v>6</v>
      </c>
      <c r="M6" s="24">
        <v>2022</v>
      </c>
      <c r="N6" s="744">
        <f>GETPIVOTDATA("Units",'AMMO Units'!$A$3,"Year",$M6,"Measure Index",$A6,"Savings Category","Regional_Market_2021PP")</f>
        <v>50714.161686530002</v>
      </c>
      <c r="O6" s="443">
        <f>GETPIVOTDATA("Units",'AMMO Units'!$A$3,"Year",$M6,"Measure Index",$A6,"Savings Category","Local_Incentives_2021PP")</f>
        <v>0</v>
      </c>
      <c r="P6" s="216" t="s">
        <v>3001</v>
      </c>
      <c r="Q6" s="1480">
        <f>IF(Selection!$A$2="regional",1,IF($N6
=0,0,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2154">
        <f>GETPIVOTDATA("Savings Rate",'AMMO Savings Rates'!$A$3,"Year",$M6,"Measure Index",$A6,"Savings Rate Type","Savings_Rate_2021PP")</f>
        <v>32.630683519999998</v>
      </c>
      <c r="S6" s="216"/>
      <c r="T6" s="353">
        <f>(N6)*Q6*R6/8760000</f>
        <v>2.6419975999897417E-2</v>
      </c>
      <c r="U6" s="319">
        <f>IFERROR((O6-#REF!/N6*O6)*Q6*R6/8760/1000,0)</f>
        <v>0</v>
      </c>
      <c r="V6" s="1046">
        <f t="shared" ref="V6:V7" si="1">T6-U6</f>
        <v>2.6419975999897417E-2</v>
      </c>
    </row>
    <row r="7" spans="1:22">
      <c r="A7" s="310" t="s">
        <v>2319</v>
      </c>
      <c r="B7" s="311" t="str">
        <f t="shared" si="0"/>
        <v>RES_201402</v>
      </c>
      <c r="C7" s="311">
        <v>0</v>
      </c>
      <c r="D7" s="311">
        <v>1</v>
      </c>
      <c r="E7" s="311">
        <f>COUNTIFS($A:$A,A7,$M:$M,M7)</f>
        <v>1</v>
      </c>
      <c r="F7" s="311">
        <v>3</v>
      </c>
      <c r="G7" s="311" t="b">
        <v>1</v>
      </c>
      <c r="H7" s="2157" t="s">
        <v>236</v>
      </c>
      <c r="I7" s="2158" t="str">
        <f>INDEX('AMMO Measures'!B:B,MATCH($A7,'AMMO Measures'!$A:$A,0))</f>
        <v>Other Residential Standards</v>
      </c>
      <c r="J7" s="2159" t="str">
        <f>INDEX('AMMO Units'!$C:$C,MATCH($A7,'AMMO Units'!$E:$E,0))</f>
        <v>Uninterruptible Power Supplies</v>
      </c>
      <c r="K7" s="2159" t="str">
        <f>INDEX('AMMO Units'!$D:$D,MATCH($A7,'AMMO Units'!$E:$E,0))</f>
        <v>Residential Applications</v>
      </c>
      <c r="L7" s="314">
        <f>VALUE(INDEX('AMMO Measures'!H:H,MATCH($A7,'AMMO Measures'!A:A,0)))</f>
        <v>6</v>
      </c>
      <c r="M7" s="24">
        <v>2023</v>
      </c>
      <c r="N7" s="322">
        <f>GETPIVOTDATA("Units",'AMMO Units'!$A$3,"Year",$M7,"Measure Index",$A7,"Savings Category","Regional_Market_2021PP")</f>
        <v>51436.486225859997</v>
      </c>
      <c r="O7" s="323">
        <f>GETPIVOTDATA("Units",'AMMO Units'!$A$3,"Year",$M7,"Measure Index",$A7,"Savings Category","Local_Incentives_2021PP")</f>
        <v>0</v>
      </c>
      <c r="P7" s="216" t="s">
        <v>3001</v>
      </c>
      <c r="Q7" s="445">
        <f>IF(Selection!$A$2="regional",1,IF($N7
=0,0,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2155">
        <f>GETPIVOTDATA("Savings Rate",'AMMO Savings Rates'!$A$3,"Year",$M7,"Measure Index",$A7,"Savings Rate Type","Savings_Rate_2021PP")</f>
        <v>32.630683519999998</v>
      </c>
      <c r="S7" s="216"/>
      <c r="T7" s="353">
        <f>(N7)*Q7*R7/8760000</f>
        <v>2.679627714258798E-2</v>
      </c>
      <c r="U7" s="319">
        <f>IFERROR((O7-#REF!/N7*O7)*Q7*R7/8760/1000,0)</f>
        <v>0</v>
      </c>
      <c r="V7" s="1046">
        <f t="shared" si="1"/>
        <v>2.679627714258798E-2</v>
      </c>
    </row>
    <row r="8" spans="1:22" s="590" customFormat="1" hidden="1">
      <c r="A8" s="310" t="s">
        <v>2319</v>
      </c>
      <c r="B8" s="311" t="str">
        <f t="shared" si="0"/>
        <v>RES_201402</v>
      </c>
      <c r="C8" s="311">
        <v>0</v>
      </c>
      <c r="D8" s="311">
        <v>1</v>
      </c>
      <c r="E8" s="311">
        <f>COUNTIFS($A:$A,A8,$M:$M,M8)</f>
        <v>1</v>
      </c>
      <c r="F8" s="311">
        <v>3</v>
      </c>
      <c r="G8" s="311" t="b">
        <v>1</v>
      </c>
      <c r="H8" s="2157" t="s">
        <v>236</v>
      </c>
      <c r="I8" s="2158" t="str">
        <f>INDEX('AMMO Measures'!B:B,MATCH($A8,'AMMO Measures'!$A:$A,0))</f>
        <v>Other Residential Standards</v>
      </c>
      <c r="J8" s="2159" t="str">
        <f>INDEX('AMMO Units'!$C:$C,MATCH($A8,'AMMO Units'!$E:$E,0))</f>
        <v>Uninterruptible Power Supplies</v>
      </c>
      <c r="K8" s="2159" t="str">
        <f>INDEX('AMMO Units'!$D:$D,MATCH($A8,'AMMO Units'!$E:$E,0))</f>
        <v>Residential Applications</v>
      </c>
      <c r="L8" s="314">
        <f>VALUE(INDEX('AMMO Measures'!H:H,MATCH($A8,'AMMO Measures'!A:A,0)))</f>
        <v>6</v>
      </c>
      <c r="M8" s="24">
        <v>2024</v>
      </c>
      <c r="N8" s="322">
        <f>GETPIVOTDATA("Units",'AMMO Units'!$A$3,"Year",$M8,"Measure Index",$A8,"Savings Category","Regional_Market_2021PP")</f>
        <v>52158.810765189999</v>
      </c>
      <c r="O8" s="323">
        <f>GETPIVOTDATA("Units",'AMMO Units'!$A$3,"Year",$M8,"Measure Index",$A8,"Savings Category","Local_Incentives_2021PP")</f>
        <v>0</v>
      </c>
      <c r="P8" s="216" t="s">
        <v>3001</v>
      </c>
      <c r="Q8" s="445">
        <f>IF(Selection!$A$2="regional",1,IF($N8
=0,0,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2155">
        <f>GETPIVOTDATA("Savings Rate",'AMMO Savings Rates'!$A$3,"Year",$M8,"Measure Index",$A8,"Savings Rate Type","Savings_Rate_2021PP")</f>
        <v>32.630683519999998</v>
      </c>
      <c r="S8" s="216"/>
      <c r="T8" s="353">
        <f>(N8)*Q8*R8/8760000</f>
        <v>2.717257828527855E-2</v>
      </c>
      <c r="U8" s="319">
        <f>IFERROR((O8-#REF!/N8*O8)*Q8*R8/8760/1000,0)</f>
        <v>0</v>
      </c>
      <c r="V8" s="1046">
        <f t="shared" ref="V8" si="2">T8-U8</f>
        <v>2.717257828527855E-2</v>
      </c>
    </row>
    <row r="9" spans="1:22" s="590" customFormat="1" hidden="1">
      <c r="A9" s="310" t="s">
        <v>2319</v>
      </c>
      <c r="B9" s="311" t="str">
        <f t="shared" si="0"/>
        <v>RES_201402</v>
      </c>
      <c r="C9" s="311">
        <v>0</v>
      </c>
      <c r="D9" s="311">
        <v>1</v>
      </c>
      <c r="E9" s="311">
        <f>COUNTIFS($A:$A,A9,$M:$M,M9)</f>
        <v>1</v>
      </c>
      <c r="F9" s="311">
        <v>3</v>
      </c>
      <c r="G9" s="311" t="b">
        <v>1</v>
      </c>
      <c r="H9" s="2157" t="s">
        <v>236</v>
      </c>
      <c r="I9" s="2158" t="str">
        <f>INDEX('AMMO Measures'!B:B,MATCH($A9,'AMMO Measures'!$A:$A,0))</f>
        <v>Other Residential Standards</v>
      </c>
      <c r="J9" s="2159" t="str">
        <f>INDEX('AMMO Units'!$C:$C,MATCH($A9,'AMMO Units'!$E:$E,0))</f>
        <v>Uninterruptible Power Supplies</v>
      </c>
      <c r="K9" s="2159" t="str">
        <f>INDEX('AMMO Units'!$D:$D,MATCH($A9,'AMMO Units'!$E:$E,0))</f>
        <v>Residential Applications</v>
      </c>
      <c r="L9" s="314">
        <f>VALUE(INDEX('AMMO Measures'!H:H,MATCH($A9,'AMMO Measures'!A:A,0)))</f>
        <v>6</v>
      </c>
      <c r="M9" s="24">
        <v>2025</v>
      </c>
      <c r="N9" s="322">
        <f>GETPIVOTDATA("Units",'AMMO Units'!$A$3,"Year",$M9,"Measure Index",$A9,"Savings Category","Regional_Market_2021PP")</f>
        <v>52881.135304520001</v>
      </c>
      <c r="O9" s="323">
        <f>GETPIVOTDATA("Units",'AMMO Units'!$A$3,"Year",$M9,"Measure Index",$A9,"Savings Category","Local_Incentives_2021PP")</f>
        <v>0</v>
      </c>
      <c r="P9" s="216" t="s">
        <v>3001</v>
      </c>
      <c r="Q9" s="445">
        <f>IF(Selection!$A$2="regional",1,IF($N9
=0,0,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2155">
        <f>GETPIVOTDATA("Savings Rate",'AMMO Savings Rates'!$A$3,"Year",$M9,"Measure Index",$A9,"Savings Rate Type","Savings_Rate_2021PP")</f>
        <v>32.630683519999998</v>
      </c>
      <c r="S9" s="216"/>
      <c r="T9" s="353">
        <f>(N9)*Q9*R9/8760000</f>
        <v>2.7548879427969124E-2</v>
      </c>
      <c r="U9" s="319">
        <f>IFERROR((O9-#REF!/N9*O9)*Q9*R9/8760/1000,0)</f>
        <v>0</v>
      </c>
      <c r="V9" s="1046">
        <f t="shared" ref="V9" si="3">T9-U9</f>
        <v>2.7548879427969124E-2</v>
      </c>
    </row>
    <row r="10" spans="1:22" s="590" customFormat="1">
      <c r="A10" s="310" t="s">
        <v>2281</v>
      </c>
      <c r="B10" s="311" t="str">
        <f t="shared" si="0"/>
        <v>COM_201304</v>
      </c>
      <c r="C10" s="311">
        <v>0</v>
      </c>
      <c r="D10" s="311">
        <v>1</v>
      </c>
      <c r="E10" s="311">
        <v>1</v>
      </c>
      <c r="F10" s="311">
        <v>3</v>
      </c>
      <c r="G10" s="311" t="b">
        <v>1</v>
      </c>
      <c r="H10" s="2157" t="s">
        <v>525</v>
      </c>
      <c r="I10" s="2158" t="str">
        <f>INDEX('AMMO Measures'!B:B,MATCH($A10,'AMMO Measures'!$A:$A,0))</f>
        <v>Other Non-Residential Standards</v>
      </c>
      <c r="J10" s="2159" t="s">
        <v>1933</v>
      </c>
      <c r="K10" s="2159" t="s">
        <v>1953</v>
      </c>
      <c r="L10" s="314">
        <v>6</v>
      </c>
      <c r="M10" s="24">
        <v>2022</v>
      </c>
      <c r="N10" s="322">
        <v>132080.72272076373</v>
      </c>
      <c r="O10" s="323"/>
      <c r="P10" s="216" t="s">
        <v>3001</v>
      </c>
      <c r="Q10" s="445">
        <v>0.13985600000000001</v>
      </c>
      <c r="R10" s="2155">
        <v>32.461487608862612</v>
      </c>
      <c r="S10" s="216"/>
      <c r="T10" s="353">
        <f t="shared" ref="T10:T13" si="4">(N10)*Q10*R10/8760000</f>
        <v>6.8451796674043955E-2</v>
      </c>
      <c r="U10" s="319">
        <f>IFERROR((O10-#REF!/N10*O10)*Q10*R10/8760/1000,0)</f>
        <v>0</v>
      </c>
      <c r="V10" s="1046">
        <f t="shared" ref="V10:V13" si="5">T10-U10</f>
        <v>6.8451796674043955E-2</v>
      </c>
    </row>
    <row r="11" spans="1:22" s="590" customFormat="1">
      <c r="A11" s="272" t="s">
        <v>2281</v>
      </c>
      <c r="B11" s="311" t="s">
        <v>3003</v>
      </c>
      <c r="C11" s="311">
        <v>0</v>
      </c>
      <c r="D11" s="311">
        <v>1</v>
      </c>
      <c r="E11" s="311">
        <v>1</v>
      </c>
      <c r="F11" s="311">
        <v>3</v>
      </c>
      <c r="G11" s="311" t="b">
        <v>1</v>
      </c>
      <c r="H11" s="2157" t="s">
        <v>525</v>
      </c>
      <c r="I11" s="2158" t="str">
        <f>INDEX('AMMO Measures'!B:B,MATCH($A11,'AMMO Measures'!$A:$A,0))</f>
        <v>Other Non-Residential Standards</v>
      </c>
      <c r="J11" s="2159" t="s">
        <v>1933</v>
      </c>
      <c r="K11" s="2159" t="s">
        <v>1953</v>
      </c>
      <c r="L11" s="314">
        <v>6</v>
      </c>
      <c r="M11" s="24">
        <v>2023</v>
      </c>
      <c r="N11" s="322">
        <v>133967.64422969683</v>
      </c>
      <c r="O11" s="323"/>
      <c r="P11" s="216" t="s">
        <v>3001</v>
      </c>
      <c r="Q11" s="445">
        <v>0.13985600000000001</v>
      </c>
      <c r="R11" s="2155">
        <v>32.461487608862612</v>
      </c>
      <c r="S11" s="216"/>
      <c r="T11" s="353">
        <f t="shared" si="4"/>
        <v>6.9429707491070886E-2</v>
      </c>
      <c r="U11" s="319">
        <f>IFERROR((O11-#REF!/N11*O11)*Q11*R11/8760/1000,0)</f>
        <v>0</v>
      </c>
      <c r="V11" s="1046">
        <f t="shared" si="5"/>
        <v>6.9429707491070886E-2</v>
      </c>
    </row>
    <row r="12" spans="1:22" s="590" customFormat="1" hidden="1">
      <c r="A12" s="272" t="s">
        <v>2281</v>
      </c>
      <c r="B12" s="311" t="s">
        <v>3003</v>
      </c>
      <c r="C12" s="311">
        <v>0</v>
      </c>
      <c r="D12" s="311">
        <v>1</v>
      </c>
      <c r="E12" s="311">
        <v>1</v>
      </c>
      <c r="F12" s="311">
        <v>3</v>
      </c>
      <c r="G12" s="311" t="b">
        <v>1</v>
      </c>
      <c r="H12" s="2157" t="s">
        <v>525</v>
      </c>
      <c r="I12" s="2158" t="str">
        <f>INDEX('AMMO Measures'!B:B,MATCH($A12,'AMMO Measures'!$A:$A,0))</f>
        <v>Other Non-Residential Standards</v>
      </c>
      <c r="J12" s="2159" t="s">
        <v>1933</v>
      </c>
      <c r="K12" s="2159" t="s">
        <v>1953</v>
      </c>
      <c r="L12" s="314">
        <v>6</v>
      </c>
      <c r="M12" s="24">
        <v>2024</v>
      </c>
      <c r="N12" s="322">
        <v>135854.56573862894</v>
      </c>
      <c r="O12" s="323"/>
      <c r="P12" s="216" t="s">
        <v>3001</v>
      </c>
      <c r="Q12" s="445">
        <v>0.13985600000000001</v>
      </c>
      <c r="R12" s="2155">
        <v>32.461487608862619</v>
      </c>
      <c r="S12" s="216"/>
      <c r="T12" s="353">
        <f t="shared" si="4"/>
        <v>7.0407618308097303E-2</v>
      </c>
      <c r="U12" s="319">
        <f>IFERROR((O12-#REF!/N12*O12)*Q12*R12/8760/1000,0)</f>
        <v>0</v>
      </c>
      <c r="V12" s="1046">
        <f t="shared" si="5"/>
        <v>7.0407618308097303E-2</v>
      </c>
    </row>
    <row r="13" spans="1:22" s="590" customFormat="1" hidden="1">
      <c r="A13" s="272" t="s">
        <v>2281</v>
      </c>
      <c r="B13" s="311" t="s">
        <v>3003</v>
      </c>
      <c r="C13" s="311">
        <v>0</v>
      </c>
      <c r="D13" s="311">
        <v>1</v>
      </c>
      <c r="E13" s="311">
        <v>1</v>
      </c>
      <c r="F13" s="311">
        <v>3</v>
      </c>
      <c r="G13" s="311" t="b">
        <v>1</v>
      </c>
      <c r="H13" s="2157" t="s">
        <v>525</v>
      </c>
      <c r="I13" s="2158" t="str">
        <f>INDEX('AMMO Measures'!B:B,MATCH($A13,'AMMO Measures'!$A:$A,0))</f>
        <v>Other Non-Residential Standards</v>
      </c>
      <c r="J13" s="2159" t="s">
        <v>1933</v>
      </c>
      <c r="K13" s="2159" t="s">
        <v>1953</v>
      </c>
      <c r="L13" s="314">
        <v>6</v>
      </c>
      <c r="M13" s="24">
        <v>2025</v>
      </c>
      <c r="N13" s="322">
        <v>137741.48724756207</v>
      </c>
      <c r="O13" s="323"/>
      <c r="P13" s="216" t="s">
        <v>3001</v>
      </c>
      <c r="Q13" s="445">
        <v>0.13985600000000001</v>
      </c>
      <c r="R13" s="2155">
        <v>32.461487608862612</v>
      </c>
      <c r="S13" s="216"/>
      <c r="T13" s="353">
        <f t="shared" si="4"/>
        <v>7.138552912512422E-2</v>
      </c>
      <c r="U13" s="319">
        <f>IFERROR((O13-#REF!/N13*O13)*Q13*R13/8760/1000,0)</f>
        <v>0</v>
      </c>
      <c r="V13" s="1046">
        <f t="shared" si="5"/>
        <v>7.138552912512422E-2</v>
      </c>
    </row>
    <row r="14" spans="1:22" s="590" customFormat="1" hidden="1">
      <c r="A14" s="272" t="s">
        <v>2278</v>
      </c>
      <c r="B14" s="311" t="str">
        <f t="shared" si="0"/>
        <v>COM_201304</v>
      </c>
      <c r="C14" s="311">
        <v>0</v>
      </c>
      <c r="D14" s="311">
        <v>1</v>
      </c>
      <c r="E14" s="311">
        <f>COUNTIFS($A:$A,A14,$M:$M,M14)</f>
        <v>1</v>
      </c>
      <c r="F14" s="311">
        <v>3</v>
      </c>
      <c r="G14" s="311" t="b">
        <v>1</v>
      </c>
      <c r="H14" s="2157" t="s">
        <v>525</v>
      </c>
      <c r="I14" s="2158" t="str">
        <f>INDEX('AMMO Measures'!B:B,MATCH($A14,'AMMO Measures'!$A:$A,0))</f>
        <v>Other Non-Residential Standards</v>
      </c>
      <c r="J14" s="2159" t="str">
        <f>INDEX('AMMO Units'!$C:$C,MATCH($A14,'AMMO Units'!$E:$E,0))</f>
        <v>Air Compressors</v>
      </c>
      <c r="K14" s="2159" t="str">
        <f>INDEX('AMMO Units'!$D:$D,MATCH($A14,'AMMO Units'!$E:$E,0))</f>
        <v>Commercial Applications</v>
      </c>
      <c r="L14" s="314">
        <f>VALUE(INDEX('AMMO Measures'!H:H,MATCH($A14,'AMMO Measures'!A:A,0)))</f>
        <v>13</v>
      </c>
      <c r="M14" s="24">
        <v>2025</v>
      </c>
      <c r="N14" s="322">
        <f>GETPIVOTDATA("Units",'AMMO Units'!$A$3,"Year",$M14,"Measure Index",$A14,"Savings Category","Regional_Market_2021PP")</f>
        <v>44.017612929999999</v>
      </c>
      <c r="O14" s="323">
        <f>GETPIVOTDATA("Units",'AMMO Units'!$A$3,"Year",$M14,"Measure Index",$A14,"Savings Category","Local_Incentives_2021PP")</f>
        <v>0</v>
      </c>
      <c r="P14" s="216" t="s">
        <v>3001</v>
      </c>
      <c r="Q14" s="445">
        <f>IF(Selection!$A$2="regional",1,IF($N14
=0,0,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2155">
        <f>GETPIVOTDATA("Savings Rate",'AMMO Savings Rates'!$A$3,"Year",$M14,"Measure Index",$A14,"Savings Rate Type","Savings_Rate_2021PP")</f>
        <v>2335.0974863000001</v>
      </c>
      <c r="S14" s="216"/>
      <c r="T14" s="353">
        <f t="shared" ref="T14:T15" si="6">(N14)*Q14*R14/8760000</f>
        <v>1.6409996943739364E-3</v>
      </c>
      <c r="U14" s="319">
        <f>IFERROR((O14-#REF!/N14*O14)*Q14*R14/8760/1000,0)</f>
        <v>0</v>
      </c>
      <c r="V14" s="1046">
        <f t="shared" ref="V14:V15" si="7">T14-U14</f>
        <v>1.6409996943739364E-3</v>
      </c>
    </row>
    <row r="15" spans="1:22" s="590" customFormat="1" hidden="1">
      <c r="A15" s="272" t="s">
        <v>2318</v>
      </c>
      <c r="B15" s="311" t="str">
        <f t="shared" si="0"/>
        <v>RES_201402</v>
      </c>
      <c r="C15" s="311">
        <v>0</v>
      </c>
      <c r="D15" s="311">
        <v>1</v>
      </c>
      <c r="E15" s="311">
        <f>COUNTIFS($A:$A,A15,$M:$M,M15)</f>
        <v>1</v>
      </c>
      <c r="F15" s="311">
        <v>3</v>
      </c>
      <c r="G15" s="311" t="b">
        <v>1</v>
      </c>
      <c r="H15" s="2157" t="s">
        <v>236</v>
      </c>
      <c r="I15" s="2158" t="str">
        <f>INDEX('AMMO Measures'!B:B,MATCH($A15,'AMMO Measures'!$A:$A,0))</f>
        <v>Other Residential Standards</v>
      </c>
      <c r="J15" s="2159" t="str">
        <f>INDEX('AMMO Units'!$C:$C,MATCH($A15,'AMMO Units'!$E:$E,0))</f>
        <v>Portable Air Conditioners</v>
      </c>
      <c r="K15" s="2159" t="str">
        <f>INDEX('AMMO Units'!$D:$D,MATCH($A15,'AMMO Units'!$E:$E,0))</f>
        <v>Residential Applications</v>
      </c>
      <c r="L15" s="314">
        <f>VALUE(INDEX('AMMO Measures'!H:H,MATCH($A15,'AMMO Measures'!A:A,0)))</f>
        <v>11</v>
      </c>
      <c r="M15" s="24">
        <v>2025</v>
      </c>
      <c r="N15" s="322">
        <f>GETPIVOTDATA("Units",'AMMO Units'!$A$3,"Year",$M15,"Measure Index",$A15,"Savings Category","Regional_Market_2021PP")</f>
        <v>40420.957438730002</v>
      </c>
      <c r="O15" s="323">
        <f>GETPIVOTDATA("Units",'AMMO Units'!$A$3,"Year",$M15,"Measure Index",$A15,"Savings Category","Local_Incentives_2021PP")</f>
        <v>0</v>
      </c>
      <c r="P15" s="216" t="s">
        <v>3001</v>
      </c>
      <c r="Q15" s="445">
        <f>IF(Selection!$A$2="regional",1,IF($N15
=0,0,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2155">
        <f>GETPIVOTDATA("Savings Rate",'AMMO Savings Rates'!$A$3,"Year",$M15,"Measure Index",$A15,"Savings Rate Type","Savings_Rate_2021PP")</f>
        <v>41.58485623</v>
      </c>
      <c r="S15" s="216"/>
      <c r="T15" s="353">
        <f t="shared" si="6"/>
        <v>2.6836062667837033E-2</v>
      </c>
      <c r="U15" s="319">
        <f>IFERROR((O15-#REF!/N15*O15)*Q15*R15/8760/1000,0)</f>
        <v>0</v>
      </c>
      <c r="V15" s="1046">
        <f t="shared" si="7"/>
        <v>2.6836062667837033E-2</v>
      </c>
    </row>
    <row r="16" spans="1:22" s="736" customFormat="1" ht="13.5" hidden="1" thickBot="1">
      <c r="A16" s="272" t="s">
        <v>2279</v>
      </c>
      <c r="B16" s="311" t="str">
        <f t="shared" si="0"/>
        <v>COM_201304</v>
      </c>
      <c r="C16" s="311">
        <v>0</v>
      </c>
      <c r="D16" s="311">
        <v>1</v>
      </c>
      <c r="E16" s="311">
        <f>COUNTIFS($A:$A,A16,$M:$M,M16)</f>
        <v>1</v>
      </c>
      <c r="F16" s="311">
        <v>4</v>
      </c>
      <c r="G16" s="311" t="b">
        <v>1</v>
      </c>
      <c r="H16" s="2160" t="s">
        <v>33</v>
      </c>
      <c r="I16" s="2161" t="str">
        <f>INDEX('AMMO Measures'!B:B,MATCH($A16,'AMMO Measures'!$A:$A,0))</f>
        <v>Other Non-Residential Standards</v>
      </c>
      <c r="J16" s="2162" t="str">
        <f>INDEX('AMMO Units'!$C:$C,MATCH($A16,'AMMO Units'!$E:$E,0))</f>
        <v>Air Compressors</v>
      </c>
      <c r="K16" s="2162" t="str">
        <f>INDEX('AMMO Units'!$D:$D,MATCH($A16,'AMMO Units'!$E:$E,0))</f>
        <v>Industrial Applications</v>
      </c>
      <c r="L16" s="2069">
        <f>VALUE(INDEX('AMMO Measures'!H:H,MATCH($A16,'AMMO Measures'!A:A,0)))</f>
        <v>13</v>
      </c>
      <c r="M16" s="2070">
        <v>2025</v>
      </c>
      <c r="N16" s="2071">
        <f>GETPIVOTDATA("Units",'AMMO Units'!$A$3,"Year",$M16,"Measure Index",$A16,"Savings Category","Regional_Market_2021PP")</f>
        <v>1616.53148349</v>
      </c>
      <c r="O16" s="2072">
        <f>GETPIVOTDATA("Units",'AMMO Units'!$A$3,"Year",$M16,"Measure Index",$A16,"Savings Category","Local_Incentives_2021PP")</f>
        <v>0</v>
      </c>
      <c r="P16" s="2073" t="s">
        <v>3001</v>
      </c>
      <c r="Q16" s="1479">
        <f>IF(Selection!$A$2="regional",1,IF($N16
=0,0,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2156">
        <f>GETPIVOTDATA("Savings Rate",'AMMO Savings Rates'!$A$3,"Year",$M16,"Measure Index",$A16,"Savings Rate Type","Savings_Rate_2021PP")</f>
        <v>5048.06036356</v>
      </c>
      <c r="S16" s="2073"/>
      <c r="T16" s="2074">
        <f t="shared" ref="T16" si="8">(N16)*Q16*R16/8760000</f>
        <v>0.13028238595550137</v>
      </c>
      <c r="U16" s="2075">
        <f>IFERROR((O16-#REF!/N16*O16)*Q16*R16/8760/1000,0)</f>
        <v>0</v>
      </c>
      <c r="V16" s="2076">
        <f t="shared" ref="V16" si="9">T16-U16</f>
        <v>0.13028238595550137</v>
      </c>
    </row>
    <row r="17" spans="1:22" s="736" customFormat="1" ht="12.75" customHeight="1">
      <c r="A17" s="1887"/>
      <c r="B17" s="1888"/>
      <c r="C17" s="1888"/>
      <c r="D17" s="1888"/>
      <c r="E17" s="1888"/>
      <c r="F17" s="1888"/>
      <c r="G17" s="1888"/>
      <c r="H17" s="735"/>
      <c r="I17" s="735"/>
      <c r="J17" s="735"/>
      <c r="K17" s="735"/>
      <c r="L17" s="735"/>
      <c r="M17" s="1388"/>
      <c r="N17" s="1389"/>
      <c r="O17" s="1389"/>
      <c r="P17" s="1390"/>
      <c r="Q17" s="1894"/>
      <c r="R17" s="1895"/>
      <c r="S17" s="1390"/>
      <c r="T17" s="1392"/>
      <c r="U17" s="1392"/>
      <c r="V17" s="1393"/>
    </row>
    <row r="18" spans="1:22" ht="13.5" thickBot="1">
      <c r="H18" s="497" t="s">
        <v>1409</v>
      </c>
      <c r="I18" s="497"/>
      <c r="J18" s="497"/>
      <c r="K18" s="497"/>
      <c r="L18" s="497"/>
      <c r="M18" s="497"/>
      <c r="N18" s="497"/>
      <c r="O18" s="497"/>
      <c r="P18" s="497"/>
      <c r="Q18" s="497"/>
      <c r="R18" s="497"/>
      <c r="S18" s="497"/>
      <c r="T18" s="497"/>
      <c r="U18" s="497"/>
      <c r="V18" s="975"/>
    </row>
    <row r="19" spans="1:22" s="294" customFormat="1" ht="13.5" thickTop="1">
      <c r="A19" s="272"/>
      <c r="B19" s="272"/>
      <c r="C19" s="273"/>
      <c r="D19" s="273"/>
      <c r="E19" s="273"/>
      <c r="F19" s="273"/>
      <c r="G19" s="272"/>
      <c r="H19" s="749"/>
      <c r="I19" s="749"/>
      <c r="J19" s="749"/>
      <c r="K19" s="749"/>
      <c r="L19" s="749"/>
      <c r="M19" s="749"/>
      <c r="N19" s="749"/>
      <c r="O19" s="749"/>
      <c r="P19" s="749"/>
      <c r="Q19" s="749"/>
      <c r="R19" s="749"/>
      <c r="S19" s="749"/>
      <c r="T19" s="749"/>
      <c r="U19" s="749"/>
      <c r="V19" s="976"/>
    </row>
    <row r="21" spans="1:22" ht="12.75" customHeight="1">
      <c r="H21" s="2869" t="s">
        <v>3042</v>
      </c>
      <c r="I21" s="2869"/>
      <c r="J21" s="2066"/>
      <c r="K21" s="2066"/>
      <c r="L21" s="2068"/>
    </row>
    <row r="22" spans="1:22" ht="12.75" customHeight="1">
      <c r="H22" s="2870" t="s">
        <v>3043</v>
      </c>
      <c r="I22" s="2870"/>
      <c r="J22" s="2870"/>
      <c r="K22" s="2870"/>
      <c r="L22" s="2068"/>
    </row>
    <row r="23" spans="1:22" ht="76.5" customHeight="1">
      <c r="H23" s="2871" t="s">
        <v>3044</v>
      </c>
      <c r="I23" s="2871"/>
      <c r="J23" s="2871"/>
      <c r="K23" s="2871"/>
      <c r="L23" s="2068"/>
    </row>
    <row r="24" spans="1:22" ht="12.75" customHeight="1">
      <c r="H24" s="2067"/>
      <c r="I24" s="2067"/>
      <c r="J24" s="2067"/>
      <c r="K24" s="2067"/>
      <c r="L24" s="2068"/>
    </row>
    <row r="25" spans="1:22" ht="12.75" customHeight="1">
      <c r="H25" s="2065" t="s">
        <v>1928</v>
      </c>
      <c r="I25" s="2066"/>
      <c r="J25" s="2066"/>
      <c r="K25" s="2066"/>
      <c r="L25" s="2068"/>
    </row>
    <row r="26" spans="1:22" ht="12.75" customHeight="1">
      <c r="H26" s="2870" t="s">
        <v>3043</v>
      </c>
      <c r="I26" s="2870"/>
      <c r="J26" s="2870"/>
      <c r="K26" s="2870"/>
      <c r="L26" s="2068"/>
    </row>
    <row r="27" spans="1:22" ht="94.5" customHeight="1">
      <c r="H27" s="2871" t="s">
        <v>3045</v>
      </c>
      <c r="I27" s="2871"/>
      <c r="J27" s="2871"/>
      <c r="K27" s="2871"/>
      <c r="L27" s="2068"/>
    </row>
    <row r="28" spans="1:22" ht="12.75" customHeight="1">
      <c r="H28" s="2067"/>
      <c r="I28" s="2067"/>
      <c r="J28" s="2067"/>
      <c r="K28" s="2067"/>
      <c r="L28" s="2068"/>
    </row>
    <row r="29" spans="1:22" ht="12.75" customHeight="1">
      <c r="H29" s="2065" t="s">
        <v>1932</v>
      </c>
      <c r="I29" s="2066"/>
      <c r="J29" s="2066"/>
      <c r="K29" s="2066"/>
      <c r="L29" s="2068"/>
    </row>
    <row r="30" spans="1:22" ht="12.75" customHeight="1">
      <c r="H30" s="2870" t="s">
        <v>3043</v>
      </c>
      <c r="I30" s="2870"/>
      <c r="J30" s="2870"/>
      <c r="K30" s="2870"/>
      <c r="L30" s="2068"/>
    </row>
    <row r="31" spans="1:22" ht="76.5" customHeight="1">
      <c r="H31" s="2871" t="s">
        <v>3046</v>
      </c>
      <c r="I31" s="2871"/>
      <c r="J31" s="2871"/>
      <c r="K31" s="2871"/>
      <c r="L31" s="2068"/>
    </row>
    <row r="32" spans="1:22" ht="12.75" customHeight="1">
      <c r="H32" s="2873"/>
      <c r="I32" s="2873"/>
      <c r="J32" s="2873"/>
      <c r="K32" s="2873"/>
      <c r="L32" s="2068"/>
    </row>
    <row r="33" spans="8:12" ht="12.75" customHeight="1">
      <c r="H33" s="2874"/>
      <c r="I33" s="2874"/>
      <c r="J33" s="2874"/>
      <c r="K33" s="2874"/>
      <c r="L33" s="2068"/>
    </row>
    <row r="34" spans="8:12" ht="12.75" customHeight="1">
      <c r="H34" s="2872"/>
      <c r="I34" s="2872"/>
      <c r="J34" s="2872"/>
      <c r="K34" s="2872"/>
      <c r="L34" s="2068"/>
    </row>
  </sheetData>
  <autoFilter ref="A5:V16" xr:uid="{93681A45-9BB3-43A7-8548-A43949362DCA}">
    <filterColumn colId="12">
      <filters>
        <filter val="2022"/>
        <filter val="2023"/>
      </filters>
    </filterColumn>
    <sortState xmlns:xlrd2="http://schemas.microsoft.com/office/spreadsheetml/2017/richdata2" ref="A6:V7">
      <sortCondition ref="M5:M7"/>
    </sortState>
  </autoFilter>
  <dataConsolidate/>
  <mergeCells count="16">
    <mergeCell ref="H34:K34"/>
    <mergeCell ref="H30:K30"/>
    <mergeCell ref="H31:K31"/>
    <mergeCell ref="H32:K32"/>
    <mergeCell ref="H33:K33"/>
    <mergeCell ref="H21:I21"/>
    <mergeCell ref="H22:K22"/>
    <mergeCell ref="H23:K23"/>
    <mergeCell ref="H26:K26"/>
    <mergeCell ref="H27:K27"/>
    <mergeCell ref="I2:M2"/>
    <mergeCell ref="T4:V4"/>
    <mergeCell ref="A4:G4"/>
    <mergeCell ref="H4:M4"/>
    <mergeCell ref="N4:Q4"/>
    <mergeCell ref="R4:S4"/>
  </mergeCells>
  <phoneticPr fontId="183" type="noConversion"/>
  <hyperlinks>
    <hyperlink ref="H1" location="'Summary ALL'!A1" display="Summary Page" xr:uid="{D8E3003B-0BEE-4A53-8248-FF2D970738F5}"/>
  </hyperlinks>
  <pageMargins left="0.7" right="0.7" top="0.75" bottom="0.75" header="0.3" footer="0.3"/>
  <pageSetup scale="1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dimension ref="A2:J649"/>
  <sheetViews>
    <sheetView workbookViewId="0"/>
  </sheetViews>
  <sheetFormatPr defaultRowHeight="15"/>
  <cols>
    <col min="1" max="1" width="35.28515625" customWidth="1"/>
    <col min="2" max="2" width="12.7109375" customWidth="1"/>
    <col min="3" max="3" width="27" customWidth="1"/>
    <col min="4" max="4" width="24.7109375" customWidth="1"/>
    <col min="5" max="5" width="50.7109375" customWidth="1"/>
    <col min="6" max="6" width="85.42578125" bestFit="1" customWidth="1"/>
    <col min="7" max="7" width="27" bestFit="1" customWidth="1"/>
    <col min="8" max="8" width="21.7109375" bestFit="1" customWidth="1"/>
    <col min="9" max="9" width="12.85546875" bestFit="1" customWidth="1"/>
    <col min="10" max="10" width="24.85546875" bestFit="1" customWidth="1"/>
  </cols>
  <sheetData>
    <row r="2" spans="1:10">
      <c r="B2" s="65" t="s">
        <v>132</v>
      </c>
      <c r="C2" s="1375" t="s" vm="2">
        <v>9</v>
      </c>
    </row>
    <row r="3" spans="1:10">
      <c r="B3" s="65" t="s">
        <v>133</v>
      </c>
      <c r="C3" s="1375" t="s" vm="1">
        <v>134</v>
      </c>
    </row>
    <row r="5" spans="1:10">
      <c r="B5" s="65" t="s">
        <v>8</v>
      </c>
      <c r="C5" s="65" t="s">
        <v>0</v>
      </c>
      <c r="D5" s="65" t="s">
        <v>4</v>
      </c>
      <c r="E5" s="65" t="s">
        <v>5</v>
      </c>
      <c r="F5" s="65" t="s">
        <v>6</v>
      </c>
      <c r="G5" s="1375" t="s">
        <v>274</v>
      </c>
      <c r="H5" s="1375" t="s">
        <v>275</v>
      </c>
      <c r="I5" s="1375" t="s">
        <v>276</v>
      </c>
      <c r="J5" s="1375" t="s">
        <v>472</v>
      </c>
    </row>
    <row r="6" spans="1:10">
      <c r="A6" s="75" t="str">
        <f>B6&amp;C6</f>
        <v>2018COM_199701_P1T1</v>
      </c>
      <c r="B6" s="1375" t="s">
        <v>277</v>
      </c>
      <c r="C6" s="1375" t="s">
        <v>394</v>
      </c>
      <c r="D6" s="1375" t="s">
        <v>468</v>
      </c>
      <c r="E6" s="1375" t="s">
        <v>155</v>
      </c>
      <c r="F6" s="1375" t="s">
        <v>334</v>
      </c>
      <c r="G6" s="66">
        <v>1570</v>
      </c>
      <c r="H6" s="66"/>
      <c r="I6" s="74"/>
      <c r="J6" s="66">
        <v>1.6459212299999999</v>
      </c>
    </row>
    <row r="7" spans="1:10">
      <c r="A7" s="75" t="str">
        <f t="shared" ref="A7:A70" si="0">B7&amp;C7</f>
        <v>2018COM_200002_P1T1</v>
      </c>
      <c r="B7" s="1375" t="s">
        <v>277</v>
      </c>
      <c r="C7" s="1375" t="s">
        <v>19</v>
      </c>
      <c r="D7" s="1375" t="s">
        <v>136</v>
      </c>
      <c r="E7" s="1375" t="s">
        <v>287</v>
      </c>
      <c r="F7" s="1375" t="s">
        <v>334</v>
      </c>
      <c r="G7" s="66"/>
      <c r="H7" s="66">
        <v>59.641124019999999</v>
      </c>
      <c r="I7" s="74">
        <v>0.28984153779181021</v>
      </c>
      <c r="J7" s="66">
        <v>31186139.5546863</v>
      </c>
    </row>
    <row r="8" spans="1:10">
      <c r="A8" s="75" t="str">
        <f t="shared" si="0"/>
        <v>2018COM_200002_P2T1</v>
      </c>
      <c r="B8" s="1375" t="s">
        <v>277</v>
      </c>
      <c r="C8" s="1375" t="s">
        <v>20</v>
      </c>
      <c r="D8" s="1375" t="s">
        <v>136</v>
      </c>
      <c r="E8" s="1375" t="s">
        <v>313</v>
      </c>
      <c r="F8" s="1375" t="s">
        <v>334</v>
      </c>
      <c r="G8" s="66">
        <v>131.24815618</v>
      </c>
      <c r="H8" s="66"/>
      <c r="I8" s="74"/>
      <c r="J8" s="66">
        <v>2654952.8604597799</v>
      </c>
    </row>
    <row r="9" spans="1:10">
      <c r="A9" s="75" t="str">
        <f t="shared" si="0"/>
        <v>2018COM_200002_P3T1</v>
      </c>
      <c r="B9" s="1375" t="s">
        <v>277</v>
      </c>
      <c r="C9" s="1375" t="s">
        <v>865</v>
      </c>
      <c r="D9" s="1375" t="s">
        <v>136</v>
      </c>
      <c r="E9" s="1375" t="s">
        <v>866</v>
      </c>
      <c r="F9" s="1375" t="s">
        <v>334</v>
      </c>
      <c r="G9" s="66"/>
      <c r="H9" s="66"/>
      <c r="I9" s="74"/>
      <c r="J9" s="66">
        <v>4223097.4453136902</v>
      </c>
    </row>
    <row r="10" spans="1:10">
      <c r="A10" s="75" t="str">
        <f t="shared" si="0"/>
        <v>2018COM_200002_P4T1</v>
      </c>
      <c r="B10" s="1375" t="s">
        <v>277</v>
      </c>
      <c r="C10" s="1375" t="s">
        <v>867</v>
      </c>
      <c r="D10" s="1375" t="s">
        <v>136</v>
      </c>
      <c r="E10" s="1375" t="s">
        <v>868</v>
      </c>
      <c r="F10" s="1375" t="s">
        <v>334</v>
      </c>
      <c r="G10" s="66"/>
      <c r="H10" s="66"/>
      <c r="I10" s="74"/>
      <c r="J10" s="66">
        <v>429011.25954514003</v>
      </c>
    </row>
    <row r="11" spans="1:10">
      <c r="A11" s="75" t="str">
        <f t="shared" si="0"/>
        <v>2018COM_200202_P1T1</v>
      </c>
      <c r="B11" s="1375" t="s">
        <v>277</v>
      </c>
      <c r="C11" s="1375" t="s">
        <v>412</v>
      </c>
      <c r="D11" s="1375" t="s">
        <v>137</v>
      </c>
      <c r="E11" s="1375" t="s">
        <v>296</v>
      </c>
      <c r="F11" s="1375" t="s">
        <v>358</v>
      </c>
      <c r="G11" s="66"/>
      <c r="H11" s="66">
        <v>5694700</v>
      </c>
      <c r="I11" s="74">
        <v>1</v>
      </c>
      <c r="J11" s="66">
        <v>0</v>
      </c>
    </row>
    <row r="12" spans="1:10">
      <c r="A12" s="75" t="str">
        <f t="shared" si="0"/>
        <v>2018COM_200202_P1T10</v>
      </c>
      <c r="B12" s="1375" t="s">
        <v>277</v>
      </c>
      <c r="C12" s="1375" t="s">
        <v>869</v>
      </c>
      <c r="D12" s="1375" t="s">
        <v>137</v>
      </c>
      <c r="E12" s="1375" t="s">
        <v>296</v>
      </c>
      <c r="F12" s="1375" t="s">
        <v>1361</v>
      </c>
      <c r="G12" s="66"/>
      <c r="H12" s="66">
        <v>0</v>
      </c>
      <c r="I12" s="74">
        <v>0</v>
      </c>
      <c r="J12" s="66"/>
    </row>
    <row r="13" spans="1:10">
      <c r="A13" s="75" t="str">
        <f t="shared" si="0"/>
        <v>2018COM_200202_P1T2</v>
      </c>
      <c r="B13" s="1375" t="s">
        <v>277</v>
      </c>
      <c r="C13" s="1375" t="s">
        <v>413</v>
      </c>
      <c r="D13" s="1375" t="s">
        <v>137</v>
      </c>
      <c r="E13" s="1375" t="s">
        <v>296</v>
      </c>
      <c r="F13" s="1375" t="s">
        <v>359</v>
      </c>
      <c r="G13" s="66"/>
      <c r="H13" s="66">
        <v>5694700</v>
      </c>
      <c r="I13" s="74">
        <v>1</v>
      </c>
      <c r="J13" s="66">
        <v>0</v>
      </c>
    </row>
    <row r="14" spans="1:10">
      <c r="A14" s="75" t="str">
        <f t="shared" si="0"/>
        <v>2018COM_200202_P1T3</v>
      </c>
      <c r="B14" s="1375" t="s">
        <v>277</v>
      </c>
      <c r="C14" s="1375" t="s">
        <v>414</v>
      </c>
      <c r="D14" s="1375" t="s">
        <v>137</v>
      </c>
      <c r="E14" s="1375" t="s">
        <v>296</v>
      </c>
      <c r="F14" s="1375" t="s">
        <v>360</v>
      </c>
      <c r="G14" s="66"/>
      <c r="H14" s="66">
        <v>5694700</v>
      </c>
      <c r="I14" s="74">
        <v>1</v>
      </c>
      <c r="J14" s="66">
        <v>0</v>
      </c>
    </row>
    <row r="15" spans="1:10">
      <c r="A15" s="75" t="str">
        <f t="shared" si="0"/>
        <v>2018COM_200202_P1T4</v>
      </c>
      <c r="B15" s="1375" t="s">
        <v>277</v>
      </c>
      <c r="C15" s="1375" t="s">
        <v>415</v>
      </c>
      <c r="D15" s="1375" t="s">
        <v>137</v>
      </c>
      <c r="E15" s="1375" t="s">
        <v>296</v>
      </c>
      <c r="F15" s="1375" t="s">
        <v>361</v>
      </c>
      <c r="G15" s="66"/>
      <c r="H15" s="66">
        <v>5694700</v>
      </c>
      <c r="I15" s="74">
        <v>1</v>
      </c>
      <c r="J15" s="66">
        <v>0</v>
      </c>
    </row>
    <row r="16" spans="1:10">
      <c r="A16" s="75" t="str">
        <f t="shared" si="0"/>
        <v>2018COM_200202_P1T5</v>
      </c>
      <c r="B16" s="1375" t="s">
        <v>277</v>
      </c>
      <c r="C16" s="1375" t="s">
        <v>21</v>
      </c>
      <c r="D16" s="1375" t="s">
        <v>137</v>
      </c>
      <c r="E16" s="1375" t="s">
        <v>296</v>
      </c>
      <c r="F16" s="1375" t="s">
        <v>1362</v>
      </c>
      <c r="G16" s="66"/>
      <c r="H16" s="66">
        <v>848273.02083333</v>
      </c>
      <c r="I16" s="74">
        <v>0.14895833333333275</v>
      </c>
      <c r="J16" s="66">
        <v>0</v>
      </c>
    </row>
    <row r="17" spans="1:10">
      <c r="A17" s="75" t="str">
        <f t="shared" si="0"/>
        <v>2018COM_200202_P1T6</v>
      </c>
      <c r="B17" s="1375" t="s">
        <v>277</v>
      </c>
      <c r="C17" s="1375" t="s">
        <v>1363</v>
      </c>
      <c r="D17" s="1375" t="s">
        <v>137</v>
      </c>
      <c r="E17" s="1375" t="s">
        <v>296</v>
      </c>
      <c r="F17" s="1375" t="s">
        <v>1364</v>
      </c>
      <c r="G17" s="66"/>
      <c r="H17" s="66">
        <v>0</v>
      </c>
      <c r="I17" s="74">
        <v>0</v>
      </c>
      <c r="J17" s="66"/>
    </row>
    <row r="18" spans="1:10">
      <c r="A18" s="75" t="str">
        <f t="shared" si="0"/>
        <v>2018COM_200202_P1T7</v>
      </c>
      <c r="B18" s="1375" t="s">
        <v>277</v>
      </c>
      <c r="C18" s="1375" t="s">
        <v>871</v>
      </c>
      <c r="D18" s="1375" t="s">
        <v>137</v>
      </c>
      <c r="E18" s="1375" t="s">
        <v>296</v>
      </c>
      <c r="F18" s="1375" t="s">
        <v>1365</v>
      </c>
      <c r="G18" s="66"/>
      <c r="H18" s="66">
        <v>0</v>
      </c>
      <c r="I18" s="74">
        <v>0</v>
      </c>
      <c r="J18" s="66"/>
    </row>
    <row r="19" spans="1:10">
      <c r="A19" s="75" t="str">
        <f t="shared" si="0"/>
        <v>2018COM_200202_P1T8</v>
      </c>
      <c r="B19" s="1375" t="s">
        <v>277</v>
      </c>
      <c r="C19" s="1375" t="s">
        <v>872</v>
      </c>
      <c r="D19" s="1375" t="s">
        <v>137</v>
      </c>
      <c r="E19" s="1375" t="s">
        <v>296</v>
      </c>
      <c r="F19" s="1375" t="s">
        <v>1366</v>
      </c>
      <c r="G19" s="66"/>
      <c r="H19" s="66">
        <v>0</v>
      </c>
      <c r="I19" s="74">
        <v>0</v>
      </c>
      <c r="J19" s="66"/>
    </row>
    <row r="20" spans="1:10">
      <c r="A20" s="75" t="str">
        <f t="shared" si="0"/>
        <v>2018COM_200202_P1T9</v>
      </c>
      <c r="B20" s="1375" t="s">
        <v>277</v>
      </c>
      <c r="C20" s="1375" t="s">
        <v>874</v>
      </c>
      <c r="D20" s="1375" t="s">
        <v>137</v>
      </c>
      <c r="E20" s="1375" t="s">
        <v>296</v>
      </c>
      <c r="F20" s="1375" t="s">
        <v>1367</v>
      </c>
      <c r="G20" s="66"/>
      <c r="H20" s="66">
        <v>0</v>
      </c>
      <c r="I20" s="74">
        <v>0</v>
      </c>
      <c r="J20" s="66"/>
    </row>
    <row r="21" spans="1:10">
      <c r="A21" s="75" t="str">
        <f t="shared" si="0"/>
        <v>2018COM_200202_P2T1</v>
      </c>
      <c r="B21" s="1375" t="s">
        <v>277</v>
      </c>
      <c r="C21" s="1375" t="s">
        <v>425</v>
      </c>
      <c r="D21" s="1375" t="s">
        <v>137</v>
      </c>
      <c r="E21" s="1375" t="s">
        <v>304</v>
      </c>
      <c r="F21" s="1375" t="s">
        <v>368</v>
      </c>
      <c r="G21" s="66"/>
      <c r="H21" s="66">
        <v>2253875</v>
      </c>
      <c r="I21" s="74">
        <v>1</v>
      </c>
      <c r="J21" s="66">
        <v>0</v>
      </c>
    </row>
    <row r="22" spans="1:10">
      <c r="A22" s="75" t="str">
        <f t="shared" si="0"/>
        <v>2018COM_200202_P2T2</v>
      </c>
      <c r="B22" s="1375" t="s">
        <v>277</v>
      </c>
      <c r="C22" s="1375" t="s">
        <v>426</v>
      </c>
      <c r="D22" s="1375" t="s">
        <v>137</v>
      </c>
      <c r="E22" s="1375" t="s">
        <v>304</v>
      </c>
      <c r="F22" s="1375" t="s">
        <v>369</v>
      </c>
      <c r="G22" s="66"/>
      <c r="H22" s="66">
        <v>2253875</v>
      </c>
      <c r="I22" s="74">
        <v>1</v>
      </c>
      <c r="J22" s="66">
        <v>0</v>
      </c>
    </row>
    <row r="23" spans="1:10">
      <c r="A23" s="75" t="str">
        <f t="shared" si="0"/>
        <v>2018COM_200202_P2T3</v>
      </c>
      <c r="B23" s="1375" t="s">
        <v>277</v>
      </c>
      <c r="C23" s="1375" t="s">
        <v>427</v>
      </c>
      <c r="D23" s="1375" t="s">
        <v>137</v>
      </c>
      <c r="E23" s="1375" t="s">
        <v>304</v>
      </c>
      <c r="F23" s="1375" t="s">
        <v>370</v>
      </c>
      <c r="G23" s="66"/>
      <c r="H23" s="66">
        <v>2253875</v>
      </c>
      <c r="I23" s="74">
        <v>1</v>
      </c>
      <c r="J23" s="66">
        <v>0</v>
      </c>
    </row>
    <row r="24" spans="1:10">
      <c r="A24" s="75" t="str">
        <f t="shared" si="0"/>
        <v>2018COM_200202_P2T4</v>
      </c>
      <c r="B24" s="1375" t="s">
        <v>277</v>
      </c>
      <c r="C24" s="1375" t="s">
        <v>22</v>
      </c>
      <c r="D24" s="1375" t="s">
        <v>137</v>
      </c>
      <c r="E24" s="1375" t="s">
        <v>304</v>
      </c>
      <c r="F24" s="1375" t="s">
        <v>1368</v>
      </c>
      <c r="G24" s="66"/>
      <c r="H24" s="66">
        <v>0</v>
      </c>
      <c r="I24" s="74">
        <v>0</v>
      </c>
      <c r="J24" s="66">
        <v>0</v>
      </c>
    </row>
    <row r="25" spans="1:10">
      <c r="A25" s="75" t="str">
        <f t="shared" si="0"/>
        <v>2018COM_200202_P2T5</v>
      </c>
      <c r="B25" s="1375" t="s">
        <v>277</v>
      </c>
      <c r="C25" s="1375" t="s">
        <v>1369</v>
      </c>
      <c r="D25" s="1375" t="s">
        <v>137</v>
      </c>
      <c r="E25" s="1375" t="s">
        <v>304</v>
      </c>
      <c r="F25" s="1375" t="s">
        <v>1370</v>
      </c>
      <c r="G25" s="66"/>
      <c r="H25" s="66">
        <v>0</v>
      </c>
      <c r="I25" s="74">
        <v>0</v>
      </c>
      <c r="J25" s="66">
        <v>0</v>
      </c>
    </row>
    <row r="26" spans="1:10">
      <c r="A26" s="75" t="str">
        <f t="shared" si="0"/>
        <v>2018COM_200202_P2T6</v>
      </c>
      <c r="B26" s="1375" t="s">
        <v>277</v>
      </c>
      <c r="C26" s="1375" t="s">
        <v>876</v>
      </c>
      <c r="D26" s="1375" t="s">
        <v>137</v>
      </c>
      <c r="E26" s="1375" t="s">
        <v>304</v>
      </c>
      <c r="F26" s="1375" t="s">
        <v>1371</v>
      </c>
      <c r="G26" s="66"/>
      <c r="H26" s="66">
        <v>0</v>
      </c>
      <c r="I26" s="74">
        <v>0</v>
      </c>
      <c r="J26" s="66"/>
    </row>
    <row r="27" spans="1:10">
      <c r="A27" s="75" t="str">
        <f t="shared" si="0"/>
        <v>2018COM_200202_P2T7</v>
      </c>
      <c r="B27" s="1375" t="s">
        <v>277</v>
      </c>
      <c r="C27" s="1375" t="s">
        <v>877</v>
      </c>
      <c r="D27" s="1375" t="s">
        <v>137</v>
      </c>
      <c r="E27" s="1375" t="s">
        <v>304</v>
      </c>
      <c r="F27" s="1375" t="s">
        <v>1372</v>
      </c>
      <c r="G27" s="66"/>
      <c r="H27" s="66">
        <v>0</v>
      </c>
      <c r="I27" s="74">
        <v>0</v>
      </c>
      <c r="J27" s="66"/>
    </row>
    <row r="28" spans="1:10">
      <c r="A28" s="75" t="str">
        <f t="shared" si="0"/>
        <v>2018COM_200202_P2T8</v>
      </c>
      <c r="B28" s="1375" t="s">
        <v>277</v>
      </c>
      <c r="C28" s="1375" t="s">
        <v>878</v>
      </c>
      <c r="D28" s="1375" t="s">
        <v>137</v>
      </c>
      <c r="E28" s="1375" t="s">
        <v>304</v>
      </c>
      <c r="F28" s="1375" t="s">
        <v>1373</v>
      </c>
      <c r="G28" s="66"/>
      <c r="H28" s="66">
        <v>0</v>
      </c>
      <c r="I28" s="74">
        <v>0</v>
      </c>
      <c r="J28" s="66"/>
    </row>
    <row r="29" spans="1:10">
      <c r="A29" s="75" t="str">
        <f t="shared" si="0"/>
        <v>2018COM_200202_P3T1</v>
      </c>
      <c r="B29" s="1375" t="s">
        <v>277</v>
      </c>
      <c r="C29" s="1375" t="s">
        <v>436</v>
      </c>
      <c r="D29" s="1375" t="s">
        <v>137</v>
      </c>
      <c r="E29" s="1375" t="s">
        <v>310</v>
      </c>
      <c r="F29" s="1375" t="s">
        <v>372</v>
      </c>
      <c r="G29" s="66"/>
      <c r="H29" s="66">
        <v>19078050</v>
      </c>
      <c r="I29" s="74">
        <v>1</v>
      </c>
      <c r="J29" s="66">
        <v>0</v>
      </c>
    </row>
    <row r="30" spans="1:10">
      <c r="A30" s="75" t="str">
        <f t="shared" si="0"/>
        <v>2018COM_200202_P3T2</v>
      </c>
      <c r="B30" s="1375" t="s">
        <v>277</v>
      </c>
      <c r="C30" s="1375" t="s">
        <v>437</v>
      </c>
      <c r="D30" s="1375" t="s">
        <v>137</v>
      </c>
      <c r="E30" s="1375" t="s">
        <v>310</v>
      </c>
      <c r="F30" s="1375" t="s">
        <v>373</v>
      </c>
      <c r="G30" s="66"/>
      <c r="H30" s="66">
        <v>19078050</v>
      </c>
      <c r="I30" s="74">
        <v>1</v>
      </c>
      <c r="J30" s="66">
        <v>0</v>
      </c>
    </row>
    <row r="31" spans="1:10">
      <c r="A31" s="75" t="str">
        <f t="shared" si="0"/>
        <v>2018COM_200202_P3T3</v>
      </c>
      <c r="B31" s="1375" t="s">
        <v>277</v>
      </c>
      <c r="C31" s="1375" t="s">
        <v>438</v>
      </c>
      <c r="D31" s="1375" t="s">
        <v>137</v>
      </c>
      <c r="E31" s="1375" t="s">
        <v>310</v>
      </c>
      <c r="F31" s="1375" t="s">
        <v>1510</v>
      </c>
      <c r="G31" s="66"/>
      <c r="H31" s="66">
        <v>19078050</v>
      </c>
      <c r="I31" s="74">
        <v>1</v>
      </c>
      <c r="J31" s="66">
        <v>0</v>
      </c>
    </row>
    <row r="32" spans="1:10">
      <c r="A32" s="75" t="str">
        <f t="shared" si="0"/>
        <v>2018COM_200202_P3T4</v>
      </c>
      <c r="B32" s="1375" t="s">
        <v>277</v>
      </c>
      <c r="C32" s="1375" t="s">
        <v>439</v>
      </c>
      <c r="D32" s="1375" t="s">
        <v>137</v>
      </c>
      <c r="E32" s="1375" t="s">
        <v>310</v>
      </c>
      <c r="F32" s="1375" t="s">
        <v>374</v>
      </c>
      <c r="G32" s="66"/>
      <c r="H32" s="66">
        <v>19078050</v>
      </c>
      <c r="I32" s="74">
        <v>1</v>
      </c>
      <c r="J32" s="66">
        <v>0</v>
      </c>
    </row>
    <row r="33" spans="1:10">
      <c r="A33" s="75" t="str">
        <f t="shared" si="0"/>
        <v>2018COM_200202_P3T5</v>
      </c>
      <c r="B33" s="1375" t="s">
        <v>277</v>
      </c>
      <c r="C33" s="1375" t="s">
        <v>23</v>
      </c>
      <c r="D33" s="1375" t="s">
        <v>137</v>
      </c>
      <c r="E33" s="1375" t="s">
        <v>310</v>
      </c>
      <c r="F33" s="1375" t="s">
        <v>1511</v>
      </c>
      <c r="G33" s="66"/>
      <c r="H33" s="66">
        <v>0</v>
      </c>
      <c r="I33" s="74">
        <v>0</v>
      </c>
      <c r="J33" s="66">
        <v>0</v>
      </c>
    </row>
    <row r="34" spans="1:10">
      <c r="A34" s="75" t="str">
        <f t="shared" si="0"/>
        <v>2018COM_200202_P3T6</v>
      </c>
      <c r="B34" s="1375" t="s">
        <v>277</v>
      </c>
      <c r="C34" s="1375" t="s">
        <v>1374</v>
      </c>
      <c r="D34" s="1375" t="s">
        <v>137</v>
      </c>
      <c r="E34" s="1375" t="s">
        <v>310</v>
      </c>
      <c r="F34" s="1375" t="s">
        <v>1512</v>
      </c>
      <c r="G34" s="66"/>
      <c r="H34" s="66">
        <v>0</v>
      </c>
      <c r="I34" s="74">
        <v>0</v>
      </c>
      <c r="J34" s="66"/>
    </row>
    <row r="35" spans="1:10">
      <c r="A35" s="75" t="str">
        <f t="shared" si="0"/>
        <v>2018COM_200202_P3T7</v>
      </c>
      <c r="B35" s="1375" t="s">
        <v>277</v>
      </c>
      <c r="C35" s="1375" t="s">
        <v>1375</v>
      </c>
      <c r="D35" s="1375" t="s">
        <v>137</v>
      </c>
      <c r="E35" s="1375" t="s">
        <v>310</v>
      </c>
      <c r="F35" s="1375" t="s">
        <v>1513</v>
      </c>
      <c r="G35" s="66"/>
      <c r="H35" s="66">
        <v>0</v>
      </c>
      <c r="I35" s="74">
        <v>0</v>
      </c>
      <c r="J35" s="66"/>
    </row>
    <row r="36" spans="1:10">
      <c r="A36" s="75" t="str">
        <f t="shared" si="0"/>
        <v>2018COM_200202_P3T8</v>
      </c>
      <c r="B36" s="1375" t="s">
        <v>277</v>
      </c>
      <c r="C36" s="1375" t="s">
        <v>880</v>
      </c>
      <c r="D36" s="1375" t="s">
        <v>137</v>
      </c>
      <c r="E36" s="1375" t="s">
        <v>310</v>
      </c>
      <c r="F36" s="1375" t="s">
        <v>1514</v>
      </c>
      <c r="G36" s="66"/>
      <c r="H36" s="66">
        <v>0</v>
      </c>
      <c r="I36" s="74">
        <v>0</v>
      </c>
      <c r="J36" s="66"/>
    </row>
    <row r="37" spans="1:10">
      <c r="A37" s="75" t="str">
        <f t="shared" si="0"/>
        <v>2018COM_200202_P3T9</v>
      </c>
      <c r="B37" s="1375" t="s">
        <v>277</v>
      </c>
      <c r="C37" s="1375" t="s">
        <v>1376</v>
      </c>
      <c r="D37" s="1375" t="s">
        <v>137</v>
      </c>
      <c r="E37" s="1375" t="s">
        <v>310</v>
      </c>
      <c r="F37" s="1375" t="s">
        <v>1515</v>
      </c>
      <c r="G37" s="66"/>
      <c r="H37" s="66">
        <v>0</v>
      </c>
      <c r="I37" s="74">
        <v>0</v>
      </c>
      <c r="J37" s="66"/>
    </row>
    <row r="38" spans="1:10">
      <c r="A38" s="75" t="str">
        <f t="shared" si="0"/>
        <v>2018COM_200202_P4T1</v>
      </c>
      <c r="B38" s="1375" t="s">
        <v>277</v>
      </c>
      <c r="C38" s="1375" t="s">
        <v>459</v>
      </c>
      <c r="D38" s="1375" t="s">
        <v>137</v>
      </c>
      <c r="E38" s="1375" t="s">
        <v>328</v>
      </c>
      <c r="F38" s="1375" t="s">
        <v>387</v>
      </c>
      <c r="G38" s="66"/>
      <c r="H38" s="66">
        <v>46857700</v>
      </c>
      <c r="I38" s="74">
        <v>1</v>
      </c>
      <c r="J38" s="66">
        <v>0</v>
      </c>
    </row>
    <row r="39" spans="1:10">
      <c r="A39" s="75" t="str">
        <f t="shared" si="0"/>
        <v>2018COM_200202_P4T2</v>
      </c>
      <c r="B39" s="1375" t="s">
        <v>277</v>
      </c>
      <c r="C39" s="1375" t="s">
        <v>460</v>
      </c>
      <c r="D39" s="1375" t="s">
        <v>137</v>
      </c>
      <c r="E39" s="1375" t="s">
        <v>328</v>
      </c>
      <c r="F39" s="1375" t="s">
        <v>388</v>
      </c>
      <c r="G39" s="66"/>
      <c r="H39" s="66">
        <v>46857700</v>
      </c>
      <c r="I39" s="74">
        <v>1</v>
      </c>
      <c r="J39" s="66">
        <v>0</v>
      </c>
    </row>
    <row r="40" spans="1:10">
      <c r="A40" s="75" t="str">
        <f t="shared" si="0"/>
        <v>2018COM_200202_P4T3</v>
      </c>
      <c r="B40" s="1375" t="s">
        <v>277</v>
      </c>
      <c r="C40" s="1375" t="s">
        <v>473</v>
      </c>
      <c r="D40" s="1375" t="s">
        <v>137</v>
      </c>
      <c r="E40" s="1375" t="s">
        <v>328</v>
      </c>
      <c r="F40" s="1375" t="s">
        <v>474</v>
      </c>
      <c r="G40" s="66"/>
      <c r="H40" s="66">
        <v>46857700</v>
      </c>
      <c r="I40" s="74">
        <v>1</v>
      </c>
      <c r="J40" s="66">
        <v>0</v>
      </c>
    </row>
    <row r="41" spans="1:10">
      <c r="A41" s="75" t="str">
        <f t="shared" si="0"/>
        <v>2018COM_200202_P4T4</v>
      </c>
      <c r="B41" s="1375" t="s">
        <v>277</v>
      </c>
      <c r="C41" s="1375" t="s">
        <v>461</v>
      </c>
      <c r="D41" s="1375" t="s">
        <v>137</v>
      </c>
      <c r="E41" s="1375" t="s">
        <v>328</v>
      </c>
      <c r="F41" s="1375" t="s">
        <v>389</v>
      </c>
      <c r="G41" s="66"/>
      <c r="H41" s="66">
        <v>46857700</v>
      </c>
      <c r="I41" s="74">
        <v>1</v>
      </c>
      <c r="J41" s="66">
        <v>0</v>
      </c>
    </row>
    <row r="42" spans="1:10">
      <c r="A42" s="75" t="str">
        <f t="shared" si="0"/>
        <v>2018COM_200202_P4T5</v>
      </c>
      <c r="B42" s="1375" t="s">
        <v>277</v>
      </c>
      <c r="C42" s="1375" t="s">
        <v>462</v>
      </c>
      <c r="D42" s="1375" t="s">
        <v>137</v>
      </c>
      <c r="E42" s="1375" t="s">
        <v>328</v>
      </c>
      <c r="F42" s="1375" t="s">
        <v>390</v>
      </c>
      <c r="G42" s="66"/>
      <c r="H42" s="66">
        <v>46857700</v>
      </c>
      <c r="I42" s="74">
        <v>1</v>
      </c>
      <c r="J42" s="66">
        <v>0</v>
      </c>
    </row>
    <row r="43" spans="1:10">
      <c r="A43" s="75" t="str">
        <f t="shared" si="0"/>
        <v>2018COM_200202_P4T6</v>
      </c>
      <c r="B43" s="1375" t="s">
        <v>277</v>
      </c>
      <c r="C43" s="1375" t="s">
        <v>24</v>
      </c>
      <c r="D43" s="1375" t="s">
        <v>137</v>
      </c>
      <c r="E43" s="1375" t="s">
        <v>328</v>
      </c>
      <c r="F43" s="1375" t="s">
        <v>882</v>
      </c>
      <c r="G43" s="66"/>
      <c r="H43" s="66">
        <v>32214668.75</v>
      </c>
      <c r="I43" s="74">
        <v>0.6875</v>
      </c>
      <c r="J43" s="66">
        <v>0</v>
      </c>
    </row>
    <row r="44" spans="1:10">
      <c r="A44" s="75" t="str">
        <f t="shared" si="0"/>
        <v>2018COM_200202_P4T7</v>
      </c>
      <c r="B44" s="1375" t="s">
        <v>277</v>
      </c>
      <c r="C44" s="1375" t="s">
        <v>1377</v>
      </c>
      <c r="D44" s="1375" t="s">
        <v>137</v>
      </c>
      <c r="E44" s="1375" t="s">
        <v>328</v>
      </c>
      <c r="F44" s="1375" t="s">
        <v>1378</v>
      </c>
      <c r="G44" s="66"/>
      <c r="H44" s="66">
        <v>0</v>
      </c>
      <c r="I44" s="74">
        <v>0</v>
      </c>
      <c r="J44" s="66"/>
    </row>
    <row r="45" spans="1:10">
      <c r="A45" s="75" t="str">
        <f t="shared" si="0"/>
        <v>2018COM_200202_P4T8</v>
      </c>
      <c r="B45" s="1375" t="s">
        <v>277</v>
      </c>
      <c r="C45" s="1375" t="s">
        <v>883</v>
      </c>
      <c r="D45" s="1375" t="s">
        <v>137</v>
      </c>
      <c r="E45" s="1375" t="s">
        <v>328</v>
      </c>
      <c r="F45" s="1375" t="s">
        <v>1379</v>
      </c>
      <c r="G45" s="66"/>
      <c r="H45" s="66">
        <v>0</v>
      </c>
      <c r="I45" s="74">
        <v>0</v>
      </c>
      <c r="J45" s="66"/>
    </row>
    <row r="46" spans="1:10">
      <c r="A46" s="75" t="str">
        <f t="shared" si="0"/>
        <v>2018COM_200202_P4T9</v>
      </c>
      <c r="B46" s="1375" t="s">
        <v>277</v>
      </c>
      <c r="C46" s="1375" t="s">
        <v>884</v>
      </c>
      <c r="D46" s="1375" t="s">
        <v>137</v>
      </c>
      <c r="E46" s="1375" t="s">
        <v>328</v>
      </c>
      <c r="F46" s="1375" t="s">
        <v>1380</v>
      </c>
      <c r="G46" s="66"/>
      <c r="H46" s="66">
        <v>0</v>
      </c>
      <c r="I46" s="74">
        <v>0</v>
      </c>
      <c r="J46" s="66"/>
    </row>
    <row r="47" spans="1:10">
      <c r="A47" s="75" t="str">
        <f t="shared" si="0"/>
        <v>2018COM_200701_P1T0</v>
      </c>
      <c r="B47" s="1375" t="s">
        <v>277</v>
      </c>
      <c r="C47" s="1375" t="s">
        <v>1434</v>
      </c>
      <c r="D47" s="1375" t="s">
        <v>138</v>
      </c>
      <c r="E47" s="1375" t="s">
        <v>476</v>
      </c>
      <c r="F47" s="1375" t="s">
        <v>1007</v>
      </c>
      <c r="G47" s="66"/>
      <c r="H47" s="66">
        <v>508319.0943</v>
      </c>
      <c r="I47" s="74">
        <v>1</v>
      </c>
      <c r="J47" s="66"/>
    </row>
    <row r="48" spans="1:10">
      <c r="A48" s="75" t="str">
        <f t="shared" si="0"/>
        <v>2018COM_200701_P1T1</v>
      </c>
      <c r="B48" s="1375" t="s">
        <v>277</v>
      </c>
      <c r="C48" s="1375" t="s">
        <v>475</v>
      </c>
      <c r="D48" s="1375" t="s">
        <v>138</v>
      </c>
      <c r="E48" s="1375" t="s">
        <v>476</v>
      </c>
      <c r="F48" s="1375" t="s">
        <v>477</v>
      </c>
      <c r="G48" s="66"/>
      <c r="H48" s="66">
        <v>437077.25790000003</v>
      </c>
      <c r="I48" s="74">
        <v>0.8598481992927961</v>
      </c>
      <c r="J48" s="66">
        <v>0</v>
      </c>
    </row>
    <row r="49" spans="1:10">
      <c r="A49" s="75" t="str">
        <f t="shared" si="0"/>
        <v>2018COM_200701_P1T2</v>
      </c>
      <c r="B49" s="1375" t="s">
        <v>277</v>
      </c>
      <c r="C49" s="1375" t="s">
        <v>1431</v>
      </c>
      <c r="D49" s="1375" t="s">
        <v>138</v>
      </c>
      <c r="E49" s="1375" t="s">
        <v>476</v>
      </c>
      <c r="F49" s="1375" t="s">
        <v>1432</v>
      </c>
      <c r="G49" s="66"/>
      <c r="H49" s="66">
        <v>437077.25790000003</v>
      </c>
      <c r="I49" s="74">
        <v>0.8598481992927961</v>
      </c>
      <c r="J49" s="66">
        <v>0</v>
      </c>
    </row>
    <row r="50" spans="1:10">
      <c r="A50" s="75" t="str">
        <f t="shared" si="0"/>
        <v>2018COM_200701_P1T3</v>
      </c>
      <c r="B50" s="1375" t="s">
        <v>277</v>
      </c>
      <c r="C50" s="1375" t="s">
        <v>71</v>
      </c>
      <c r="D50" s="1375" t="s">
        <v>138</v>
      </c>
      <c r="E50" s="1375" t="s">
        <v>476</v>
      </c>
      <c r="F50" s="1375" t="s">
        <v>741</v>
      </c>
      <c r="G50" s="66"/>
      <c r="H50" s="66">
        <v>437077.25790000003</v>
      </c>
      <c r="I50" s="74">
        <v>0.8598481992927961</v>
      </c>
      <c r="J50" s="66">
        <v>0</v>
      </c>
    </row>
    <row r="51" spans="1:10">
      <c r="A51" s="75" t="str">
        <f t="shared" si="0"/>
        <v>2018COM_200701_P1T4</v>
      </c>
      <c r="B51" s="1375" t="s">
        <v>277</v>
      </c>
      <c r="C51" s="1375" t="s">
        <v>1106</v>
      </c>
      <c r="D51" s="1375" t="s">
        <v>138</v>
      </c>
      <c r="E51" s="1375" t="s">
        <v>476</v>
      </c>
      <c r="F51" s="1375" t="s">
        <v>1109</v>
      </c>
      <c r="G51" s="66"/>
      <c r="H51" s="66">
        <v>0</v>
      </c>
      <c r="I51" s="74">
        <v>0</v>
      </c>
      <c r="J51" s="66">
        <v>0</v>
      </c>
    </row>
    <row r="52" spans="1:10">
      <c r="A52" s="75" t="str">
        <f t="shared" si="0"/>
        <v>2018COM_200701_P1T5</v>
      </c>
      <c r="B52" s="1375" t="s">
        <v>277</v>
      </c>
      <c r="C52" s="1375" t="s">
        <v>1516</v>
      </c>
      <c r="D52" s="1375" t="s">
        <v>138</v>
      </c>
      <c r="E52" s="1375" t="s">
        <v>476</v>
      </c>
      <c r="F52" s="1375" t="s">
        <v>1517</v>
      </c>
      <c r="G52" s="66"/>
      <c r="H52" s="66">
        <v>0</v>
      </c>
      <c r="I52" s="74">
        <v>0</v>
      </c>
      <c r="J52" s="66"/>
    </row>
    <row r="53" spans="1:10">
      <c r="A53" s="75" t="str">
        <f t="shared" si="0"/>
        <v>2018COM_201201_P1T1</v>
      </c>
      <c r="B53" s="1375" t="s">
        <v>277</v>
      </c>
      <c r="C53" s="1375" t="s">
        <v>27</v>
      </c>
      <c r="D53" s="1375" t="s">
        <v>140</v>
      </c>
      <c r="E53" s="1375" t="s">
        <v>281</v>
      </c>
      <c r="F53" s="1375" t="s">
        <v>334</v>
      </c>
      <c r="G53" s="66">
        <v>1570</v>
      </c>
      <c r="H53" s="66"/>
      <c r="I53" s="74"/>
      <c r="J53" s="66">
        <v>4.1773558</v>
      </c>
    </row>
    <row r="54" spans="1:10">
      <c r="A54" s="75" t="str">
        <f t="shared" si="0"/>
        <v>2018COM_201304_P2T1</v>
      </c>
      <c r="B54" s="1375" t="s">
        <v>277</v>
      </c>
      <c r="C54" s="1375" t="s">
        <v>406</v>
      </c>
      <c r="D54" s="1375" t="s">
        <v>141</v>
      </c>
      <c r="E54" s="1375" t="s">
        <v>1381</v>
      </c>
      <c r="F54" s="1375" t="s">
        <v>333</v>
      </c>
      <c r="G54" s="66"/>
      <c r="H54" s="66">
        <v>3148657.48292823</v>
      </c>
      <c r="I54" s="74"/>
      <c r="J54" s="66"/>
    </row>
    <row r="55" spans="1:10">
      <c r="A55" s="75" t="str">
        <f t="shared" si="0"/>
        <v>2018COM_201304_P3T1</v>
      </c>
      <c r="B55" s="1375" t="s">
        <v>277</v>
      </c>
      <c r="C55" s="1375" t="s">
        <v>772</v>
      </c>
      <c r="D55" s="1375" t="s">
        <v>141</v>
      </c>
      <c r="E55" s="1375" t="s">
        <v>1410</v>
      </c>
      <c r="F55" s="1375" t="s">
        <v>333</v>
      </c>
      <c r="G55" s="66"/>
      <c r="H55" s="66">
        <v>0</v>
      </c>
      <c r="I55" s="74">
        <v>0</v>
      </c>
      <c r="J55" s="66"/>
    </row>
    <row r="56" spans="1:10">
      <c r="A56" s="75" t="str">
        <f t="shared" si="0"/>
        <v>2018COM_201304_P4T1</v>
      </c>
      <c r="B56" s="1375" t="s">
        <v>277</v>
      </c>
      <c r="C56" s="1375" t="s">
        <v>453</v>
      </c>
      <c r="D56" s="1375" t="s">
        <v>141</v>
      </c>
      <c r="E56" s="1375" t="s">
        <v>320</v>
      </c>
      <c r="F56" s="1375" t="s">
        <v>333</v>
      </c>
      <c r="G56" s="66"/>
      <c r="H56" s="66">
        <v>201283.40720297</v>
      </c>
      <c r="I56" s="74"/>
      <c r="J56" s="66"/>
    </row>
    <row r="57" spans="1:10">
      <c r="A57" s="75" t="str">
        <f t="shared" si="0"/>
        <v>2018COM_201304_P5T1</v>
      </c>
      <c r="B57" s="1375" t="s">
        <v>277</v>
      </c>
      <c r="C57" s="1375" t="s">
        <v>1441</v>
      </c>
      <c r="D57" s="1375" t="s">
        <v>141</v>
      </c>
      <c r="E57" s="1375" t="s">
        <v>1442</v>
      </c>
      <c r="F57" s="1375" t="s">
        <v>333</v>
      </c>
      <c r="G57" s="66"/>
      <c r="H57" s="66">
        <v>10711.745277219999</v>
      </c>
      <c r="I57" s="74"/>
      <c r="J57" s="66"/>
    </row>
    <row r="58" spans="1:10">
      <c r="A58" s="75" t="str">
        <f t="shared" si="0"/>
        <v>2018COM_201304_P6T1</v>
      </c>
      <c r="B58" s="1375" t="s">
        <v>277</v>
      </c>
      <c r="C58" s="1375" t="s">
        <v>1443</v>
      </c>
      <c r="D58" s="1375" t="s">
        <v>141</v>
      </c>
      <c r="E58" s="1375" t="s">
        <v>1345</v>
      </c>
      <c r="F58" s="1375" t="s">
        <v>1444</v>
      </c>
      <c r="G58" s="66"/>
      <c r="H58" s="66">
        <v>32622.888046550001</v>
      </c>
      <c r="I58" s="74">
        <v>8.6366457662598151E-2</v>
      </c>
      <c r="J58" s="66"/>
    </row>
    <row r="59" spans="1:10">
      <c r="A59" s="75" t="str">
        <f t="shared" si="0"/>
        <v>2018COM_201304_P6T2</v>
      </c>
      <c r="B59" s="1375" t="s">
        <v>277</v>
      </c>
      <c r="C59" s="1375" t="s">
        <v>1115</v>
      </c>
      <c r="D59" s="1375" t="s">
        <v>141</v>
      </c>
      <c r="E59" s="1375" t="s">
        <v>1345</v>
      </c>
      <c r="F59" s="1375" t="s">
        <v>1445</v>
      </c>
      <c r="G59" s="66"/>
      <c r="H59" s="66">
        <v>0</v>
      </c>
      <c r="I59" s="74">
        <v>0</v>
      </c>
      <c r="J59" s="66"/>
    </row>
    <row r="60" spans="1:10">
      <c r="A60" s="75" t="str">
        <f t="shared" si="0"/>
        <v>2018COM_201304_P7T1</v>
      </c>
      <c r="B60" s="1375" t="s">
        <v>277</v>
      </c>
      <c r="C60" s="1375" t="s">
        <v>122</v>
      </c>
      <c r="D60" s="1375" t="s">
        <v>141</v>
      </c>
      <c r="E60" s="1375" t="s">
        <v>773</v>
      </c>
      <c r="F60" s="1375" t="s">
        <v>333</v>
      </c>
      <c r="G60" s="66"/>
      <c r="H60" s="66">
        <v>57328.495803420003</v>
      </c>
      <c r="I60" s="74"/>
      <c r="J60" s="66"/>
    </row>
    <row r="61" spans="1:10">
      <c r="A61" s="75" t="str">
        <f t="shared" si="0"/>
        <v>2018COM_201304_P8T1</v>
      </c>
      <c r="B61" s="1375" t="s">
        <v>277</v>
      </c>
      <c r="C61" s="1375" t="s">
        <v>1446</v>
      </c>
      <c r="D61" s="1375" t="s">
        <v>141</v>
      </c>
      <c r="E61" s="1375" t="s">
        <v>1447</v>
      </c>
      <c r="F61" s="1375" t="s">
        <v>333</v>
      </c>
      <c r="G61" s="66"/>
      <c r="H61" s="66">
        <v>240599.77474476999</v>
      </c>
      <c r="I61" s="74"/>
      <c r="J61" s="66"/>
    </row>
    <row r="62" spans="1:10">
      <c r="A62" s="75" t="str">
        <f t="shared" si="0"/>
        <v>2018COM_201401_P1T1</v>
      </c>
      <c r="B62" s="1375" t="s">
        <v>277</v>
      </c>
      <c r="C62" s="1375" t="s">
        <v>29</v>
      </c>
      <c r="D62" s="1375" t="s">
        <v>142</v>
      </c>
      <c r="E62" s="1375" t="s">
        <v>142</v>
      </c>
      <c r="F62" s="1375" t="s">
        <v>1382</v>
      </c>
      <c r="G62" s="66"/>
      <c r="H62" s="66">
        <v>3.4754353600000001</v>
      </c>
      <c r="I62" s="74">
        <v>3.1468570707109546E-2</v>
      </c>
      <c r="J62" s="66">
        <v>0</v>
      </c>
    </row>
    <row r="63" spans="1:10">
      <c r="A63" s="75" t="str">
        <f t="shared" si="0"/>
        <v>2018COM_201403_P1T1</v>
      </c>
      <c r="B63" s="1375" t="s">
        <v>277</v>
      </c>
      <c r="C63" s="1375" t="s">
        <v>30</v>
      </c>
      <c r="D63" s="1375" t="s">
        <v>143</v>
      </c>
      <c r="E63" s="1375" t="s">
        <v>323</v>
      </c>
      <c r="F63" s="1375" t="s">
        <v>157</v>
      </c>
      <c r="G63" s="66"/>
      <c r="H63" s="66">
        <v>838085.81527632999</v>
      </c>
      <c r="I63" s="74">
        <v>0.40816304867012398</v>
      </c>
      <c r="J63" s="66">
        <v>8539</v>
      </c>
    </row>
    <row r="64" spans="1:10">
      <c r="A64" s="75" t="str">
        <f t="shared" si="0"/>
        <v>2018COM_201403_P2T1</v>
      </c>
      <c r="B64" s="1375" t="s">
        <v>277</v>
      </c>
      <c r="C64" s="1375" t="s">
        <v>31</v>
      </c>
      <c r="D64" s="1375" t="s">
        <v>143</v>
      </c>
      <c r="E64" s="1375" t="s">
        <v>321</v>
      </c>
      <c r="F64" s="1375" t="s">
        <v>157</v>
      </c>
      <c r="G64" s="66"/>
      <c r="H64" s="66">
        <v>45893.671869010002</v>
      </c>
      <c r="I64" s="74">
        <v>2.2351053654983008E-2</v>
      </c>
      <c r="J64" s="66">
        <v>40</v>
      </c>
    </row>
    <row r="65" spans="1:10">
      <c r="A65" s="75" t="str">
        <f t="shared" si="0"/>
        <v>2018COM_201403_P3T1</v>
      </c>
      <c r="B65" s="1375" t="s">
        <v>277</v>
      </c>
      <c r="C65" s="1375" t="s">
        <v>93</v>
      </c>
      <c r="D65" s="1375" t="s">
        <v>143</v>
      </c>
      <c r="E65" s="1375" t="s">
        <v>324</v>
      </c>
      <c r="F65" s="1375" t="s">
        <v>157</v>
      </c>
      <c r="G65" s="66"/>
      <c r="H65" s="66">
        <v>207851.54001528001</v>
      </c>
      <c r="I65" s="74">
        <v>0.42034481094621257</v>
      </c>
      <c r="J65" s="66">
        <v>362</v>
      </c>
    </row>
    <row r="66" spans="1:10">
      <c r="A66" s="75" t="str">
        <f t="shared" si="0"/>
        <v>2018COM_201403_P4T1</v>
      </c>
      <c r="B66" s="1375" t="s">
        <v>277</v>
      </c>
      <c r="C66" s="1375" t="s">
        <v>94</v>
      </c>
      <c r="D66" s="1375" t="s">
        <v>143</v>
      </c>
      <c r="E66" s="1375" t="s">
        <v>322</v>
      </c>
      <c r="F66" s="1375" t="s">
        <v>157</v>
      </c>
      <c r="G66" s="66"/>
      <c r="H66" s="66">
        <v>3713.70570645</v>
      </c>
      <c r="I66" s="74">
        <v>7.5103457158548735E-3</v>
      </c>
      <c r="J66" s="66">
        <v>0</v>
      </c>
    </row>
    <row r="67" spans="1:10">
      <c r="A67" s="75" t="str">
        <f t="shared" si="0"/>
        <v>2018COM_201405_P1T1</v>
      </c>
      <c r="B67" s="1375" t="s">
        <v>277</v>
      </c>
      <c r="C67" s="1375" t="s">
        <v>420</v>
      </c>
      <c r="D67" s="1375" t="s">
        <v>144</v>
      </c>
      <c r="E67" s="1375" t="s">
        <v>299</v>
      </c>
      <c r="F67" s="1375" t="s">
        <v>334</v>
      </c>
      <c r="G67" s="66">
        <v>28.449690409999999</v>
      </c>
      <c r="H67" s="66">
        <v>5.1770389300000001</v>
      </c>
      <c r="I67" s="74">
        <v>1.2282417390272835E-3</v>
      </c>
      <c r="J67" s="66">
        <v>5.1770389300000001</v>
      </c>
    </row>
    <row r="68" spans="1:10">
      <c r="A68" s="75" t="str">
        <f t="shared" si="0"/>
        <v>2018COM_201405_P2T1</v>
      </c>
      <c r="B68" s="1375" t="s">
        <v>277</v>
      </c>
      <c r="C68" s="1375" t="s">
        <v>399</v>
      </c>
      <c r="D68" s="1375" t="s">
        <v>144</v>
      </c>
      <c r="E68" s="1375" t="s">
        <v>285</v>
      </c>
      <c r="F68" s="1375" t="s">
        <v>334</v>
      </c>
      <c r="G68" s="66">
        <v>6.6241570799999998</v>
      </c>
      <c r="H68" s="66">
        <v>3.0587124399999999</v>
      </c>
      <c r="I68" s="74">
        <v>4.5652424477611939E-4</v>
      </c>
      <c r="J68" s="66">
        <v>3.0587124399999999</v>
      </c>
    </row>
    <row r="69" spans="1:10">
      <c r="A69" s="75" t="str">
        <f t="shared" si="0"/>
        <v>2018COM_201602_P1T1</v>
      </c>
      <c r="B69" s="1375" t="s">
        <v>277</v>
      </c>
      <c r="C69" s="1375" t="s">
        <v>888</v>
      </c>
      <c r="D69" s="1375" t="s">
        <v>889</v>
      </c>
      <c r="E69" s="1375" t="s">
        <v>296</v>
      </c>
      <c r="F69" s="1375" t="s">
        <v>367</v>
      </c>
      <c r="G69" s="66"/>
      <c r="H69" s="66">
        <v>0</v>
      </c>
      <c r="I69" s="74">
        <v>0</v>
      </c>
      <c r="J69" s="66"/>
    </row>
    <row r="70" spans="1:10">
      <c r="A70" s="75" t="str">
        <f t="shared" si="0"/>
        <v>2018COM_201602_P1T2</v>
      </c>
      <c r="B70" s="1375" t="s">
        <v>277</v>
      </c>
      <c r="C70" s="1375" t="s">
        <v>890</v>
      </c>
      <c r="D70" s="1375" t="s">
        <v>889</v>
      </c>
      <c r="E70" s="1375" t="s">
        <v>296</v>
      </c>
      <c r="F70" s="1375" t="s">
        <v>873</v>
      </c>
      <c r="G70" s="66"/>
      <c r="H70" s="66">
        <v>0</v>
      </c>
      <c r="I70" s="74">
        <v>0</v>
      </c>
      <c r="J70" s="66"/>
    </row>
    <row r="71" spans="1:10">
      <c r="A71" s="75" t="str">
        <f t="shared" ref="A71:A134" si="1">B71&amp;C71</f>
        <v>2018COM_201602_P1T3</v>
      </c>
      <c r="B71" s="1375" t="s">
        <v>277</v>
      </c>
      <c r="C71" s="1375" t="s">
        <v>891</v>
      </c>
      <c r="D71" s="1375" t="s">
        <v>889</v>
      </c>
      <c r="E71" s="1375" t="s">
        <v>296</v>
      </c>
      <c r="F71" s="1375" t="s">
        <v>875</v>
      </c>
      <c r="G71" s="66"/>
      <c r="H71" s="66">
        <v>0</v>
      </c>
      <c r="I71" s="74">
        <v>0</v>
      </c>
      <c r="J71" s="66"/>
    </row>
    <row r="72" spans="1:10">
      <c r="A72" s="75" t="str">
        <f t="shared" si="1"/>
        <v>2018COM_201602_P1T4</v>
      </c>
      <c r="B72" s="1375" t="s">
        <v>277</v>
      </c>
      <c r="C72" s="1375" t="s">
        <v>892</v>
      </c>
      <c r="D72" s="1375" t="s">
        <v>889</v>
      </c>
      <c r="E72" s="1375" t="s">
        <v>296</v>
      </c>
      <c r="F72" s="1375" t="s">
        <v>870</v>
      </c>
      <c r="G72" s="66"/>
      <c r="H72" s="66">
        <v>0</v>
      </c>
      <c r="I72" s="74">
        <v>0</v>
      </c>
      <c r="J72" s="66"/>
    </row>
    <row r="73" spans="1:10">
      <c r="A73" s="75" t="str">
        <f t="shared" si="1"/>
        <v>2018COM_201602_P2T1</v>
      </c>
      <c r="B73" s="1375" t="s">
        <v>277</v>
      </c>
      <c r="C73" s="1375" t="s">
        <v>893</v>
      </c>
      <c r="D73" s="1375" t="s">
        <v>889</v>
      </c>
      <c r="E73" s="1375" t="s">
        <v>304</v>
      </c>
      <c r="F73" s="1375" t="s">
        <v>357</v>
      </c>
      <c r="G73" s="66"/>
      <c r="H73" s="66">
        <v>0</v>
      </c>
      <c r="I73" s="74">
        <v>0</v>
      </c>
      <c r="J73" s="66"/>
    </row>
    <row r="74" spans="1:10">
      <c r="A74" s="75" t="str">
        <f t="shared" si="1"/>
        <v>2018COM_201602_P2T2</v>
      </c>
      <c r="B74" s="1375" t="s">
        <v>277</v>
      </c>
      <c r="C74" s="1375" t="s">
        <v>894</v>
      </c>
      <c r="D74" s="1375" t="s">
        <v>889</v>
      </c>
      <c r="E74" s="1375" t="s">
        <v>304</v>
      </c>
      <c r="F74" s="1375" t="s">
        <v>367</v>
      </c>
      <c r="G74" s="66"/>
      <c r="H74" s="66">
        <v>0</v>
      </c>
      <c r="I74" s="74">
        <v>0</v>
      </c>
      <c r="J74" s="66"/>
    </row>
    <row r="75" spans="1:10">
      <c r="A75" s="75" t="str">
        <f t="shared" si="1"/>
        <v>2018COM_201602_P2T3</v>
      </c>
      <c r="B75" s="1375" t="s">
        <v>277</v>
      </c>
      <c r="C75" s="1375" t="s">
        <v>895</v>
      </c>
      <c r="D75" s="1375" t="s">
        <v>889</v>
      </c>
      <c r="E75" s="1375" t="s">
        <v>304</v>
      </c>
      <c r="F75" s="1375" t="s">
        <v>873</v>
      </c>
      <c r="G75" s="66"/>
      <c r="H75" s="66">
        <v>0</v>
      </c>
      <c r="I75" s="74">
        <v>0</v>
      </c>
      <c r="J75" s="66"/>
    </row>
    <row r="76" spans="1:10">
      <c r="A76" s="75" t="str">
        <f t="shared" si="1"/>
        <v>2018COM_201602_P2T4</v>
      </c>
      <c r="B76" s="1375" t="s">
        <v>277</v>
      </c>
      <c r="C76" s="1375" t="s">
        <v>896</v>
      </c>
      <c r="D76" s="1375" t="s">
        <v>889</v>
      </c>
      <c r="E76" s="1375" t="s">
        <v>304</v>
      </c>
      <c r="F76" s="1375" t="s">
        <v>875</v>
      </c>
      <c r="G76" s="66"/>
      <c r="H76" s="66">
        <v>0</v>
      </c>
      <c r="I76" s="74">
        <v>0</v>
      </c>
      <c r="J76" s="66"/>
    </row>
    <row r="77" spans="1:10">
      <c r="A77" s="75" t="str">
        <f t="shared" si="1"/>
        <v>2018COM_201602_P2T5</v>
      </c>
      <c r="B77" s="1375" t="s">
        <v>277</v>
      </c>
      <c r="C77" s="1375" t="s">
        <v>897</v>
      </c>
      <c r="D77" s="1375" t="s">
        <v>889</v>
      </c>
      <c r="E77" s="1375" t="s">
        <v>304</v>
      </c>
      <c r="F77" s="1375" t="s">
        <v>870</v>
      </c>
      <c r="G77" s="66"/>
      <c r="H77" s="66">
        <v>0</v>
      </c>
      <c r="I77" s="74">
        <v>0</v>
      </c>
      <c r="J77" s="66"/>
    </row>
    <row r="78" spans="1:10">
      <c r="A78" s="75" t="str">
        <f t="shared" si="1"/>
        <v>2018COM_201602_P3T2</v>
      </c>
      <c r="B78" s="1375" t="s">
        <v>277</v>
      </c>
      <c r="C78" s="1375" t="s">
        <v>898</v>
      </c>
      <c r="D78" s="1375" t="s">
        <v>889</v>
      </c>
      <c r="E78" s="1375" t="s">
        <v>310</v>
      </c>
      <c r="F78" s="1375" t="s">
        <v>881</v>
      </c>
      <c r="G78" s="66"/>
      <c r="H78" s="66">
        <v>0</v>
      </c>
      <c r="I78" s="74">
        <v>0</v>
      </c>
      <c r="J78" s="66"/>
    </row>
    <row r="79" spans="1:10">
      <c r="A79" s="75" t="str">
        <f t="shared" si="1"/>
        <v>2018COM_201602_P3T4</v>
      </c>
      <c r="B79" s="1375" t="s">
        <v>277</v>
      </c>
      <c r="C79" s="1375" t="s">
        <v>899</v>
      </c>
      <c r="D79" s="1375" t="s">
        <v>889</v>
      </c>
      <c r="E79" s="1375" t="s">
        <v>310</v>
      </c>
      <c r="F79" s="1375" t="s">
        <v>879</v>
      </c>
      <c r="G79" s="66"/>
      <c r="H79" s="66">
        <v>0</v>
      </c>
      <c r="I79" s="74">
        <v>0</v>
      </c>
      <c r="J79" s="66"/>
    </row>
    <row r="80" spans="1:10">
      <c r="A80" s="75" t="str">
        <f t="shared" si="1"/>
        <v>2018COM_201602_P4T1</v>
      </c>
      <c r="B80" s="1375" t="s">
        <v>277</v>
      </c>
      <c r="C80" s="1375" t="s">
        <v>900</v>
      </c>
      <c r="D80" s="1375" t="s">
        <v>889</v>
      </c>
      <c r="E80" s="1375" t="s">
        <v>328</v>
      </c>
      <c r="F80" s="1375" t="s">
        <v>386</v>
      </c>
      <c r="G80" s="66"/>
      <c r="H80" s="66">
        <v>0</v>
      </c>
      <c r="I80" s="74">
        <v>0</v>
      </c>
      <c r="J80" s="66"/>
    </row>
    <row r="81" spans="1:10">
      <c r="A81" s="75" t="str">
        <f t="shared" si="1"/>
        <v>2018COM_201602_P4T10</v>
      </c>
      <c r="B81" s="1375" t="s">
        <v>277</v>
      </c>
      <c r="C81" s="1375" t="s">
        <v>901</v>
      </c>
      <c r="D81" s="1375" t="s">
        <v>137</v>
      </c>
      <c r="E81" s="1375" t="s">
        <v>328</v>
      </c>
      <c r="F81" s="1375" t="s">
        <v>1383</v>
      </c>
      <c r="G81" s="66"/>
      <c r="H81" s="66">
        <v>0</v>
      </c>
      <c r="I81" s="74">
        <v>0</v>
      </c>
      <c r="J81" s="66"/>
    </row>
    <row r="82" spans="1:10">
      <c r="A82" s="75" t="str">
        <f t="shared" si="1"/>
        <v>2018COM_201602_P4T11</v>
      </c>
      <c r="B82" s="1375" t="s">
        <v>277</v>
      </c>
      <c r="C82" s="1375" t="s">
        <v>903</v>
      </c>
      <c r="D82" s="1375" t="s">
        <v>137</v>
      </c>
      <c r="E82" s="1375" t="s">
        <v>328</v>
      </c>
      <c r="F82" s="1375" t="s">
        <v>1384</v>
      </c>
      <c r="G82" s="66"/>
      <c r="H82" s="66">
        <v>0</v>
      </c>
      <c r="I82" s="74">
        <v>0</v>
      </c>
      <c r="J82" s="66"/>
    </row>
    <row r="83" spans="1:10">
      <c r="A83" s="75" t="str">
        <f t="shared" si="1"/>
        <v>2018COM_201602_P4T2</v>
      </c>
      <c r="B83" s="1375" t="s">
        <v>277</v>
      </c>
      <c r="C83" s="1375" t="s">
        <v>906</v>
      </c>
      <c r="D83" s="1375" t="s">
        <v>889</v>
      </c>
      <c r="E83" s="1375" t="s">
        <v>328</v>
      </c>
      <c r="F83" s="1375" t="s">
        <v>885</v>
      </c>
      <c r="G83" s="66"/>
      <c r="H83" s="66">
        <v>0</v>
      </c>
      <c r="I83" s="74">
        <v>0</v>
      </c>
      <c r="J83" s="66"/>
    </row>
    <row r="84" spans="1:10">
      <c r="A84" s="75" t="str">
        <f t="shared" si="1"/>
        <v>2018COM_201602_P4T3</v>
      </c>
      <c r="B84" s="1375" t="s">
        <v>277</v>
      </c>
      <c r="C84" s="1375" t="s">
        <v>907</v>
      </c>
      <c r="D84" s="1375" t="s">
        <v>889</v>
      </c>
      <c r="E84" s="1375" t="s">
        <v>328</v>
      </c>
      <c r="F84" s="1375" t="s">
        <v>902</v>
      </c>
      <c r="G84" s="66"/>
      <c r="H84" s="66">
        <v>0</v>
      </c>
      <c r="I84" s="74">
        <v>0</v>
      </c>
      <c r="J84" s="66"/>
    </row>
    <row r="85" spans="1:10">
      <c r="A85" s="75" t="str">
        <f t="shared" si="1"/>
        <v>2018COM_201602_P4T4</v>
      </c>
      <c r="B85" s="1375" t="s">
        <v>277</v>
      </c>
      <c r="C85" s="1375" t="s">
        <v>908</v>
      </c>
      <c r="D85" s="1375" t="s">
        <v>889</v>
      </c>
      <c r="E85" s="1375" t="s">
        <v>328</v>
      </c>
      <c r="F85" s="1375" t="s">
        <v>904</v>
      </c>
      <c r="G85" s="66"/>
      <c r="H85" s="66">
        <v>0</v>
      </c>
      <c r="I85" s="74">
        <v>0</v>
      </c>
      <c r="J85" s="66"/>
    </row>
    <row r="86" spans="1:10">
      <c r="A86" s="75" t="str">
        <f t="shared" si="1"/>
        <v>2018COM_201602_P4T5</v>
      </c>
      <c r="B86" s="1375" t="s">
        <v>277</v>
      </c>
      <c r="C86" s="1375" t="s">
        <v>909</v>
      </c>
      <c r="D86" s="1375" t="s">
        <v>889</v>
      </c>
      <c r="E86" s="1375" t="s">
        <v>328</v>
      </c>
      <c r="F86" s="1375" t="s">
        <v>905</v>
      </c>
      <c r="G86" s="66"/>
      <c r="H86" s="66">
        <v>0</v>
      </c>
      <c r="I86" s="74">
        <v>0</v>
      </c>
      <c r="J86" s="66"/>
    </row>
    <row r="87" spans="1:10">
      <c r="A87" s="75" t="str">
        <f t="shared" si="1"/>
        <v>2018IND_200402_P1T1</v>
      </c>
      <c r="B87" s="1375" t="s">
        <v>277</v>
      </c>
      <c r="C87" s="1375" t="s">
        <v>36</v>
      </c>
      <c r="D87" s="1375" t="s">
        <v>145</v>
      </c>
      <c r="E87" s="1375" t="s">
        <v>307</v>
      </c>
      <c r="F87" s="1375" t="s">
        <v>334</v>
      </c>
      <c r="G87" s="66">
        <v>73755.893103800001</v>
      </c>
      <c r="H87" s="66">
        <v>281.68314004000001</v>
      </c>
      <c r="I87" s="74">
        <v>0.48000000000272652</v>
      </c>
      <c r="J87" s="66">
        <v>0</v>
      </c>
    </row>
    <row r="88" spans="1:10">
      <c r="A88" s="75" t="str">
        <f t="shared" si="1"/>
        <v>2018IND_200402_P2T1</v>
      </c>
      <c r="B88" s="1375" t="s">
        <v>277</v>
      </c>
      <c r="C88" s="1375" t="s">
        <v>37</v>
      </c>
      <c r="D88" s="1375" t="s">
        <v>145</v>
      </c>
      <c r="E88" s="1375" t="s">
        <v>292</v>
      </c>
      <c r="F88" s="1375" t="s">
        <v>334</v>
      </c>
      <c r="G88" s="66">
        <v>2564.1619047600002</v>
      </c>
      <c r="H88" s="66">
        <v>352.42857142999998</v>
      </c>
      <c r="I88" s="74">
        <v>0.1374439620118241</v>
      </c>
      <c r="J88" s="66">
        <v>50.792009270000001</v>
      </c>
    </row>
    <row r="89" spans="1:10">
      <c r="A89" s="75" t="str">
        <f t="shared" si="1"/>
        <v>2018IND_200402_P3T1</v>
      </c>
      <c r="B89" s="1375" t="s">
        <v>277</v>
      </c>
      <c r="C89" s="1375" t="s">
        <v>421</v>
      </c>
      <c r="D89" s="1375" t="s">
        <v>145</v>
      </c>
      <c r="E89" s="1375" t="s">
        <v>302</v>
      </c>
      <c r="F89" s="1375" t="s">
        <v>334</v>
      </c>
      <c r="G89" s="66">
        <v>73755.893103800001</v>
      </c>
      <c r="H89" s="66">
        <v>73170.563768749998</v>
      </c>
      <c r="I89" s="74">
        <v>1</v>
      </c>
      <c r="J89" s="66">
        <v>0</v>
      </c>
    </row>
    <row r="90" spans="1:10">
      <c r="A90" s="75" t="str">
        <f t="shared" si="1"/>
        <v>2018IND_201301_P1T1</v>
      </c>
      <c r="B90" s="1375" t="s">
        <v>277</v>
      </c>
      <c r="C90" s="1375" t="s">
        <v>39</v>
      </c>
      <c r="D90" s="1375" t="s">
        <v>146</v>
      </c>
      <c r="E90" s="1375" t="s">
        <v>493</v>
      </c>
      <c r="F90" s="1375" t="s">
        <v>334</v>
      </c>
      <c r="G90" s="66">
        <v>14.5</v>
      </c>
      <c r="H90" s="66">
        <v>9</v>
      </c>
      <c r="I90" s="74"/>
      <c r="J90" s="66">
        <v>5.1172000000000002E-2</v>
      </c>
    </row>
    <row r="91" spans="1:10">
      <c r="A91" s="75" t="str">
        <f t="shared" si="1"/>
        <v>2018OTH_201601_P1T0</v>
      </c>
      <c r="B91" s="1375" t="s">
        <v>277</v>
      </c>
      <c r="C91" s="1375" t="s">
        <v>1006</v>
      </c>
      <c r="D91" s="1375" t="s">
        <v>859</v>
      </c>
      <c r="E91" s="1375" t="s">
        <v>911</v>
      </c>
      <c r="F91" s="1375" t="s">
        <v>1007</v>
      </c>
      <c r="G91" s="66"/>
      <c r="H91" s="66">
        <v>1240848.1433000001</v>
      </c>
      <c r="I91" s="74">
        <v>1</v>
      </c>
      <c r="J91" s="66"/>
    </row>
    <row r="92" spans="1:10">
      <c r="A92" s="75" t="str">
        <f t="shared" si="1"/>
        <v>2018OTH_201601_P1T1</v>
      </c>
      <c r="B92" s="1375" t="s">
        <v>277</v>
      </c>
      <c r="C92" s="1375" t="s">
        <v>910</v>
      </c>
      <c r="D92" s="1375" t="s">
        <v>859</v>
      </c>
      <c r="E92" s="1375" t="s">
        <v>911</v>
      </c>
      <c r="F92" s="1375" t="s">
        <v>741</v>
      </c>
      <c r="G92" s="66"/>
      <c r="H92" s="66">
        <v>1195654.2879000001</v>
      </c>
      <c r="I92" s="74">
        <v>0.96357825440282463</v>
      </c>
      <c r="J92" s="66"/>
    </row>
    <row r="93" spans="1:10">
      <c r="A93" s="75" t="str">
        <f t="shared" si="1"/>
        <v>2018OTH_201601_P2T0</v>
      </c>
      <c r="B93" s="1375" t="s">
        <v>277</v>
      </c>
      <c r="C93" s="1375" t="s">
        <v>1008</v>
      </c>
      <c r="D93" s="1375" t="s">
        <v>859</v>
      </c>
      <c r="E93" s="1375" t="s">
        <v>1001</v>
      </c>
      <c r="F93" s="1375" t="s">
        <v>1007</v>
      </c>
      <c r="G93" s="66"/>
      <c r="H93" s="66">
        <v>245271.40624944001</v>
      </c>
      <c r="I93" s="74">
        <v>1</v>
      </c>
      <c r="J93" s="66"/>
    </row>
    <row r="94" spans="1:10">
      <c r="A94" s="75" t="str">
        <f t="shared" si="1"/>
        <v>2018OTH_201601_P2T1</v>
      </c>
      <c r="B94" s="1375" t="s">
        <v>277</v>
      </c>
      <c r="C94" s="1375" t="s">
        <v>957</v>
      </c>
      <c r="D94" s="1375" t="s">
        <v>859</v>
      </c>
      <c r="E94" s="1375" t="s">
        <v>1001</v>
      </c>
      <c r="F94" s="1375" t="s">
        <v>741</v>
      </c>
      <c r="G94" s="66"/>
      <c r="H94" s="66">
        <v>87818.843101609993</v>
      </c>
      <c r="I94" s="74">
        <v>0.35804761934743667</v>
      </c>
      <c r="J94" s="66"/>
    </row>
    <row r="95" spans="1:10">
      <c r="A95" s="75" t="str">
        <f t="shared" si="1"/>
        <v>2018OTH_201601_P3T0</v>
      </c>
      <c r="B95" s="1375" t="s">
        <v>277</v>
      </c>
      <c r="C95" s="1375" t="s">
        <v>1009</v>
      </c>
      <c r="D95" s="1375" t="s">
        <v>859</v>
      </c>
      <c r="E95" s="1375" t="s">
        <v>913</v>
      </c>
      <c r="F95" s="1375" t="s">
        <v>1007</v>
      </c>
      <c r="G95" s="66"/>
      <c r="H95" s="66">
        <v>947836.48377435002</v>
      </c>
      <c r="I95" s="74">
        <v>1</v>
      </c>
      <c r="J95" s="66"/>
    </row>
    <row r="96" spans="1:10">
      <c r="A96" s="75" t="str">
        <f t="shared" si="1"/>
        <v>2018OTH_201601_P3T1</v>
      </c>
      <c r="B96" s="1375" t="s">
        <v>277</v>
      </c>
      <c r="C96" s="1375" t="s">
        <v>912</v>
      </c>
      <c r="D96" s="1375" t="s">
        <v>859</v>
      </c>
      <c r="E96" s="1375" t="s">
        <v>913</v>
      </c>
      <c r="F96" s="1375" t="s">
        <v>741</v>
      </c>
      <c r="G96" s="66"/>
      <c r="H96" s="66">
        <v>910717.07597401994</v>
      </c>
      <c r="I96" s="74">
        <v>0.96083775162091456</v>
      </c>
      <c r="J96" s="66"/>
    </row>
    <row r="97" spans="1:10">
      <c r="A97" s="75" t="str">
        <f t="shared" si="1"/>
        <v>2018RES_199702_P1T1</v>
      </c>
      <c r="B97" s="1375" t="s">
        <v>277</v>
      </c>
      <c r="C97" s="1375" t="s">
        <v>396</v>
      </c>
      <c r="D97" s="1375" t="s">
        <v>147</v>
      </c>
      <c r="E97" s="1375" t="s">
        <v>147</v>
      </c>
      <c r="F97" s="1375" t="s">
        <v>342</v>
      </c>
      <c r="G97" s="66">
        <v>4387821.5708642201</v>
      </c>
      <c r="H97" s="66">
        <v>399982.31279907998</v>
      </c>
      <c r="I97" s="74">
        <v>1</v>
      </c>
      <c r="J97" s="66">
        <v>0</v>
      </c>
    </row>
    <row r="98" spans="1:10">
      <c r="A98" s="75" t="str">
        <f t="shared" si="1"/>
        <v>2018RES_199702_P1T2</v>
      </c>
      <c r="B98" s="1375" t="s">
        <v>277</v>
      </c>
      <c r="C98" s="1375" t="s">
        <v>397</v>
      </c>
      <c r="D98" s="1375" t="s">
        <v>147</v>
      </c>
      <c r="E98" s="1375" t="s">
        <v>147</v>
      </c>
      <c r="F98" s="1375" t="s">
        <v>343</v>
      </c>
      <c r="G98" s="66">
        <v>4388340.19454554</v>
      </c>
      <c r="H98" s="66">
        <v>399982.31279907998</v>
      </c>
      <c r="I98" s="74">
        <v>1</v>
      </c>
      <c r="J98" s="66">
        <v>0</v>
      </c>
    </row>
    <row r="99" spans="1:10">
      <c r="A99" s="75" t="str">
        <f t="shared" si="1"/>
        <v>2018RES_199702_P1T3</v>
      </c>
      <c r="B99" s="1375" t="s">
        <v>277</v>
      </c>
      <c r="C99" s="1375" t="s">
        <v>398</v>
      </c>
      <c r="D99" s="1375" t="s">
        <v>147</v>
      </c>
      <c r="E99" s="1375" t="s">
        <v>147</v>
      </c>
      <c r="F99" s="1375" t="s">
        <v>345</v>
      </c>
      <c r="G99" s="66">
        <v>3050539.3095860998</v>
      </c>
      <c r="H99" s="66">
        <v>399982.31279907998</v>
      </c>
      <c r="I99" s="74">
        <v>1</v>
      </c>
      <c r="J99" s="66">
        <v>0</v>
      </c>
    </row>
    <row r="100" spans="1:10">
      <c r="A100" s="75" t="str">
        <f t="shared" si="1"/>
        <v>2018RES_199702_P1T4</v>
      </c>
      <c r="B100" s="1375" t="s">
        <v>277</v>
      </c>
      <c r="C100" s="1375" t="s">
        <v>40</v>
      </c>
      <c r="D100" s="1375" t="s">
        <v>147</v>
      </c>
      <c r="E100" s="1375" t="s">
        <v>147</v>
      </c>
      <c r="F100" s="1375" t="s">
        <v>346</v>
      </c>
      <c r="G100" s="66">
        <v>2131396.3610938</v>
      </c>
      <c r="H100" s="66">
        <v>223457.88885228999</v>
      </c>
      <c r="I100" s="74">
        <v>0.5586694253766612</v>
      </c>
      <c r="J100" s="66">
        <v>0</v>
      </c>
    </row>
    <row r="101" spans="1:10">
      <c r="A101" s="75" t="str">
        <f t="shared" si="1"/>
        <v>2018RES_199702_P1T5</v>
      </c>
      <c r="B101" s="1375" t="s">
        <v>277</v>
      </c>
      <c r="C101" s="1375" t="s">
        <v>41</v>
      </c>
      <c r="D101" s="1375" t="s">
        <v>147</v>
      </c>
      <c r="E101" s="1375" t="s">
        <v>147</v>
      </c>
      <c r="F101" s="1375" t="s">
        <v>344</v>
      </c>
      <c r="G101" s="66">
        <v>868715.75836516998</v>
      </c>
      <c r="H101" s="66">
        <v>223457.88885228999</v>
      </c>
      <c r="I101" s="74">
        <v>0.5586694253766612</v>
      </c>
      <c r="J101" s="66">
        <v>0</v>
      </c>
    </row>
    <row r="102" spans="1:10">
      <c r="A102" s="75" t="str">
        <f t="shared" si="1"/>
        <v>2018RES_199702_P1T6</v>
      </c>
      <c r="B102" s="1375" t="s">
        <v>277</v>
      </c>
      <c r="C102" s="1375" t="s">
        <v>42</v>
      </c>
      <c r="D102" s="1375" t="s">
        <v>147</v>
      </c>
      <c r="E102" s="1375" t="s">
        <v>147</v>
      </c>
      <c r="F102" s="1375" t="s">
        <v>160</v>
      </c>
      <c r="G102" s="66">
        <v>411981.98983958998</v>
      </c>
      <c r="H102" s="66">
        <v>67611.453953889999</v>
      </c>
      <c r="I102" s="74">
        <v>0.16903610932379587</v>
      </c>
      <c r="J102" s="66">
        <v>0</v>
      </c>
    </row>
    <row r="103" spans="1:10">
      <c r="A103" s="75" t="str">
        <f t="shared" si="1"/>
        <v>2018RES_199702_P1T7</v>
      </c>
      <c r="B103" s="1375" t="s">
        <v>277</v>
      </c>
      <c r="C103" s="1375" t="s">
        <v>43</v>
      </c>
      <c r="D103" s="1375" t="s">
        <v>147</v>
      </c>
      <c r="E103" s="1375" t="s">
        <v>147</v>
      </c>
      <c r="F103" s="1375" t="s">
        <v>161</v>
      </c>
      <c r="G103" s="66">
        <v>329956.52413238998</v>
      </c>
      <c r="H103" s="66">
        <v>67611.453953889999</v>
      </c>
      <c r="I103" s="74">
        <v>0.16903610932379587</v>
      </c>
      <c r="J103" s="66">
        <v>0</v>
      </c>
    </row>
    <row r="104" spans="1:10">
      <c r="A104" s="75" t="str">
        <f t="shared" si="1"/>
        <v>2018RES_199702_P1T8</v>
      </c>
      <c r="B104" s="1375" t="s">
        <v>277</v>
      </c>
      <c r="C104" s="1375" t="s">
        <v>44</v>
      </c>
      <c r="D104" s="1375" t="s">
        <v>147</v>
      </c>
      <c r="E104" s="1375" t="s">
        <v>147</v>
      </c>
      <c r="F104" s="1375" t="s">
        <v>162</v>
      </c>
      <c r="G104" s="66">
        <v>173887.77092949001</v>
      </c>
      <c r="H104" s="66">
        <v>39428.264493629998</v>
      </c>
      <c r="I104" s="74">
        <v>9.8575020024537163E-2</v>
      </c>
      <c r="J104" s="66">
        <v>0</v>
      </c>
    </row>
    <row r="105" spans="1:10">
      <c r="A105" s="75" t="str">
        <f t="shared" si="1"/>
        <v>2018RES_199703_P1T1</v>
      </c>
      <c r="B105" s="1375" t="s">
        <v>277</v>
      </c>
      <c r="C105" s="1375" t="s">
        <v>45</v>
      </c>
      <c r="D105" s="1375" t="s">
        <v>148</v>
      </c>
      <c r="E105" s="1375" t="s">
        <v>676</v>
      </c>
      <c r="F105" s="1375" t="s">
        <v>157</v>
      </c>
      <c r="G105" s="66">
        <v>171778324.464809</v>
      </c>
      <c r="H105" s="66">
        <v>1602545.72328477</v>
      </c>
      <c r="I105" s="74">
        <v>5.5447931457395475E-2</v>
      </c>
      <c r="J105" s="66">
        <v>0</v>
      </c>
    </row>
    <row r="106" spans="1:10">
      <c r="A106" s="75" t="str">
        <f t="shared" si="1"/>
        <v>2018RES_199703_P2T1</v>
      </c>
      <c r="B106" s="1375" t="s">
        <v>277</v>
      </c>
      <c r="C106" s="1375" t="s">
        <v>46</v>
      </c>
      <c r="D106" s="1375" t="s">
        <v>148</v>
      </c>
      <c r="E106" s="1375" t="s">
        <v>677</v>
      </c>
      <c r="F106" s="1375" t="s">
        <v>157</v>
      </c>
      <c r="G106" s="66">
        <v>36056330.413121998</v>
      </c>
      <c r="H106" s="66">
        <v>60433.703832680003</v>
      </c>
      <c r="I106" s="74">
        <v>3.0566553626353173E-3</v>
      </c>
      <c r="J106" s="66">
        <v>0</v>
      </c>
    </row>
    <row r="107" spans="1:10">
      <c r="A107" s="75" t="str">
        <f t="shared" si="1"/>
        <v>2018RES_199703_P3T1</v>
      </c>
      <c r="B107" s="1375" t="s">
        <v>277</v>
      </c>
      <c r="C107" s="1375" t="s">
        <v>102</v>
      </c>
      <c r="D107" s="1375" t="s">
        <v>148</v>
      </c>
      <c r="E107" s="1375" t="s">
        <v>300</v>
      </c>
      <c r="F107" s="1375" t="s">
        <v>157</v>
      </c>
      <c r="G107" s="66">
        <v>48646189.301437803</v>
      </c>
      <c r="H107" s="66">
        <v>17041704.807215702</v>
      </c>
      <c r="I107" s="74">
        <v>0.58964138516486564</v>
      </c>
      <c r="J107" s="66">
        <v>10592497.109999999</v>
      </c>
    </row>
    <row r="108" spans="1:10">
      <c r="A108" s="75" t="str">
        <f t="shared" si="1"/>
        <v>2018RES_199703_P4T1</v>
      </c>
      <c r="B108" s="1375" t="s">
        <v>277</v>
      </c>
      <c r="C108" s="1375" t="s">
        <v>103</v>
      </c>
      <c r="D108" s="1375" t="s">
        <v>148</v>
      </c>
      <c r="E108" s="1375" t="s">
        <v>301</v>
      </c>
      <c r="F108" s="1375" t="s">
        <v>157</v>
      </c>
      <c r="G108" s="66">
        <v>32965137.794835702</v>
      </c>
      <c r="H108" s="66">
        <v>11147517.6870303</v>
      </c>
      <c r="I108" s="74">
        <v>0.56382643387988685</v>
      </c>
      <c r="J108" s="66">
        <v>5328631.22</v>
      </c>
    </row>
    <row r="109" spans="1:10">
      <c r="A109" s="75" t="str">
        <f t="shared" si="1"/>
        <v>2018RES_199703_P5T1</v>
      </c>
      <c r="B109" s="1375" t="s">
        <v>277</v>
      </c>
      <c r="C109" s="1375" t="s">
        <v>914</v>
      </c>
      <c r="D109" s="1375" t="s">
        <v>148</v>
      </c>
      <c r="E109" s="1375" t="s">
        <v>678</v>
      </c>
      <c r="F109" s="1375" t="s">
        <v>157</v>
      </c>
      <c r="G109" s="66">
        <v>63862672.105490401</v>
      </c>
      <c r="H109" s="66">
        <v>10257562.055891801</v>
      </c>
      <c r="I109" s="74">
        <v>0.35491068337773801</v>
      </c>
      <c r="J109" s="66"/>
    </row>
    <row r="110" spans="1:10">
      <c r="A110" s="75" t="str">
        <f t="shared" si="1"/>
        <v>2018RES_199703_P6T1</v>
      </c>
      <c r="B110" s="1375" t="s">
        <v>277</v>
      </c>
      <c r="C110" s="1375" t="s">
        <v>915</v>
      </c>
      <c r="D110" s="1375" t="s">
        <v>148</v>
      </c>
      <c r="E110" s="1375" t="s">
        <v>679</v>
      </c>
      <c r="F110" s="1375" t="s">
        <v>157</v>
      </c>
      <c r="G110" s="66">
        <v>47411531.156853102</v>
      </c>
      <c r="H110" s="66">
        <v>8563235.3027447201</v>
      </c>
      <c r="I110" s="74">
        <v>0.43311691075747788</v>
      </c>
      <c r="J110" s="66"/>
    </row>
    <row r="111" spans="1:10">
      <c r="A111" s="75" t="str">
        <f t="shared" si="1"/>
        <v>2018RES_199705_P1T1</v>
      </c>
      <c r="B111" s="1375" t="s">
        <v>277</v>
      </c>
      <c r="C111" s="1375" t="s">
        <v>494</v>
      </c>
      <c r="D111" s="1375" t="s">
        <v>495</v>
      </c>
      <c r="E111" s="1375" t="s">
        <v>496</v>
      </c>
      <c r="F111" s="1375" t="s">
        <v>497</v>
      </c>
      <c r="G111" s="66"/>
      <c r="H111" s="66"/>
      <c r="I111" s="74"/>
      <c r="J111" s="66">
        <v>0</v>
      </c>
    </row>
    <row r="112" spans="1:10">
      <c r="A112" s="75" t="str">
        <f t="shared" si="1"/>
        <v>2018RES_200005_P1T1</v>
      </c>
      <c r="B112" s="1375" t="s">
        <v>277</v>
      </c>
      <c r="C112" s="1375" t="s">
        <v>401</v>
      </c>
      <c r="D112" s="1375" t="s">
        <v>291</v>
      </c>
      <c r="E112" s="1375" t="s">
        <v>291</v>
      </c>
      <c r="F112" s="1375" t="s">
        <v>347</v>
      </c>
      <c r="G112" s="66">
        <v>2938407.9463816201</v>
      </c>
      <c r="H112" s="66">
        <v>374356.81</v>
      </c>
      <c r="I112" s="74">
        <v>0.95000000000000007</v>
      </c>
      <c r="J112" s="66">
        <v>0</v>
      </c>
    </row>
    <row r="113" spans="1:10">
      <c r="A113" s="75" t="str">
        <f t="shared" si="1"/>
        <v>2018RES_200005_P1T2</v>
      </c>
      <c r="B113" s="1375" t="s">
        <v>277</v>
      </c>
      <c r="C113" s="1375" t="s">
        <v>402</v>
      </c>
      <c r="D113" s="1375" t="s">
        <v>291</v>
      </c>
      <c r="E113" s="1375" t="s">
        <v>291</v>
      </c>
      <c r="F113" s="1375" t="s">
        <v>348</v>
      </c>
      <c r="G113" s="66">
        <v>4902203.4538380196</v>
      </c>
      <c r="H113" s="66">
        <v>374356.81</v>
      </c>
      <c r="I113" s="74">
        <v>0.95000000000000007</v>
      </c>
      <c r="J113" s="66">
        <v>0</v>
      </c>
    </row>
    <row r="114" spans="1:10">
      <c r="A114" s="75" t="str">
        <f t="shared" si="1"/>
        <v>2018RES_200005_P1T3</v>
      </c>
      <c r="B114" s="1375" t="s">
        <v>277</v>
      </c>
      <c r="C114" s="1375" t="s">
        <v>403</v>
      </c>
      <c r="D114" s="1375" t="s">
        <v>291</v>
      </c>
      <c r="E114" s="1375" t="s">
        <v>291</v>
      </c>
      <c r="F114" s="1375" t="s">
        <v>349</v>
      </c>
      <c r="G114" s="66">
        <v>2725042.6584932702</v>
      </c>
      <c r="H114" s="66">
        <v>374356.81</v>
      </c>
      <c r="I114" s="74">
        <v>0.95000000000000007</v>
      </c>
      <c r="J114" s="66">
        <v>0</v>
      </c>
    </row>
    <row r="115" spans="1:10">
      <c r="A115" s="75" t="str">
        <f t="shared" si="1"/>
        <v>2018RES_200005_P1T4</v>
      </c>
      <c r="B115" s="1375" t="s">
        <v>277</v>
      </c>
      <c r="C115" s="1375" t="s">
        <v>404</v>
      </c>
      <c r="D115" s="1375" t="s">
        <v>291</v>
      </c>
      <c r="E115" s="1375" t="s">
        <v>291</v>
      </c>
      <c r="F115" s="1375" t="s">
        <v>350</v>
      </c>
      <c r="G115" s="66">
        <v>2681349.1584932702</v>
      </c>
      <c r="H115" s="66">
        <v>374356.81</v>
      </c>
      <c r="I115" s="74">
        <v>0.95000000000000007</v>
      </c>
      <c r="J115" s="66">
        <v>0</v>
      </c>
    </row>
    <row r="116" spans="1:10">
      <c r="A116" s="75" t="str">
        <f t="shared" si="1"/>
        <v>2018RES_200006_P1T1</v>
      </c>
      <c r="B116" s="1375" t="s">
        <v>277</v>
      </c>
      <c r="C116" s="1375" t="s">
        <v>445</v>
      </c>
      <c r="D116" s="1375" t="s">
        <v>314</v>
      </c>
      <c r="E116" s="1375" t="s">
        <v>314</v>
      </c>
      <c r="F116" s="1375" t="s">
        <v>379</v>
      </c>
      <c r="G116" s="66">
        <v>4079204.7718097302</v>
      </c>
      <c r="H116" s="66">
        <v>435019</v>
      </c>
      <c r="I116" s="74">
        <v>1</v>
      </c>
      <c r="J116" s="66">
        <v>0</v>
      </c>
    </row>
    <row r="117" spans="1:10">
      <c r="A117" s="75" t="str">
        <f t="shared" si="1"/>
        <v>2018RES_200006_P1T2</v>
      </c>
      <c r="B117" s="1375" t="s">
        <v>277</v>
      </c>
      <c r="C117" s="1375" t="s">
        <v>446</v>
      </c>
      <c r="D117" s="1375" t="s">
        <v>314</v>
      </c>
      <c r="E117" s="1375" t="s">
        <v>314</v>
      </c>
      <c r="F117" s="1375" t="s">
        <v>380</v>
      </c>
      <c r="G117" s="66">
        <v>2880229.7932000002</v>
      </c>
      <c r="H117" s="66">
        <v>435019</v>
      </c>
      <c r="I117" s="74">
        <v>1</v>
      </c>
      <c r="J117" s="66">
        <v>5726</v>
      </c>
    </row>
    <row r="118" spans="1:10">
      <c r="A118" s="75" t="str">
        <f t="shared" si="1"/>
        <v>2018RES_200006_P1T3</v>
      </c>
      <c r="B118" s="1375" t="s">
        <v>277</v>
      </c>
      <c r="C118" s="1375" t="s">
        <v>442</v>
      </c>
      <c r="D118" s="1375" t="s">
        <v>314</v>
      </c>
      <c r="E118" s="1375" t="s">
        <v>314</v>
      </c>
      <c r="F118" s="1375" t="s">
        <v>376</v>
      </c>
      <c r="G118" s="66">
        <v>0</v>
      </c>
      <c r="H118" s="66">
        <v>0</v>
      </c>
      <c r="I118" s="74">
        <v>0</v>
      </c>
      <c r="J118" s="66">
        <v>10680</v>
      </c>
    </row>
    <row r="119" spans="1:10">
      <c r="A119" s="75" t="str">
        <f t="shared" si="1"/>
        <v>2018RES_200006_P1T4</v>
      </c>
      <c r="B119" s="1375" t="s">
        <v>277</v>
      </c>
      <c r="C119" s="1375" t="s">
        <v>443</v>
      </c>
      <c r="D119" s="1375" t="s">
        <v>314</v>
      </c>
      <c r="E119" s="1375" t="s">
        <v>314</v>
      </c>
      <c r="F119" s="1375" t="s">
        <v>377</v>
      </c>
      <c r="G119" s="66">
        <v>0</v>
      </c>
      <c r="H119" s="66">
        <v>0</v>
      </c>
      <c r="I119" s="74">
        <v>0</v>
      </c>
      <c r="J119" s="66">
        <v>277</v>
      </c>
    </row>
    <row r="120" spans="1:10">
      <c r="A120" s="75" t="str">
        <f t="shared" si="1"/>
        <v>2018RES_200006_P1T5</v>
      </c>
      <c r="B120" s="1375" t="s">
        <v>277</v>
      </c>
      <c r="C120" s="1375" t="s">
        <v>444</v>
      </c>
      <c r="D120" s="1375" t="s">
        <v>314</v>
      </c>
      <c r="E120" s="1375" t="s">
        <v>314</v>
      </c>
      <c r="F120" s="1375" t="s">
        <v>378</v>
      </c>
      <c r="G120" s="66">
        <v>0</v>
      </c>
      <c r="H120" s="66">
        <v>0</v>
      </c>
      <c r="I120" s="74">
        <v>0</v>
      </c>
      <c r="J120" s="66">
        <v>124</v>
      </c>
    </row>
    <row r="121" spans="1:10">
      <c r="A121" s="75" t="str">
        <f t="shared" si="1"/>
        <v>2018RES_200401_P11T1</v>
      </c>
      <c r="B121" s="1375" t="s">
        <v>277</v>
      </c>
      <c r="C121" s="1375" t="s">
        <v>47</v>
      </c>
      <c r="D121" s="1375" t="s">
        <v>469</v>
      </c>
      <c r="E121" s="1375" t="s">
        <v>916</v>
      </c>
      <c r="F121" s="1375" t="s">
        <v>917</v>
      </c>
      <c r="G121" s="66"/>
      <c r="H121" s="66">
        <v>0</v>
      </c>
      <c r="I121" s="74">
        <v>0</v>
      </c>
      <c r="J121" s="66">
        <v>0</v>
      </c>
    </row>
    <row r="122" spans="1:10">
      <c r="A122" s="75" t="str">
        <f t="shared" si="1"/>
        <v>2018RES_200401_P13T1</v>
      </c>
      <c r="B122" s="1375" t="s">
        <v>277</v>
      </c>
      <c r="C122" s="1375" t="s">
        <v>432</v>
      </c>
      <c r="D122" s="1375" t="s">
        <v>469</v>
      </c>
      <c r="E122" s="1375" t="s">
        <v>308</v>
      </c>
      <c r="F122" s="1375" t="s">
        <v>917</v>
      </c>
      <c r="G122" s="66"/>
      <c r="H122" s="66">
        <v>0</v>
      </c>
      <c r="I122" s="74"/>
      <c r="J122" s="66">
        <v>0</v>
      </c>
    </row>
    <row r="123" spans="1:10">
      <c r="A123" s="75" t="str">
        <f t="shared" si="1"/>
        <v>2018RES_200401_P1T1</v>
      </c>
      <c r="B123" s="1375" t="s">
        <v>277</v>
      </c>
      <c r="C123" s="1375" t="s">
        <v>409</v>
      </c>
      <c r="D123" s="1375" t="s">
        <v>469</v>
      </c>
      <c r="E123" s="1375" t="s">
        <v>295</v>
      </c>
      <c r="F123" s="1375" t="s">
        <v>353</v>
      </c>
      <c r="G123" s="66"/>
      <c r="H123" s="66">
        <v>10667.17677643</v>
      </c>
      <c r="I123" s="74">
        <v>0.97346019131502104</v>
      </c>
      <c r="J123" s="66">
        <v>0</v>
      </c>
    </row>
    <row r="124" spans="1:10">
      <c r="A124" s="75" t="str">
        <f t="shared" si="1"/>
        <v>2018RES_200401_P1T2</v>
      </c>
      <c r="B124" s="1375" t="s">
        <v>277</v>
      </c>
      <c r="C124" s="1375" t="s">
        <v>410</v>
      </c>
      <c r="D124" s="1375" t="s">
        <v>469</v>
      </c>
      <c r="E124" s="1375" t="s">
        <v>295</v>
      </c>
      <c r="F124" s="1375" t="s">
        <v>354</v>
      </c>
      <c r="G124" s="66"/>
      <c r="H124" s="66">
        <v>10667.17677643</v>
      </c>
      <c r="I124" s="74">
        <v>0.97346019131502104</v>
      </c>
      <c r="J124" s="66">
        <v>0</v>
      </c>
    </row>
    <row r="125" spans="1:10">
      <c r="A125" s="75" t="str">
        <f t="shared" si="1"/>
        <v>2018RES_200401_P1T3</v>
      </c>
      <c r="B125" s="1375" t="s">
        <v>277</v>
      </c>
      <c r="C125" s="1375" t="s">
        <v>411</v>
      </c>
      <c r="D125" s="1375" t="s">
        <v>469</v>
      </c>
      <c r="E125" s="1375" t="s">
        <v>295</v>
      </c>
      <c r="F125" s="1375" t="s">
        <v>355</v>
      </c>
      <c r="G125" s="66"/>
      <c r="H125" s="66">
        <v>10667.17677643</v>
      </c>
      <c r="I125" s="74">
        <v>0.97346019131502104</v>
      </c>
      <c r="J125" s="66">
        <v>0</v>
      </c>
    </row>
    <row r="126" spans="1:10">
      <c r="A126" s="75" t="str">
        <f t="shared" si="1"/>
        <v>2018RES_200401_P2T1</v>
      </c>
      <c r="B126" s="1375" t="s">
        <v>277</v>
      </c>
      <c r="C126" s="1375" t="s">
        <v>422</v>
      </c>
      <c r="D126" s="1375" t="s">
        <v>469</v>
      </c>
      <c r="E126" s="1375" t="s">
        <v>303</v>
      </c>
      <c r="F126" s="1375" t="s">
        <v>364</v>
      </c>
      <c r="G126" s="66"/>
      <c r="H126" s="66">
        <v>2661.2569149300002</v>
      </c>
      <c r="I126" s="74">
        <v>0.94504862035866488</v>
      </c>
      <c r="J126" s="66">
        <v>0</v>
      </c>
    </row>
    <row r="127" spans="1:10">
      <c r="A127" s="75" t="str">
        <f t="shared" si="1"/>
        <v>2018RES_200401_P2T2</v>
      </c>
      <c r="B127" s="1375" t="s">
        <v>277</v>
      </c>
      <c r="C127" s="1375" t="s">
        <v>423</v>
      </c>
      <c r="D127" s="1375" t="s">
        <v>469</v>
      </c>
      <c r="E127" s="1375" t="s">
        <v>303</v>
      </c>
      <c r="F127" s="1375" t="s">
        <v>365</v>
      </c>
      <c r="G127" s="66"/>
      <c r="H127" s="66">
        <v>2661.2569149300002</v>
      </c>
      <c r="I127" s="74">
        <v>0.94504862035866488</v>
      </c>
      <c r="J127" s="66">
        <v>0</v>
      </c>
    </row>
    <row r="128" spans="1:10">
      <c r="A128" s="75" t="str">
        <f t="shared" si="1"/>
        <v>2018RES_200401_P2T3</v>
      </c>
      <c r="B128" s="1375" t="s">
        <v>277</v>
      </c>
      <c r="C128" s="1375" t="s">
        <v>424</v>
      </c>
      <c r="D128" s="1375" t="s">
        <v>469</v>
      </c>
      <c r="E128" s="1375" t="s">
        <v>303</v>
      </c>
      <c r="F128" s="1375" t="s">
        <v>366</v>
      </c>
      <c r="G128" s="66"/>
      <c r="H128" s="66">
        <v>2661.2569149300002</v>
      </c>
      <c r="I128" s="74">
        <v>0.94504862035866488</v>
      </c>
      <c r="J128" s="66">
        <v>0</v>
      </c>
    </row>
    <row r="129" spans="1:10">
      <c r="A129" s="75" t="str">
        <f t="shared" si="1"/>
        <v>2018RES_200401_P3T1</v>
      </c>
      <c r="B129" s="1375" t="s">
        <v>277</v>
      </c>
      <c r="C129" s="1375" t="s">
        <v>434</v>
      </c>
      <c r="D129" s="1375" t="s">
        <v>469</v>
      </c>
      <c r="E129" s="1375" t="s">
        <v>309</v>
      </c>
      <c r="F129" s="1375" t="s">
        <v>371</v>
      </c>
      <c r="G129" s="66"/>
      <c r="H129" s="66">
        <v>8436.61</v>
      </c>
      <c r="I129" s="74">
        <v>0.91</v>
      </c>
      <c r="J129" s="66">
        <v>0</v>
      </c>
    </row>
    <row r="130" spans="1:10">
      <c r="A130" s="75" t="str">
        <f t="shared" si="1"/>
        <v>2018RES_200401_P3T2</v>
      </c>
      <c r="B130" s="1375" t="s">
        <v>277</v>
      </c>
      <c r="C130" s="1375" t="s">
        <v>435</v>
      </c>
      <c r="D130" s="1375" t="s">
        <v>469</v>
      </c>
      <c r="E130" s="1375" t="s">
        <v>309</v>
      </c>
      <c r="F130" s="1375" t="s">
        <v>1518</v>
      </c>
      <c r="G130" s="66"/>
      <c r="H130" s="66">
        <v>8436.61</v>
      </c>
      <c r="I130" s="74">
        <v>0.91</v>
      </c>
      <c r="J130" s="66">
        <v>0</v>
      </c>
    </row>
    <row r="131" spans="1:10">
      <c r="A131" s="75" t="str">
        <f t="shared" si="1"/>
        <v>2018RES_200401_P4T1</v>
      </c>
      <c r="B131" s="1375" t="s">
        <v>277</v>
      </c>
      <c r="C131" s="1375" t="s">
        <v>455</v>
      </c>
      <c r="D131" s="1375" t="s">
        <v>469</v>
      </c>
      <c r="E131" s="1375" t="s">
        <v>327</v>
      </c>
      <c r="F131" s="1375" t="s">
        <v>382</v>
      </c>
      <c r="G131" s="66"/>
      <c r="H131" s="66">
        <v>23618.880000000001</v>
      </c>
      <c r="I131" s="74">
        <v>0.96000000000000008</v>
      </c>
      <c r="J131" s="66">
        <v>0</v>
      </c>
    </row>
    <row r="132" spans="1:10">
      <c r="A132" s="75" t="str">
        <f t="shared" si="1"/>
        <v>2018RES_200401_P4T2</v>
      </c>
      <c r="B132" s="1375" t="s">
        <v>277</v>
      </c>
      <c r="C132" s="1375" t="s">
        <v>456</v>
      </c>
      <c r="D132" s="1375" t="s">
        <v>469</v>
      </c>
      <c r="E132" s="1375" t="s">
        <v>327</v>
      </c>
      <c r="F132" s="1375" t="s">
        <v>383</v>
      </c>
      <c r="G132" s="66"/>
      <c r="H132" s="66">
        <v>23618.880000000001</v>
      </c>
      <c r="I132" s="74">
        <v>0.96000000000000008</v>
      </c>
      <c r="J132" s="66">
        <v>0</v>
      </c>
    </row>
    <row r="133" spans="1:10">
      <c r="A133" s="75" t="str">
        <f t="shared" si="1"/>
        <v>2018RES_200401_P4T3</v>
      </c>
      <c r="B133" s="1375" t="s">
        <v>277</v>
      </c>
      <c r="C133" s="1375" t="s">
        <v>457</v>
      </c>
      <c r="D133" s="1375" t="s">
        <v>469</v>
      </c>
      <c r="E133" s="1375" t="s">
        <v>327</v>
      </c>
      <c r="F133" s="1375" t="s">
        <v>384</v>
      </c>
      <c r="G133" s="66"/>
      <c r="H133" s="66">
        <v>23618.880000000001</v>
      </c>
      <c r="I133" s="74">
        <v>0.96000000000000008</v>
      </c>
      <c r="J133" s="66">
        <v>0</v>
      </c>
    </row>
    <row r="134" spans="1:10">
      <c r="A134" s="75" t="str">
        <f t="shared" si="1"/>
        <v>2018RES_200401_P5T1</v>
      </c>
      <c r="B134" s="1375" t="s">
        <v>277</v>
      </c>
      <c r="C134" s="1375" t="s">
        <v>48</v>
      </c>
      <c r="D134" s="1375" t="s">
        <v>469</v>
      </c>
      <c r="E134" s="1375" t="s">
        <v>918</v>
      </c>
      <c r="F134" s="1375" t="s">
        <v>917</v>
      </c>
      <c r="G134" s="66"/>
      <c r="H134" s="66">
        <v>0</v>
      </c>
      <c r="I134" s="74">
        <v>0</v>
      </c>
      <c r="J134" s="66">
        <v>0</v>
      </c>
    </row>
    <row r="135" spans="1:10">
      <c r="A135" s="75" t="str">
        <f t="shared" ref="A135:A198" si="2">B135&amp;C135</f>
        <v>2018RES_200401_P6T1</v>
      </c>
      <c r="B135" s="1375" t="s">
        <v>277</v>
      </c>
      <c r="C135" s="1375" t="s">
        <v>49</v>
      </c>
      <c r="D135" s="1375" t="s">
        <v>469</v>
      </c>
      <c r="E135" s="1375" t="s">
        <v>919</v>
      </c>
      <c r="F135" s="1375" t="s">
        <v>917</v>
      </c>
      <c r="G135" s="66"/>
      <c r="H135" s="66">
        <v>0</v>
      </c>
      <c r="I135" s="74">
        <v>0</v>
      </c>
      <c r="J135" s="66">
        <v>0</v>
      </c>
    </row>
    <row r="136" spans="1:10">
      <c r="A136" s="75" t="str">
        <f t="shared" si="2"/>
        <v>2018RES_200401_P7T1</v>
      </c>
      <c r="B136" s="1375" t="s">
        <v>277</v>
      </c>
      <c r="C136" s="1375" t="s">
        <v>50</v>
      </c>
      <c r="D136" s="1375" t="s">
        <v>469</v>
      </c>
      <c r="E136" s="1375" t="s">
        <v>920</v>
      </c>
      <c r="F136" s="1375" t="s">
        <v>917</v>
      </c>
      <c r="G136" s="66"/>
      <c r="H136" s="66">
        <v>0</v>
      </c>
      <c r="I136" s="74">
        <v>0</v>
      </c>
      <c r="J136" s="66">
        <v>0</v>
      </c>
    </row>
    <row r="137" spans="1:10">
      <c r="A137" s="75" t="str">
        <f t="shared" si="2"/>
        <v>2018RES_200601_P1T1</v>
      </c>
      <c r="B137" s="1375" t="s">
        <v>277</v>
      </c>
      <c r="C137" s="1375" t="s">
        <v>417</v>
      </c>
      <c r="D137" s="1375" t="s">
        <v>149</v>
      </c>
      <c r="E137" s="1375" t="s">
        <v>298</v>
      </c>
      <c r="F137" s="1375" t="s">
        <v>353</v>
      </c>
      <c r="G137" s="66"/>
      <c r="H137" s="66">
        <v>2243.7846498099998</v>
      </c>
      <c r="I137" s="74">
        <v>0.97346019131288186</v>
      </c>
      <c r="J137" s="66">
        <v>0</v>
      </c>
    </row>
    <row r="138" spans="1:10">
      <c r="A138" s="75" t="str">
        <f t="shared" si="2"/>
        <v>2018RES_200601_P1T2</v>
      </c>
      <c r="B138" s="1375" t="s">
        <v>277</v>
      </c>
      <c r="C138" s="1375" t="s">
        <v>418</v>
      </c>
      <c r="D138" s="1375" t="s">
        <v>149</v>
      </c>
      <c r="E138" s="1375" t="s">
        <v>298</v>
      </c>
      <c r="F138" s="1375" t="s">
        <v>354</v>
      </c>
      <c r="G138" s="66"/>
      <c r="H138" s="66">
        <v>2243.7846498099998</v>
      </c>
      <c r="I138" s="74">
        <v>0.97346019131288186</v>
      </c>
      <c r="J138" s="66">
        <v>0</v>
      </c>
    </row>
    <row r="139" spans="1:10">
      <c r="A139" s="75" t="str">
        <f t="shared" si="2"/>
        <v>2018RES_200601_P1T3</v>
      </c>
      <c r="B139" s="1375" t="s">
        <v>277</v>
      </c>
      <c r="C139" s="1375" t="s">
        <v>419</v>
      </c>
      <c r="D139" s="1375" t="s">
        <v>149</v>
      </c>
      <c r="E139" s="1375" t="s">
        <v>298</v>
      </c>
      <c r="F139" s="1375" t="s">
        <v>355</v>
      </c>
      <c r="G139" s="66"/>
      <c r="H139" s="66">
        <v>2243.7846498099998</v>
      </c>
      <c r="I139" s="74">
        <v>0.97346019131288186</v>
      </c>
      <c r="J139" s="66">
        <v>0</v>
      </c>
    </row>
    <row r="140" spans="1:10">
      <c r="A140" s="75" t="str">
        <f t="shared" si="2"/>
        <v>2018RES_200601_P1T4</v>
      </c>
      <c r="B140" s="1375" t="s">
        <v>277</v>
      </c>
      <c r="C140" s="1375" t="s">
        <v>1321</v>
      </c>
      <c r="D140" s="1375" t="s">
        <v>149</v>
      </c>
      <c r="E140" s="1375" t="s">
        <v>298</v>
      </c>
      <c r="F140" s="1375" t="s">
        <v>356</v>
      </c>
      <c r="G140" s="66"/>
      <c r="H140" s="66">
        <v>1121.8923249100001</v>
      </c>
      <c r="I140" s="74">
        <v>0.4867300956586102</v>
      </c>
      <c r="J140" s="66">
        <v>0</v>
      </c>
    </row>
    <row r="141" spans="1:10">
      <c r="A141" s="75" t="str">
        <f t="shared" si="2"/>
        <v>2018RES_200601_P1T5</v>
      </c>
      <c r="B141" s="1375" t="s">
        <v>277</v>
      </c>
      <c r="C141" s="1375" t="s">
        <v>74</v>
      </c>
      <c r="D141" s="1375" t="s">
        <v>149</v>
      </c>
      <c r="E141" s="1375" t="s">
        <v>298</v>
      </c>
      <c r="F141" s="1375" t="s">
        <v>357</v>
      </c>
      <c r="G141" s="66"/>
      <c r="H141" s="66">
        <v>0</v>
      </c>
      <c r="I141" s="74">
        <v>0</v>
      </c>
      <c r="J141" s="66">
        <v>0</v>
      </c>
    </row>
    <row r="142" spans="1:10">
      <c r="A142" s="75" t="str">
        <f t="shared" si="2"/>
        <v>2018RES_200601_P1T6</v>
      </c>
      <c r="B142" s="1375" t="s">
        <v>277</v>
      </c>
      <c r="C142" s="1375" t="s">
        <v>1519</v>
      </c>
      <c r="D142" s="1375" t="s">
        <v>149</v>
      </c>
      <c r="E142" s="1375" t="s">
        <v>298</v>
      </c>
      <c r="F142" s="1375" t="s">
        <v>367</v>
      </c>
      <c r="G142" s="66"/>
      <c r="H142" s="66">
        <v>0</v>
      </c>
      <c r="I142" s="74">
        <v>0</v>
      </c>
      <c r="J142" s="66">
        <v>0</v>
      </c>
    </row>
    <row r="143" spans="1:10">
      <c r="A143" s="75" t="str">
        <f t="shared" si="2"/>
        <v>2018RES_200601_P2T1</v>
      </c>
      <c r="B143" s="1375" t="s">
        <v>277</v>
      </c>
      <c r="C143" s="1375" t="s">
        <v>429</v>
      </c>
      <c r="D143" s="1375" t="s">
        <v>149</v>
      </c>
      <c r="E143" s="1375" t="s">
        <v>306</v>
      </c>
      <c r="F143" s="1375" t="s">
        <v>364</v>
      </c>
      <c r="G143" s="66"/>
      <c r="H143" s="66">
        <v>664.07005492999997</v>
      </c>
      <c r="I143" s="74">
        <v>0.9450486203595071</v>
      </c>
      <c r="J143" s="66">
        <v>0</v>
      </c>
    </row>
    <row r="144" spans="1:10">
      <c r="A144" s="75" t="str">
        <f t="shared" si="2"/>
        <v>2018RES_200601_P2T2</v>
      </c>
      <c r="B144" s="1375" t="s">
        <v>277</v>
      </c>
      <c r="C144" s="1375" t="s">
        <v>430</v>
      </c>
      <c r="D144" s="1375" t="s">
        <v>149</v>
      </c>
      <c r="E144" s="1375" t="s">
        <v>306</v>
      </c>
      <c r="F144" s="1375" t="s">
        <v>365</v>
      </c>
      <c r="G144" s="66"/>
      <c r="H144" s="66">
        <v>664.07005492999997</v>
      </c>
      <c r="I144" s="74">
        <v>0.9450486203595071</v>
      </c>
      <c r="J144" s="66">
        <v>0</v>
      </c>
    </row>
    <row r="145" spans="1:10">
      <c r="A145" s="75" t="str">
        <f t="shared" si="2"/>
        <v>2018RES_200601_P2T3</v>
      </c>
      <c r="B145" s="1375" t="s">
        <v>277</v>
      </c>
      <c r="C145" s="1375" t="s">
        <v>431</v>
      </c>
      <c r="D145" s="1375" t="s">
        <v>149</v>
      </c>
      <c r="E145" s="1375" t="s">
        <v>306</v>
      </c>
      <c r="F145" s="1375" t="s">
        <v>366</v>
      </c>
      <c r="G145" s="66"/>
      <c r="H145" s="66">
        <v>664.07005492999997</v>
      </c>
      <c r="I145" s="74">
        <v>0.9450486203595071</v>
      </c>
      <c r="J145" s="66">
        <v>0</v>
      </c>
    </row>
    <row r="146" spans="1:10">
      <c r="A146" s="75" t="str">
        <f t="shared" si="2"/>
        <v>2018RES_200601_P2T4</v>
      </c>
      <c r="B146" s="1375" t="s">
        <v>277</v>
      </c>
      <c r="C146" s="1375" t="s">
        <v>1322</v>
      </c>
      <c r="D146" s="1375" t="s">
        <v>149</v>
      </c>
      <c r="E146" s="1375" t="s">
        <v>306</v>
      </c>
      <c r="F146" s="1375" t="s">
        <v>356</v>
      </c>
      <c r="G146" s="66"/>
      <c r="H146" s="66">
        <v>664.07005492999997</v>
      </c>
      <c r="I146" s="74">
        <v>0.9450486203595071</v>
      </c>
      <c r="J146" s="66">
        <v>0</v>
      </c>
    </row>
    <row r="147" spans="1:10">
      <c r="A147" s="75" t="str">
        <f t="shared" si="2"/>
        <v>2018RES_200601_P2T5</v>
      </c>
      <c r="B147" s="1375" t="s">
        <v>277</v>
      </c>
      <c r="C147" s="1375" t="s">
        <v>75</v>
      </c>
      <c r="D147" s="1375" t="s">
        <v>149</v>
      </c>
      <c r="E147" s="1375" t="s">
        <v>306</v>
      </c>
      <c r="F147" s="1375" t="s">
        <v>357</v>
      </c>
      <c r="G147" s="66"/>
      <c r="H147" s="66">
        <v>0</v>
      </c>
      <c r="I147" s="74">
        <v>0</v>
      </c>
      <c r="J147" s="66">
        <v>0</v>
      </c>
    </row>
    <row r="148" spans="1:10">
      <c r="A148" s="75" t="str">
        <f t="shared" si="2"/>
        <v>2018RES_200601_P2T6</v>
      </c>
      <c r="B148" s="1375" t="s">
        <v>277</v>
      </c>
      <c r="C148" s="1375" t="s">
        <v>1520</v>
      </c>
      <c r="D148" s="1375" t="s">
        <v>149</v>
      </c>
      <c r="E148" s="1375" t="s">
        <v>306</v>
      </c>
      <c r="F148" s="1375" t="s">
        <v>367</v>
      </c>
      <c r="G148" s="66"/>
      <c r="H148" s="66">
        <v>0</v>
      </c>
      <c r="I148" s="74">
        <v>0</v>
      </c>
      <c r="J148" s="66">
        <v>0</v>
      </c>
    </row>
    <row r="149" spans="1:10">
      <c r="A149" s="75" t="str">
        <f t="shared" si="2"/>
        <v>2018RES_200601_P3T1</v>
      </c>
      <c r="B149" s="1375" t="s">
        <v>277</v>
      </c>
      <c r="C149" s="1375" t="s">
        <v>441</v>
      </c>
      <c r="D149" s="1375" t="s">
        <v>149</v>
      </c>
      <c r="E149" s="1375" t="s">
        <v>312</v>
      </c>
      <c r="F149" s="1375" t="s">
        <v>371</v>
      </c>
      <c r="G149" s="66"/>
      <c r="H149" s="66">
        <v>2605.9468317999999</v>
      </c>
      <c r="I149" s="74">
        <v>0.89177550706982178</v>
      </c>
      <c r="J149" s="66">
        <v>0</v>
      </c>
    </row>
    <row r="150" spans="1:10">
      <c r="A150" s="75" t="str">
        <f t="shared" si="2"/>
        <v>2018RES_200601_P3T2</v>
      </c>
      <c r="B150" s="1375" t="s">
        <v>277</v>
      </c>
      <c r="C150" s="1375" t="s">
        <v>1521</v>
      </c>
      <c r="D150" s="1375" t="s">
        <v>149</v>
      </c>
      <c r="E150" s="1375" t="s">
        <v>312</v>
      </c>
      <c r="F150" s="1375" t="s">
        <v>1518</v>
      </c>
      <c r="G150" s="66"/>
      <c r="H150" s="66">
        <v>2605.9468317999999</v>
      </c>
      <c r="I150" s="74">
        <v>0.89177550706982178</v>
      </c>
      <c r="J150" s="66">
        <v>0</v>
      </c>
    </row>
    <row r="151" spans="1:10">
      <c r="A151" s="75" t="str">
        <f t="shared" si="2"/>
        <v>2018RES_200601_P3T3</v>
      </c>
      <c r="B151" s="1375" t="s">
        <v>277</v>
      </c>
      <c r="C151" s="1375" t="s">
        <v>1522</v>
      </c>
      <c r="D151" s="1375" t="s">
        <v>149</v>
      </c>
      <c r="E151" s="1375" t="s">
        <v>312</v>
      </c>
      <c r="F151" s="1375" t="s">
        <v>1523</v>
      </c>
      <c r="G151" s="66"/>
      <c r="H151" s="66">
        <v>2605.9468317999999</v>
      </c>
      <c r="I151" s="74">
        <v>0.89177550706982178</v>
      </c>
      <c r="J151" s="66">
        <v>0</v>
      </c>
    </row>
    <row r="152" spans="1:10">
      <c r="A152" s="75" t="str">
        <f t="shared" si="2"/>
        <v>2018RES_200601_P3T4</v>
      </c>
      <c r="B152" s="1375" t="s">
        <v>277</v>
      </c>
      <c r="C152" s="1375" t="s">
        <v>755</v>
      </c>
      <c r="D152" s="1375" t="s">
        <v>149</v>
      </c>
      <c r="E152" s="1375" t="s">
        <v>312</v>
      </c>
      <c r="F152" s="1375" t="s">
        <v>810</v>
      </c>
      <c r="G152" s="66"/>
      <c r="H152" s="66">
        <v>1302.9734159</v>
      </c>
      <c r="I152" s="74">
        <v>0.44588775353491089</v>
      </c>
      <c r="J152" s="66">
        <v>0</v>
      </c>
    </row>
    <row r="153" spans="1:10">
      <c r="A153" s="75" t="str">
        <f t="shared" si="2"/>
        <v>2018RES_200601_P3T5</v>
      </c>
      <c r="B153" s="1375" t="s">
        <v>277</v>
      </c>
      <c r="C153" s="1375" t="s">
        <v>1312</v>
      </c>
      <c r="D153" s="1375" t="s">
        <v>149</v>
      </c>
      <c r="E153" s="1375" t="s">
        <v>312</v>
      </c>
      <c r="F153" s="1375" t="s">
        <v>1564</v>
      </c>
      <c r="G153" s="66"/>
      <c r="H153" s="66">
        <v>0</v>
      </c>
      <c r="I153" s="74">
        <v>0</v>
      </c>
      <c r="J153" s="66">
        <v>0</v>
      </c>
    </row>
    <row r="154" spans="1:10">
      <c r="A154" s="75" t="str">
        <f t="shared" si="2"/>
        <v>2018RES_200601_P3T6</v>
      </c>
      <c r="B154" s="1375" t="s">
        <v>277</v>
      </c>
      <c r="C154" s="1375" t="s">
        <v>1524</v>
      </c>
      <c r="D154" s="1375" t="s">
        <v>149</v>
      </c>
      <c r="E154" s="1375" t="s">
        <v>312</v>
      </c>
      <c r="F154" s="1375" t="s">
        <v>944</v>
      </c>
      <c r="G154" s="66"/>
      <c r="H154" s="66">
        <v>0</v>
      </c>
      <c r="I154" s="74">
        <v>0</v>
      </c>
      <c r="J154" s="66">
        <v>0</v>
      </c>
    </row>
    <row r="155" spans="1:10">
      <c r="A155" s="75" t="str">
        <f t="shared" si="2"/>
        <v>2018RES_200601_P4T1</v>
      </c>
      <c r="B155" s="1375" t="s">
        <v>277</v>
      </c>
      <c r="C155" s="1375" t="s">
        <v>464</v>
      </c>
      <c r="D155" s="1375" t="s">
        <v>149</v>
      </c>
      <c r="E155" s="1375" t="s">
        <v>330</v>
      </c>
      <c r="F155" s="1375" t="s">
        <v>382</v>
      </c>
      <c r="G155" s="66"/>
      <c r="H155" s="66">
        <v>20296.536931459999</v>
      </c>
      <c r="I155" s="74">
        <v>4.6906882271101127</v>
      </c>
      <c r="J155" s="66">
        <v>0</v>
      </c>
    </row>
    <row r="156" spans="1:10">
      <c r="A156" s="75" t="str">
        <f t="shared" si="2"/>
        <v>2018RES_200601_P4T2</v>
      </c>
      <c r="B156" s="1375" t="s">
        <v>277</v>
      </c>
      <c r="C156" s="1375" t="s">
        <v>465</v>
      </c>
      <c r="D156" s="1375" t="s">
        <v>149</v>
      </c>
      <c r="E156" s="1375" t="s">
        <v>330</v>
      </c>
      <c r="F156" s="1375" t="s">
        <v>383</v>
      </c>
      <c r="G156" s="66"/>
      <c r="H156" s="66">
        <v>0</v>
      </c>
      <c r="I156" s="74">
        <v>0</v>
      </c>
      <c r="J156" s="66">
        <v>0</v>
      </c>
    </row>
    <row r="157" spans="1:10">
      <c r="A157" s="75" t="str">
        <f t="shared" si="2"/>
        <v>2018RES_200601_P4T3</v>
      </c>
      <c r="B157" s="1375" t="s">
        <v>277</v>
      </c>
      <c r="C157" s="1375" t="s">
        <v>466</v>
      </c>
      <c r="D157" s="1375" t="s">
        <v>149</v>
      </c>
      <c r="E157" s="1375" t="s">
        <v>330</v>
      </c>
      <c r="F157" s="1375" t="s">
        <v>384</v>
      </c>
      <c r="G157" s="66"/>
      <c r="H157" s="66">
        <v>3941.95466442</v>
      </c>
      <c r="I157" s="74">
        <v>0.91101651472060297</v>
      </c>
      <c r="J157" s="66"/>
    </row>
    <row r="158" spans="1:10">
      <c r="A158" s="75" t="str">
        <f t="shared" si="2"/>
        <v>2018RES_200601_P4T4</v>
      </c>
      <c r="B158" s="1375" t="s">
        <v>277</v>
      </c>
      <c r="C158" s="1375" t="s">
        <v>72</v>
      </c>
      <c r="D158" s="1375" t="s">
        <v>149</v>
      </c>
      <c r="E158" s="1375" t="s">
        <v>330</v>
      </c>
      <c r="F158" s="1375" t="s">
        <v>385</v>
      </c>
      <c r="G158" s="66"/>
      <c r="H158" s="66">
        <v>3941.95466442</v>
      </c>
      <c r="I158" s="74">
        <v>0.91101651472060297</v>
      </c>
      <c r="J158" s="66">
        <v>0</v>
      </c>
    </row>
    <row r="159" spans="1:10">
      <c r="A159" s="75" t="str">
        <f t="shared" si="2"/>
        <v>2018RES_200601_P4T5</v>
      </c>
      <c r="B159" s="1375" t="s">
        <v>277</v>
      </c>
      <c r="C159" s="1375" t="s">
        <v>73</v>
      </c>
      <c r="D159" s="1375" t="s">
        <v>149</v>
      </c>
      <c r="E159" s="1375" t="s">
        <v>330</v>
      </c>
      <c r="F159" s="1375" t="s">
        <v>386</v>
      </c>
      <c r="G159" s="66"/>
      <c r="H159" s="66">
        <v>0</v>
      </c>
      <c r="I159" s="74">
        <v>0</v>
      </c>
      <c r="J159" s="66">
        <v>0</v>
      </c>
    </row>
    <row r="160" spans="1:10">
      <c r="A160" s="75" t="str">
        <f t="shared" si="2"/>
        <v>2018RES_200601_P4T6</v>
      </c>
      <c r="B160" s="1375" t="s">
        <v>277</v>
      </c>
      <c r="C160" s="1375" t="s">
        <v>1525</v>
      </c>
      <c r="D160" s="1375" t="s">
        <v>149</v>
      </c>
      <c r="E160" s="1375" t="s">
        <v>330</v>
      </c>
      <c r="F160" s="1375" t="s">
        <v>1526</v>
      </c>
      <c r="G160" s="66"/>
      <c r="H160" s="66">
        <v>0</v>
      </c>
      <c r="I160" s="74">
        <v>0</v>
      </c>
      <c r="J160" s="66">
        <v>0</v>
      </c>
    </row>
    <row r="161" spans="1:10">
      <c r="A161" s="75" t="str">
        <f t="shared" si="2"/>
        <v>2018RES_200804_P1T1</v>
      </c>
      <c r="B161" s="1375" t="s">
        <v>277</v>
      </c>
      <c r="C161" s="1375" t="s">
        <v>51</v>
      </c>
      <c r="D161" s="1375" t="s">
        <v>150</v>
      </c>
      <c r="E161" s="1375" t="s">
        <v>290</v>
      </c>
      <c r="F161" s="1375" t="s">
        <v>157</v>
      </c>
      <c r="G161" s="66">
        <v>88263.251035010006</v>
      </c>
      <c r="H161" s="66"/>
      <c r="I161" s="74"/>
      <c r="J161" s="66">
        <v>9421.3429177399994</v>
      </c>
    </row>
    <row r="162" spans="1:10">
      <c r="A162" s="75" t="str">
        <f t="shared" si="2"/>
        <v>2018RES_200804_P2T1</v>
      </c>
      <c r="B162" s="1375" t="s">
        <v>277</v>
      </c>
      <c r="C162" s="1375" t="s">
        <v>52</v>
      </c>
      <c r="D162" s="1375" t="s">
        <v>150</v>
      </c>
      <c r="E162" s="1375" t="s">
        <v>288</v>
      </c>
      <c r="F162" s="1375" t="s">
        <v>157</v>
      </c>
      <c r="G162" s="66">
        <v>9565.0451483199995</v>
      </c>
      <c r="H162" s="66"/>
      <c r="I162" s="74"/>
      <c r="J162" s="66">
        <v>1025</v>
      </c>
    </row>
    <row r="163" spans="1:10">
      <c r="A163" s="75" t="str">
        <f t="shared" si="2"/>
        <v>2018RES_200804_P3T1</v>
      </c>
      <c r="B163" s="1375" t="s">
        <v>277</v>
      </c>
      <c r="C163" s="1375" t="s">
        <v>53</v>
      </c>
      <c r="D163" s="1375" t="s">
        <v>150</v>
      </c>
      <c r="E163" s="1375" t="s">
        <v>289</v>
      </c>
      <c r="F163" s="1375" t="s">
        <v>157</v>
      </c>
      <c r="G163" s="66">
        <v>5305.6199544499996</v>
      </c>
      <c r="H163" s="66"/>
      <c r="I163" s="74"/>
      <c r="J163" s="66">
        <v>1144</v>
      </c>
    </row>
    <row r="164" spans="1:10">
      <c r="A164" s="75" t="str">
        <f t="shared" si="2"/>
        <v>2018RES_200902_P1T0</v>
      </c>
      <c r="B164" s="1375" t="s">
        <v>277</v>
      </c>
      <c r="C164" s="1375" t="s">
        <v>1527</v>
      </c>
      <c r="D164" s="1375" t="s">
        <v>1350</v>
      </c>
      <c r="E164" s="1375" t="s">
        <v>1350</v>
      </c>
      <c r="F164" s="1375" t="s">
        <v>1528</v>
      </c>
      <c r="G164" s="66"/>
      <c r="H164" s="66"/>
      <c r="I164" s="74"/>
      <c r="J164" s="66">
        <v>0</v>
      </c>
    </row>
    <row r="165" spans="1:10">
      <c r="A165" s="75" t="str">
        <f t="shared" si="2"/>
        <v>2018RES_201101_P1T1</v>
      </c>
      <c r="B165" s="1375" t="s">
        <v>277</v>
      </c>
      <c r="C165" s="1375" t="s">
        <v>54</v>
      </c>
      <c r="D165" s="1375" t="s">
        <v>151</v>
      </c>
      <c r="E165" s="1375" t="s">
        <v>283</v>
      </c>
      <c r="F165" s="1375" t="s">
        <v>1385</v>
      </c>
      <c r="G165" s="66">
        <v>382238.81456621003</v>
      </c>
      <c r="H165" s="66">
        <v>123021.76061036999</v>
      </c>
      <c r="I165" s="74">
        <v>0.41819528172323767</v>
      </c>
      <c r="J165" s="66">
        <v>5495</v>
      </c>
    </row>
    <row r="166" spans="1:10">
      <c r="A166" s="75" t="str">
        <f t="shared" si="2"/>
        <v>2018RES_201101_P1T2</v>
      </c>
      <c r="B166" s="1375" t="s">
        <v>277</v>
      </c>
      <c r="C166" s="1375" t="s">
        <v>88</v>
      </c>
      <c r="D166" s="1375" t="s">
        <v>151</v>
      </c>
      <c r="E166" s="1375" t="s">
        <v>283</v>
      </c>
      <c r="F166" s="1375" t="s">
        <v>1386</v>
      </c>
      <c r="G166" s="66">
        <v>3283.2310056699998</v>
      </c>
      <c r="H166" s="66">
        <v>851.45081629000003</v>
      </c>
      <c r="I166" s="74">
        <v>2.8943880515546975E-3</v>
      </c>
      <c r="J166" s="66">
        <v>389</v>
      </c>
    </row>
    <row r="167" spans="1:10">
      <c r="A167" s="75" t="str">
        <f t="shared" si="2"/>
        <v>2018RES_201101_P1T3</v>
      </c>
      <c r="B167" s="1375" t="s">
        <v>277</v>
      </c>
      <c r="C167" s="1375" t="s">
        <v>89</v>
      </c>
      <c r="D167" s="1375" t="s">
        <v>151</v>
      </c>
      <c r="E167" s="1375" t="s">
        <v>283</v>
      </c>
      <c r="F167" s="1375" t="s">
        <v>1387</v>
      </c>
      <c r="G167" s="66">
        <v>1843</v>
      </c>
      <c r="H167" s="66">
        <v>280</v>
      </c>
      <c r="I167" s="74">
        <v>9.5182086731277176E-4</v>
      </c>
      <c r="J167" s="66">
        <v>99</v>
      </c>
    </row>
    <row r="168" spans="1:10">
      <c r="A168" s="75" t="str">
        <f t="shared" si="2"/>
        <v>2018RES_201101_P1T4</v>
      </c>
      <c r="B168" s="1375" t="s">
        <v>277</v>
      </c>
      <c r="C168" s="1375" t="s">
        <v>90</v>
      </c>
      <c r="D168" s="1375" t="s">
        <v>151</v>
      </c>
      <c r="E168" s="1375" t="s">
        <v>283</v>
      </c>
      <c r="F168" s="1375" t="s">
        <v>1388</v>
      </c>
      <c r="G168" s="66">
        <v>1346</v>
      </c>
      <c r="H168" s="66">
        <v>280</v>
      </c>
      <c r="I168" s="74">
        <v>9.5182086731277176E-4</v>
      </c>
      <c r="J168" s="66">
        <v>99</v>
      </c>
    </row>
    <row r="169" spans="1:10">
      <c r="A169" s="75" t="str">
        <f t="shared" si="2"/>
        <v>2018RES_201101_P1T5</v>
      </c>
      <c r="B169" s="1375" t="s">
        <v>277</v>
      </c>
      <c r="C169" s="1375" t="s">
        <v>91</v>
      </c>
      <c r="D169" s="1375" t="s">
        <v>151</v>
      </c>
      <c r="E169" s="1375" t="s">
        <v>283</v>
      </c>
      <c r="F169" s="1375" t="s">
        <v>1389</v>
      </c>
      <c r="G169" s="66">
        <v>942</v>
      </c>
      <c r="H169" s="66">
        <v>280</v>
      </c>
      <c r="I169" s="74">
        <v>9.5182086731277176E-4</v>
      </c>
      <c r="J169" s="66">
        <v>0</v>
      </c>
    </row>
    <row r="170" spans="1:10">
      <c r="A170" s="75" t="str">
        <f t="shared" si="2"/>
        <v>2018RES_201101_P1T6</v>
      </c>
      <c r="B170" s="1375" t="s">
        <v>277</v>
      </c>
      <c r="C170" s="1375" t="s">
        <v>117</v>
      </c>
      <c r="D170" s="1375" t="s">
        <v>151</v>
      </c>
      <c r="E170" s="1375" t="s">
        <v>283</v>
      </c>
      <c r="F170" s="1375" t="s">
        <v>1390</v>
      </c>
      <c r="G170" s="66">
        <v>942</v>
      </c>
      <c r="H170" s="66">
        <v>280</v>
      </c>
      <c r="I170" s="74">
        <v>9.5182086731277176E-4</v>
      </c>
      <c r="J170" s="66">
        <v>0</v>
      </c>
    </row>
    <row r="171" spans="1:10">
      <c r="A171" s="75" t="str">
        <f t="shared" si="2"/>
        <v>2018RES_201202_P1T1</v>
      </c>
      <c r="B171" s="1375" t="s">
        <v>277</v>
      </c>
      <c r="C171" s="1375" t="s">
        <v>55</v>
      </c>
      <c r="D171" s="1375" t="s">
        <v>152</v>
      </c>
      <c r="E171" s="1375" t="s">
        <v>804</v>
      </c>
      <c r="F171" s="1375" t="s">
        <v>157</v>
      </c>
      <c r="G171" s="66">
        <v>21782</v>
      </c>
      <c r="H171" s="66">
        <v>3776</v>
      </c>
      <c r="I171" s="74">
        <v>2.4153203697852853E-2</v>
      </c>
      <c r="J171" s="66">
        <v>3026</v>
      </c>
    </row>
    <row r="172" spans="1:10">
      <c r="A172" s="75" t="str">
        <f t="shared" si="2"/>
        <v>2018RES_201202_P1T2</v>
      </c>
      <c r="B172" s="1375" t="s">
        <v>277</v>
      </c>
      <c r="C172" s="1375" t="s">
        <v>56</v>
      </c>
      <c r="D172" s="1375" t="s">
        <v>152</v>
      </c>
      <c r="E172" s="1375" t="s">
        <v>804</v>
      </c>
      <c r="F172" s="1375" t="s">
        <v>158</v>
      </c>
      <c r="G172" s="66">
        <v>14100</v>
      </c>
      <c r="H172" s="66">
        <v>3772</v>
      </c>
      <c r="I172" s="74">
        <v>2.4127617676986481E-2</v>
      </c>
      <c r="J172" s="66">
        <v>3010</v>
      </c>
    </row>
    <row r="173" spans="1:10">
      <c r="A173" s="75" t="str">
        <f t="shared" si="2"/>
        <v>2018RES_201202_P1T3</v>
      </c>
      <c r="B173" s="1375" t="s">
        <v>277</v>
      </c>
      <c r="C173" s="1375" t="s">
        <v>770</v>
      </c>
      <c r="D173" s="1375" t="s">
        <v>152</v>
      </c>
      <c r="E173" s="1375" t="s">
        <v>804</v>
      </c>
      <c r="F173" s="1375" t="s">
        <v>818</v>
      </c>
      <c r="G173" s="66">
        <v>7167</v>
      </c>
      <c r="H173" s="66">
        <v>3221</v>
      </c>
      <c r="I173" s="74">
        <v>2.0603143302644077E-2</v>
      </c>
      <c r="J173" s="66">
        <v>2922</v>
      </c>
    </row>
    <row r="174" spans="1:10">
      <c r="A174" s="75" t="str">
        <f t="shared" si="2"/>
        <v>2018RES_201202_P1T4</v>
      </c>
      <c r="B174" s="1375" t="s">
        <v>277</v>
      </c>
      <c r="C174" s="1375" t="s">
        <v>771</v>
      </c>
      <c r="D174" s="1375" t="s">
        <v>152</v>
      </c>
      <c r="E174" s="1375" t="s">
        <v>804</v>
      </c>
      <c r="F174" s="1375" t="s">
        <v>819</v>
      </c>
      <c r="G174" s="66">
        <v>31</v>
      </c>
      <c r="H174" s="66">
        <v>23</v>
      </c>
      <c r="I174" s="74">
        <v>1.471196199816249E-4</v>
      </c>
      <c r="J174" s="66">
        <v>0</v>
      </c>
    </row>
    <row r="175" spans="1:10">
      <c r="A175" s="75" t="str">
        <f t="shared" si="2"/>
        <v>2018RES_201202_P1T5</v>
      </c>
      <c r="B175" s="1375" t="s">
        <v>277</v>
      </c>
      <c r="C175" s="1375" t="s">
        <v>921</v>
      </c>
      <c r="D175" s="1375" t="s">
        <v>152</v>
      </c>
      <c r="E175" s="1375" t="s">
        <v>804</v>
      </c>
      <c r="F175" s="1375" t="s">
        <v>922</v>
      </c>
      <c r="G175" s="66">
        <v>0</v>
      </c>
      <c r="H175" s="66">
        <v>0</v>
      </c>
      <c r="I175" s="74">
        <v>0</v>
      </c>
      <c r="J175" s="66">
        <v>0</v>
      </c>
    </row>
    <row r="176" spans="1:10">
      <c r="A176" s="75" t="str">
        <f t="shared" si="2"/>
        <v>2018RES_201202_P2T1</v>
      </c>
      <c r="B176" s="1375" t="s">
        <v>277</v>
      </c>
      <c r="C176" s="1375" t="s">
        <v>57</v>
      </c>
      <c r="D176" s="1375" t="s">
        <v>152</v>
      </c>
      <c r="E176" s="1375" t="s">
        <v>805</v>
      </c>
      <c r="F176" s="1375" t="s">
        <v>157</v>
      </c>
      <c r="G176" s="66">
        <v>6911</v>
      </c>
      <c r="H176" s="66">
        <v>1697</v>
      </c>
      <c r="I176" s="74">
        <v>9.7355261725382433E-2</v>
      </c>
      <c r="J176" s="66">
        <v>1371</v>
      </c>
    </row>
    <row r="177" spans="1:10">
      <c r="A177" s="75" t="str">
        <f t="shared" si="2"/>
        <v>2018RES_201202_P2T2</v>
      </c>
      <c r="B177" s="1375" t="s">
        <v>277</v>
      </c>
      <c r="C177" s="1375" t="s">
        <v>58</v>
      </c>
      <c r="D177" s="1375" t="s">
        <v>152</v>
      </c>
      <c r="E177" s="1375" t="s">
        <v>805</v>
      </c>
      <c r="F177" s="1375" t="s">
        <v>158</v>
      </c>
      <c r="G177" s="66">
        <v>6360</v>
      </c>
      <c r="H177" s="66">
        <v>1696</v>
      </c>
      <c r="I177" s="74">
        <v>9.7297892684884271E-2</v>
      </c>
      <c r="J177" s="66">
        <v>1365</v>
      </c>
    </row>
    <row r="178" spans="1:10">
      <c r="A178" s="75" t="str">
        <f t="shared" si="2"/>
        <v>2018RES_201202_P2T3</v>
      </c>
      <c r="B178" s="1375" t="s">
        <v>277</v>
      </c>
      <c r="C178" s="1375" t="s">
        <v>762</v>
      </c>
      <c r="D178" s="1375" t="s">
        <v>152</v>
      </c>
      <c r="E178" s="1375" t="s">
        <v>805</v>
      </c>
      <c r="F178" s="1375" t="s">
        <v>818</v>
      </c>
      <c r="G178" s="66">
        <v>3427</v>
      </c>
      <c r="H178" s="66">
        <v>1634</v>
      </c>
      <c r="I178" s="74">
        <v>9.3741012173998162E-2</v>
      </c>
      <c r="J178" s="66">
        <v>1273</v>
      </c>
    </row>
    <row r="179" spans="1:10">
      <c r="A179" s="75" t="str">
        <f t="shared" si="2"/>
        <v>2018RES_201202_P2T4</v>
      </c>
      <c r="B179" s="1375" t="s">
        <v>277</v>
      </c>
      <c r="C179" s="1375" t="s">
        <v>763</v>
      </c>
      <c r="D179" s="1375" t="s">
        <v>152</v>
      </c>
      <c r="E179" s="1375" t="s">
        <v>805</v>
      </c>
      <c r="F179" s="1375" t="s">
        <v>819</v>
      </c>
      <c r="G179" s="66">
        <v>24</v>
      </c>
      <c r="H179" s="66">
        <v>19</v>
      </c>
      <c r="I179" s="74">
        <v>1.090011769465095E-3</v>
      </c>
      <c r="J179" s="66">
        <v>0</v>
      </c>
    </row>
    <row r="180" spans="1:10">
      <c r="A180" s="75" t="str">
        <f t="shared" si="2"/>
        <v>2018RES_201202_P2T5</v>
      </c>
      <c r="B180" s="1375" t="s">
        <v>277</v>
      </c>
      <c r="C180" s="1375" t="s">
        <v>923</v>
      </c>
      <c r="D180" s="1375" t="s">
        <v>152</v>
      </c>
      <c r="E180" s="1375" t="s">
        <v>805</v>
      </c>
      <c r="F180" s="1375" t="s">
        <v>922</v>
      </c>
      <c r="G180" s="66">
        <v>0</v>
      </c>
      <c r="H180" s="66">
        <v>0</v>
      </c>
      <c r="I180" s="74">
        <v>0</v>
      </c>
      <c r="J180" s="66">
        <v>0</v>
      </c>
    </row>
    <row r="181" spans="1:10">
      <c r="A181" s="75" t="str">
        <f t="shared" si="2"/>
        <v>2018RES_201202_P3T1</v>
      </c>
      <c r="B181" s="1375" t="s">
        <v>277</v>
      </c>
      <c r="C181" s="1375" t="s">
        <v>744</v>
      </c>
      <c r="D181" s="1375" t="s">
        <v>152</v>
      </c>
      <c r="E181" s="1375" t="s">
        <v>806</v>
      </c>
      <c r="F181" s="1375" t="s">
        <v>157</v>
      </c>
      <c r="G181" s="66">
        <v>13290</v>
      </c>
      <c r="H181" s="66">
        <v>4293</v>
      </c>
      <c r="I181" s="74">
        <v>0.39444619935656494</v>
      </c>
      <c r="J181" s="66">
        <v>854</v>
      </c>
    </row>
    <row r="182" spans="1:10">
      <c r="A182" s="75" t="str">
        <f t="shared" si="2"/>
        <v>2018RES_201202_P3T2</v>
      </c>
      <c r="B182" s="1375" t="s">
        <v>277</v>
      </c>
      <c r="C182" s="1375" t="s">
        <v>745</v>
      </c>
      <c r="D182" s="1375" t="s">
        <v>152</v>
      </c>
      <c r="E182" s="1375" t="s">
        <v>806</v>
      </c>
      <c r="F182" s="1375" t="s">
        <v>158</v>
      </c>
      <c r="G182" s="66">
        <v>12062</v>
      </c>
      <c r="H182" s="66">
        <v>4287</v>
      </c>
      <c r="I182" s="74">
        <v>0.39389491186619935</v>
      </c>
      <c r="J182" s="66">
        <v>849</v>
      </c>
    </row>
    <row r="183" spans="1:10">
      <c r="A183" s="75" t="str">
        <f t="shared" si="2"/>
        <v>2018RES_201202_P3T3</v>
      </c>
      <c r="B183" s="1375" t="s">
        <v>277</v>
      </c>
      <c r="C183" s="1375" t="s">
        <v>764</v>
      </c>
      <c r="D183" s="1375" t="s">
        <v>152</v>
      </c>
      <c r="E183" s="1375" t="s">
        <v>806</v>
      </c>
      <c r="F183" s="1375" t="s">
        <v>818</v>
      </c>
      <c r="G183" s="66">
        <v>8432</v>
      </c>
      <c r="H183" s="66">
        <v>3661</v>
      </c>
      <c r="I183" s="74">
        <v>0.3363772503713916</v>
      </c>
      <c r="J183" s="66">
        <v>833</v>
      </c>
    </row>
    <row r="184" spans="1:10">
      <c r="A184" s="75" t="str">
        <f t="shared" si="2"/>
        <v>2018RES_201202_P3T4</v>
      </c>
      <c r="B184" s="1375" t="s">
        <v>277</v>
      </c>
      <c r="C184" s="1375" t="s">
        <v>765</v>
      </c>
      <c r="D184" s="1375" t="s">
        <v>152</v>
      </c>
      <c r="E184" s="1375" t="s">
        <v>806</v>
      </c>
      <c r="F184" s="1375" t="s">
        <v>819</v>
      </c>
      <c r="G184" s="66">
        <v>38</v>
      </c>
      <c r="H184" s="66">
        <v>27</v>
      </c>
      <c r="I184" s="74">
        <v>2.4807937066450626E-3</v>
      </c>
      <c r="J184" s="66">
        <v>0</v>
      </c>
    </row>
    <row r="185" spans="1:10">
      <c r="A185" s="75" t="str">
        <f t="shared" si="2"/>
        <v>2018RES_201202_P3T5</v>
      </c>
      <c r="B185" s="1375" t="s">
        <v>277</v>
      </c>
      <c r="C185" s="1375" t="s">
        <v>924</v>
      </c>
      <c r="D185" s="1375" t="s">
        <v>152</v>
      </c>
      <c r="E185" s="1375" t="s">
        <v>806</v>
      </c>
      <c r="F185" s="1375" t="s">
        <v>922</v>
      </c>
      <c r="G185" s="66">
        <v>0</v>
      </c>
      <c r="H185" s="66">
        <v>0</v>
      </c>
      <c r="I185" s="74">
        <v>0</v>
      </c>
      <c r="J185" s="66">
        <v>0</v>
      </c>
    </row>
    <row r="186" spans="1:10">
      <c r="A186" s="75" t="str">
        <f t="shared" si="2"/>
        <v>2018RES_201202_P4T1</v>
      </c>
      <c r="B186" s="1375" t="s">
        <v>277</v>
      </c>
      <c r="C186" s="1375" t="s">
        <v>766</v>
      </c>
      <c r="D186" s="1375" t="s">
        <v>152</v>
      </c>
      <c r="E186" s="1375" t="s">
        <v>807</v>
      </c>
      <c r="F186" s="1375" t="s">
        <v>157</v>
      </c>
      <c r="G186" s="66">
        <v>5250</v>
      </c>
      <c r="H186" s="66">
        <v>1929</v>
      </c>
      <c r="I186" s="74">
        <v>0.3598487329157038</v>
      </c>
      <c r="J186" s="66">
        <v>506</v>
      </c>
    </row>
    <row r="187" spans="1:10">
      <c r="A187" s="75" t="str">
        <f t="shared" si="2"/>
        <v>2018RES_201202_P4T2</v>
      </c>
      <c r="B187" s="1375" t="s">
        <v>277</v>
      </c>
      <c r="C187" s="1375" t="s">
        <v>767</v>
      </c>
      <c r="D187" s="1375" t="s">
        <v>152</v>
      </c>
      <c r="E187" s="1375" t="s">
        <v>807</v>
      </c>
      <c r="F187" s="1375" t="s">
        <v>158</v>
      </c>
      <c r="G187" s="66">
        <v>5049</v>
      </c>
      <c r="H187" s="66">
        <v>1928</v>
      </c>
      <c r="I187" s="74">
        <v>0.35966218613866091</v>
      </c>
      <c r="J187" s="66">
        <v>504</v>
      </c>
    </row>
    <row r="188" spans="1:10">
      <c r="A188" s="75" t="str">
        <f t="shared" si="2"/>
        <v>2018RES_201202_P4T3</v>
      </c>
      <c r="B188" s="1375" t="s">
        <v>277</v>
      </c>
      <c r="C188" s="1375" t="s">
        <v>768</v>
      </c>
      <c r="D188" s="1375" t="s">
        <v>152</v>
      </c>
      <c r="E188" s="1375" t="s">
        <v>807</v>
      </c>
      <c r="F188" s="1375" t="s">
        <v>818</v>
      </c>
      <c r="G188" s="66">
        <v>4023</v>
      </c>
      <c r="H188" s="66">
        <v>1857</v>
      </c>
      <c r="I188" s="74">
        <v>0.34641736496861686</v>
      </c>
      <c r="J188" s="66">
        <v>500</v>
      </c>
    </row>
    <row r="189" spans="1:10">
      <c r="A189" s="75" t="str">
        <f t="shared" si="2"/>
        <v>2018RES_201202_P4T4</v>
      </c>
      <c r="B189" s="1375" t="s">
        <v>277</v>
      </c>
      <c r="C189" s="1375" t="s">
        <v>769</v>
      </c>
      <c r="D189" s="1375" t="s">
        <v>152</v>
      </c>
      <c r="E189" s="1375" t="s">
        <v>807</v>
      </c>
      <c r="F189" s="1375" t="s">
        <v>819</v>
      </c>
      <c r="G189" s="66">
        <v>28</v>
      </c>
      <c r="H189" s="66">
        <v>22</v>
      </c>
      <c r="I189" s="74">
        <v>4.1040290949432264E-3</v>
      </c>
      <c r="J189" s="66">
        <v>9</v>
      </c>
    </row>
    <row r="190" spans="1:10">
      <c r="A190" s="75" t="str">
        <f t="shared" si="2"/>
        <v>2018RES_201202_P4T5</v>
      </c>
      <c r="B190" s="1375" t="s">
        <v>277</v>
      </c>
      <c r="C190" s="1375" t="s">
        <v>925</v>
      </c>
      <c r="D190" s="1375" t="s">
        <v>152</v>
      </c>
      <c r="E190" s="1375" t="s">
        <v>807</v>
      </c>
      <c r="F190" s="1375" t="s">
        <v>922</v>
      </c>
      <c r="G190" s="66">
        <v>0</v>
      </c>
      <c r="H190" s="66">
        <v>0</v>
      </c>
      <c r="I190" s="74">
        <v>0</v>
      </c>
      <c r="J190" s="66">
        <v>0</v>
      </c>
    </row>
    <row r="191" spans="1:10">
      <c r="A191" s="75" t="str">
        <f t="shared" si="2"/>
        <v>2018RES_201301_P10T1</v>
      </c>
      <c r="B191" s="1375" t="s">
        <v>277</v>
      </c>
      <c r="C191" s="1375" t="s">
        <v>59</v>
      </c>
      <c r="D191" s="1375" t="s">
        <v>746</v>
      </c>
      <c r="E191" s="1375" t="s">
        <v>311</v>
      </c>
      <c r="F191" s="1375" t="s">
        <v>363</v>
      </c>
      <c r="G191" s="66"/>
      <c r="H191" s="66">
        <v>0</v>
      </c>
      <c r="I191" s="74">
        <v>0</v>
      </c>
      <c r="J191" s="66">
        <v>0</v>
      </c>
    </row>
    <row r="192" spans="1:10">
      <c r="A192" s="75" t="str">
        <f t="shared" si="2"/>
        <v>2018RES_201301_P11T1</v>
      </c>
      <c r="B192" s="1375" t="s">
        <v>277</v>
      </c>
      <c r="C192" s="1375" t="s">
        <v>463</v>
      </c>
      <c r="D192" s="1375" t="s">
        <v>746</v>
      </c>
      <c r="E192" s="1375" t="s">
        <v>916</v>
      </c>
      <c r="F192" s="1375" t="s">
        <v>917</v>
      </c>
      <c r="G192" s="66"/>
      <c r="H192" s="66">
        <v>0</v>
      </c>
      <c r="I192" s="74">
        <v>0</v>
      </c>
      <c r="J192" s="66">
        <v>0</v>
      </c>
    </row>
    <row r="193" spans="1:10">
      <c r="A193" s="75" t="str">
        <f t="shared" si="2"/>
        <v>2018RES_201301_P12T1</v>
      </c>
      <c r="B193" s="1375" t="s">
        <v>277</v>
      </c>
      <c r="C193" s="1375" t="s">
        <v>60</v>
      </c>
      <c r="D193" s="1375" t="s">
        <v>746</v>
      </c>
      <c r="E193" s="1375" t="s">
        <v>329</v>
      </c>
      <c r="F193" s="1375" t="s">
        <v>363</v>
      </c>
      <c r="G193" s="66"/>
      <c r="H193" s="66">
        <v>0</v>
      </c>
      <c r="I193" s="74">
        <v>0</v>
      </c>
      <c r="J193" s="66">
        <v>0</v>
      </c>
    </row>
    <row r="194" spans="1:10">
      <c r="A194" s="75" t="str">
        <f t="shared" si="2"/>
        <v>2018RES_201301_P13T1</v>
      </c>
      <c r="B194" s="1375" t="s">
        <v>277</v>
      </c>
      <c r="C194" s="1375" t="s">
        <v>81</v>
      </c>
      <c r="D194" s="1375" t="s">
        <v>746</v>
      </c>
      <c r="E194" s="1375" t="s">
        <v>1529</v>
      </c>
      <c r="F194" s="1375" t="s">
        <v>927</v>
      </c>
      <c r="G194" s="66"/>
      <c r="H194" s="66">
        <v>16</v>
      </c>
      <c r="I194" s="74">
        <v>1.4601204599379448E-3</v>
      </c>
      <c r="J194" s="66">
        <v>0</v>
      </c>
    </row>
    <row r="195" spans="1:10">
      <c r="A195" s="75" t="str">
        <f t="shared" si="2"/>
        <v>2018RES_201301_P13T2</v>
      </c>
      <c r="B195" s="1375" t="s">
        <v>277</v>
      </c>
      <c r="C195" s="1375" t="s">
        <v>82</v>
      </c>
      <c r="D195" s="1375" t="s">
        <v>746</v>
      </c>
      <c r="E195" s="1375" t="s">
        <v>1530</v>
      </c>
      <c r="F195" s="1375" t="s">
        <v>927</v>
      </c>
      <c r="G195" s="66"/>
      <c r="H195" s="66">
        <v>0</v>
      </c>
      <c r="I195" s="74">
        <v>0</v>
      </c>
      <c r="J195" s="66">
        <v>0</v>
      </c>
    </row>
    <row r="196" spans="1:10">
      <c r="A196" s="75" t="str">
        <f t="shared" si="2"/>
        <v>2018RES_201301_P13T3</v>
      </c>
      <c r="B196" s="1375" t="s">
        <v>277</v>
      </c>
      <c r="C196" s="1375" t="s">
        <v>83</v>
      </c>
      <c r="D196" s="1375" t="s">
        <v>746</v>
      </c>
      <c r="E196" s="1375" t="s">
        <v>1531</v>
      </c>
      <c r="F196" s="1375" t="s">
        <v>927</v>
      </c>
      <c r="G196" s="66"/>
      <c r="H196" s="66">
        <v>0</v>
      </c>
      <c r="I196" s="74">
        <v>0</v>
      </c>
      <c r="J196" s="66">
        <v>0</v>
      </c>
    </row>
    <row r="197" spans="1:10">
      <c r="A197" s="75" t="str">
        <f t="shared" si="2"/>
        <v>2018RES_201301_P13T4</v>
      </c>
      <c r="B197" s="1375" t="s">
        <v>277</v>
      </c>
      <c r="C197" s="1375" t="s">
        <v>84</v>
      </c>
      <c r="D197" s="1375" t="s">
        <v>746</v>
      </c>
      <c r="E197" s="1375" t="s">
        <v>930</v>
      </c>
      <c r="F197" s="1375" t="s">
        <v>927</v>
      </c>
      <c r="G197" s="66"/>
      <c r="H197" s="66">
        <v>36</v>
      </c>
      <c r="I197" s="74">
        <v>1.4632361907084503E-3</v>
      </c>
      <c r="J197" s="66">
        <v>4</v>
      </c>
    </row>
    <row r="198" spans="1:10">
      <c r="A198" s="75" t="str">
        <f t="shared" si="2"/>
        <v>2018RES_201301_P14T1</v>
      </c>
      <c r="B198" s="1375" t="s">
        <v>277</v>
      </c>
      <c r="C198" s="1375" t="s">
        <v>76</v>
      </c>
      <c r="D198" s="1375" t="s">
        <v>746</v>
      </c>
      <c r="E198" s="1375" t="s">
        <v>931</v>
      </c>
      <c r="F198" s="1375" t="s">
        <v>927</v>
      </c>
      <c r="G198" s="66"/>
      <c r="H198" s="66">
        <v>1198</v>
      </c>
      <c r="I198" s="74">
        <v>4.8693248790797873E-2</v>
      </c>
      <c r="J198" s="66">
        <v>79</v>
      </c>
    </row>
    <row r="199" spans="1:10">
      <c r="A199" s="75" t="str">
        <f t="shared" ref="A199:A262" si="3">B199&amp;C199</f>
        <v>2018RES_201301_P15T1</v>
      </c>
      <c r="B199" s="1375" t="s">
        <v>277</v>
      </c>
      <c r="C199" s="1375" t="s">
        <v>77</v>
      </c>
      <c r="D199" s="1375" t="s">
        <v>746</v>
      </c>
      <c r="E199" s="1375" t="s">
        <v>932</v>
      </c>
      <c r="F199" s="1375" t="s">
        <v>927</v>
      </c>
      <c r="G199" s="66"/>
      <c r="H199" s="66">
        <v>1588.8</v>
      </c>
      <c r="I199" s="74">
        <v>0.14498996167183792</v>
      </c>
      <c r="J199" s="66">
        <v>0</v>
      </c>
    </row>
    <row r="200" spans="1:10">
      <c r="A200" s="75" t="str">
        <f t="shared" si="3"/>
        <v>2018RES_201301_P15T2</v>
      </c>
      <c r="B200" s="1375" t="s">
        <v>277</v>
      </c>
      <c r="C200" s="1375" t="s">
        <v>78</v>
      </c>
      <c r="D200" s="1375" t="s">
        <v>746</v>
      </c>
      <c r="E200" s="1375" t="s">
        <v>933</v>
      </c>
      <c r="F200" s="1375" t="s">
        <v>927</v>
      </c>
      <c r="G200" s="66"/>
      <c r="H200" s="66">
        <v>205</v>
      </c>
      <c r="I200" s="74">
        <v>7.2798295454545456E-2</v>
      </c>
      <c r="J200" s="66">
        <v>0</v>
      </c>
    </row>
    <row r="201" spans="1:10">
      <c r="A201" s="75" t="str">
        <f t="shared" si="3"/>
        <v>2018RES_201301_P15T3</v>
      </c>
      <c r="B201" s="1375" t="s">
        <v>277</v>
      </c>
      <c r="C201" s="1375" t="s">
        <v>79</v>
      </c>
      <c r="D201" s="1375" t="s">
        <v>746</v>
      </c>
      <c r="E201" s="1375" t="s">
        <v>934</v>
      </c>
      <c r="F201" s="1375" t="s">
        <v>927</v>
      </c>
      <c r="G201" s="66"/>
      <c r="H201" s="66">
        <v>93.1</v>
      </c>
      <c r="I201" s="74">
        <v>1.0042066659475784E-2</v>
      </c>
      <c r="J201" s="66">
        <v>0</v>
      </c>
    </row>
    <row r="202" spans="1:10">
      <c r="A202" s="75" t="str">
        <f t="shared" si="3"/>
        <v>2018RES_201301_P15T4</v>
      </c>
      <c r="B202" s="1375" t="s">
        <v>277</v>
      </c>
      <c r="C202" s="1375" t="s">
        <v>80</v>
      </c>
      <c r="D202" s="1375" t="s">
        <v>746</v>
      </c>
      <c r="E202" s="1375" t="s">
        <v>935</v>
      </c>
      <c r="F202" s="1375" t="s">
        <v>927</v>
      </c>
      <c r="G202" s="66"/>
      <c r="H202" s="66">
        <v>766.4</v>
      </c>
      <c r="I202" s="74">
        <v>3.1150672682193226E-2</v>
      </c>
      <c r="J202" s="66">
        <v>18</v>
      </c>
    </row>
    <row r="203" spans="1:10">
      <c r="A203" s="75" t="str">
        <f t="shared" si="3"/>
        <v>2018RES_201301_P17T1</v>
      </c>
      <c r="B203" s="1375" t="s">
        <v>277</v>
      </c>
      <c r="C203" s="1375" t="s">
        <v>118</v>
      </c>
      <c r="D203" s="1375" t="s">
        <v>746</v>
      </c>
      <c r="E203" s="1375" t="s">
        <v>498</v>
      </c>
      <c r="F203" s="1375" t="s">
        <v>917</v>
      </c>
      <c r="G203" s="66"/>
      <c r="H203" s="66">
        <v>0</v>
      </c>
      <c r="I203" s="74">
        <v>0</v>
      </c>
      <c r="J203" s="66">
        <v>0</v>
      </c>
    </row>
    <row r="204" spans="1:10">
      <c r="A204" s="75" t="str">
        <f t="shared" si="3"/>
        <v>2018RES_201301_P18T1</v>
      </c>
      <c r="B204" s="1375" t="s">
        <v>277</v>
      </c>
      <c r="C204" s="1375" t="s">
        <v>119</v>
      </c>
      <c r="D204" s="1375" t="s">
        <v>746</v>
      </c>
      <c r="E204" s="1375" t="s">
        <v>499</v>
      </c>
      <c r="F204" s="1375" t="s">
        <v>917</v>
      </c>
      <c r="G204" s="66"/>
      <c r="H204" s="66">
        <v>0</v>
      </c>
      <c r="I204" s="74">
        <v>0</v>
      </c>
      <c r="J204" s="66">
        <v>0</v>
      </c>
    </row>
    <row r="205" spans="1:10">
      <c r="A205" s="75" t="str">
        <f t="shared" si="3"/>
        <v>2018Res_201301_P19T1</v>
      </c>
      <c r="B205" s="1375" t="s">
        <v>277</v>
      </c>
      <c r="C205" s="1375" t="s">
        <v>681</v>
      </c>
      <c r="D205" s="1375" t="s">
        <v>746</v>
      </c>
      <c r="E205" s="1375" t="s">
        <v>682</v>
      </c>
      <c r="F205" s="1375" t="s">
        <v>927</v>
      </c>
      <c r="G205" s="66"/>
      <c r="H205" s="66">
        <v>3466</v>
      </c>
      <c r="I205" s="74">
        <v>0.37385395318735842</v>
      </c>
      <c r="J205" s="66">
        <v>3466</v>
      </c>
    </row>
    <row r="206" spans="1:10">
      <c r="A206" s="75" t="str">
        <f t="shared" si="3"/>
        <v>2018RES_201301_P1T4</v>
      </c>
      <c r="B206" s="1375" t="s">
        <v>277</v>
      </c>
      <c r="C206" s="1375" t="s">
        <v>61</v>
      </c>
      <c r="D206" s="1375" t="s">
        <v>746</v>
      </c>
      <c r="E206" s="1375" t="s">
        <v>295</v>
      </c>
      <c r="F206" s="1375" t="s">
        <v>356</v>
      </c>
      <c r="G206" s="66"/>
      <c r="H206" s="66">
        <v>5334</v>
      </c>
      <c r="I206" s="74">
        <v>0.48676765833181235</v>
      </c>
      <c r="J206" s="66"/>
    </row>
    <row r="207" spans="1:10">
      <c r="A207" s="75" t="str">
        <f t="shared" si="3"/>
        <v>2018RES_201301_P1T5</v>
      </c>
      <c r="B207" s="1375" t="s">
        <v>277</v>
      </c>
      <c r="C207" s="1375" t="s">
        <v>62</v>
      </c>
      <c r="D207" s="1375" t="s">
        <v>746</v>
      </c>
      <c r="E207" s="1375" t="s">
        <v>295</v>
      </c>
      <c r="F207" s="1375" t="s">
        <v>357</v>
      </c>
      <c r="G207" s="66"/>
      <c r="H207" s="66">
        <v>0</v>
      </c>
      <c r="I207" s="74">
        <v>0</v>
      </c>
      <c r="J207" s="66"/>
    </row>
    <row r="208" spans="1:10">
      <c r="A208" s="75" t="str">
        <f t="shared" si="3"/>
        <v>2018Res_201301_P20T3</v>
      </c>
      <c r="B208" s="1375" t="s">
        <v>277</v>
      </c>
      <c r="C208" s="1375" t="s">
        <v>500</v>
      </c>
      <c r="D208" s="1375" t="s">
        <v>746</v>
      </c>
      <c r="E208" s="1375" t="s">
        <v>936</v>
      </c>
      <c r="F208" s="1375" t="s">
        <v>927</v>
      </c>
      <c r="G208" s="66"/>
      <c r="H208" s="66">
        <v>1401</v>
      </c>
      <c r="I208" s="74">
        <v>5.6944275088403856E-2</v>
      </c>
      <c r="J208" s="66">
        <v>268</v>
      </c>
    </row>
    <row r="209" spans="1:10">
      <c r="A209" s="75" t="str">
        <f t="shared" si="3"/>
        <v>2018RES_201301_P21T1</v>
      </c>
      <c r="B209" s="1375" t="s">
        <v>277</v>
      </c>
      <c r="C209" s="1375" t="s">
        <v>757</v>
      </c>
      <c r="D209" s="1375" t="s">
        <v>746</v>
      </c>
      <c r="E209" s="1375" t="s">
        <v>937</v>
      </c>
      <c r="F209" s="1375" t="s">
        <v>927</v>
      </c>
      <c r="G209" s="66"/>
      <c r="H209" s="66">
        <v>414</v>
      </c>
      <c r="I209" s="74">
        <v>3.778061690089432E-2</v>
      </c>
      <c r="J209" s="66">
        <v>414</v>
      </c>
    </row>
    <row r="210" spans="1:10">
      <c r="A210" s="75" t="str">
        <f t="shared" si="3"/>
        <v>2018RES_201301_P22T1</v>
      </c>
      <c r="B210" s="1375" t="s">
        <v>277</v>
      </c>
      <c r="C210" s="1375" t="s">
        <v>758</v>
      </c>
      <c r="D210" s="1375" t="s">
        <v>746</v>
      </c>
      <c r="E210" s="1375" t="s">
        <v>938</v>
      </c>
      <c r="F210" s="1375" t="s">
        <v>927</v>
      </c>
      <c r="G210" s="66"/>
      <c r="H210" s="66">
        <v>0</v>
      </c>
      <c r="I210" s="74">
        <v>0</v>
      </c>
      <c r="J210" s="66">
        <v>0</v>
      </c>
    </row>
    <row r="211" spans="1:10">
      <c r="A211" s="75" t="str">
        <f t="shared" si="3"/>
        <v>2018RES_201301_P23T1</v>
      </c>
      <c r="B211" s="1375" t="s">
        <v>277</v>
      </c>
      <c r="C211" s="1375" t="s">
        <v>759</v>
      </c>
      <c r="D211" s="1375" t="s">
        <v>746</v>
      </c>
      <c r="E211" s="1375" t="s">
        <v>939</v>
      </c>
      <c r="F211" s="1375" t="s">
        <v>927</v>
      </c>
      <c r="G211" s="66"/>
      <c r="H211" s="66">
        <v>17</v>
      </c>
      <c r="I211" s="74">
        <v>1.8336749002265129E-3</v>
      </c>
      <c r="J211" s="66">
        <v>0</v>
      </c>
    </row>
    <row r="212" spans="1:10">
      <c r="A212" s="75" t="str">
        <f t="shared" si="3"/>
        <v>2018RES_201301_P24T1</v>
      </c>
      <c r="B212" s="1375" t="s">
        <v>277</v>
      </c>
      <c r="C212" s="1375" t="s">
        <v>760</v>
      </c>
      <c r="D212" s="1375" t="s">
        <v>746</v>
      </c>
      <c r="E212" s="1375" t="s">
        <v>940</v>
      </c>
      <c r="F212" s="1375" t="s">
        <v>927</v>
      </c>
      <c r="G212" s="66"/>
      <c r="H212" s="66">
        <v>359</v>
      </c>
      <c r="I212" s="74">
        <v>1.4591716457342601E-2</v>
      </c>
      <c r="J212" s="66">
        <v>333</v>
      </c>
    </row>
    <row r="213" spans="1:10">
      <c r="A213" s="75" t="str">
        <f t="shared" si="3"/>
        <v>2018RES_201301_P25T1</v>
      </c>
      <c r="B213" s="1375" t="s">
        <v>277</v>
      </c>
      <c r="C213" s="1375" t="s">
        <v>761</v>
      </c>
      <c r="D213" s="1375" t="s">
        <v>746</v>
      </c>
      <c r="E213" s="1375" t="s">
        <v>941</v>
      </c>
      <c r="F213" s="1375" t="s">
        <v>927</v>
      </c>
      <c r="G213" s="66"/>
      <c r="H213" s="66">
        <v>301</v>
      </c>
      <c r="I213" s="74">
        <v>1.223428037231232E-2</v>
      </c>
      <c r="J213" s="66">
        <v>0</v>
      </c>
    </row>
    <row r="214" spans="1:10">
      <c r="A214" s="75" t="str">
        <f t="shared" si="3"/>
        <v>2018RES_201301_P26T5</v>
      </c>
      <c r="B214" s="1375" t="s">
        <v>277</v>
      </c>
      <c r="C214" s="1375" t="s">
        <v>756</v>
      </c>
      <c r="D214" s="1375" t="s">
        <v>746</v>
      </c>
      <c r="E214" s="1375" t="s">
        <v>942</v>
      </c>
      <c r="F214" s="1375" t="s">
        <v>927</v>
      </c>
      <c r="G214" s="66"/>
      <c r="H214" s="66">
        <v>145</v>
      </c>
      <c r="I214" s="74">
        <v>1.5640168266637902E-2</v>
      </c>
      <c r="J214" s="66">
        <v>2</v>
      </c>
    </row>
    <row r="215" spans="1:10">
      <c r="A215" s="75" t="str">
        <f t="shared" si="3"/>
        <v>2018RES_201301_P2T4</v>
      </c>
      <c r="B215" s="1375" t="s">
        <v>277</v>
      </c>
      <c r="C215" s="1375" t="s">
        <v>63</v>
      </c>
      <c r="D215" s="1375" t="s">
        <v>746</v>
      </c>
      <c r="E215" s="1375" t="s">
        <v>303</v>
      </c>
      <c r="F215" s="1375" t="s">
        <v>357</v>
      </c>
      <c r="G215" s="66"/>
      <c r="H215" s="66">
        <v>0</v>
      </c>
      <c r="I215" s="74">
        <v>0</v>
      </c>
      <c r="J215" s="66"/>
    </row>
    <row r="216" spans="1:10">
      <c r="A216" s="75" t="str">
        <f t="shared" si="3"/>
        <v>2018RES_201301_P2T5</v>
      </c>
      <c r="B216" s="1375" t="s">
        <v>277</v>
      </c>
      <c r="C216" s="1375" t="s">
        <v>64</v>
      </c>
      <c r="D216" s="1375" t="s">
        <v>746</v>
      </c>
      <c r="E216" s="1375" t="s">
        <v>303</v>
      </c>
      <c r="F216" s="1375" t="s">
        <v>367</v>
      </c>
      <c r="G216" s="66"/>
      <c r="H216" s="66">
        <v>0</v>
      </c>
      <c r="I216" s="74">
        <v>0</v>
      </c>
      <c r="J216" s="66"/>
    </row>
    <row r="217" spans="1:10">
      <c r="A217" s="75" t="str">
        <f t="shared" si="3"/>
        <v>2018Res_201301_P3T3</v>
      </c>
      <c r="B217" s="1375" t="s">
        <v>277</v>
      </c>
      <c r="C217" s="1375" t="s">
        <v>433</v>
      </c>
      <c r="D217" s="1375" t="s">
        <v>746</v>
      </c>
      <c r="E217" s="1375" t="s">
        <v>309</v>
      </c>
      <c r="F217" s="1375" t="s">
        <v>810</v>
      </c>
      <c r="G217" s="66"/>
      <c r="H217" s="66">
        <v>4134</v>
      </c>
      <c r="I217" s="74">
        <v>0.44590659044331787</v>
      </c>
      <c r="J217" s="66"/>
    </row>
    <row r="218" spans="1:10">
      <c r="A218" s="75" t="str">
        <f t="shared" si="3"/>
        <v>2018RES_201301_P3T4</v>
      </c>
      <c r="B218" s="1375" t="s">
        <v>277</v>
      </c>
      <c r="C218" s="1375" t="s">
        <v>65</v>
      </c>
      <c r="D218" s="1375" t="s">
        <v>746</v>
      </c>
      <c r="E218" s="1375" t="s">
        <v>309</v>
      </c>
      <c r="F218" s="1375" t="s">
        <v>1564</v>
      </c>
      <c r="G218" s="66"/>
      <c r="H218" s="66">
        <v>0</v>
      </c>
      <c r="I218" s="74">
        <v>0</v>
      </c>
      <c r="J218" s="66"/>
    </row>
    <row r="219" spans="1:10">
      <c r="A219" s="75" t="str">
        <f t="shared" si="3"/>
        <v>2018RES_201301_P3T5</v>
      </c>
      <c r="B219" s="1375" t="s">
        <v>277</v>
      </c>
      <c r="C219" s="1375" t="s">
        <v>66</v>
      </c>
      <c r="D219" s="1375" t="s">
        <v>746</v>
      </c>
      <c r="E219" s="1375" t="s">
        <v>309</v>
      </c>
      <c r="F219" s="1375" t="s">
        <v>944</v>
      </c>
      <c r="G219" s="66"/>
      <c r="H219" s="66">
        <v>0</v>
      </c>
      <c r="I219" s="74">
        <v>0</v>
      </c>
      <c r="J219" s="66"/>
    </row>
    <row r="220" spans="1:10">
      <c r="A220" s="75" t="str">
        <f t="shared" si="3"/>
        <v>2018RES_201301_P4T4</v>
      </c>
      <c r="B220" s="1375" t="s">
        <v>277</v>
      </c>
      <c r="C220" s="1375" t="s">
        <v>67</v>
      </c>
      <c r="D220" s="1375" t="s">
        <v>746</v>
      </c>
      <c r="E220" s="1375" t="s">
        <v>327</v>
      </c>
      <c r="F220" s="1375" t="s">
        <v>385</v>
      </c>
      <c r="G220" s="66"/>
      <c r="H220" s="66">
        <v>22413</v>
      </c>
      <c r="I220" s="74">
        <v>0.91098646506523595</v>
      </c>
      <c r="J220" s="66"/>
    </row>
    <row r="221" spans="1:10">
      <c r="A221" s="75" t="str">
        <f t="shared" si="3"/>
        <v>2018RES_201301_P4T5</v>
      </c>
      <c r="B221" s="1375" t="s">
        <v>277</v>
      </c>
      <c r="C221" s="1375" t="s">
        <v>68</v>
      </c>
      <c r="D221" s="1375" t="s">
        <v>746</v>
      </c>
      <c r="E221" s="1375" t="s">
        <v>327</v>
      </c>
      <c r="F221" s="1375" t="s">
        <v>386</v>
      </c>
      <c r="G221" s="66"/>
      <c r="H221" s="66">
        <v>0</v>
      </c>
      <c r="I221" s="74">
        <v>0</v>
      </c>
      <c r="J221" s="66"/>
    </row>
    <row r="222" spans="1:10">
      <c r="A222" s="75" t="str">
        <f t="shared" si="3"/>
        <v>2018RES_201301_P4T6</v>
      </c>
      <c r="B222" s="1375" t="s">
        <v>277</v>
      </c>
      <c r="C222" s="1375" t="s">
        <v>458</v>
      </c>
      <c r="D222" s="1375" t="s">
        <v>746</v>
      </c>
      <c r="E222" s="1375" t="s">
        <v>327</v>
      </c>
      <c r="F222" s="1375" t="s">
        <v>885</v>
      </c>
      <c r="G222" s="66"/>
      <c r="H222" s="66">
        <v>0</v>
      </c>
      <c r="I222" s="74">
        <v>0</v>
      </c>
      <c r="J222" s="66"/>
    </row>
    <row r="223" spans="1:10">
      <c r="A223" s="75" t="str">
        <f t="shared" si="3"/>
        <v>2018RES_201301_P5T1</v>
      </c>
      <c r="B223" s="1375" t="s">
        <v>277</v>
      </c>
      <c r="C223" s="1375" t="s">
        <v>416</v>
      </c>
      <c r="D223" s="1375" t="s">
        <v>746</v>
      </c>
      <c r="E223" s="1375" t="s">
        <v>918</v>
      </c>
      <c r="F223" s="1375" t="s">
        <v>917</v>
      </c>
      <c r="G223" s="66"/>
      <c r="H223" s="66">
        <v>0</v>
      </c>
      <c r="I223" s="74">
        <v>0</v>
      </c>
      <c r="J223" s="66">
        <v>0</v>
      </c>
    </row>
    <row r="224" spans="1:10">
      <c r="A224" s="75" t="str">
        <f t="shared" si="3"/>
        <v>2018RES_201301_P6T1</v>
      </c>
      <c r="B224" s="1375" t="s">
        <v>277</v>
      </c>
      <c r="C224" s="1375" t="s">
        <v>428</v>
      </c>
      <c r="D224" s="1375" t="s">
        <v>746</v>
      </c>
      <c r="E224" s="1375" t="s">
        <v>919</v>
      </c>
      <c r="F224" s="1375" t="s">
        <v>917</v>
      </c>
      <c r="G224" s="66"/>
      <c r="H224" s="66">
        <v>0</v>
      </c>
      <c r="I224" s="74">
        <v>0</v>
      </c>
      <c r="J224" s="66">
        <v>0</v>
      </c>
    </row>
    <row r="225" spans="1:10">
      <c r="A225" s="75" t="str">
        <f t="shared" si="3"/>
        <v>2018RES_201301_P7T1</v>
      </c>
      <c r="B225" s="1375" t="s">
        <v>277</v>
      </c>
      <c r="C225" s="1375" t="s">
        <v>440</v>
      </c>
      <c r="D225" s="1375" t="s">
        <v>746</v>
      </c>
      <c r="E225" s="1375" t="s">
        <v>920</v>
      </c>
      <c r="F225" s="1375" t="s">
        <v>917</v>
      </c>
      <c r="G225" s="66"/>
      <c r="H225" s="66">
        <v>0</v>
      </c>
      <c r="I225" s="74">
        <v>0</v>
      </c>
      <c r="J225" s="66">
        <v>0</v>
      </c>
    </row>
    <row r="226" spans="1:10">
      <c r="A226" s="75" t="str">
        <f t="shared" si="3"/>
        <v>2018RES_201301_P8T1</v>
      </c>
      <c r="B226" s="1375" t="s">
        <v>277</v>
      </c>
      <c r="C226" s="1375" t="s">
        <v>69</v>
      </c>
      <c r="D226" s="1375" t="s">
        <v>746</v>
      </c>
      <c r="E226" s="1375" t="s">
        <v>297</v>
      </c>
      <c r="F226" s="1375" t="s">
        <v>363</v>
      </c>
      <c r="G226" s="66"/>
      <c r="H226" s="66">
        <v>0</v>
      </c>
      <c r="I226" s="74">
        <v>0</v>
      </c>
      <c r="J226" s="66">
        <v>0</v>
      </c>
    </row>
    <row r="227" spans="1:10">
      <c r="A227" s="75" t="str">
        <f t="shared" si="3"/>
        <v>2018RES_201301_P9T1</v>
      </c>
      <c r="B227" s="1375" t="s">
        <v>277</v>
      </c>
      <c r="C227" s="1375" t="s">
        <v>70</v>
      </c>
      <c r="D227" s="1375" t="s">
        <v>746</v>
      </c>
      <c r="E227" s="1375" t="s">
        <v>305</v>
      </c>
      <c r="F227" s="1375" t="s">
        <v>363</v>
      </c>
      <c r="G227" s="66"/>
      <c r="H227" s="66">
        <v>0</v>
      </c>
      <c r="I227" s="74">
        <v>0</v>
      </c>
      <c r="J227" s="66">
        <v>0</v>
      </c>
    </row>
    <row r="228" spans="1:10">
      <c r="A228" s="75" t="str">
        <f t="shared" si="3"/>
        <v>2018RES_201402_P2T1</v>
      </c>
      <c r="B228" s="1375" t="s">
        <v>277</v>
      </c>
      <c r="C228" s="1375" t="s">
        <v>451</v>
      </c>
      <c r="D228" s="1375" t="s">
        <v>470</v>
      </c>
      <c r="E228" s="1375" t="s">
        <v>318</v>
      </c>
      <c r="F228" s="1375" t="s">
        <v>333</v>
      </c>
      <c r="G228" s="66"/>
      <c r="H228" s="66">
        <v>50092.74147619</v>
      </c>
      <c r="I228" s="74">
        <v>1</v>
      </c>
      <c r="J228" s="66"/>
    </row>
    <row r="229" spans="1:10">
      <c r="A229" s="75" t="str">
        <f t="shared" si="3"/>
        <v>2018RES_201402_P3T1</v>
      </c>
      <c r="B229" s="1375" t="s">
        <v>277</v>
      </c>
      <c r="C229" s="1375" t="s">
        <v>393</v>
      </c>
      <c r="D229" s="1375" t="s">
        <v>470</v>
      </c>
      <c r="E229" s="1375" t="s">
        <v>280</v>
      </c>
      <c r="F229" s="1375" t="s">
        <v>333</v>
      </c>
      <c r="G229" s="66"/>
      <c r="H229" s="66">
        <v>6399458.1978392098</v>
      </c>
      <c r="I229" s="74">
        <v>0.26822728579688276</v>
      </c>
      <c r="J229" s="66"/>
    </row>
    <row r="230" spans="1:10">
      <c r="A230" s="75" t="str">
        <f t="shared" si="3"/>
        <v>2018RES_201402_P4T1</v>
      </c>
      <c r="B230" s="1375" t="s">
        <v>277</v>
      </c>
      <c r="C230" s="1375" t="s">
        <v>452</v>
      </c>
      <c r="D230" s="1375" t="s">
        <v>470</v>
      </c>
      <c r="E230" s="1375" t="s">
        <v>319</v>
      </c>
      <c r="F230" s="1375" t="s">
        <v>333</v>
      </c>
      <c r="G230" s="66"/>
      <c r="H230" s="66">
        <v>54361.397217860002</v>
      </c>
      <c r="I230" s="74">
        <v>1</v>
      </c>
      <c r="J230" s="66"/>
    </row>
    <row r="231" spans="1:10">
      <c r="A231" s="75" t="str">
        <f t="shared" si="3"/>
        <v>2018RES_201402_P6T1</v>
      </c>
      <c r="B231" s="1375" t="s">
        <v>277</v>
      </c>
      <c r="C231" s="1375" t="s">
        <v>395</v>
      </c>
      <c r="D231" s="1375" t="s">
        <v>470</v>
      </c>
      <c r="E231" s="1375" t="s">
        <v>283</v>
      </c>
      <c r="F231" s="1375" t="s">
        <v>333</v>
      </c>
      <c r="G231" s="66"/>
      <c r="H231" s="66">
        <v>256031</v>
      </c>
      <c r="I231" s="74">
        <v>1</v>
      </c>
      <c r="J231" s="66"/>
    </row>
    <row r="232" spans="1:10">
      <c r="A232" s="75" t="str">
        <f t="shared" si="3"/>
        <v>2018RES_201402_P7T1</v>
      </c>
      <c r="B232" s="1375" t="s">
        <v>277</v>
      </c>
      <c r="C232" s="1375" t="s">
        <v>405</v>
      </c>
      <c r="D232" s="1375" t="s">
        <v>470</v>
      </c>
      <c r="E232" s="1375" t="s">
        <v>293</v>
      </c>
      <c r="F232" s="1375" t="s">
        <v>333</v>
      </c>
      <c r="G232" s="66"/>
      <c r="H232" s="66">
        <v>11077688.252084799</v>
      </c>
      <c r="I232" s="74">
        <v>1</v>
      </c>
      <c r="J232" s="66"/>
    </row>
    <row r="233" spans="1:10">
      <c r="A233" s="75" t="str">
        <f t="shared" si="3"/>
        <v>2018RES_201402_P8T1</v>
      </c>
      <c r="B233" s="1375" t="s">
        <v>277</v>
      </c>
      <c r="C233" s="1375" t="s">
        <v>407</v>
      </c>
      <c r="D233" s="1375" t="s">
        <v>470</v>
      </c>
      <c r="E233" s="1375" t="s">
        <v>1391</v>
      </c>
      <c r="F233" s="1375" t="s">
        <v>333</v>
      </c>
      <c r="G233" s="66"/>
      <c r="H233" s="66">
        <v>992779.96276271006</v>
      </c>
      <c r="I233" s="74"/>
      <c r="J233" s="66"/>
    </row>
    <row r="234" spans="1:10">
      <c r="A234" s="75" t="str">
        <f t="shared" si="3"/>
        <v>2018RES_201403_P10T1</v>
      </c>
      <c r="B234" s="1375" t="s">
        <v>277</v>
      </c>
      <c r="C234" s="1375" t="s">
        <v>114</v>
      </c>
      <c r="D234" s="1375" t="s">
        <v>154</v>
      </c>
      <c r="E234" s="1375" t="s">
        <v>945</v>
      </c>
      <c r="F234" s="1375" t="s">
        <v>1262</v>
      </c>
      <c r="G234" s="66"/>
      <c r="H234" s="66">
        <v>1451.9932298799999</v>
      </c>
      <c r="I234" s="74">
        <v>3.8271784440265542E-2</v>
      </c>
      <c r="J234" s="66"/>
    </row>
    <row r="235" spans="1:10">
      <c r="A235" s="75" t="str">
        <f t="shared" si="3"/>
        <v>2018RES_201403_P10T2</v>
      </c>
      <c r="B235" s="1375" t="s">
        <v>277</v>
      </c>
      <c r="C235" s="1375" t="s">
        <v>400</v>
      </c>
      <c r="D235" s="1375" t="s">
        <v>154</v>
      </c>
      <c r="E235" s="1375" t="s">
        <v>945</v>
      </c>
      <c r="F235" s="1375" t="s">
        <v>1130</v>
      </c>
      <c r="G235" s="66"/>
      <c r="H235" s="66">
        <v>25.644991449999999</v>
      </c>
      <c r="I235" s="74">
        <v>6.7595327894742817E-4</v>
      </c>
      <c r="J235" s="66"/>
    </row>
    <row r="236" spans="1:10">
      <c r="A236" s="75" t="str">
        <f t="shared" si="3"/>
        <v>2018RES_201403_P11T1</v>
      </c>
      <c r="B236" s="1375" t="s">
        <v>277</v>
      </c>
      <c r="C236" s="1375" t="s">
        <v>268</v>
      </c>
      <c r="D236" s="1375" t="s">
        <v>154</v>
      </c>
      <c r="E236" s="1375" t="s">
        <v>284</v>
      </c>
      <c r="F236" s="1375" t="s">
        <v>1392</v>
      </c>
      <c r="G236" s="66"/>
      <c r="H236" s="66">
        <v>130937.44383605001</v>
      </c>
      <c r="I236" s="74">
        <v>0.39532259100892558</v>
      </c>
      <c r="J236" s="66">
        <v>2042.58844432</v>
      </c>
    </row>
    <row r="237" spans="1:10">
      <c r="A237" s="75" t="str">
        <f t="shared" si="3"/>
        <v>2018RES_201403_P11T2</v>
      </c>
      <c r="B237" s="1375" t="s">
        <v>277</v>
      </c>
      <c r="C237" s="1375" t="s">
        <v>269</v>
      </c>
      <c r="D237" s="1375" t="s">
        <v>154</v>
      </c>
      <c r="E237" s="1375" t="s">
        <v>284</v>
      </c>
      <c r="F237" s="1375" t="s">
        <v>1532</v>
      </c>
      <c r="G237" s="66"/>
      <c r="H237" s="66">
        <v>352.28169472000002</v>
      </c>
      <c r="I237" s="74">
        <v>1.0635988319437698E-3</v>
      </c>
      <c r="J237" s="66">
        <v>0</v>
      </c>
    </row>
    <row r="238" spans="1:10">
      <c r="A238" s="75" t="str">
        <f t="shared" si="3"/>
        <v>2018RES_201403_P11T3</v>
      </c>
      <c r="B238" s="1375" t="s">
        <v>277</v>
      </c>
      <c r="C238" s="1375" t="s">
        <v>270</v>
      </c>
      <c r="D238" s="1375" t="s">
        <v>154</v>
      </c>
      <c r="E238" s="1375" t="s">
        <v>284</v>
      </c>
      <c r="F238" s="1375" t="s">
        <v>1393</v>
      </c>
      <c r="G238" s="66"/>
      <c r="H238" s="66"/>
      <c r="I238" s="74"/>
      <c r="J238" s="66">
        <v>0</v>
      </c>
    </row>
    <row r="239" spans="1:10">
      <c r="A239" s="75" t="str">
        <f t="shared" si="3"/>
        <v>2018RES_201403_P12T1</v>
      </c>
      <c r="B239" s="1375" t="s">
        <v>277</v>
      </c>
      <c r="C239" s="1375" t="s">
        <v>447</v>
      </c>
      <c r="D239" s="1375" t="s">
        <v>154</v>
      </c>
      <c r="E239" s="1375" t="s">
        <v>315</v>
      </c>
      <c r="F239" s="1375" t="s">
        <v>1262</v>
      </c>
      <c r="G239" s="66"/>
      <c r="H239" s="66">
        <v>171520.81768561</v>
      </c>
      <c r="I239" s="74">
        <v>0.74285344308125512</v>
      </c>
      <c r="J239" s="66">
        <v>5402</v>
      </c>
    </row>
    <row r="240" spans="1:10">
      <c r="A240" s="75" t="str">
        <f t="shared" si="3"/>
        <v>2018RES_201403_P12T2</v>
      </c>
      <c r="B240" s="1375" t="s">
        <v>277</v>
      </c>
      <c r="C240" s="1375" t="s">
        <v>448</v>
      </c>
      <c r="D240" s="1375" t="s">
        <v>154</v>
      </c>
      <c r="E240" s="1375" t="s">
        <v>315</v>
      </c>
      <c r="F240" s="1375" t="s">
        <v>1533</v>
      </c>
      <c r="G240" s="66"/>
      <c r="H240" s="66">
        <v>1171.1556201599999</v>
      </c>
      <c r="I240" s="74">
        <v>5.0722530160419608E-3</v>
      </c>
      <c r="J240" s="66">
        <v>36.885217470000001</v>
      </c>
    </row>
    <row r="241" spans="1:10">
      <c r="A241" s="75" t="str">
        <f t="shared" si="3"/>
        <v>2018RES_201403_P13T1</v>
      </c>
      <c r="B241" s="1375" t="s">
        <v>277</v>
      </c>
      <c r="C241" s="1375" t="s">
        <v>449</v>
      </c>
      <c r="D241" s="1375" t="s">
        <v>154</v>
      </c>
      <c r="E241" s="1375" t="s">
        <v>317</v>
      </c>
      <c r="F241" s="1375" t="s">
        <v>1262</v>
      </c>
      <c r="G241" s="66"/>
      <c r="H241" s="66">
        <v>13169.522270859999</v>
      </c>
      <c r="I241" s="74">
        <v>0.13288527536328024</v>
      </c>
      <c r="J241" s="66">
        <v>425</v>
      </c>
    </row>
    <row r="242" spans="1:10">
      <c r="A242" s="75" t="str">
        <f t="shared" si="3"/>
        <v>2018RES_201403_P14T1</v>
      </c>
      <c r="B242" s="1375" t="s">
        <v>277</v>
      </c>
      <c r="C242" s="1375" t="s">
        <v>1534</v>
      </c>
      <c r="D242" s="1375" t="s">
        <v>154</v>
      </c>
      <c r="E242" s="1375" t="s">
        <v>1535</v>
      </c>
      <c r="F242" s="1375" t="s">
        <v>1536</v>
      </c>
      <c r="G242" s="66">
        <v>382238.81456621003</v>
      </c>
      <c r="H242" s="66">
        <v>123021.76061036999</v>
      </c>
      <c r="I242" s="74">
        <v>0.33697126996659776</v>
      </c>
      <c r="J242" s="66">
        <v>5495</v>
      </c>
    </row>
    <row r="243" spans="1:10">
      <c r="A243" s="75" t="str">
        <f t="shared" si="3"/>
        <v>2018RES_201403_P14T2</v>
      </c>
      <c r="B243" s="1375" t="s">
        <v>277</v>
      </c>
      <c r="C243" s="1375" t="s">
        <v>1537</v>
      </c>
      <c r="D243" s="1375" t="s">
        <v>154</v>
      </c>
      <c r="E243" s="1375" t="s">
        <v>1535</v>
      </c>
      <c r="F243" s="1375" t="s">
        <v>1386</v>
      </c>
      <c r="G243" s="66">
        <v>3283.2310056699998</v>
      </c>
      <c r="H243" s="66">
        <v>851.45081629000003</v>
      </c>
      <c r="I243" s="74">
        <v>2.33222530270919E-3</v>
      </c>
      <c r="J243" s="66">
        <v>389</v>
      </c>
    </row>
    <row r="244" spans="1:10">
      <c r="A244" s="75" t="str">
        <f t="shared" si="3"/>
        <v>2018RES_201403_P14T3</v>
      </c>
      <c r="B244" s="1375" t="s">
        <v>277</v>
      </c>
      <c r="C244" s="1375" t="s">
        <v>1538</v>
      </c>
      <c r="D244" s="1375" t="s">
        <v>154</v>
      </c>
      <c r="E244" s="1375" t="s">
        <v>1535</v>
      </c>
      <c r="F244" s="1375" t="s">
        <v>1387</v>
      </c>
      <c r="G244" s="66">
        <v>1843</v>
      </c>
      <c r="H244" s="66">
        <v>280</v>
      </c>
      <c r="I244" s="74">
        <v>7.6695338387714536E-4</v>
      </c>
      <c r="J244" s="66">
        <v>99</v>
      </c>
    </row>
    <row r="245" spans="1:10">
      <c r="A245" s="75" t="str">
        <f t="shared" si="3"/>
        <v>2018RES_201403_P14T4</v>
      </c>
      <c r="B245" s="1375" t="s">
        <v>277</v>
      </c>
      <c r="C245" s="1375" t="s">
        <v>1539</v>
      </c>
      <c r="D245" s="1375" t="s">
        <v>154</v>
      </c>
      <c r="E245" s="1375" t="s">
        <v>1535</v>
      </c>
      <c r="F245" s="1375" t="s">
        <v>1388</v>
      </c>
      <c r="G245" s="66">
        <v>1346</v>
      </c>
      <c r="H245" s="66">
        <v>280</v>
      </c>
      <c r="I245" s="74">
        <v>7.6695338387714536E-4</v>
      </c>
      <c r="J245" s="66">
        <v>99</v>
      </c>
    </row>
    <row r="246" spans="1:10">
      <c r="A246" s="75" t="str">
        <f t="shared" si="3"/>
        <v>2018RES_201403_P14T5</v>
      </c>
      <c r="B246" s="1375" t="s">
        <v>277</v>
      </c>
      <c r="C246" s="1375" t="s">
        <v>1540</v>
      </c>
      <c r="D246" s="1375" t="s">
        <v>154</v>
      </c>
      <c r="E246" s="1375" t="s">
        <v>1535</v>
      </c>
      <c r="F246" s="1375" t="s">
        <v>1389</v>
      </c>
      <c r="G246" s="66">
        <v>0</v>
      </c>
      <c r="H246" s="66">
        <v>280</v>
      </c>
      <c r="I246" s="74">
        <v>7.6695338387714536E-4</v>
      </c>
      <c r="J246" s="66">
        <v>0</v>
      </c>
    </row>
    <row r="247" spans="1:10">
      <c r="A247" s="75" t="str">
        <f t="shared" si="3"/>
        <v>2018RES_201403_P14T6</v>
      </c>
      <c r="B247" s="1375" t="s">
        <v>277</v>
      </c>
      <c r="C247" s="1375" t="s">
        <v>1541</v>
      </c>
      <c r="D247" s="1375" t="s">
        <v>154</v>
      </c>
      <c r="E247" s="1375" t="s">
        <v>1535</v>
      </c>
      <c r="F247" s="1375" t="s">
        <v>1390</v>
      </c>
      <c r="G247" s="66">
        <v>942</v>
      </c>
      <c r="H247" s="66"/>
      <c r="I247" s="74"/>
      <c r="J247" s="66">
        <v>0</v>
      </c>
    </row>
    <row r="248" spans="1:10">
      <c r="A248" s="75" t="str">
        <f t="shared" si="3"/>
        <v>2018RES_201403_P2T1</v>
      </c>
      <c r="B248" s="1375" t="s">
        <v>277</v>
      </c>
      <c r="C248" s="1375" t="s">
        <v>391</v>
      </c>
      <c r="D248" s="1375" t="s">
        <v>154</v>
      </c>
      <c r="E248" s="1375" t="s">
        <v>279</v>
      </c>
      <c r="F248" s="1375" t="s">
        <v>1536</v>
      </c>
      <c r="G248" s="66"/>
      <c r="H248" s="66">
        <v>75084.768530610003</v>
      </c>
      <c r="I248" s="74">
        <v>0.34999999999997905</v>
      </c>
      <c r="J248" s="66"/>
    </row>
    <row r="249" spans="1:10">
      <c r="A249" s="75" t="str">
        <f t="shared" si="3"/>
        <v>2018RES_201403_P3T1</v>
      </c>
      <c r="B249" s="1375" t="s">
        <v>277</v>
      </c>
      <c r="C249" s="1375" t="s">
        <v>120</v>
      </c>
      <c r="D249" s="1375" t="s">
        <v>154</v>
      </c>
      <c r="E249" s="1375" t="s">
        <v>512</v>
      </c>
      <c r="F249" s="1375" t="s">
        <v>948</v>
      </c>
      <c r="G249" s="66"/>
      <c r="H249" s="66">
        <v>26383.352834680001</v>
      </c>
      <c r="I249" s="74">
        <v>0.9334581600596884</v>
      </c>
      <c r="J249" s="66"/>
    </row>
    <row r="250" spans="1:10">
      <c r="A250" s="75" t="str">
        <f t="shared" si="3"/>
        <v>2018RES_201403_P3T2</v>
      </c>
      <c r="B250" s="1375" t="s">
        <v>277</v>
      </c>
      <c r="C250" s="1375" t="s">
        <v>1394</v>
      </c>
      <c r="D250" s="1375" t="s">
        <v>154</v>
      </c>
      <c r="E250" s="1375" t="s">
        <v>512</v>
      </c>
      <c r="F250" s="1375" t="s">
        <v>163</v>
      </c>
      <c r="G250" s="66"/>
      <c r="H250" s="66">
        <v>451.60949612000002</v>
      </c>
      <c r="I250" s="74">
        <v>1.5978203072034656E-2</v>
      </c>
      <c r="J250" s="66"/>
    </row>
    <row r="251" spans="1:10">
      <c r="A251" s="75" t="str">
        <f t="shared" si="3"/>
        <v>2018RES_201403_P4T1</v>
      </c>
      <c r="B251" s="1375" t="s">
        <v>277</v>
      </c>
      <c r="C251" s="1375" t="s">
        <v>121</v>
      </c>
      <c r="D251" s="1375" t="s">
        <v>154</v>
      </c>
      <c r="E251" s="1375" t="s">
        <v>517</v>
      </c>
      <c r="F251" s="1375" t="s">
        <v>949</v>
      </c>
      <c r="G251" s="66"/>
      <c r="H251" s="66">
        <v>42007</v>
      </c>
      <c r="I251" s="74">
        <v>0.3804085994240487</v>
      </c>
      <c r="J251" s="66"/>
    </row>
    <row r="252" spans="1:10">
      <c r="A252" s="75" t="str">
        <f t="shared" si="3"/>
        <v>2018RES_201403_P4T2</v>
      </c>
      <c r="B252" s="1375" t="s">
        <v>277</v>
      </c>
      <c r="C252" s="1375" t="s">
        <v>408</v>
      </c>
      <c r="D252" s="1375" t="s">
        <v>154</v>
      </c>
      <c r="E252" s="1375" t="s">
        <v>517</v>
      </c>
      <c r="F252" s="1375" t="s">
        <v>950</v>
      </c>
      <c r="G252" s="66"/>
      <c r="H252" s="66">
        <v>42007</v>
      </c>
      <c r="I252" s="74">
        <v>0.3804085994240487</v>
      </c>
      <c r="J252" s="66"/>
    </row>
    <row r="253" spans="1:10">
      <c r="A253" s="75" t="str">
        <f t="shared" si="3"/>
        <v>2018RES_201403_P4T3</v>
      </c>
      <c r="B253" s="1375" t="s">
        <v>277</v>
      </c>
      <c r="C253" s="1375" t="s">
        <v>92</v>
      </c>
      <c r="D253" s="1375" t="s">
        <v>154</v>
      </c>
      <c r="E253" s="1375" t="s">
        <v>517</v>
      </c>
      <c r="F253" s="1375" t="s">
        <v>951</v>
      </c>
      <c r="G253" s="66"/>
      <c r="H253" s="66">
        <v>42007</v>
      </c>
      <c r="I253" s="74">
        <v>0.3804085994240487</v>
      </c>
      <c r="J253" s="66"/>
    </row>
    <row r="254" spans="1:10">
      <c r="A254" s="75" t="str">
        <f t="shared" si="3"/>
        <v>2018RES_201403_P5T1</v>
      </c>
      <c r="B254" s="1375" t="s">
        <v>277</v>
      </c>
      <c r="C254" s="1375" t="s">
        <v>116</v>
      </c>
      <c r="D254" s="1375" t="s">
        <v>154</v>
      </c>
      <c r="E254" s="1375" t="s">
        <v>952</v>
      </c>
      <c r="F254" s="1375" t="s">
        <v>1262</v>
      </c>
      <c r="G254" s="66"/>
      <c r="H254" s="66">
        <v>27460.240442750001</v>
      </c>
      <c r="I254" s="74">
        <v>0.52362070138501404</v>
      </c>
      <c r="J254" s="66">
        <v>0</v>
      </c>
    </row>
    <row r="255" spans="1:10">
      <c r="A255" s="75" t="str">
        <f t="shared" si="3"/>
        <v>2018RES_201403_P5T2</v>
      </c>
      <c r="B255" s="1375" t="s">
        <v>277</v>
      </c>
      <c r="C255" s="1375" t="s">
        <v>1543</v>
      </c>
      <c r="D255" s="1375" t="s">
        <v>154</v>
      </c>
      <c r="E255" s="1375" t="s">
        <v>952</v>
      </c>
      <c r="F255" s="1375" t="s">
        <v>1130</v>
      </c>
      <c r="G255" s="66"/>
      <c r="H255" s="66">
        <v>10.355349759999999</v>
      </c>
      <c r="I255" s="74">
        <v>1.9745914154403973E-4</v>
      </c>
      <c r="J255" s="66"/>
    </row>
    <row r="256" spans="1:10">
      <c r="A256" s="75" t="str">
        <f t="shared" si="3"/>
        <v>2018RES_201403_P5T3</v>
      </c>
      <c r="B256" s="1375" t="s">
        <v>277</v>
      </c>
      <c r="C256" s="1375" t="s">
        <v>454</v>
      </c>
      <c r="D256" s="1375" t="s">
        <v>154</v>
      </c>
      <c r="E256" s="1375" t="s">
        <v>952</v>
      </c>
      <c r="F256" s="1375" t="s">
        <v>332</v>
      </c>
      <c r="G256" s="66"/>
      <c r="H256" s="66">
        <v>0</v>
      </c>
      <c r="I256" s="74">
        <v>0</v>
      </c>
      <c r="J256" s="66"/>
    </row>
    <row r="257" spans="1:10">
      <c r="A257" s="75" t="str">
        <f t="shared" si="3"/>
        <v>2018RES_201403_P6T1</v>
      </c>
      <c r="B257" s="1375" t="s">
        <v>277</v>
      </c>
      <c r="C257" s="1375" t="s">
        <v>95</v>
      </c>
      <c r="D257" s="1375" t="s">
        <v>154</v>
      </c>
      <c r="E257" s="1375" t="s">
        <v>316</v>
      </c>
      <c r="F257" s="1375" t="s">
        <v>1262</v>
      </c>
      <c r="G257" s="66"/>
      <c r="H257" s="66">
        <v>40474.702383600001</v>
      </c>
      <c r="I257" s="74">
        <v>0.18794934808990621</v>
      </c>
      <c r="J257" s="66">
        <v>101</v>
      </c>
    </row>
    <row r="258" spans="1:10">
      <c r="A258" s="75" t="str">
        <f t="shared" si="3"/>
        <v>2018RES_201403_P6T2</v>
      </c>
      <c r="B258" s="1375" t="s">
        <v>277</v>
      </c>
      <c r="C258" s="1375" t="s">
        <v>96</v>
      </c>
      <c r="D258" s="1375" t="s">
        <v>154</v>
      </c>
      <c r="E258" s="1375" t="s">
        <v>316</v>
      </c>
      <c r="F258" s="1375" t="s">
        <v>1533</v>
      </c>
      <c r="G258" s="66"/>
      <c r="H258" s="66">
        <v>38833.076823800002</v>
      </c>
      <c r="I258" s="74">
        <v>0.1803262542658203</v>
      </c>
      <c r="J258" s="66">
        <v>96.903510789999999</v>
      </c>
    </row>
    <row r="259" spans="1:10">
      <c r="A259" s="75" t="str">
        <f t="shared" si="3"/>
        <v>2018RES_201403_P8T1</v>
      </c>
      <c r="B259" s="1375" t="s">
        <v>277</v>
      </c>
      <c r="C259" s="1375" t="s">
        <v>97</v>
      </c>
      <c r="D259" s="1375" t="s">
        <v>154</v>
      </c>
      <c r="E259" s="1375" t="s">
        <v>156</v>
      </c>
      <c r="F259" s="1375" t="s">
        <v>947</v>
      </c>
      <c r="G259" s="66"/>
      <c r="H259" s="66">
        <v>170846.94135613</v>
      </c>
      <c r="I259" s="74">
        <v>0.95283878302268599</v>
      </c>
      <c r="J259" s="66">
        <v>12788.711530619999</v>
      </c>
    </row>
    <row r="260" spans="1:10">
      <c r="A260" s="75" t="str">
        <f t="shared" si="3"/>
        <v>2018RES_201403_P8T2</v>
      </c>
      <c r="B260" s="1375" t="s">
        <v>277</v>
      </c>
      <c r="C260" s="1375" t="s">
        <v>98</v>
      </c>
      <c r="D260" s="1375" t="s">
        <v>154</v>
      </c>
      <c r="E260" s="1375" t="s">
        <v>156</v>
      </c>
      <c r="F260" s="1375" t="s">
        <v>1565</v>
      </c>
      <c r="G260" s="66"/>
      <c r="H260" s="66">
        <v>137685.14123933</v>
      </c>
      <c r="I260" s="74">
        <v>0.7678904953019966</v>
      </c>
      <c r="J260" s="66">
        <v>10842.64547161</v>
      </c>
    </row>
    <row r="261" spans="1:10">
      <c r="A261" s="75" t="str">
        <f t="shared" si="3"/>
        <v>2018RES_201403_P8T3</v>
      </c>
      <c r="B261" s="1375" t="s">
        <v>277</v>
      </c>
      <c r="C261" s="1375" t="s">
        <v>99</v>
      </c>
      <c r="D261" s="1375" t="s">
        <v>154</v>
      </c>
      <c r="E261" s="1375" t="s">
        <v>156</v>
      </c>
      <c r="F261" s="1375" t="s">
        <v>1566</v>
      </c>
      <c r="G261" s="66"/>
      <c r="H261" s="66"/>
      <c r="I261" s="74"/>
      <c r="J261" s="66">
        <v>0</v>
      </c>
    </row>
    <row r="262" spans="1:10">
      <c r="A262" s="75" t="str">
        <f t="shared" si="3"/>
        <v>2018RES_201403_P9T1</v>
      </c>
      <c r="B262" s="1375" t="s">
        <v>277</v>
      </c>
      <c r="C262" s="1375" t="s">
        <v>107</v>
      </c>
      <c r="D262" s="1375" t="s">
        <v>154</v>
      </c>
      <c r="E262" s="1375" t="s">
        <v>953</v>
      </c>
      <c r="F262" s="1375" t="s">
        <v>1262</v>
      </c>
      <c r="G262" s="66"/>
      <c r="H262" s="66">
        <v>1597.9461440499999</v>
      </c>
      <c r="I262" s="74">
        <v>9.5110180587408416E-2</v>
      </c>
      <c r="J262" s="66"/>
    </row>
    <row r="263" spans="1:10">
      <c r="A263" s="75" t="str">
        <f t="shared" ref="A263:A326" si="4">B263&amp;C263</f>
        <v>2018RES_201403_P9T2</v>
      </c>
      <c r="B263" s="1375" t="s">
        <v>277</v>
      </c>
      <c r="C263" s="1375" t="s">
        <v>108</v>
      </c>
      <c r="D263" s="1375" t="s">
        <v>154</v>
      </c>
      <c r="E263" s="1375" t="s">
        <v>953</v>
      </c>
      <c r="F263" s="1375" t="s">
        <v>1130</v>
      </c>
      <c r="G263" s="66"/>
      <c r="H263" s="66">
        <v>195.47852673</v>
      </c>
      <c r="I263" s="74">
        <v>1.1634934035467153E-2</v>
      </c>
      <c r="J263" s="66"/>
    </row>
    <row r="264" spans="1:10">
      <c r="A264" s="75" t="str">
        <f t="shared" si="4"/>
        <v>2018RES_201601_P1T1</v>
      </c>
      <c r="B264" s="1375" t="s">
        <v>277</v>
      </c>
      <c r="C264" s="1375" t="s">
        <v>954</v>
      </c>
      <c r="D264" s="1375" t="s">
        <v>857</v>
      </c>
      <c r="E264" s="1375" t="s">
        <v>1395</v>
      </c>
      <c r="F264" s="1375" t="s">
        <v>955</v>
      </c>
      <c r="G264" s="66"/>
      <c r="H264" s="66">
        <v>0</v>
      </c>
      <c r="I264" s="74">
        <v>0</v>
      </c>
      <c r="J264" s="66">
        <v>0</v>
      </c>
    </row>
    <row r="265" spans="1:10">
      <c r="A265" s="75" t="str">
        <f t="shared" si="4"/>
        <v>2018RES_201601_P1T2</v>
      </c>
      <c r="B265" s="1375" t="s">
        <v>277</v>
      </c>
      <c r="C265" s="1375" t="s">
        <v>1396</v>
      </c>
      <c r="D265" s="1375" t="s">
        <v>857</v>
      </c>
      <c r="E265" s="1375" t="s">
        <v>1395</v>
      </c>
      <c r="F265" s="1375" t="s">
        <v>1397</v>
      </c>
      <c r="G265" s="66"/>
      <c r="H265" s="66">
        <v>1420</v>
      </c>
      <c r="I265" s="74">
        <v>0.35148514851485146</v>
      </c>
      <c r="J265" s="66">
        <v>732.4</v>
      </c>
    </row>
    <row r="266" spans="1:10">
      <c r="A266" s="75" t="str">
        <f t="shared" si="4"/>
        <v>2018RES_201601_P1T3</v>
      </c>
      <c r="B266" s="1375" t="s">
        <v>277</v>
      </c>
      <c r="C266" s="1375" t="s">
        <v>956</v>
      </c>
      <c r="D266" s="1375" t="s">
        <v>857</v>
      </c>
      <c r="E266" s="1375" t="s">
        <v>1395</v>
      </c>
      <c r="F266" s="1375" t="s">
        <v>1327</v>
      </c>
      <c r="G266" s="66"/>
      <c r="H266" s="66">
        <v>28</v>
      </c>
      <c r="I266" s="74">
        <v>6.9306930693069308E-3</v>
      </c>
      <c r="J266" s="66">
        <v>22.4</v>
      </c>
    </row>
    <row r="267" spans="1:10">
      <c r="A267" s="75" t="str">
        <f t="shared" si="4"/>
        <v>2018Unknown</v>
      </c>
      <c r="B267" s="1375" t="s">
        <v>277</v>
      </c>
      <c r="C267" s="1375" t="s">
        <v>325</v>
      </c>
      <c r="D267" s="1375" t="s">
        <v>325</v>
      </c>
      <c r="E267" s="1375" t="s">
        <v>325</v>
      </c>
      <c r="F267" s="1375" t="s">
        <v>325</v>
      </c>
      <c r="G267" s="66"/>
      <c r="H267" s="66">
        <v>0</v>
      </c>
      <c r="I267" s="74"/>
      <c r="J267" s="66"/>
    </row>
    <row r="268" spans="1:10">
      <c r="A268" s="75" t="str">
        <f t="shared" si="4"/>
        <v>2018XMP_202001_P1T1</v>
      </c>
      <c r="B268" s="1375" t="s">
        <v>277</v>
      </c>
      <c r="C268" s="1375" t="s">
        <v>1549</v>
      </c>
      <c r="D268" s="1375" t="s">
        <v>1107</v>
      </c>
      <c r="E268" s="1375" t="s">
        <v>1567</v>
      </c>
      <c r="F268" s="1375" t="s">
        <v>157</v>
      </c>
      <c r="G268" s="66"/>
      <c r="H268" s="66"/>
      <c r="I268" s="74"/>
      <c r="J268" s="66">
        <v>0</v>
      </c>
    </row>
    <row r="269" spans="1:10">
      <c r="A269" s="75" t="str">
        <f t="shared" si="4"/>
        <v>2018XMP_202001_P1T2</v>
      </c>
      <c r="B269" s="1375" t="s">
        <v>277</v>
      </c>
      <c r="C269" s="1375" t="s">
        <v>1550</v>
      </c>
      <c r="D269" s="1375" t="s">
        <v>1107</v>
      </c>
      <c r="E269" s="1375" t="s">
        <v>1567</v>
      </c>
      <c r="F269" s="1375" t="s">
        <v>158</v>
      </c>
      <c r="G269" s="66"/>
      <c r="H269" s="66"/>
      <c r="I269" s="74"/>
      <c r="J269" s="66">
        <v>0</v>
      </c>
    </row>
    <row r="270" spans="1:10">
      <c r="A270" s="75" t="str">
        <f t="shared" si="4"/>
        <v>2018XMP_202001_P2T1</v>
      </c>
      <c r="B270" s="1375" t="s">
        <v>277</v>
      </c>
      <c r="C270" s="1375" t="s">
        <v>1551</v>
      </c>
      <c r="D270" s="1375" t="s">
        <v>1107</v>
      </c>
      <c r="E270" s="1375" t="s">
        <v>1568</v>
      </c>
      <c r="F270" s="1375" t="s">
        <v>157</v>
      </c>
      <c r="G270" s="66"/>
      <c r="H270" s="66"/>
      <c r="I270" s="74"/>
      <c r="J270" s="66">
        <v>0</v>
      </c>
    </row>
    <row r="271" spans="1:10">
      <c r="A271" s="75" t="str">
        <f t="shared" si="4"/>
        <v>2018XMP_202001_P2T2</v>
      </c>
      <c r="B271" s="1375" t="s">
        <v>277</v>
      </c>
      <c r="C271" s="1375" t="s">
        <v>1552</v>
      </c>
      <c r="D271" s="1375" t="s">
        <v>1107</v>
      </c>
      <c r="E271" s="1375" t="s">
        <v>1568</v>
      </c>
      <c r="F271" s="1375" t="s">
        <v>158</v>
      </c>
      <c r="G271" s="66"/>
      <c r="H271" s="66"/>
      <c r="I271" s="74"/>
      <c r="J271" s="66">
        <v>0</v>
      </c>
    </row>
    <row r="272" spans="1:10">
      <c r="A272" s="75" t="str">
        <f t="shared" si="4"/>
        <v>2018XMP_202001_P3T1</v>
      </c>
      <c r="B272" s="1375" t="s">
        <v>277</v>
      </c>
      <c r="C272" s="1375" t="s">
        <v>1553</v>
      </c>
      <c r="D272" s="1375" t="s">
        <v>1107</v>
      </c>
      <c r="E272" s="1375" t="s">
        <v>1569</v>
      </c>
      <c r="F272" s="1375" t="s">
        <v>157</v>
      </c>
      <c r="G272" s="66"/>
      <c r="H272" s="66"/>
      <c r="I272" s="74"/>
      <c r="J272" s="66">
        <v>0</v>
      </c>
    </row>
    <row r="273" spans="1:10">
      <c r="A273" s="75" t="str">
        <f t="shared" si="4"/>
        <v>2018XMP_202001_P3T2</v>
      </c>
      <c r="B273" s="1375" t="s">
        <v>277</v>
      </c>
      <c r="C273" s="1375" t="s">
        <v>1554</v>
      </c>
      <c r="D273" s="1375" t="s">
        <v>1107</v>
      </c>
      <c r="E273" s="1375" t="s">
        <v>1569</v>
      </c>
      <c r="F273" s="1375" t="s">
        <v>158</v>
      </c>
      <c r="G273" s="66"/>
      <c r="H273" s="66"/>
      <c r="I273" s="74"/>
      <c r="J273" s="66">
        <v>0</v>
      </c>
    </row>
    <row r="274" spans="1:10">
      <c r="A274" s="75" t="str">
        <f t="shared" si="4"/>
        <v>2018XMP_202001_P3T3</v>
      </c>
      <c r="B274" s="1375" t="s">
        <v>277</v>
      </c>
      <c r="C274" s="1375" t="s">
        <v>1555</v>
      </c>
      <c r="D274" s="1375" t="s">
        <v>1107</v>
      </c>
      <c r="E274" s="1375" t="s">
        <v>1569</v>
      </c>
      <c r="F274" s="1375" t="s">
        <v>818</v>
      </c>
      <c r="G274" s="66"/>
      <c r="H274" s="66"/>
      <c r="I274" s="74"/>
      <c r="J274" s="66">
        <v>0</v>
      </c>
    </row>
    <row r="275" spans="1:10">
      <c r="A275" s="75" t="str">
        <f t="shared" si="4"/>
        <v>2018XMP_202001_P4T1</v>
      </c>
      <c r="B275" s="1375" t="s">
        <v>277</v>
      </c>
      <c r="C275" s="1375" t="s">
        <v>1556</v>
      </c>
      <c r="D275" s="1375" t="s">
        <v>1107</v>
      </c>
      <c r="E275" s="1375" t="s">
        <v>1570</v>
      </c>
      <c r="F275" s="1375" t="s">
        <v>157</v>
      </c>
      <c r="G275" s="66"/>
      <c r="H275" s="66"/>
      <c r="I275" s="74"/>
      <c r="J275" s="66">
        <v>0</v>
      </c>
    </row>
    <row r="276" spans="1:10">
      <c r="A276" s="75" t="str">
        <f t="shared" si="4"/>
        <v>2018XMP_202001_P4T2</v>
      </c>
      <c r="B276" s="1375" t="s">
        <v>277</v>
      </c>
      <c r="C276" s="1375" t="s">
        <v>1557</v>
      </c>
      <c r="D276" s="1375" t="s">
        <v>1107</v>
      </c>
      <c r="E276" s="1375" t="s">
        <v>1570</v>
      </c>
      <c r="F276" s="1375" t="s">
        <v>158</v>
      </c>
      <c r="G276" s="66"/>
      <c r="H276" s="66"/>
      <c r="I276" s="74"/>
      <c r="J276" s="66">
        <v>0</v>
      </c>
    </row>
    <row r="277" spans="1:10">
      <c r="A277" s="75" t="str">
        <f t="shared" si="4"/>
        <v>2018XMP_202001_P4T3</v>
      </c>
      <c r="B277" s="1375" t="s">
        <v>277</v>
      </c>
      <c r="C277" s="1375" t="s">
        <v>1558</v>
      </c>
      <c r="D277" s="1375" t="s">
        <v>1107</v>
      </c>
      <c r="E277" s="1375" t="s">
        <v>1570</v>
      </c>
      <c r="F277" s="1375" t="s">
        <v>818</v>
      </c>
      <c r="G277" s="66"/>
      <c r="H277" s="66"/>
      <c r="I277" s="74"/>
      <c r="J277" s="66">
        <v>0</v>
      </c>
    </row>
    <row r="278" spans="1:10">
      <c r="A278" s="75" t="str">
        <f t="shared" si="4"/>
        <v>2018XMP_202001_P5T1</v>
      </c>
      <c r="B278" s="1375" t="s">
        <v>277</v>
      </c>
      <c r="C278" s="1375" t="s">
        <v>1559</v>
      </c>
      <c r="D278" s="1375" t="s">
        <v>1107</v>
      </c>
      <c r="E278" s="1375" t="s">
        <v>1575</v>
      </c>
      <c r="F278" s="1375" t="s">
        <v>334</v>
      </c>
      <c r="G278" s="66"/>
      <c r="H278" s="66"/>
      <c r="I278" s="74"/>
      <c r="J278" s="66">
        <v>0</v>
      </c>
    </row>
    <row r="279" spans="1:10">
      <c r="A279" s="75" t="str">
        <f t="shared" si="4"/>
        <v>2018XMP_202001_P6T1</v>
      </c>
      <c r="B279" s="1375" t="s">
        <v>277</v>
      </c>
      <c r="C279" s="1375" t="s">
        <v>1560</v>
      </c>
      <c r="D279" s="1375" t="s">
        <v>1107</v>
      </c>
      <c r="E279" s="1375" t="s">
        <v>1743</v>
      </c>
      <c r="F279" s="1375" t="s">
        <v>157</v>
      </c>
      <c r="G279" s="66"/>
      <c r="H279" s="66"/>
      <c r="I279" s="74"/>
      <c r="J279" s="66">
        <v>0</v>
      </c>
    </row>
    <row r="280" spans="1:10">
      <c r="A280" s="75" t="str">
        <f t="shared" si="4"/>
        <v>2018XMP_202001_P6T2</v>
      </c>
      <c r="B280" s="1375" t="s">
        <v>277</v>
      </c>
      <c r="C280" s="1375" t="s">
        <v>1561</v>
      </c>
      <c r="D280" s="1375" t="s">
        <v>1107</v>
      </c>
      <c r="E280" s="1375" t="s">
        <v>1743</v>
      </c>
      <c r="F280" s="1375" t="s">
        <v>158</v>
      </c>
      <c r="G280" s="66"/>
      <c r="H280" s="66"/>
      <c r="I280" s="74"/>
      <c r="J280" s="66">
        <v>0</v>
      </c>
    </row>
    <row r="281" spans="1:10">
      <c r="A281" s="75" t="str">
        <f t="shared" si="4"/>
        <v>2019COM_199701_P1T1</v>
      </c>
      <c r="B281" s="1375" t="s">
        <v>278</v>
      </c>
      <c r="C281" s="1375" t="s">
        <v>394</v>
      </c>
      <c r="D281" s="1375" t="s">
        <v>468</v>
      </c>
      <c r="E281" s="1375" t="s">
        <v>155</v>
      </c>
      <c r="F281" s="1375" t="s">
        <v>334</v>
      </c>
      <c r="G281" s="66">
        <v>1538</v>
      </c>
      <c r="H281" s="66"/>
      <c r="I281" s="74"/>
      <c r="J281" s="66">
        <v>13.9512611</v>
      </c>
    </row>
    <row r="282" spans="1:10">
      <c r="A282" s="75" t="str">
        <f t="shared" si="4"/>
        <v>2019COM_200002_P1T1</v>
      </c>
      <c r="B282" s="1375" t="s">
        <v>278</v>
      </c>
      <c r="C282" s="1375" t="s">
        <v>19</v>
      </c>
      <c r="D282" s="1375" t="s">
        <v>136</v>
      </c>
      <c r="E282" s="1375" t="s">
        <v>287</v>
      </c>
      <c r="F282" s="1375" t="s">
        <v>334</v>
      </c>
      <c r="G282" s="66"/>
      <c r="H282" s="66">
        <v>69.792735280000002</v>
      </c>
      <c r="I282" s="74">
        <v>0.28420901042048829</v>
      </c>
      <c r="J282" s="66">
        <v>2823864.1960575399</v>
      </c>
    </row>
    <row r="283" spans="1:10">
      <c r="A283" s="75" t="str">
        <f t="shared" si="4"/>
        <v>2019COM_200002_P2T1</v>
      </c>
      <c r="B283" s="1375" t="s">
        <v>278</v>
      </c>
      <c r="C283" s="1375" t="s">
        <v>20</v>
      </c>
      <c r="D283" s="1375" t="s">
        <v>136</v>
      </c>
      <c r="E283" s="1375" t="s">
        <v>313</v>
      </c>
      <c r="F283" s="1375" t="s">
        <v>334</v>
      </c>
      <c r="G283" s="66">
        <v>131.24815618</v>
      </c>
      <c r="H283" s="66"/>
      <c r="I283" s="74"/>
      <c r="J283" s="66">
        <v>1102557.8235294099</v>
      </c>
    </row>
    <row r="284" spans="1:10">
      <c r="A284" s="75" t="str">
        <f t="shared" si="4"/>
        <v>2019COM_200002_P3T1</v>
      </c>
      <c r="B284" s="1375" t="s">
        <v>278</v>
      </c>
      <c r="C284" s="1375" t="s">
        <v>865</v>
      </c>
      <c r="D284" s="1375" t="s">
        <v>136</v>
      </c>
      <c r="E284" s="1375" t="s">
        <v>866</v>
      </c>
      <c r="F284" s="1375" t="s">
        <v>334</v>
      </c>
      <c r="G284" s="66"/>
      <c r="H284" s="66"/>
      <c r="I284" s="74"/>
      <c r="J284" s="66">
        <v>399769.81417635002</v>
      </c>
    </row>
    <row r="285" spans="1:10">
      <c r="A285" s="75" t="str">
        <f t="shared" si="4"/>
        <v>2019COM_200002_P4T1</v>
      </c>
      <c r="B285" s="1375" t="s">
        <v>278</v>
      </c>
      <c r="C285" s="1375" t="s">
        <v>867</v>
      </c>
      <c r="D285" s="1375" t="s">
        <v>136</v>
      </c>
      <c r="E285" s="1375" t="s">
        <v>868</v>
      </c>
      <c r="F285" s="1375" t="s">
        <v>334</v>
      </c>
      <c r="G285" s="66"/>
      <c r="H285" s="66"/>
      <c r="I285" s="74"/>
      <c r="J285" s="66">
        <v>1171414.4432916001</v>
      </c>
    </row>
    <row r="286" spans="1:10">
      <c r="A286" s="75" t="str">
        <f t="shared" si="4"/>
        <v>2019COM_200202_P1T1</v>
      </c>
      <c r="B286" s="1375" t="s">
        <v>278</v>
      </c>
      <c r="C286" s="1375" t="s">
        <v>412</v>
      </c>
      <c r="D286" s="1375" t="s">
        <v>137</v>
      </c>
      <c r="E286" s="1375" t="s">
        <v>296</v>
      </c>
      <c r="F286" s="1375" t="s">
        <v>358</v>
      </c>
      <c r="G286" s="66"/>
      <c r="H286" s="66">
        <v>7958000</v>
      </c>
      <c r="I286" s="74">
        <v>1</v>
      </c>
      <c r="J286" s="66">
        <v>0</v>
      </c>
    </row>
    <row r="287" spans="1:10">
      <c r="A287" s="75" t="str">
        <f t="shared" si="4"/>
        <v>2019COM_200202_P1T10</v>
      </c>
      <c r="B287" s="1375" t="s">
        <v>278</v>
      </c>
      <c r="C287" s="1375" t="s">
        <v>869</v>
      </c>
      <c r="D287" s="1375" t="s">
        <v>137</v>
      </c>
      <c r="E287" s="1375" t="s">
        <v>296</v>
      </c>
      <c r="F287" s="1375" t="s">
        <v>1361</v>
      </c>
      <c r="G287" s="66"/>
      <c r="H287" s="66">
        <v>0</v>
      </c>
      <c r="I287" s="74">
        <v>0</v>
      </c>
      <c r="J287" s="66"/>
    </row>
    <row r="288" spans="1:10">
      <c r="A288" s="75" t="str">
        <f t="shared" si="4"/>
        <v>2019COM_200202_P1T2</v>
      </c>
      <c r="B288" s="1375" t="s">
        <v>278</v>
      </c>
      <c r="C288" s="1375" t="s">
        <v>413</v>
      </c>
      <c r="D288" s="1375" t="s">
        <v>137</v>
      </c>
      <c r="E288" s="1375" t="s">
        <v>296</v>
      </c>
      <c r="F288" s="1375" t="s">
        <v>359</v>
      </c>
      <c r="G288" s="66"/>
      <c r="H288" s="66">
        <v>7958000</v>
      </c>
      <c r="I288" s="74">
        <v>1</v>
      </c>
      <c r="J288" s="66">
        <v>0</v>
      </c>
    </row>
    <row r="289" spans="1:10">
      <c r="A289" s="75" t="str">
        <f t="shared" si="4"/>
        <v>2019COM_200202_P1T3</v>
      </c>
      <c r="B289" s="1375" t="s">
        <v>278</v>
      </c>
      <c r="C289" s="1375" t="s">
        <v>414</v>
      </c>
      <c r="D289" s="1375" t="s">
        <v>137</v>
      </c>
      <c r="E289" s="1375" t="s">
        <v>296</v>
      </c>
      <c r="F289" s="1375" t="s">
        <v>360</v>
      </c>
      <c r="G289" s="66"/>
      <c r="H289" s="66">
        <v>7958000</v>
      </c>
      <c r="I289" s="74">
        <v>1</v>
      </c>
      <c r="J289" s="66">
        <v>0</v>
      </c>
    </row>
    <row r="290" spans="1:10">
      <c r="A290" s="75" t="str">
        <f t="shared" si="4"/>
        <v>2019COM_200202_P1T4</v>
      </c>
      <c r="B290" s="1375" t="s">
        <v>278</v>
      </c>
      <c r="C290" s="1375" t="s">
        <v>415</v>
      </c>
      <c r="D290" s="1375" t="s">
        <v>137</v>
      </c>
      <c r="E290" s="1375" t="s">
        <v>296</v>
      </c>
      <c r="F290" s="1375" t="s">
        <v>361</v>
      </c>
      <c r="G290" s="66"/>
      <c r="H290" s="66">
        <v>7958000</v>
      </c>
      <c r="I290" s="74">
        <v>1</v>
      </c>
      <c r="J290" s="66">
        <v>0</v>
      </c>
    </row>
    <row r="291" spans="1:10">
      <c r="A291" s="75" t="str">
        <f t="shared" si="4"/>
        <v>2019COM_200202_P1T5</v>
      </c>
      <c r="B291" s="1375" t="s">
        <v>278</v>
      </c>
      <c r="C291" s="1375" t="s">
        <v>21</v>
      </c>
      <c r="D291" s="1375" t="s">
        <v>137</v>
      </c>
      <c r="E291" s="1375" t="s">
        <v>296</v>
      </c>
      <c r="F291" s="1375" t="s">
        <v>1362</v>
      </c>
      <c r="G291" s="66"/>
      <c r="H291" s="66">
        <v>3979000</v>
      </c>
      <c r="I291" s="74">
        <v>0.5</v>
      </c>
      <c r="J291" s="66">
        <v>0</v>
      </c>
    </row>
    <row r="292" spans="1:10">
      <c r="A292" s="75" t="str">
        <f t="shared" si="4"/>
        <v>2019COM_200202_P1T6</v>
      </c>
      <c r="B292" s="1375" t="s">
        <v>278</v>
      </c>
      <c r="C292" s="1375" t="s">
        <v>1363</v>
      </c>
      <c r="D292" s="1375" t="s">
        <v>137</v>
      </c>
      <c r="E292" s="1375" t="s">
        <v>296</v>
      </c>
      <c r="F292" s="1375" t="s">
        <v>1364</v>
      </c>
      <c r="G292" s="66"/>
      <c r="H292" s="66">
        <v>0</v>
      </c>
      <c r="I292" s="74">
        <v>0</v>
      </c>
      <c r="J292" s="66"/>
    </row>
    <row r="293" spans="1:10">
      <c r="A293" s="75" t="str">
        <f t="shared" si="4"/>
        <v>2019COM_200202_P1T7</v>
      </c>
      <c r="B293" s="1375" t="s">
        <v>278</v>
      </c>
      <c r="C293" s="1375" t="s">
        <v>871</v>
      </c>
      <c r="D293" s="1375" t="s">
        <v>137</v>
      </c>
      <c r="E293" s="1375" t="s">
        <v>296</v>
      </c>
      <c r="F293" s="1375" t="s">
        <v>1365</v>
      </c>
      <c r="G293" s="66"/>
      <c r="H293" s="66">
        <v>0</v>
      </c>
      <c r="I293" s="74">
        <v>0</v>
      </c>
      <c r="J293" s="66"/>
    </row>
    <row r="294" spans="1:10">
      <c r="A294" s="75" t="str">
        <f t="shared" si="4"/>
        <v>2019COM_200202_P1T8</v>
      </c>
      <c r="B294" s="1375" t="s">
        <v>278</v>
      </c>
      <c r="C294" s="1375" t="s">
        <v>872</v>
      </c>
      <c r="D294" s="1375" t="s">
        <v>137</v>
      </c>
      <c r="E294" s="1375" t="s">
        <v>296</v>
      </c>
      <c r="F294" s="1375" t="s">
        <v>1366</v>
      </c>
      <c r="G294" s="66"/>
      <c r="H294" s="66">
        <v>0</v>
      </c>
      <c r="I294" s="74">
        <v>0</v>
      </c>
      <c r="J294" s="66"/>
    </row>
    <row r="295" spans="1:10">
      <c r="A295" s="75" t="str">
        <f t="shared" si="4"/>
        <v>2019COM_200202_P1T9</v>
      </c>
      <c r="B295" s="1375" t="s">
        <v>278</v>
      </c>
      <c r="C295" s="1375" t="s">
        <v>874</v>
      </c>
      <c r="D295" s="1375" t="s">
        <v>137</v>
      </c>
      <c r="E295" s="1375" t="s">
        <v>296</v>
      </c>
      <c r="F295" s="1375" t="s">
        <v>1367</v>
      </c>
      <c r="G295" s="66"/>
      <c r="H295" s="66">
        <v>0</v>
      </c>
      <c r="I295" s="74">
        <v>0</v>
      </c>
      <c r="J295" s="66"/>
    </row>
    <row r="296" spans="1:10">
      <c r="A296" s="75" t="str">
        <f t="shared" si="4"/>
        <v>2019COM_200202_P2T1</v>
      </c>
      <c r="B296" s="1375" t="s">
        <v>278</v>
      </c>
      <c r="C296" s="1375" t="s">
        <v>425</v>
      </c>
      <c r="D296" s="1375" t="s">
        <v>137</v>
      </c>
      <c r="E296" s="1375" t="s">
        <v>304</v>
      </c>
      <c r="F296" s="1375" t="s">
        <v>368</v>
      </c>
      <c r="G296" s="66"/>
      <c r="H296" s="66">
        <v>2524100</v>
      </c>
      <c r="I296" s="74">
        <v>1</v>
      </c>
      <c r="J296" s="66">
        <v>0</v>
      </c>
    </row>
    <row r="297" spans="1:10">
      <c r="A297" s="75" t="str">
        <f t="shared" si="4"/>
        <v>2019COM_200202_P2T2</v>
      </c>
      <c r="B297" s="1375" t="s">
        <v>278</v>
      </c>
      <c r="C297" s="1375" t="s">
        <v>426</v>
      </c>
      <c r="D297" s="1375" t="s">
        <v>137</v>
      </c>
      <c r="E297" s="1375" t="s">
        <v>304</v>
      </c>
      <c r="F297" s="1375" t="s">
        <v>369</v>
      </c>
      <c r="G297" s="66"/>
      <c r="H297" s="66">
        <v>2524100</v>
      </c>
      <c r="I297" s="74">
        <v>1</v>
      </c>
      <c r="J297" s="66">
        <v>0</v>
      </c>
    </row>
    <row r="298" spans="1:10">
      <c r="A298" s="75" t="str">
        <f t="shared" si="4"/>
        <v>2019COM_200202_P2T3</v>
      </c>
      <c r="B298" s="1375" t="s">
        <v>278</v>
      </c>
      <c r="C298" s="1375" t="s">
        <v>427</v>
      </c>
      <c r="D298" s="1375" t="s">
        <v>137</v>
      </c>
      <c r="E298" s="1375" t="s">
        <v>304</v>
      </c>
      <c r="F298" s="1375" t="s">
        <v>370</v>
      </c>
      <c r="G298" s="66"/>
      <c r="H298" s="66">
        <v>2524100</v>
      </c>
      <c r="I298" s="74">
        <v>1</v>
      </c>
      <c r="J298" s="66">
        <v>0</v>
      </c>
    </row>
    <row r="299" spans="1:10">
      <c r="A299" s="75" t="str">
        <f t="shared" si="4"/>
        <v>2019COM_200202_P2T4</v>
      </c>
      <c r="B299" s="1375" t="s">
        <v>278</v>
      </c>
      <c r="C299" s="1375" t="s">
        <v>22</v>
      </c>
      <c r="D299" s="1375" t="s">
        <v>137</v>
      </c>
      <c r="E299" s="1375" t="s">
        <v>304</v>
      </c>
      <c r="F299" s="1375" t="s">
        <v>1368</v>
      </c>
      <c r="G299" s="66"/>
      <c r="H299" s="66">
        <v>0</v>
      </c>
      <c r="I299" s="74">
        <v>0</v>
      </c>
      <c r="J299" s="66">
        <v>0</v>
      </c>
    </row>
    <row r="300" spans="1:10">
      <c r="A300" s="75" t="str">
        <f t="shared" si="4"/>
        <v>2019COM_200202_P2T5</v>
      </c>
      <c r="B300" s="1375" t="s">
        <v>278</v>
      </c>
      <c r="C300" s="1375" t="s">
        <v>1369</v>
      </c>
      <c r="D300" s="1375" t="s">
        <v>137</v>
      </c>
      <c r="E300" s="1375" t="s">
        <v>304</v>
      </c>
      <c r="F300" s="1375" t="s">
        <v>1370</v>
      </c>
      <c r="G300" s="66"/>
      <c r="H300" s="66">
        <v>0</v>
      </c>
      <c r="I300" s="74">
        <v>0</v>
      </c>
      <c r="J300" s="66">
        <v>0</v>
      </c>
    </row>
    <row r="301" spans="1:10">
      <c r="A301" s="75" t="str">
        <f t="shared" si="4"/>
        <v>2019COM_200202_P2T6</v>
      </c>
      <c r="B301" s="1375" t="s">
        <v>278</v>
      </c>
      <c r="C301" s="1375" t="s">
        <v>876</v>
      </c>
      <c r="D301" s="1375" t="s">
        <v>137</v>
      </c>
      <c r="E301" s="1375" t="s">
        <v>304</v>
      </c>
      <c r="F301" s="1375" t="s">
        <v>1371</v>
      </c>
      <c r="G301" s="66"/>
      <c r="H301" s="66">
        <v>0</v>
      </c>
      <c r="I301" s="74">
        <v>0</v>
      </c>
      <c r="J301" s="66"/>
    </row>
    <row r="302" spans="1:10">
      <c r="A302" s="75" t="str">
        <f t="shared" si="4"/>
        <v>2019COM_200202_P2T7</v>
      </c>
      <c r="B302" s="1375" t="s">
        <v>278</v>
      </c>
      <c r="C302" s="1375" t="s">
        <v>877</v>
      </c>
      <c r="D302" s="1375" t="s">
        <v>137</v>
      </c>
      <c r="E302" s="1375" t="s">
        <v>304</v>
      </c>
      <c r="F302" s="1375" t="s">
        <v>1372</v>
      </c>
      <c r="G302" s="66"/>
      <c r="H302" s="66">
        <v>0</v>
      </c>
      <c r="I302" s="74">
        <v>0</v>
      </c>
      <c r="J302" s="66"/>
    </row>
    <row r="303" spans="1:10">
      <c r="A303" s="75" t="str">
        <f t="shared" si="4"/>
        <v>2019COM_200202_P2T8</v>
      </c>
      <c r="B303" s="1375" t="s">
        <v>278</v>
      </c>
      <c r="C303" s="1375" t="s">
        <v>878</v>
      </c>
      <c r="D303" s="1375" t="s">
        <v>137</v>
      </c>
      <c r="E303" s="1375" t="s">
        <v>304</v>
      </c>
      <c r="F303" s="1375" t="s">
        <v>1373</v>
      </c>
      <c r="G303" s="66"/>
      <c r="H303" s="66">
        <v>0</v>
      </c>
      <c r="I303" s="74">
        <v>0</v>
      </c>
      <c r="J303" s="66"/>
    </row>
    <row r="304" spans="1:10">
      <c r="A304" s="75" t="str">
        <f t="shared" si="4"/>
        <v>2019COM_200202_P3T1</v>
      </c>
      <c r="B304" s="1375" t="s">
        <v>278</v>
      </c>
      <c r="C304" s="1375" t="s">
        <v>436</v>
      </c>
      <c r="D304" s="1375" t="s">
        <v>137</v>
      </c>
      <c r="E304" s="1375" t="s">
        <v>310</v>
      </c>
      <c r="F304" s="1375" t="s">
        <v>372</v>
      </c>
      <c r="G304" s="66"/>
      <c r="H304" s="66">
        <v>16904575</v>
      </c>
      <c r="I304" s="74">
        <v>1</v>
      </c>
      <c r="J304" s="66">
        <v>0</v>
      </c>
    </row>
    <row r="305" spans="1:10">
      <c r="A305" s="75" t="str">
        <f t="shared" si="4"/>
        <v>2019COM_200202_P3T2</v>
      </c>
      <c r="B305" s="1375" t="s">
        <v>278</v>
      </c>
      <c r="C305" s="1375" t="s">
        <v>437</v>
      </c>
      <c r="D305" s="1375" t="s">
        <v>137</v>
      </c>
      <c r="E305" s="1375" t="s">
        <v>310</v>
      </c>
      <c r="F305" s="1375" t="s">
        <v>373</v>
      </c>
      <c r="G305" s="66"/>
      <c r="H305" s="66">
        <v>16904575</v>
      </c>
      <c r="I305" s="74">
        <v>1</v>
      </c>
      <c r="J305" s="66">
        <v>0</v>
      </c>
    </row>
    <row r="306" spans="1:10">
      <c r="A306" s="75" t="str">
        <f t="shared" si="4"/>
        <v>2019COM_200202_P3T3</v>
      </c>
      <c r="B306" s="1375" t="s">
        <v>278</v>
      </c>
      <c r="C306" s="1375" t="s">
        <v>438</v>
      </c>
      <c r="D306" s="1375" t="s">
        <v>137</v>
      </c>
      <c r="E306" s="1375" t="s">
        <v>310</v>
      </c>
      <c r="F306" s="1375" t="s">
        <v>1510</v>
      </c>
      <c r="G306" s="66"/>
      <c r="H306" s="66">
        <v>16904575</v>
      </c>
      <c r="I306" s="74">
        <v>1</v>
      </c>
      <c r="J306" s="66">
        <v>0</v>
      </c>
    </row>
    <row r="307" spans="1:10">
      <c r="A307" s="75" t="str">
        <f t="shared" si="4"/>
        <v>2019COM_200202_P3T4</v>
      </c>
      <c r="B307" s="1375" t="s">
        <v>278</v>
      </c>
      <c r="C307" s="1375" t="s">
        <v>439</v>
      </c>
      <c r="D307" s="1375" t="s">
        <v>137</v>
      </c>
      <c r="E307" s="1375" t="s">
        <v>310</v>
      </c>
      <c r="F307" s="1375" t="s">
        <v>374</v>
      </c>
      <c r="G307" s="66"/>
      <c r="H307" s="66">
        <v>16904575</v>
      </c>
      <c r="I307" s="74">
        <v>1</v>
      </c>
      <c r="J307" s="66">
        <v>0</v>
      </c>
    </row>
    <row r="308" spans="1:10">
      <c r="A308" s="75" t="str">
        <f t="shared" si="4"/>
        <v>2019COM_200202_P3T5</v>
      </c>
      <c r="B308" s="1375" t="s">
        <v>278</v>
      </c>
      <c r="C308" s="1375" t="s">
        <v>23</v>
      </c>
      <c r="D308" s="1375" t="s">
        <v>137</v>
      </c>
      <c r="E308" s="1375" t="s">
        <v>310</v>
      </c>
      <c r="F308" s="1375" t="s">
        <v>1511</v>
      </c>
      <c r="G308" s="66"/>
      <c r="H308" s="66">
        <v>0</v>
      </c>
      <c r="I308" s="74">
        <v>0</v>
      </c>
      <c r="J308" s="66">
        <v>0</v>
      </c>
    </row>
    <row r="309" spans="1:10">
      <c r="A309" s="75" t="str">
        <f t="shared" si="4"/>
        <v>2019COM_200202_P3T6</v>
      </c>
      <c r="B309" s="1375" t="s">
        <v>278</v>
      </c>
      <c r="C309" s="1375" t="s">
        <v>1374</v>
      </c>
      <c r="D309" s="1375" t="s">
        <v>137</v>
      </c>
      <c r="E309" s="1375" t="s">
        <v>310</v>
      </c>
      <c r="F309" s="1375" t="s">
        <v>1512</v>
      </c>
      <c r="G309" s="66"/>
      <c r="H309" s="66">
        <v>0</v>
      </c>
      <c r="I309" s="74">
        <v>0</v>
      </c>
      <c r="J309" s="66"/>
    </row>
    <row r="310" spans="1:10">
      <c r="A310" s="75" t="str">
        <f t="shared" si="4"/>
        <v>2019COM_200202_P3T7</v>
      </c>
      <c r="B310" s="1375" t="s">
        <v>278</v>
      </c>
      <c r="C310" s="1375" t="s">
        <v>1375</v>
      </c>
      <c r="D310" s="1375" t="s">
        <v>137</v>
      </c>
      <c r="E310" s="1375" t="s">
        <v>310</v>
      </c>
      <c r="F310" s="1375" t="s">
        <v>1513</v>
      </c>
      <c r="G310" s="66"/>
      <c r="H310" s="66">
        <v>0</v>
      </c>
      <c r="I310" s="74">
        <v>0</v>
      </c>
      <c r="J310" s="66"/>
    </row>
    <row r="311" spans="1:10">
      <c r="A311" s="75" t="str">
        <f t="shared" si="4"/>
        <v>2019COM_200202_P3T8</v>
      </c>
      <c r="B311" s="1375" t="s">
        <v>278</v>
      </c>
      <c r="C311" s="1375" t="s">
        <v>880</v>
      </c>
      <c r="D311" s="1375" t="s">
        <v>137</v>
      </c>
      <c r="E311" s="1375" t="s">
        <v>310</v>
      </c>
      <c r="F311" s="1375" t="s">
        <v>1514</v>
      </c>
      <c r="G311" s="66"/>
      <c r="H311" s="66">
        <v>0</v>
      </c>
      <c r="I311" s="74">
        <v>0</v>
      </c>
      <c r="J311" s="66"/>
    </row>
    <row r="312" spans="1:10">
      <c r="A312" s="75" t="str">
        <f t="shared" si="4"/>
        <v>2019COM_200202_P3T9</v>
      </c>
      <c r="B312" s="1375" t="s">
        <v>278</v>
      </c>
      <c r="C312" s="1375" t="s">
        <v>1376</v>
      </c>
      <c r="D312" s="1375" t="s">
        <v>137</v>
      </c>
      <c r="E312" s="1375" t="s">
        <v>310</v>
      </c>
      <c r="F312" s="1375" t="s">
        <v>1515</v>
      </c>
      <c r="G312" s="66"/>
      <c r="H312" s="66">
        <v>0</v>
      </c>
      <c r="I312" s="74">
        <v>0</v>
      </c>
      <c r="J312" s="66"/>
    </row>
    <row r="313" spans="1:10">
      <c r="A313" s="75" t="str">
        <f t="shared" si="4"/>
        <v>2019COM_200202_P4T1</v>
      </c>
      <c r="B313" s="1375" t="s">
        <v>278</v>
      </c>
      <c r="C313" s="1375" t="s">
        <v>459</v>
      </c>
      <c r="D313" s="1375" t="s">
        <v>137</v>
      </c>
      <c r="E313" s="1375" t="s">
        <v>328</v>
      </c>
      <c r="F313" s="1375" t="s">
        <v>387</v>
      </c>
      <c r="G313" s="66"/>
      <c r="H313" s="66">
        <v>46229025</v>
      </c>
      <c r="I313" s="74">
        <v>1</v>
      </c>
      <c r="J313" s="66">
        <v>0</v>
      </c>
    </row>
    <row r="314" spans="1:10">
      <c r="A314" s="75" t="str">
        <f t="shared" si="4"/>
        <v>2019COM_200202_P4T2</v>
      </c>
      <c r="B314" s="1375" t="s">
        <v>278</v>
      </c>
      <c r="C314" s="1375" t="s">
        <v>460</v>
      </c>
      <c r="D314" s="1375" t="s">
        <v>137</v>
      </c>
      <c r="E314" s="1375" t="s">
        <v>328</v>
      </c>
      <c r="F314" s="1375" t="s">
        <v>388</v>
      </c>
      <c r="G314" s="66"/>
      <c r="H314" s="66">
        <v>46229025</v>
      </c>
      <c r="I314" s="74">
        <v>1</v>
      </c>
      <c r="J314" s="66">
        <v>0</v>
      </c>
    </row>
    <row r="315" spans="1:10">
      <c r="A315" s="75" t="str">
        <f t="shared" si="4"/>
        <v>2019COM_200202_P4T3</v>
      </c>
      <c r="B315" s="1375" t="s">
        <v>278</v>
      </c>
      <c r="C315" s="1375" t="s">
        <v>473</v>
      </c>
      <c r="D315" s="1375" t="s">
        <v>137</v>
      </c>
      <c r="E315" s="1375" t="s">
        <v>328</v>
      </c>
      <c r="F315" s="1375" t="s">
        <v>474</v>
      </c>
      <c r="G315" s="66"/>
      <c r="H315" s="66">
        <v>46229025</v>
      </c>
      <c r="I315" s="74">
        <v>1</v>
      </c>
      <c r="J315" s="66">
        <v>0</v>
      </c>
    </row>
    <row r="316" spans="1:10">
      <c r="A316" s="75" t="str">
        <f t="shared" si="4"/>
        <v>2019COM_200202_P4T4</v>
      </c>
      <c r="B316" s="1375" t="s">
        <v>278</v>
      </c>
      <c r="C316" s="1375" t="s">
        <v>461</v>
      </c>
      <c r="D316" s="1375" t="s">
        <v>137</v>
      </c>
      <c r="E316" s="1375" t="s">
        <v>328</v>
      </c>
      <c r="F316" s="1375" t="s">
        <v>389</v>
      </c>
      <c r="G316" s="66"/>
      <c r="H316" s="66">
        <v>46229025</v>
      </c>
      <c r="I316" s="74">
        <v>1</v>
      </c>
      <c r="J316" s="66">
        <v>0</v>
      </c>
    </row>
    <row r="317" spans="1:10">
      <c r="A317" s="75" t="str">
        <f t="shared" si="4"/>
        <v>2019COM_200202_P4T5</v>
      </c>
      <c r="B317" s="1375" t="s">
        <v>278</v>
      </c>
      <c r="C317" s="1375" t="s">
        <v>462</v>
      </c>
      <c r="D317" s="1375" t="s">
        <v>137</v>
      </c>
      <c r="E317" s="1375" t="s">
        <v>328</v>
      </c>
      <c r="F317" s="1375" t="s">
        <v>390</v>
      </c>
      <c r="G317" s="66"/>
      <c r="H317" s="66">
        <v>46229025</v>
      </c>
      <c r="I317" s="74">
        <v>1</v>
      </c>
      <c r="J317" s="66">
        <v>0</v>
      </c>
    </row>
    <row r="318" spans="1:10">
      <c r="A318" s="75" t="str">
        <f t="shared" si="4"/>
        <v>2019COM_200202_P4T6</v>
      </c>
      <c r="B318" s="1375" t="s">
        <v>278</v>
      </c>
      <c r="C318" s="1375" t="s">
        <v>24</v>
      </c>
      <c r="D318" s="1375" t="s">
        <v>137</v>
      </c>
      <c r="E318" s="1375" t="s">
        <v>328</v>
      </c>
      <c r="F318" s="1375" t="s">
        <v>882</v>
      </c>
      <c r="G318" s="66"/>
      <c r="H318" s="66">
        <v>45265920.3125</v>
      </c>
      <c r="I318" s="74">
        <v>0.97916666666666663</v>
      </c>
      <c r="J318" s="66">
        <v>0</v>
      </c>
    </row>
    <row r="319" spans="1:10">
      <c r="A319" s="75" t="str">
        <f t="shared" si="4"/>
        <v>2019COM_200202_P4T7</v>
      </c>
      <c r="B319" s="1375" t="s">
        <v>278</v>
      </c>
      <c r="C319" s="1375" t="s">
        <v>1377</v>
      </c>
      <c r="D319" s="1375" t="s">
        <v>137</v>
      </c>
      <c r="E319" s="1375" t="s">
        <v>328</v>
      </c>
      <c r="F319" s="1375" t="s">
        <v>1378</v>
      </c>
      <c r="G319" s="66"/>
      <c r="H319" s="66">
        <v>0</v>
      </c>
      <c r="I319" s="74">
        <v>0</v>
      </c>
      <c r="J319" s="66"/>
    </row>
    <row r="320" spans="1:10">
      <c r="A320" s="75" t="str">
        <f t="shared" si="4"/>
        <v>2019COM_200202_P4T8</v>
      </c>
      <c r="B320" s="1375" t="s">
        <v>278</v>
      </c>
      <c r="C320" s="1375" t="s">
        <v>883</v>
      </c>
      <c r="D320" s="1375" t="s">
        <v>137</v>
      </c>
      <c r="E320" s="1375" t="s">
        <v>328</v>
      </c>
      <c r="F320" s="1375" t="s">
        <v>1379</v>
      </c>
      <c r="G320" s="66"/>
      <c r="H320" s="66">
        <v>0</v>
      </c>
      <c r="I320" s="74">
        <v>0</v>
      </c>
      <c r="J320" s="66"/>
    </row>
    <row r="321" spans="1:10">
      <c r="A321" s="75" t="str">
        <f t="shared" si="4"/>
        <v>2019COM_200202_P4T9</v>
      </c>
      <c r="B321" s="1375" t="s">
        <v>278</v>
      </c>
      <c r="C321" s="1375" t="s">
        <v>884</v>
      </c>
      <c r="D321" s="1375" t="s">
        <v>137</v>
      </c>
      <c r="E321" s="1375" t="s">
        <v>328</v>
      </c>
      <c r="F321" s="1375" t="s">
        <v>1380</v>
      </c>
      <c r="G321" s="66"/>
      <c r="H321" s="66">
        <v>0</v>
      </c>
      <c r="I321" s="74">
        <v>0</v>
      </c>
      <c r="J321" s="66"/>
    </row>
    <row r="322" spans="1:10">
      <c r="A322" s="75" t="str">
        <f t="shared" si="4"/>
        <v>2019COM_200701_P1T0</v>
      </c>
      <c r="B322" s="1375" t="s">
        <v>278</v>
      </c>
      <c r="C322" s="1375" t="s">
        <v>1434</v>
      </c>
      <c r="D322" s="1375" t="s">
        <v>138</v>
      </c>
      <c r="E322" s="1375" t="s">
        <v>476</v>
      </c>
      <c r="F322" s="1375" t="s">
        <v>1007</v>
      </c>
      <c r="G322" s="66"/>
      <c r="H322" s="66">
        <v>595664</v>
      </c>
      <c r="I322" s="74">
        <v>1</v>
      </c>
      <c r="J322" s="66"/>
    </row>
    <row r="323" spans="1:10">
      <c r="A323" s="75" t="str">
        <f t="shared" si="4"/>
        <v>2019COM_200701_P1T1</v>
      </c>
      <c r="B323" s="1375" t="s">
        <v>278</v>
      </c>
      <c r="C323" s="1375" t="s">
        <v>475</v>
      </c>
      <c r="D323" s="1375" t="s">
        <v>138</v>
      </c>
      <c r="E323" s="1375" t="s">
        <v>476</v>
      </c>
      <c r="F323" s="1375" t="s">
        <v>477</v>
      </c>
      <c r="G323" s="66"/>
      <c r="H323" s="66">
        <v>500608.65431721002</v>
      </c>
      <c r="I323" s="74">
        <v>0.84042120107511953</v>
      </c>
      <c r="J323" s="66">
        <v>0</v>
      </c>
    </row>
    <row r="324" spans="1:10">
      <c r="A324" s="75" t="str">
        <f t="shared" si="4"/>
        <v>2019COM_200701_P1T2</v>
      </c>
      <c r="B324" s="1375" t="s">
        <v>278</v>
      </c>
      <c r="C324" s="1375" t="s">
        <v>1431</v>
      </c>
      <c r="D324" s="1375" t="s">
        <v>138</v>
      </c>
      <c r="E324" s="1375" t="s">
        <v>476</v>
      </c>
      <c r="F324" s="1375" t="s">
        <v>1432</v>
      </c>
      <c r="G324" s="66"/>
      <c r="H324" s="66">
        <v>500608.65431721002</v>
      </c>
      <c r="I324" s="74">
        <v>0.84042120107511953</v>
      </c>
      <c r="J324" s="66">
        <v>0</v>
      </c>
    </row>
    <row r="325" spans="1:10">
      <c r="A325" s="75" t="str">
        <f t="shared" si="4"/>
        <v>2019COM_200701_P1T3</v>
      </c>
      <c r="B325" s="1375" t="s">
        <v>278</v>
      </c>
      <c r="C325" s="1375" t="s">
        <v>71</v>
      </c>
      <c r="D325" s="1375" t="s">
        <v>138</v>
      </c>
      <c r="E325" s="1375" t="s">
        <v>476</v>
      </c>
      <c r="F325" s="1375" t="s">
        <v>741</v>
      </c>
      <c r="G325" s="66"/>
      <c r="H325" s="66">
        <v>500608.65431721002</v>
      </c>
      <c r="I325" s="74">
        <v>0.84042120107511953</v>
      </c>
      <c r="J325" s="66">
        <v>0</v>
      </c>
    </row>
    <row r="326" spans="1:10">
      <c r="A326" s="75" t="str">
        <f t="shared" si="4"/>
        <v>2019COM_200701_P1T4</v>
      </c>
      <c r="B326" s="1375" t="s">
        <v>278</v>
      </c>
      <c r="C326" s="1375" t="s">
        <v>1106</v>
      </c>
      <c r="D326" s="1375" t="s">
        <v>138</v>
      </c>
      <c r="E326" s="1375" t="s">
        <v>476</v>
      </c>
      <c r="F326" s="1375" t="s">
        <v>1109</v>
      </c>
      <c r="G326" s="66"/>
      <c r="H326" s="66">
        <v>500608.65431721002</v>
      </c>
      <c r="I326" s="74">
        <v>0.84042120107511953</v>
      </c>
      <c r="J326" s="66">
        <v>0</v>
      </c>
    </row>
    <row r="327" spans="1:10">
      <c r="A327" s="75" t="str">
        <f t="shared" ref="A327:A390" si="5">B327&amp;C327</f>
        <v>2019COM_200701_P1T5</v>
      </c>
      <c r="B327" s="1375" t="s">
        <v>278</v>
      </c>
      <c r="C327" s="1375" t="s">
        <v>1516</v>
      </c>
      <c r="D327" s="1375" t="s">
        <v>138</v>
      </c>
      <c r="E327" s="1375" t="s">
        <v>476</v>
      </c>
      <c r="F327" s="1375" t="s">
        <v>1517</v>
      </c>
      <c r="G327" s="66"/>
      <c r="H327" s="66">
        <v>0</v>
      </c>
      <c r="I327" s="74">
        <v>0</v>
      </c>
      <c r="J327" s="66"/>
    </row>
    <row r="328" spans="1:10">
      <c r="A328" s="75" t="str">
        <f t="shared" si="5"/>
        <v>2019COM_201201_P1T1</v>
      </c>
      <c r="B328" s="1375" t="s">
        <v>278</v>
      </c>
      <c r="C328" s="1375" t="s">
        <v>27</v>
      </c>
      <c r="D328" s="1375" t="s">
        <v>140</v>
      </c>
      <c r="E328" s="1375" t="s">
        <v>281</v>
      </c>
      <c r="F328" s="1375" t="s">
        <v>334</v>
      </c>
      <c r="G328" s="66">
        <v>1538</v>
      </c>
      <c r="H328" s="66"/>
      <c r="I328" s="74"/>
      <c r="J328" s="66">
        <v>22.045591959999999</v>
      </c>
    </row>
    <row r="329" spans="1:10">
      <c r="A329" s="75" t="str">
        <f t="shared" si="5"/>
        <v>2019COM_201304_P12T1</v>
      </c>
      <c r="B329" s="1375" t="s">
        <v>278</v>
      </c>
      <c r="C329" s="1375" t="s">
        <v>886</v>
      </c>
      <c r="D329" s="1375" t="s">
        <v>141</v>
      </c>
      <c r="E329" s="1375" t="s">
        <v>887</v>
      </c>
      <c r="F329" s="1375" t="s">
        <v>333</v>
      </c>
      <c r="G329" s="66"/>
      <c r="H329" s="66">
        <v>1649.13920983</v>
      </c>
      <c r="I329" s="74">
        <v>0.18999999999993086</v>
      </c>
      <c r="J329" s="66"/>
    </row>
    <row r="330" spans="1:10">
      <c r="A330" s="75" t="str">
        <f t="shared" si="5"/>
        <v>2019COM_201304_P2T1</v>
      </c>
      <c r="B330" s="1375" t="s">
        <v>278</v>
      </c>
      <c r="C330" s="1375" t="s">
        <v>406</v>
      </c>
      <c r="D330" s="1375" t="s">
        <v>141</v>
      </c>
      <c r="E330" s="1375" t="s">
        <v>1381</v>
      </c>
      <c r="F330" s="1375" t="s">
        <v>333</v>
      </c>
      <c r="G330" s="66"/>
      <c r="H330" s="66">
        <v>2888089.5353687499</v>
      </c>
      <c r="I330" s="74"/>
      <c r="J330" s="66"/>
    </row>
    <row r="331" spans="1:10">
      <c r="A331" s="75" t="str">
        <f t="shared" si="5"/>
        <v>2019COM_201304_P3T1</v>
      </c>
      <c r="B331" s="1375" t="s">
        <v>278</v>
      </c>
      <c r="C331" s="1375" t="s">
        <v>772</v>
      </c>
      <c r="D331" s="1375" t="s">
        <v>141</v>
      </c>
      <c r="E331" s="1375" t="s">
        <v>1410</v>
      </c>
      <c r="F331" s="1375" t="s">
        <v>333</v>
      </c>
      <c r="G331" s="66"/>
      <c r="H331" s="66">
        <v>3060.6780931500002</v>
      </c>
      <c r="I331" s="74">
        <v>1</v>
      </c>
      <c r="J331" s="66"/>
    </row>
    <row r="332" spans="1:10">
      <c r="A332" s="75" t="str">
        <f t="shared" si="5"/>
        <v>2019COM_201304_P4T1</v>
      </c>
      <c r="B332" s="1375" t="s">
        <v>278</v>
      </c>
      <c r="C332" s="1375" t="s">
        <v>453</v>
      </c>
      <c r="D332" s="1375" t="s">
        <v>141</v>
      </c>
      <c r="E332" s="1375" t="s">
        <v>320</v>
      </c>
      <c r="F332" s="1375" t="s">
        <v>333</v>
      </c>
      <c r="G332" s="66"/>
      <c r="H332" s="66">
        <v>204959.24733451</v>
      </c>
      <c r="I332" s="74"/>
      <c r="J332" s="66"/>
    </row>
    <row r="333" spans="1:10">
      <c r="A333" s="75" t="str">
        <f t="shared" si="5"/>
        <v>2019COM_201304_P5T1</v>
      </c>
      <c r="B333" s="1375" t="s">
        <v>278</v>
      </c>
      <c r="C333" s="1375" t="s">
        <v>1441</v>
      </c>
      <c r="D333" s="1375" t="s">
        <v>141</v>
      </c>
      <c r="E333" s="1375" t="s">
        <v>1442</v>
      </c>
      <c r="F333" s="1375" t="s">
        <v>333</v>
      </c>
      <c r="G333" s="66"/>
      <c r="H333" s="66">
        <v>10952.275686540001</v>
      </c>
      <c r="I333" s="74"/>
      <c r="J333" s="66"/>
    </row>
    <row r="334" spans="1:10">
      <c r="A334" s="75" t="str">
        <f t="shared" si="5"/>
        <v>2019COM_201304_P6T1</v>
      </c>
      <c r="B334" s="1375" t="s">
        <v>278</v>
      </c>
      <c r="C334" s="1375" t="s">
        <v>1443</v>
      </c>
      <c r="D334" s="1375" t="s">
        <v>141</v>
      </c>
      <c r="E334" s="1375" t="s">
        <v>1345</v>
      </c>
      <c r="F334" s="1375" t="s">
        <v>1444</v>
      </c>
      <c r="G334" s="66"/>
      <c r="H334" s="66">
        <v>31270.896834120002</v>
      </c>
      <c r="I334" s="74">
        <v>8.1483878568320955E-2</v>
      </c>
      <c r="J334" s="66"/>
    </row>
    <row r="335" spans="1:10">
      <c r="A335" s="75" t="str">
        <f t="shared" si="5"/>
        <v>2019COM_201304_P6T2</v>
      </c>
      <c r="B335" s="1375" t="s">
        <v>278</v>
      </c>
      <c r="C335" s="1375" t="s">
        <v>1115</v>
      </c>
      <c r="D335" s="1375" t="s">
        <v>141</v>
      </c>
      <c r="E335" s="1375" t="s">
        <v>1345</v>
      </c>
      <c r="F335" s="1375" t="s">
        <v>1445</v>
      </c>
      <c r="G335" s="66"/>
      <c r="H335" s="66">
        <v>0</v>
      </c>
      <c r="I335" s="74">
        <v>0</v>
      </c>
      <c r="J335" s="66"/>
    </row>
    <row r="336" spans="1:10">
      <c r="A336" s="75" t="str">
        <f t="shared" si="5"/>
        <v>2019COM_201304_P7T1</v>
      </c>
      <c r="B336" s="1375" t="s">
        <v>278</v>
      </c>
      <c r="C336" s="1375" t="s">
        <v>122</v>
      </c>
      <c r="D336" s="1375" t="s">
        <v>141</v>
      </c>
      <c r="E336" s="1375" t="s">
        <v>773</v>
      </c>
      <c r="F336" s="1375" t="s">
        <v>333</v>
      </c>
      <c r="G336" s="66"/>
      <c r="H336" s="66">
        <v>59952.194652580001</v>
      </c>
      <c r="I336" s="74"/>
      <c r="J336" s="66"/>
    </row>
    <row r="337" spans="1:10">
      <c r="A337" s="75" t="str">
        <f t="shared" si="5"/>
        <v>2019COM_201304_P8T1</v>
      </c>
      <c r="B337" s="1375" t="s">
        <v>278</v>
      </c>
      <c r="C337" s="1375" t="s">
        <v>1446</v>
      </c>
      <c r="D337" s="1375" t="s">
        <v>141</v>
      </c>
      <c r="E337" s="1375" t="s">
        <v>1447</v>
      </c>
      <c r="F337" s="1375" t="s">
        <v>333</v>
      </c>
      <c r="G337" s="66"/>
      <c r="H337" s="66">
        <v>248349.02661788999</v>
      </c>
      <c r="I337" s="74"/>
      <c r="J337" s="66"/>
    </row>
    <row r="338" spans="1:10">
      <c r="A338" s="75" t="str">
        <f t="shared" si="5"/>
        <v>2019COM_201401_P1T1</v>
      </c>
      <c r="B338" s="1375" t="s">
        <v>278</v>
      </c>
      <c r="C338" s="1375" t="s">
        <v>29</v>
      </c>
      <c r="D338" s="1375" t="s">
        <v>142</v>
      </c>
      <c r="E338" s="1375" t="s">
        <v>142</v>
      </c>
      <c r="F338" s="1375" t="s">
        <v>1382</v>
      </c>
      <c r="G338" s="66"/>
      <c r="H338" s="66">
        <v>7.5159855799999997</v>
      </c>
      <c r="I338" s="74">
        <v>6.8260656414800128E-2</v>
      </c>
      <c r="J338" s="66">
        <v>3.084361E-2</v>
      </c>
    </row>
    <row r="339" spans="1:10">
      <c r="A339" s="75" t="str">
        <f t="shared" si="5"/>
        <v>2019COM_201403_P1T1</v>
      </c>
      <c r="B339" s="1375" t="s">
        <v>278</v>
      </c>
      <c r="C339" s="1375" t="s">
        <v>30</v>
      </c>
      <c r="D339" s="1375" t="s">
        <v>143</v>
      </c>
      <c r="E339" s="1375" t="s">
        <v>323</v>
      </c>
      <c r="F339" s="1375" t="s">
        <v>157</v>
      </c>
      <c r="G339" s="66"/>
      <c r="H339" s="66">
        <v>993532.35100422997</v>
      </c>
      <c r="I339" s="74">
        <v>0.25050225565155648</v>
      </c>
      <c r="J339" s="66">
        <v>3723</v>
      </c>
    </row>
    <row r="340" spans="1:10">
      <c r="A340" s="75" t="str">
        <f t="shared" si="5"/>
        <v>2019COM_201403_P2T1</v>
      </c>
      <c r="B340" s="1375" t="s">
        <v>278</v>
      </c>
      <c r="C340" s="1375" t="s">
        <v>31</v>
      </c>
      <c r="D340" s="1375" t="s">
        <v>143</v>
      </c>
      <c r="E340" s="1375" t="s">
        <v>321</v>
      </c>
      <c r="F340" s="1375" t="s">
        <v>157</v>
      </c>
      <c r="G340" s="66"/>
      <c r="H340" s="66">
        <v>61002.405152439998</v>
      </c>
      <c r="I340" s="74">
        <v>1.5380717170820429E-2</v>
      </c>
      <c r="J340" s="66">
        <v>360</v>
      </c>
    </row>
    <row r="341" spans="1:10">
      <c r="A341" s="75" t="str">
        <f t="shared" si="5"/>
        <v>2019COM_201403_P3T1</v>
      </c>
      <c r="B341" s="1375" t="s">
        <v>278</v>
      </c>
      <c r="C341" s="1375" t="s">
        <v>93</v>
      </c>
      <c r="D341" s="1375" t="s">
        <v>143</v>
      </c>
      <c r="E341" s="1375" t="s">
        <v>324</v>
      </c>
      <c r="F341" s="1375" t="s">
        <v>157</v>
      </c>
      <c r="G341" s="66"/>
      <c r="H341" s="66">
        <v>246279.81365133001</v>
      </c>
      <c r="I341" s="74">
        <v>0.25721804010408655</v>
      </c>
      <c r="J341" s="66">
        <v>0</v>
      </c>
    </row>
    <row r="342" spans="1:10">
      <c r="A342" s="75" t="str">
        <f t="shared" si="5"/>
        <v>2019COM_201403_P4T1</v>
      </c>
      <c r="B342" s="1375" t="s">
        <v>278</v>
      </c>
      <c r="C342" s="1375" t="s">
        <v>94</v>
      </c>
      <c r="D342" s="1375" t="s">
        <v>143</v>
      </c>
      <c r="E342" s="1375" t="s">
        <v>322</v>
      </c>
      <c r="F342" s="1375" t="s">
        <v>157</v>
      </c>
      <c r="G342" s="66"/>
      <c r="H342" s="66">
        <v>5155.9743895900001</v>
      </c>
      <c r="I342" s="74">
        <v>5.3849708900412822E-3</v>
      </c>
      <c r="J342" s="66">
        <v>0</v>
      </c>
    </row>
    <row r="343" spans="1:10">
      <c r="A343" s="75" t="str">
        <f t="shared" si="5"/>
        <v>2019COM_201405_P1T1</v>
      </c>
      <c r="B343" s="1375" t="s">
        <v>278</v>
      </c>
      <c r="C343" s="1375" t="s">
        <v>420</v>
      </c>
      <c r="D343" s="1375" t="s">
        <v>144</v>
      </c>
      <c r="E343" s="1375" t="s">
        <v>299</v>
      </c>
      <c r="F343" s="1375" t="s">
        <v>334</v>
      </c>
      <c r="G343" s="66">
        <v>38.453474200000002</v>
      </c>
      <c r="H343" s="66">
        <v>10.00378379</v>
      </c>
      <c r="I343" s="74">
        <v>2.3733769371292999E-3</v>
      </c>
      <c r="J343" s="66">
        <v>10.00378379</v>
      </c>
    </row>
    <row r="344" spans="1:10">
      <c r="A344" s="75" t="str">
        <f t="shared" si="5"/>
        <v>2019COM_201405_P2T1</v>
      </c>
      <c r="B344" s="1375" t="s">
        <v>278</v>
      </c>
      <c r="C344" s="1375" t="s">
        <v>399</v>
      </c>
      <c r="D344" s="1375" t="s">
        <v>144</v>
      </c>
      <c r="E344" s="1375" t="s">
        <v>285</v>
      </c>
      <c r="F344" s="1375" t="s">
        <v>334</v>
      </c>
      <c r="G344" s="66">
        <v>13.103852509999999</v>
      </c>
      <c r="H344" s="66">
        <v>6.4796954299999996</v>
      </c>
      <c r="I344" s="74">
        <v>9.6711872089552231E-4</v>
      </c>
      <c r="J344" s="66">
        <v>6.4796954299999996</v>
      </c>
    </row>
    <row r="345" spans="1:10">
      <c r="A345" s="75" t="str">
        <f t="shared" si="5"/>
        <v>2019COM_201602_P1T1</v>
      </c>
      <c r="B345" s="1375" t="s">
        <v>278</v>
      </c>
      <c r="C345" s="1375" t="s">
        <v>888</v>
      </c>
      <c r="D345" s="1375" t="s">
        <v>889</v>
      </c>
      <c r="E345" s="1375" t="s">
        <v>296</v>
      </c>
      <c r="F345" s="1375" t="s">
        <v>367</v>
      </c>
      <c r="G345" s="66"/>
      <c r="H345" s="66">
        <v>0</v>
      </c>
      <c r="I345" s="74">
        <v>0</v>
      </c>
      <c r="J345" s="66"/>
    </row>
    <row r="346" spans="1:10">
      <c r="A346" s="75" t="str">
        <f t="shared" si="5"/>
        <v>2019COM_201602_P1T2</v>
      </c>
      <c r="B346" s="1375" t="s">
        <v>278</v>
      </c>
      <c r="C346" s="1375" t="s">
        <v>890</v>
      </c>
      <c r="D346" s="1375" t="s">
        <v>889</v>
      </c>
      <c r="E346" s="1375" t="s">
        <v>296</v>
      </c>
      <c r="F346" s="1375" t="s">
        <v>873</v>
      </c>
      <c r="G346" s="66"/>
      <c r="H346" s="66">
        <v>0</v>
      </c>
      <c r="I346" s="74">
        <v>0</v>
      </c>
      <c r="J346" s="66"/>
    </row>
    <row r="347" spans="1:10">
      <c r="A347" s="75" t="str">
        <f t="shared" si="5"/>
        <v>2019COM_201602_P1T3</v>
      </c>
      <c r="B347" s="1375" t="s">
        <v>278</v>
      </c>
      <c r="C347" s="1375" t="s">
        <v>891</v>
      </c>
      <c r="D347" s="1375" t="s">
        <v>889</v>
      </c>
      <c r="E347" s="1375" t="s">
        <v>296</v>
      </c>
      <c r="F347" s="1375" t="s">
        <v>875</v>
      </c>
      <c r="G347" s="66"/>
      <c r="H347" s="66">
        <v>0</v>
      </c>
      <c r="I347" s="74">
        <v>0</v>
      </c>
      <c r="J347" s="66"/>
    </row>
    <row r="348" spans="1:10">
      <c r="A348" s="75" t="str">
        <f t="shared" si="5"/>
        <v>2019COM_201602_P1T4</v>
      </c>
      <c r="B348" s="1375" t="s">
        <v>278</v>
      </c>
      <c r="C348" s="1375" t="s">
        <v>892</v>
      </c>
      <c r="D348" s="1375" t="s">
        <v>889</v>
      </c>
      <c r="E348" s="1375" t="s">
        <v>296</v>
      </c>
      <c r="F348" s="1375" t="s">
        <v>870</v>
      </c>
      <c r="G348" s="66"/>
      <c r="H348" s="66">
        <v>0</v>
      </c>
      <c r="I348" s="74">
        <v>0</v>
      </c>
      <c r="J348" s="66"/>
    </row>
    <row r="349" spans="1:10">
      <c r="A349" s="75" t="str">
        <f t="shared" si="5"/>
        <v>2019COM_201602_P2T1</v>
      </c>
      <c r="B349" s="1375" t="s">
        <v>278</v>
      </c>
      <c r="C349" s="1375" t="s">
        <v>893</v>
      </c>
      <c r="D349" s="1375" t="s">
        <v>889</v>
      </c>
      <c r="E349" s="1375" t="s">
        <v>304</v>
      </c>
      <c r="F349" s="1375" t="s">
        <v>357</v>
      </c>
      <c r="G349" s="66"/>
      <c r="H349" s="66">
        <v>0</v>
      </c>
      <c r="I349" s="74">
        <v>0</v>
      </c>
      <c r="J349" s="66"/>
    </row>
    <row r="350" spans="1:10">
      <c r="A350" s="75" t="str">
        <f t="shared" si="5"/>
        <v>2019COM_201602_P2T2</v>
      </c>
      <c r="B350" s="1375" t="s">
        <v>278</v>
      </c>
      <c r="C350" s="1375" t="s">
        <v>894</v>
      </c>
      <c r="D350" s="1375" t="s">
        <v>889</v>
      </c>
      <c r="E350" s="1375" t="s">
        <v>304</v>
      </c>
      <c r="F350" s="1375" t="s">
        <v>367</v>
      </c>
      <c r="G350" s="66"/>
      <c r="H350" s="66">
        <v>0</v>
      </c>
      <c r="I350" s="74">
        <v>0</v>
      </c>
      <c r="J350" s="66"/>
    </row>
    <row r="351" spans="1:10">
      <c r="A351" s="75" t="str">
        <f t="shared" si="5"/>
        <v>2019COM_201602_P2T3</v>
      </c>
      <c r="B351" s="1375" t="s">
        <v>278</v>
      </c>
      <c r="C351" s="1375" t="s">
        <v>895</v>
      </c>
      <c r="D351" s="1375" t="s">
        <v>889</v>
      </c>
      <c r="E351" s="1375" t="s">
        <v>304</v>
      </c>
      <c r="F351" s="1375" t="s">
        <v>873</v>
      </c>
      <c r="G351" s="66"/>
      <c r="H351" s="66">
        <v>0</v>
      </c>
      <c r="I351" s="74">
        <v>0</v>
      </c>
      <c r="J351" s="66"/>
    </row>
    <row r="352" spans="1:10">
      <c r="A352" s="75" t="str">
        <f t="shared" si="5"/>
        <v>2019COM_201602_P2T4</v>
      </c>
      <c r="B352" s="1375" t="s">
        <v>278</v>
      </c>
      <c r="C352" s="1375" t="s">
        <v>896</v>
      </c>
      <c r="D352" s="1375" t="s">
        <v>889</v>
      </c>
      <c r="E352" s="1375" t="s">
        <v>304</v>
      </c>
      <c r="F352" s="1375" t="s">
        <v>875</v>
      </c>
      <c r="G352" s="66"/>
      <c r="H352" s="66">
        <v>0</v>
      </c>
      <c r="I352" s="74">
        <v>0</v>
      </c>
      <c r="J352" s="66"/>
    </row>
    <row r="353" spans="1:10">
      <c r="A353" s="75" t="str">
        <f t="shared" si="5"/>
        <v>2019COM_201602_P2T5</v>
      </c>
      <c r="B353" s="1375" t="s">
        <v>278</v>
      </c>
      <c r="C353" s="1375" t="s">
        <v>897</v>
      </c>
      <c r="D353" s="1375" t="s">
        <v>889</v>
      </c>
      <c r="E353" s="1375" t="s">
        <v>304</v>
      </c>
      <c r="F353" s="1375" t="s">
        <v>870</v>
      </c>
      <c r="G353" s="66"/>
      <c r="H353" s="66">
        <v>0</v>
      </c>
      <c r="I353" s="74">
        <v>0</v>
      </c>
      <c r="J353" s="66"/>
    </row>
    <row r="354" spans="1:10">
      <c r="A354" s="75" t="str">
        <f t="shared" si="5"/>
        <v>2019COM_201602_P3T2</v>
      </c>
      <c r="B354" s="1375" t="s">
        <v>278</v>
      </c>
      <c r="C354" s="1375" t="s">
        <v>898</v>
      </c>
      <c r="D354" s="1375" t="s">
        <v>889</v>
      </c>
      <c r="E354" s="1375" t="s">
        <v>310</v>
      </c>
      <c r="F354" s="1375" t="s">
        <v>881</v>
      </c>
      <c r="G354" s="66"/>
      <c r="H354" s="66">
        <v>0</v>
      </c>
      <c r="I354" s="74">
        <v>0</v>
      </c>
      <c r="J354" s="66"/>
    </row>
    <row r="355" spans="1:10">
      <c r="A355" s="75" t="str">
        <f t="shared" si="5"/>
        <v>2019COM_201602_P3T4</v>
      </c>
      <c r="B355" s="1375" t="s">
        <v>278</v>
      </c>
      <c r="C355" s="1375" t="s">
        <v>899</v>
      </c>
      <c r="D355" s="1375" t="s">
        <v>889</v>
      </c>
      <c r="E355" s="1375" t="s">
        <v>310</v>
      </c>
      <c r="F355" s="1375" t="s">
        <v>879</v>
      </c>
      <c r="G355" s="66"/>
      <c r="H355" s="66">
        <v>0</v>
      </c>
      <c r="I355" s="74">
        <v>0</v>
      </c>
      <c r="J355" s="66"/>
    </row>
    <row r="356" spans="1:10">
      <c r="A356" s="75" t="str">
        <f t="shared" si="5"/>
        <v>2019COM_201602_P4T1</v>
      </c>
      <c r="B356" s="1375" t="s">
        <v>278</v>
      </c>
      <c r="C356" s="1375" t="s">
        <v>900</v>
      </c>
      <c r="D356" s="1375" t="s">
        <v>889</v>
      </c>
      <c r="E356" s="1375" t="s">
        <v>328</v>
      </c>
      <c r="F356" s="1375" t="s">
        <v>386</v>
      </c>
      <c r="G356" s="66"/>
      <c r="H356" s="66">
        <v>0</v>
      </c>
      <c r="I356" s="74">
        <v>0</v>
      </c>
      <c r="J356" s="66"/>
    </row>
    <row r="357" spans="1:10">
      <c r="A357" s="75" t="str">
        <f t="shared" si="5"/>
        <v>2019COM_201602_P4T10</v>
      </c>
      <c r="B357" s="1375" t="s">
        <v>278</v>
      </c>
      <c r="C357" s="1375" t="s">
        <v>901</v>
      </c>
      <c r="D357" s="1375" t="s">
        <v>137</v>
      </c>
      <c r="E357" s="1375" t="s">
        <v>328</v>
      </c>
      <c r="F357" s="1375" t="s">
        <v>1383</v>
      </c>
      <c r="G357" s="66"/>
      <c r="H357" s="66">
        <v>0</v>
      </c>
      <c r="I357" s="74">
        <v>0</v>
      </c>
      <c r="J357" s="66"/>
    </row>
    <row r="358" spans="1:10">
      <c r="A358" s="75" t="str">
        <f t="shared" si="5"/>
        <v>2019COM_201602_P4T11</v>
      </c>
      <c r="B358" s="1375" t="s">
        <v>278</v>
      </c>
      <c r="C358" s="1375" t="s">
        <v>903</v>
      </c>
      <c r="D358" s="1375" t="s">
        <v>137</v>
      </c>
      <c r="E358" s="1375" t="s">
        <v>328</v>
      </c>
      <c r="F358" s="1375" t="s">
        <v>1384</v>
      </c>
      <c r="G358" s="66"/>
      <c r="H358" s="66">
        <v>0</v>
      </c>
      <c r="I358" s="74">
        <v>0</v>
      </c>
      <c r="J358" s="66"/>
    </row>
    <row r="359" spans="1:10">
      <c r="A359" s="75" t="str">
        <f t="shared" si="5"/>
        <v>2019COM_201602_P4T2</v>
      </c>
      <c r="B359" s="1375" t="s">
        <v>278</v>
      </c>
      <c r="C359" s="1375" t="s">
        <v>906</v>
      </c>
      <c r="D359" s="1375" t="s">
        <v>889</v>
      </c>
      <c r="E359" s="1375" t="s">
        <v>328</v>
      </c>
      <c r="F359" s="1375" t="s">
        <v>885</v>
      </c>
      <c r="G359" s="66"/>
      <c r="H359" s="66">
        <v>0</v>
      </c>
      <c r="I359" s="74">
        <v>0</v>
      </c>
      <c r="J359" s="66"/>
    </row>
    <row r="360" spans="1:10">
      <c r="A360" s="75" t="str">
        <f t="shared" si="5"/>
        <v>2019COM_201602_P4T3</v>
      </c>
      <c r="B360" s="1375" t="s">
        <v>278</v>
      </c>
      <c r="C360" s="1375" t="s">
        <v>907</v>
      </c>
      <c r="D360" s="1375" t="s">
        <v>889</v>
      </c>
      <c r="E360" s="1375" t="s">
        <v>328</v>
      </c>
      <c r="F360" s="1375" t="s">
        <v>902</v>
      </c>
      <c r="G360" s="66"/>
      <c r="H360" s="66">
        <v>0</v>
      </c>
      <c r="I360" s="74">
        <v>0</v>
      </c>
      <c r="J360" s="66"/>
    </row>
    <row r="361" spans="1:10">
      <c r="A361" s="75" t="str">
        <f t="shared" si="5"/>
        <v>2019COM_201602_P4T4</v>
      </c>
      <c r="B361" s="1375" t="s">
        <v>278</v>
      </c>
      <c r="C361" s="1375" t="s">
        <v>908</v>
      </c>
      <c r="D361" s="1375" t="s">
        <v>889</v>
      </c>
      <c r="E361" s="1375" t="s">
        <v>328</v>
      </c>
      <c r="F361" s="1375" t="s">
        <v>904</v>
      </c>
      <c r="G361" s="66"/>
      <c r="H361" s="66">
        <v>0</v>
      </c>
      <c r="I361" s="74">
        <v>0</v>
      </c>
      <c r="J361" s="66"/>
    </row>
    <row r="362" spans="1:10">
      <c r="A362" s="75" t="str">
        <f t="shared" si="5"/>
        <v>2019COM_201602_P4T5</v>
      </c>
      <c r="B362" s="1375" t="s">
        <v>278</v>
      </c>
      <c r="C362" s="1375" t="s">
        <v>909</v>
      </c>
      <c r="D362" s="1375" t="s">
        <v>889</v>
      </c>
      <c r="E362" s="1375" t="s">
        <v>328</v>
      </c>
      <c r="F362" s="1375" t="s">
        <v>905</v>
      </c>
      <c r="G362" s="66"/>
      <c r="H362" s="66">
        <v>0</v>
      </c>
      <c r="I362" s="74">
        <v>0</v>
      </c>
      <c r="J362" s="66"/>
    </row>
    <row r="363" spans="1:10">
      <c r="A363" s="75" t="str">
        <f t="shared" si="5"/>
        <v>2019IND_200402_P1T1</v>
      </c>
      <c r="B363" s="1375" t="s">
        <v>278</v>
      </c>
      <c r="C363" s="1375" t="s">
        <v>36</v>
      </c>
      <c r="D363" s="1375" t="s">
        <v>145</v>
      </c>
      <c r="E363" s="1375" t="s">
        <v>307</v>
      </c>
      <c r="F363" s="1375" t="s">
        <v>334</v>
      </c>
      <c r="G363" s="66">
        <v>75419.204771660006</v>
      </c>
      <c r="H363" s="66">
        <v>288.03553892999997</v>
      </c>
      <c r="I363" s="74">
        <v>0.48000000000599924</v>
      </c>
      <c r="J363" s="66">
        <v>0</v>
      </c>
    </row>
    <row r="364" spans="1:10">
      <c r="A364" s="75" t="str">
        <f t="shared" si="5"/>
        <v>2019IND_200402_P2T1</v>
      </c>
      <c r="B364" s="1375" t="s">
        <v>278</v>
      </c>
      <c r="C364" s="1375" t="s">
        <v>37</v>
      </c>
      <c r="D364" s="1375" t="s">
        <v>145</v>
      </c>
      <c r="E364" s="1375" t="s">
        <v>292</v>
      </c>
      <c r="F364" s="1375" t="s">
        <v>334</v>
      </c>
      <c r="G364" s="66">
        <v>2082.0952381000002</v>
      </c>
      <c r="H364" s="66">
        <v>487.76190475999999</v>
      </c>
      <c r="I364" s="74">
        <v>0.23426493458824837</v>
      </c>
      <c r="J364" s="66">
        <v>208.46858544</v>
      </c>
    </row>
    <row r="365" spans="1:10">
      <c r="A365" s="75" t="str">
        <f t="shared" si="5"/>
        <v>2019IND_200402_P3T1</v>
      </c>
      <c r="B365" s="1375" t="s">
        <v>278</v>
      </c>
      <c r="C365" s="1375" t="s">
        <v>421</v>
      </c>
      <c r="D365" s="1375" t="s">
        <v>145</v>
      </c>
      <c r="E365" s="1375" t="s">
        <v>302</v>
      </c>
      <c r="F365" s="1375" t="s">
        <v>334</v>
      </c>
      <c r="G365" s="66">
        <v>75419.204771660006</v>
      </c>
      <c r="H365" s="66">
        <v>74820.675337320004</v>
      </c>
      <c r="I365" s="74">
        <v>1</v>
      </c>
      <c r="J365" s="66">
        <v>0</v>
      </c>
    </row>
    <row r="366" spans="1:10">
      <c r="A366" s="75" t="str">
        <f t="shared" si="5"/>
        <v>2019IND_201301_P1T1</v>
      </c>
      <c r="B366" s="1375" t="s">
        <v>278</v>
      </c>
      <c r="C366" s="1375" t="s">
        <v>39</v>
      </c>
      <c r="D366" s="1375" t="s">
        <v>146</v>
      </c>
      <c r="E366" s="1375" t="s">
        <v>493</v>
      </c>
      <c r="F366" s="1375" t="s">
        <v>334</v>
      </c>
      <c r="G366" s="66">
        <v>17.25</v>
      </c>
      <c r="H366" s="66">
        <v>15</v>
      </c>
      <c r="I366" s="74"/>
      <c r="J366" s="66">
        <v>0</v>
      </c>
    </row>
    <row r="367" spans="1:10">
      <c r="A367" s="75" t="str">
        <f t="shared" si="5"/>
        <v>2019OTH_201601_P1T0</v>
      </c>
      <c r="B367" s="1375" t="s">
        <v>278</v>
      </c>
      <c r="C367" s="1375" t="s">
        <v>1006</v>
      </c>
      <c r="D367" s="1375" t="s">
        <v>859</v>
      </c>
      <c r="E367" s="1375" t="s">
        <v>911</v>
      </c>
      <c r="F367" s="1375" t="s">
        <v>1007</v>
      </c>
      <c r="G367" s="66"/>
      <c r="H367" s="66">
        <v>1303764</v>
      </c>
      <c r="I367" s="74">
        <v>1</v>
      </c>
      <c r="J367" s="66"/>
    </row>
    <row r="368" spans="1:10">
      <c r="A368" s="75" t="str">
        <f t="shared" si="5"/>
        <v>2019OTH_201601_P1T1</v>
      </c>
      <c r="B368" s="1375" t="s">
        <v>278</v>
      </c>
      <c r="C368" s="1375" t="s">
        <v>910</v>
      </c>
      <c r="D368" s="1375" t="s">
        <v>859</v>
      </c>
      <c r="E368" s="1375" t="s">
        <v>911</v>
      </c>
      <c r="F368" s="1375" t="s">
        <v>741</v>
      </c>
      <c r="G368" s="66"/>
      <c r="H368" s="66">
        <v>1269860.74566631</v>
      </c>
      <c r="I368" s="74">
        <v>0.97399586556026241</v>
      </c>
      <c r="J368" s="66"/>
    </row>
    <row r="369" spans="1:10">
      <c r="A369" s="75" t="str">
        <f t="shared" si="5"/>
        <v>2019OTH_201601_P2T0</v>
      </c>
      <c r="B369" s="1375" t="s">
        <v>278</v>
      </c>
      <c r="C369" s="1375" t="s">
        <v>1008</v>
      </c>
      <c r="D369" s="1375" t="s">
        <v>859</v>
      </c>
      <c r="E369" s="1375" t="s">
        <v>1001</v>
      </c>
      <c r="F369" s="1375" t="s">
        <v>1007</v>
      </c>
      <c r="G369" s="66"/>
      <c r="H369" s="66">
        <v>255745.14415795001</v>
      </c>
      <c r="I369" s="74">
        <v>1</v>
      </c>
      <c r="J369" s="66"/>
    </row>
    <row r="370" spans="1:10">
      <c r="A370" s="75" t="str">
        <f t="shared" si="5"/>
        <v>2019OTH_201601_P2T1</v>
      </c>
      <c r="B370" s="1375" t="s">
        <v>278</v>
      </c>
      <c r="C370" s="1375" t="s">
        <v>957</v>
      </c>
      <c r="D370" s="1375" t="s">
        <v>859</v>
      </c>
      <c r="E370" s="1375" t="s">
        <v>1001</v>
      </c>
      <c r="F370" s="1375" t="s">
        <v>741</v>
      </c>
      <c r="G370" s="66"/>
      <c r="H370" s="66">
        <v>98461.669221489996</v>
      </c>
      <c r="I370" s="74">
        <v>0.38499917386771332</v>
      </c>
      <c r="J370" s="66"/>
    </row>
    <row r="371" spans="1:10">
      <c r="A371" s="75" t="str">
        <f t="shared" si="5"/>
        <v>2019OTH_201601_P3T0</v>
      </c>
      <c r="B371" s="1375" t="s">
        <v>278</v>
      </c>
      <c r="C371" s="1375" t="s">
        <v>1009</v>
      </c>
      <c r="D371" s="1375" t="s">
        <v>859</v>
      </c>
      <c r="E371" s="1375" t="s">
        <v>913</v>
      </c>
      <c r="F371" s="1375" t="s">
        <v>1007</v>
      </c>
      <c r="G371" s="66"/>
      <c r="H371" s="66">
        <v>928332.84772733995</v>
      </c>
      <c r="I371" s="74">
        <v>1</v>
      </c>
      <c r="J371" s="66"/>
    </row>
    <row r="372" spans="1:10">
      <c r="A372" s="75" t="str">
        <f t="shared" si="5"/>
        <v>2019OTH_201601_P3T1</v>
      </c>
      <c r="B372" s="1375" t="s">
        <v>278</v>
      </c>
      <c r="C372" s="1375" t="s">
        <v>912</v>
      </c>
      <c r="D372" s="1375" t="s">
        <v>859</v>
      </c>
      <c r="E372" s="1375" t="s">
        <v>913</v>
      </c>
      <c r="F372" s="1375" t="s">
        <v>741</v>
      </c>
      <c r="G372" s="66"/>
      <c r="H372" s="66">
        <v>889584.06467632996</v>
      </c>
      <c r="I372" s="74">
        <v>0.95825981689016904</v>
      </c>
      <c r="J372" s="66"/>
    </row>
    <row r="373" spans="1:10">
      <c r="A373" s="75" t="str">
        <f t="shared" si="5"/>
        <v>2019RES_199702_P1T1</v>
      </c>
      <c r="B373" s="1375" t="s">
        <v>278</v>
      </c>
      <c r="C373" s="1375" t="s">
        <v>396</v>
      </c>
      <c r="D373" s="1375" t="s">
        <v>147</v>
      </c>
      <c r="E373" s="1375" t="s">
        <v>147</v>
      </c>
      <c r="F373" s="1375" t="s">
        <v>342</v>
      </c>
      <c r="G373" s="66">
        <v>4510028.1756447004</v>
      </c>
      <c r="H373" s="66">
        <v>373528</v>
      </c>
      <c r="I373" s="74">
        <v>1</v>
      </c>
      <c r="J373" s="66">
        <v>0</v>
      </c>
    </row>
    <row r="374" spans="1:10">
      <c r="A374" s="75" t="str">
        <f t="shared" si="5"/>
        <v>2019RES_199702_P1T2</v>
      </c>
      <c r="B374" s="1375" t="s">
        <v>278</v>
      </c>
      <c r="C374" s="1375" t="s">
        <v>397</v>
      </c>
      <c r="D374" s="1375" t="s">
        <v>147</v>
      </c>
      <c r="E374" s="1375" t="s">
        <v>147</v>
      </c>
      <c r="F374" s="1375" t="s">
        <v>343</v>
      </c>
      <c r="G374" s="66">
        <v>4510692.1860314803</v>
      </c>
      <c r="H374" s="66">
        <v>373528</v>
      </c>
      <c r="I374" s="74">
        <v>1</v>
      </c>
      <c r="J374" s="66">
        <v>0</v>
      </c>
    </row>
    <row r="375" spans="1:10">
      <c r="A375" s="75" t="str">
        <f t="shared" si="5"/>
        <v>2019RES_199702_P1T3</v>
      </c>
      <c r="B375" s="1375" t="s">
        <v>278</v>
      </c>
      <c r="C375" s="1375" t="s">
        <v>398</v>
      </c>
      <c r="D375" s="1375" t="s">
        <v>147</v>
      </c>
      <c r="E375" s="1375" t="s">
        <v>147</v>
      </c>
      <c r="F375" s="1375" t="s">
        <v>345</v>
      </c>
      <c r="G375" s="66">
        <v>3334362.5234579998</v>
      </c>
      <c r="H375" s="66">
        <v>373528</v>
      </c>
      <c r="I375" s="74">
        <v>1</v>
      </c>
      <c r="J375" s="66">
        <v>0</v>
      </c>
    </row>
    <row r="376" spans="1:10">
      <c r="A376" s="75" t="str">
        <f t="shared" si="5"/>
        <v>2019RES_199702_P1T4</v>
      </c>
      <c r="B376" s="1375" t="s">
        <v>278</v>
      </c>
      <c r="C376" s="1375" t="s">
        <v>40</v>
      </c>
      <c r="D376" s="1375" t="s">
        <v>147</v>
      </c>
      <c r="E376" s="1375" t="s">
        <v>147</v>
      </c>
      <c r="F376" s="1375" t="s">
        <v>346</v>
      </c>
      <c r="G376" s="66">
        <v>2313945.3637158899</v>
      </c>
      <c r="H376" s="66">
        <v>208678.67312209</v>
      </c>
      <c r="I376" s="74">
        <v>0.55866942537665176</v>
      </c>
      <c r="J376" s="66">
        <v>0</v>
      </c>
    </row>
    <row r="377" spans="1:10">
      <c r="A377" s="75" t="str">
        <f t="shared" si="5"/>
        <v>2019RES_199702_P1T5</v>
      </c>
      <c r="B377" s="1375" t="s">
        <v>278</v>
      </c>
      <c r="C377" s="1375" t="s">
        <v>41</v>
      </c>
      <c r="D377" s="1375" t="s">
        <v>147</v>
      </c>
      <c r="E377" s="1375" t="s">
        <v>147</v>
      </c>
      <c r="F377" s="1375" t="s">
        <v>344</v>
      </c>
      <c r="G377" s="66">
        <v>1077394.4314872499</v>
      </c>
      <c r="H377" s="66">
        <v>208678.67312209</v>
      </c>
      <c r="I377" s="74">
        <v>0.55866942537665176</v>
      </c>
      <c r="J377" s="66">
        <v>0</v>
      </c>
    </row>
    <row r="378" spans="1:10">
      <c r="A378" s="75" t="str">
        <f t="shared" si="5"/>
        <v>2019RES_199702_P1T6</v>
      </c>
      <c r="B378" s="1375" t="s">
        <v>278</v>
      </c>
      <c r="C378" s="1375" t="s">
        <v>42</v>
      </c>
      <c r="D378" s="1375" t="s">
        <v>147</v>
      </c>
      <c r="E378" s="1375" t="s">
        <v>147</v>
      </c>
      <c r="F378" s="1375" t="s">
        <v>160</v>
      </c>
      <c r="G378" s="66">
        <v>475121.70968307997</v>
      </c>
      <c r="H378" s="66">
        <v>63139.719843500003</v>
      </c>
      <c r="I378" s="74">
        <v>0.16903610932379903</v>
      </c>
      <c r="J378" s="66">
        <v>0</v>
      </c>
    </row>
    <row r="379" spans="1:10">
      <c r="A379" s="75" t="str">
        <f t="shared" si="5"/>
        <v>2019RES_199702_P1T7</v>
      </c>
      <c r="B379" s="1375" t="s">
        <v>278</v>
      </c>
      <c r="C379" s="1375" t="s">
        <v>43</v>
      </c>
      <c r="D379" s="1375" t="s">
        <v>147</v>
      </c>
      <c r="E379" s="1375" t="s">
        <v>147</v>
      </c>
      <c r="F379" s="1375" t="s">
        <v>161</v>
      </c>
      <c r="G379" s="66">
        <v>393096.24397587997</v>
      </c>
      <c r="H379" s="66">
        <v>63139.719843500003</v>
      </c>
      <c r="I379" s="74">
        <v>0.16903610932379903</v>
      </c>
      <c r="J379" s="66">
        <v>0</v>
      </c>
    </row>
    <row r="380" spans="1:10">
      <c r="A380" s="75" t="str">
        <f t="shared" si="5"/>
        <v>2019RES_199702_P1T8</v>
      </c>
      <c r="B380" s="1375" t="s">
        <v>278</v>
      </c>
      <c r="C380" s="1375" t="s">
        <v>44</v>
      </c>
      <c r="D380" s="1375" t="s">
        <v>147</v>
      </c>
      <c r="E380" s="1375" t="s">
        <v>147</v>
      </c>
      <c r="F380" s="1375" t="s">
        <v>162</v>
      </c>
      <c r="G380" s="66">
        <v>210708.30100921</v>
      </c>
      <c r="H380" s="66">
        <v>36820.530079720003</v>
      </c>
      <c r="I380" s="74">
        <v>9.8575020024522939E-2</v>
      </c>
      <c r="J380" s="66">
        <v>0</v>
      </c>
    </row>
    <row r="381" spans="1:10">
      <c r="A381" s="75" t="str">
        <f t="shared" si="5"/>
        <v>2019RES_199703_P1T1</v>
      </c>
      <c r="B381" s="1375" t="s">
        <v>278</v>
      </c>
      <c r="C381" s="1375" t="s">
        <v>45</v>
      </c>
      <c r="D381" s="1375" t="s">
        <v>148</v>
      </c>
      <c r="E381" s="1375" t="s">
        <v>676</v>
      </c>
      <c r="F381" s="1375" t="s">
        <v>157</v>
      </c>
      <c r="G381" s="66">
        <v>172989787.03546199</v>
      </c>
      <c r="H381" s="66">
        <v>1211462.57065285</v>
      </c>
      <c r="I381" s="74">
        <v>4.5456480661934764E-2</v>
      </c>
      <c r="J381" s="66">
        <v>0</v>
      </c>
    </row>
    <row r="382" spans="1:10">
      <c r="A382" s="75" t="str">
        <f t="shared" si="5"/>
        <v>2019RES_199703_P2T1</v>
      </c>
      <c r="B382" s="1375" t="s">
        <v>278</v>
      </c>
      <c r="C382" s="1375" t="s">
        <v>46</v>
      </c>
      <c r="D382" s="1375" t="s">
        <v>148</v>
      </c>
      <c r="E382" s="1375" t="s">
        <v>677</v>
      </c>
      <c r="F382" s="1375" t="s">
        <v>157</v>
      </c>
      <c r="G382" s="66">
        <v>36074571.2798374</v>
      </c>
      <c r="H382" s="66">
        <v>18240.866715439999</v>
      </c>
      <c r="I382" s="74">
        <v>9.0444095323445454E-4</v>
      </c>
      <c r="J382" s="66">
        <v>0</v>
      </c>
    </row>
    <row r="383" spans="1:10">
      <c r="A383" s="75" t="str">
        <f t="shared" si="5"/>
        <v>2019RES_199703_P3T1</v>
      </c>
      <c r="B383" s="1375" t="s">
        <v>278</v>
      </c>
      <c r="C383" s="1375" t="s">
        <v>102</v>
      </c>
      <c r="D383" s="1375" t="s">
        <v>148</v>
      </c>
      <c r="E383" s="1375" t="s">
        <v>300</v>
      </c>
      <c r="F383" s="1375" t="s">
        <v>157</v>
      </c>
      <c r="G383" s="66">
        <v>66157582.811693199</v>
      </c>
      <c r="H383" s="66">
        <v>17511393.5102554</v>
      </c>
      <c r="I383" s="74">
        <v>0.65706224834787219</v>
      </c>
      <c r="J383" s="66">
        <v>9692892.4499999993</v>
      </c>
    </row>
    <row r="384" spans="1:10">
      <c r="A384" s="75" t="str">
        <f t="shared" si="5"/>
        <v>2019RES_199703_P4T1</v>
      </c>
      <c r="B384" s="1375" t="s">
        <v>278</v>
      </c>
      <c r="C384" s="1375" t="s">
        <v>103</v>
      </c>
      <c r="D384" s="1375" t="s">
        <v>148</v>
      </c>
      <c r="E384" s="1375" t="s">
        <v>301</v>
      </c>
      <c r="F384" s="1375" t="s">
        <v>157</v>
      </c>
      <c r="G384" s="66">
        <v>46775724.298723496</v>
      </c>
      <c r="H384" s="66">
        <v>13810586.5038878</v>
      </c>
      <c r="I384" s="74">
        <v>0.68477338369729301</v>
      </c>
      <c r="J384" s="66">
        <v>4274089.7</v>
      </c>
    </row>
    <row r="385" spans="1:10">
      <c r="A385" s="75" t="str">
        <f t="shared" si="5"/>
        <v>2019RES_199703_P5T1</v>
      </c>
      <c r="B385" s="1375" t="s">
        <v>278</v>
      </c>
      <c r="C385" s="1375" t="s">
        <v>914</v>
      </c>
      <c r="D385" s="1375" t="s">
        <v>148</v>
      </c>
      <c r="E385" s="1375" t="s">
        <v>678</v>
      </c>
      <c r="F385" s="1375" t="s">
        <v>157</v>
      </c>
      <c r="G385" s="66">
        <v>71790857.922494203</v>
      </c>
      <c r="H385" s="66">
        <v>7928185.8170037502</v>
      </c>
      <c r="I385" s="74">
        <v>0.29748127099019311</v>
      </c>
      <c r="J385" s="66"/>
    </row>
    <row r="386" spans="1:10">
      <c r="A386" s="75" t="str">
        <f t="shared" si="5"/>
        <v>2019RES_199703_P6T1</v>
      </c>
      <c r="B386" s="1375" t="s">
        <v>278</v>
      </c>
      <c r="C386" s="1375" t="s">
        <v>915</v>
      </c>
      <c r="D386" s="1375" t="s">
        <v>148</v>
      </c>
      <c r="E386" s="1375" t="s">
        <v>679</v>
      </c>
      <c r="F386" s="1375" t="s">
        <v>157</v>
      </c>
      <c r="G386" s="66">
        <v>53750816.088337801</v>
      </c>
      <c r="H386" s="66">
        <v>6339284.9314847002</v>
      </c>
      <c r="I386" s="74">
        <v>0.31432217534946966</v>
      </c>
      <c r="J386" s="66"/>
    </row>
    <row r="387" spans="1:10">
      <c r="A387" s="75" t="str">
        <f t="shared" si="5"/>
        <v>2019RES_199705_P1T1</v>
      </c>
      <c r="B387" s="1375" t="s">
        <v>278</v>
      </c>
      <c r="C387" s="1375" t="s">
        <v>494</v>
      </c>
      <c r="D387" s="1375" t="s">
        <v>495</v>
      </c>
      <c r="E387" s="1375" t="s">
        <v>496</v>
      </c>
      <c r="F387" s="1375" t="s">
        <v>497</v>
      </c>
      <c r="G387" s="66"/>
      <c r="H387" s="66"/>
      <c r="I387" s="74"/>
      <c r="J387" s="66">
        <v>0</v>
      </c>
    </row>
    <row r="388" spans="1:10">
      <c r="A388" s="75" t="str">
        <f t="shared" si="5"/>
        <v>2019RES_200005_P1T1</v>
      </c>
      <c r="B388" s="1375" t="s">
        <v>278</v>
      </c>
      <c r="C388" s="1375" t="s">
        <v>401</v>
      </c>
      <c r="D388" s="1375" t="s">
        <v>291</v>
      </c>
      <c r="E388" s="1375" t="s">
        <v>291</v>
      </c>
      <c r="F388" s="1375" t="s">
        <v>347</v>
      </c>
      <c r="G388" s="66">
        <v>3108222.3963816199</v>
      </c>
      <c r="H388" s="66">
        <v>378110.45</v>
      </c>
      <c r="I388" s="74">
        <v>0.95000000000000007</v>
      </c>
      <c r="J388" s="66">
        <v>0</v>
      </c>
    </row>
    <row r="389" spans="1:10">
      <c r="A389" s="75" t="str">
        <f t="shared" si="5"/>
        <v>2019RES_200005_P1T2</v>
      </c>
      <c r="B389" s="1375" t="s">
        <v>278</v>
      </c>
      <c r="C389" s="1375" t="s">
        <v>402</v>
      </c>
      <c r="D389" s="1375" t="s">
        <v>291</v>
      </c>
      <c r="E389" s="1375" t="s">
        <v>291</v>
      </c>
      <c r="F389" s="1375" t="s">
        <v>348</v>
      </c>
      <c r="G389" s="66">
        <v>5005478.9038380198</v>
      </c>
      <c r="H389" s="66">
        <v>378110.45</v>
      </c>
      <c r="I389" s="74">
        <v>0.95000000000000007</v>
      </c>
      <c r="J389" s="66">
        <v>0</v>
      </c>
    </row>
    <row r="390" spans="1:10">
      <c r="A390" s="75" t="str">
        <f t="shared" si="5"/>
        <v>2019RES_200005_P1T3</v>
      </c>
      <c r="B390" s="1375" t="s">
        <v>278</v>
      </c>
      <c r="C390" s="1375" t="s">
        <v>403</v>
      </c>
      <c r="D390" s="1375" t="s">
        <v>291</v>
      </c>
      <c r="E390" s="1375" t="s">
        <v>291</v>
      </c>
      <c r="F390" s="1375" t="s">
        <v>349</v>
      </c>
      <c r="G390" s="66">
        <v>2879039.6101665501</v>
      </c>
      <c r="H390" s="66">
        <v>378110.45</v>
      </c>
      <c r="I390" s="74">
        <v>0.95000000000000007</v>
      </c>
      <c r="J390" s="66">
        <v>0</v>
      </c>
    </row>
    <row r="391" spans="1:10">
      <c r="A391" s="75" t="str">
        <f t="shared" ref="A391:A454" si="6">B391&amp;C391</f>
        <v>2019RES_200005_P1T4</v>
      </c>
      <c r="B391" s="1375" t="s">
        <v>278</v>
      </c>
      <c r="C391" s="1375" t="s">
        <v>404</v>
      </c>
      <c r="D391" s="1375" t="s">
        <v>291</v>
      </c>
      <c r="E391" s="1375" t="s">
        <v>291</v>
      </c>
      <c r="F391" s="1375" t="s">
        <v>350</v>
      </c>
      <c r="G391" s="66">
        <v>2849811.1101665501</v>
      </c>
      <c r="H391" s="66">
        <v>378110.45</v>
      </c>
      <c r="I391" s="74">
        <v>0.95000000000000007</v>
      </c>
      <c r="J391" s="66">
        <v>0</v>
      </c>
    </row>
    <row r="392" spans="1:10">
      <c r="A392" s="75" t="str">
        <f t="shared" si="6"/>
        <v>2019RES_200006_P1T1</v>
      </c>
      <c r="B392" s="1375" t="s">
        <v>278</v>
      </c>
      <c r="C392" s="1375" t="s">
        <v>445</v>
      </c>
      <c r="D392" s="1375" t="s">
        <v>314</v>
      </c>
      <c r="E392" s="1375" t="s">
        <v>314</v>
      </c>
      <c r="F392" s="1375" t="s">
        <v>379</v>
      </c>
      <c r="G392" s="66">
        <v>4514223.7718097297</v>
      </c>
      <c r="H392" s="66">
        <v>435019</v>
      </c>
      <c r="I392" s="74">
        <v>1</v>
      </c>
      <c r="J392" s="66">
        <v>0</v>
      </c>
    </row>
    <row r="393" spans="1:10">
      <c r="A393" s="75" t="str">
        <f t="shared" si="6"/>
        <v>2019RES_200006_P1T2</v>
      </c>
      <c r="B393" s="1375" t="s">
        <v>278</v>
      </c>
      <c r="C393" s="1375" t="s">
        <v>446</v>
      </c>
      <c r="D393" s="1375" t="s">
        <v>314</v>
      </c>
      <c r="E393" s="1375" t="s">
        <v>314</v>
      </c>
      <c r="F393" s="1375" t="s">
        <v>380</v>
      </c>
      <c r="G393" s="66">
        <v>3315248.7932000002</v>
      </c>
      <c r="H393" s="66">
        <v>435019</v>
      </c>
      <c r="I393" s="74">
        <v>1</v>
      </c>
      <c r="J393" s="66">
        <v>5726</v>
      </c>
    </row>
    <row r="394" spans="1:10">
      <c r="A394" s="75" t="str">
        <f t="shared" si="6"/>
        <v>2019RES_200006_P1T3</v>
      </c>
      <c r="B394" s="1375" t="s">
        <v>278</v>
      </c>
      <c r="C394" s="1375" t="s">
        <v>442</v>
      </c>
      <c r="D394" s="1375" t="s">
        <v>314</v>
      </c>
      <c r="E394" s="1375" t="s">
        <v>314</v>
      </c>
      <c r="F394" s="1375" t="s">
        <v>376</v>
      </c>
      <c r="G394" s="66">
        <v>0</v>
      </c>
      <c r="H394" s="66">
        <v>0</v>
      </c>
      <c r="I394" s="74">
        <v>0</v>
      </c>
      <c r="J394" s="66">
        <v>10680</v>
      </c>
    </row>
    <row r="395" spans="1:10">
      <c r="A395" s="75" t="str">
        <f t="shared" si="6"/>
        <v>2019RES_200006_P1T4</v>
      </c>
      <c r="B395" s="1375" t="s">
        <v>278</v>
      </c>
      <c r="C395" s="1375" t="s">
        <v>443</v>
      </c>
      <c r="D395" s="1375" t="s">
        <v>314</v>
      </c>
      <c r="E395" s="1375" t="s">
        <v>314</v>
      </c>
      <c r="F395" s="1375" t="s">
        <v>377</v>
      </c>
      <c r="G395" s="66">
        <v>0</v>
      </c>
      <c r="H395" s="66">
        <v>0</v>
      </c>
      <c r="I395" s="74">
        <v>0</v>
      </c>
      <c r="J395" s="66">
        <v>277</v>
      </c>
    </row>
    <row r="396" spans="1:10">
      <c r="A396" s="75" t="str">
        <f t="shared" si="6"/>
        <v>2019RES_200006_P1T5</v>
      </c>
      <c r="B396" s="1375" t="s">
        <v>278</v>
      </c>
      <c r="C396" s="1375" t="s">
        <v>444</v>
      </c>
      <c r="D396" s="1375" t="s">
        <v>314</v>
      </c>
      <c r="E396" s="1375" t="s">
        <v>314</v>
      </c>
      <c r="F396" s="1375" t="s">
        <v>378</v>
      </c>
      <c r="G396" s="66">
        <v>0</v>
      </c>
      <c r="H396" s="66">
        <v>0</v>
      </c>
      <c r="I396" s="74">
        <v>0</v>
      </c>
      <c r="J396" s="66">
        <v>124</v>
      </c>
    </row>
    <row r="397" spans="1:10">
      <c r="A397" s="75" t="str">
        <f t="shared" si="6"/>
        <v>2019RES_200401_P11T1</v>
      </c>
      <c r="B397" s="1375" t="s">
        <v>278</v>
      </c>
      <c r="C397" s="1375" t="s">
        <v>47</v>
      </c>
      <c r="D397" s="1375" t="s">
        <v>469</v>
      </c>
      <c r="E397" s="1375" t="s">
        <v>916</v>
      </c>
      <c r="F397" s="1375" t="s">
        <v>917</v>
      </c>
      <c r="G397" s="66"/>
      <c r="H397" s="66">
        <v>0</v>
      </c>
      <c r="I397" s="74">
        <v>0</v>
      </c>
      <c r="J397" s="66">
        <v>0</v>
      </c>
    </row>
    <row r="398" spans="1:10">
      <c r="A398" s="75" t="str">
        <f t="shared" si="6"/>
        <v>2019RES_200401_P13T1</v>
      </c>
      <c r="B398" s="1375" t="s">
        <v>278</v>
      </c>
      <c r="C398" s="1375" t="s">
        <v>432</v>
      </c>
      <c r="D398" s="1375" t="s">
        <v>469</v>
      </c>
      <c r="E398" s="1375" t="s">
        <v>308</v>
      </c>
      <c r="F398" s="1375" t="s">
        <v>917</v>
      </c>
      <c r="G398" s="66"/>
      <c r="H398" s="66">
        <v>0</v>
      </c>
      <c r="I398" s="74"/>
      <c r="J398" s="66">
        <v>0</v>
      </c>
    </row>
    <row r="399" spans="1:10">
      <c r="A399" s="75" t="str">
        <f t="shared" si="6"/>
        <v>2019RES_200401_P1T1</v>
      </c>
      <c r="B399" s="1375" t="s">
        <v>278</v>
      </c>
      <c r="C399" s="1375" t="s">
        <v>409</v>
      </c>
      <c r="D399" s="1375" t="s">
        <v>469</v>
      </c>
      <c r="E399" s="1375" t="s">
        <v>295</v>
      </c>
      <c r="F399" s="1375" t="s">
        <v>353</v>
      </c>
      <c r="G399" s="66"/>
      <c r="H399" s="66">
        <v>11203.553341839999</v>
      </c>
      <c r="I399" s="74">
        <v>0.97346019131462325</v>
      </c>
      <c r="J399" s="66">
        <v>0</v>
      </c>
    </row>
    <row r="400" spans="1:10">
      <c r="A400" s="75" t="str">
        <f t="shared" si="6"/>
        <v>2019RES_200401_P1T2</v>
      </c>
      <c r="B400" s="1375" t="s">
        <v>278</v>
      </c>
      <c r="C400" s="1375" t="s">
        <v>410</v>
      </c>
      <c r="D400" s="1375" t="s">
        <v>469</v>
      </c>
      <c r="E400" s="1375" t="s">
        <v>295</v>
      </c>
      <c r="F400" s="1375" t="s">
        <v>354</v>
      </c>
      <c r="G400" s="66"/>
      <c r="H400" s="66">
        <v>11203.553341839999</v>
      </c>
      <c r="I400" s="74">
        <v>0.97346019131462325</v>
      </c>
      <c r="J400" s="66">
        <v>0</v>
      </c>
    </row>
    <row r="401" spans="1:10">
      <c r="A401" s="75" t="str">
        <f t="shared" si="6"/>
        <v>2019RES_200401_P1T3</v>
      </c>
      <c r="B401" s="1375" t="s">
        <v>278</v>
      </c>
      <c r="C401" s="1375" t="s">
        <v>411</v>
      </c>
      <c r="D401" s="1375" t="s">
        <v>469</v>
      </c>
      <c r="E401" s="1375" t="s">
        <v>295</v>
      </c>
      <c r="F401" s="1375" t="s">
        <v>355</v>
      </c>
      <c r="G401" s="66"/>
      <c r="H401" s="66">
        <v>11203.553341839999</v>
      </c>
      <c r="I401" s="74">
        <v>0.97346019131462325</v>
      </c>
      <c r="J401" s="66">
        <v>0</v>
      </c>
    </row>
    <row r="402" spans="1:10">
      <c r="A402" s="75" t="str">
        <f t="shared" si="6"/>
        <v>2019RES_200401_P2T1</v>
      </c>
      <c r="B402" s="1375" t="s">
        <v>278</v>
      </c>
      <c r="C402" s="1375" t="s">
        <v>422</v>
      </c>
      <c r="D402" s="1375" t="s">
        <v>469</v>
      </c>
      <c r="E402" s="1375" t="s">
        <v>303</v>
      </c>
      <c r="F402" s="1375" t="s">
        <v>364</v>
      </c>
      <c r="G402" s="66"/>
      <c r="H402" s="66">
        <v>2280.4023209299999</v>
      </c>
      <c r="I402" s="74">
        <v>0.94504862036054693</v>
      </c>
      <c r="J402" s="66">
        <v>0</v>
      </c>
    </row>
    <row r="403" spans="1:10">
      <c r="A403" s="75" t="str">
        <f t="shared" si="6"/>
        <v>2019RES_200401_P2T2</v>
      </c>
      <c r="B403" s="1375" t="s">
        <v>278</v>
      </c>
      <c r="C403" s="1375" t="s">
        <v>423</v>
      </c>
      <c r="D403" s="1375" t="s">
        <v>469</v>
      </c>
      <c r="E403" s="1375" t="s">
        <v>303</v>
      </c>
      <c r="F403" s="1375" t="s">
        <v>365</v>
      </c>
      <c r="G403" s="66"/>
      <c r="H403" s="66">
        <v>2280.4023209299999</v>
      </c>
      <c r="I403" s="74">
        <v>0.94504862036054693</v>
      </c>
      <c r="J403" s="66">
        <v>0</v>
      </c>
    </row>
    <row r="404" spans="1:10">
      <c r="A404" s="75" t="str">
        <f t="shared" si="6"/>
        <v>2019RES_200401_P2T3</v>
      </c>
      <c r="B404" s="1375" t="s">
        <v>278</v>
      </c>
      <c r="C404" s="1375" t="s">
        <v>424</v>
      </c>
      <c r="D404" s="1375" t="s">
        <v>469</v>
      </c>
      <c r="E404" s="1375" t="s">
        <v>303</v>
      </c>
      <c r="F404" s="1375" t="s">
        <v>366</v>
      </c>
      <c r="G404" s="66"/>
      <c r="H404" s="66">
        <v>2280.4023209299999</v>
      </c>
      <c r="I404" s="74">
        <v>0.94504862036054693</v>
      </c>
      <c r="J404" s="66">
        <v>0</v>
      </c>
    </row>
    <row r="405" spans="1:10">
      <c r="A405" s="75" t="str">
        <f t="shared" si="6"/>
        <v>2019RES_200401_P3T1</v>
      </c>
      <c r="B405" s="1375" t="s">
        <v>278</v>
      </c>
      <c r="C405" s="1375" t="s">
        <v>434</v>
      </c>
      <c r="D405" s="1375" t="s">
        <v>469</v>
      </c>
      <c r="E405" s="1375" t="s">
        <v>309</v>
      </c>
      <c r="F405" s="1375" t="s">
        <v>371</v>
      </c>
      <c r="G405" s="66"/>
      <c r="H405" s="66">
        <v>8885.24</v>
      </c>
      <c r="I405" s="74">
        <v>0.91</v>
      </c>
      <c r="J405" s="66">
        <v>0</v>
      </c>
    </row>
    <row r="406" spans="1:10">
      <c r="A406" s="75" t="str">
        <f t="shared" si="6"/>
        <v>2019RES_200401_P3T2</v>
      </c>
      <c r="B406" s="1375" t="s">
        <v>278</v>
      </c>
      <c r="C406" s="1375" t="s">
        <v>435</v>
      </c>
      <c r="D406" s="1375" t="s">
        <v>469</v>
      </c>
      <c r="E406" s="1375" t="s">
        <v>309</v>
      </c>
      <c r="F406" s="1375" t="s">
        <v>1518</v>
      </c>
      <c r="G406" s="66"/>
      <c r="H406" s="66">
        <v>8885.24</v>
      </c>
      <c r="I406" s="74">
        <v>0.91</v>
      </c>
      <c r="J406" s="66">
        <v>0</v>
      </c>
    </row>
    <row r="407" spans="1:10">
      <c r="A407" s="75" t="str">
        <f t="shared" si="6"/>
        <v>2019RES_200401_P4T1</v>
      </c>
      <c r="B407" s="1375" t="s">
        <v>278</v>
      </c>
      <c r="C407" s="1375" t="s">
        <v>455</v>
      </c>
      <c r="D407" s="1375" t="s">
        <v>469</v>
      </c>
      <c r="E407" s="1375" t="s">
        <v>327</v>
      </c>
      <c r="F407" s="1375" t="s">
        <v>382</v>
      </c>
      <c r="G407" s="66"/>
      <c r="H407" s="66">
        <v>22525.439999999999</v>
      </c>
      <c r="I407" s="74">
        <v>0.96</v>
      </c>
      <c r="J407" s="66">
        <v>0</v>
      </c>
    </row>
    <row r="408" spans="1:10">
      <c r="A408" s="75" t="str">
        <f t="shared" si="6"/>
        <v>2019RES_200401_P4T2</v>
      </c>
      <c r="B408" s="1375" t="s">
        <v>278</v>
      </c>
      <c r="C408" s="1375" t="s">
        <v>456</v>
      </c>
      <c r="D408" s="1375" t="s">
        <v>469</v>
      </c>
      <c r="E408" s="1375" t="s">
        <v>327</v>
      </c>
      <c r="F408" s="1375" t="s">
        <v>383</v>
      </c>
      <c r="G408" s="66"/>
      <c r="H408" s="66">
        <v>22525.439999999999</v>
      </c>
      <c r="I408" s="74">
        <v>0.96</v>
      </c>
      <c r="J408" s="66">
        <v>0</v>
      </c>
    </row>
    <row r="409" spans="1:10">
      <c r="A409" s="75" t="str">
        <f t="shared" si="6"/>
        <v>2019RES_200401_P4T3</v>
      </c>
      <c r="B409" s="1375" t="s">
        <v>278</v>
      </c>
      <c r="C409" s="1375" t="s">
        <v>457</v>
      </c>
      <c r="D409" s="1375" t="s">
        <v>469</v>
      </c>
      <c r="E409" s="1375" t="s">
        <v>327</v>
      </c>
      <c r="F409" s="1375" t="s">
        <v>384</v>
      </c>
      <c r="G409" s="66"/>
      <c r="H409" s="66">
        <v>22525.439999999999</v>
      </c>
      <c r="I409" s="74">
        <v>0.96</v>
      </c>
      <c r="J409" s="66">
        <v>0</v>
      </c>
    </row>
    <row r="410" spans="1:10">
      <c r="A410" s="75" t="str">
        <f t="shared" si="6"/>
        <v>2019RES_200401_P5T1</v>
      </c>
      <c r="B410" s="1375" t="s">
        <v>278</v>
      </c>
      <c r="C410" s="1375" t="s">
        <v>48</v>
      </c>
      <c r="D410" s="1375" t="s">
        <v>469</v>
      </c>
      <c r="E410" s="1375" t="s">
        <v>918</v>
      </c>
      <c r="F410" s="1375" t="s">
        <v>917</v>
      </c>
      <c r="G410" s="66"/>
      <c r="H410" s="66">
        <v>0</v>
      </c>
      <c r="I410" s="74">
        <v>0</v>
      </c>
      <c r="J410" s="66">
        <v>0</v>
      </c>
    </row>
    <row r="411" spans="1:10">
      <c r="A411" s="75" t="str">
        <f t="shared" si="6"/>
        <v>2019RES_200401_P6T1</v>
      </c>
      <c r="B411" s="1375" t="s">
        <v>278</v>
      </c>
      <c r="C411" s="1375" t="s">
        <v>49</v>
      </c>
      <c r="D411" s="1375" t="s">
        <v>469</v>
      </c>
      <c r="E411" s="1375" t="s">
        <v>919</v>
      </c>
      <c r="F411" s="1375" t="s">
        <v>917</v>
      </c>
      <c r="G411" s="66"/>
      <c r="H411" s="66">
        <v>0</v>
      </c>
      <c r="I411" s="74">
        <v>0</v>
      </c>
      <c r="J411" s="66">
        <v>0</v>
      </c>
    </row>
    <row r="412" spans="1:10">
      <c r="A412" s="75" t="str">
        <f t="shared" si="6"/>
        <v>2019RES_200401_P7T1</v>
      </c>
      <c r="B412" s="1375" t="s">
        <v>278</v>
      </c>
      <c r="C412" s="1375" t="s">
        <v>50</v>
      </c>
      <c r="D412" s="1375" t="s">
        <v>469</v>
      </c>
      <c r="E412" s="1375" t="s">
        <v>920</v>
      </c>
      <c r="F412" s="1375" t="s">
        <v>917</v>
      </c>
      <c r="G412" s="66"/>
      <c r="H412" s="66">
        <v>0</v>
      </c>
      <c r="I412" s="74">
        <v>0</v>
      </c>
      <c r="J412" s="66">
        <v>0</v>
      </c>
    </row>
    <row r="413" spans="1:10">
      <c r="A413" s="75" t="str">
        <f t="shared" si="6"/>
        <v>2019RES_200601_P1T1</v>
      </c>
      <c r="B413" s="1375" t="s">
        <v>278</v>
      </c>
      <c r="C413" s="1375" t="s">
        <v>417</v>
      </c>
      <c r="D413" s="1375" t="s">
        <v>149</v>
      </c>
      <c r="E413" s="1375" t="s">
        <v>298</v>
      </c>
      <c r="F413" s="1375" t="s">
        <v>353</v>
      </c>
      <c r="G413" s="66"/>
      <c r="H413" s="66">
        <v>1459.04901442</v>
      </c>
      <c r="I413" s="74">
        <v>0.97346019131353934</v>
      </c>
      <c r="J413" s="66">
        <v>0</v>
      </c>
    </row>
    <row r="414" spans="1:10">
      <c r="A414" s="75" t="str">
        <f t="shared" si="6"/>
        <v>2019RES_200601_P1T2</v>
      </c>
      <c r="B414" s="1375" t="s">
        <v>278</v>
      </c>
      <c r="C414" s="1375" t="s">
        <v>418</v>
      </c>
      <c r="D414" s="1375" t="s">
        <v>149</v>
      </c>
      <c r="E414" s="1375" t="s">
        <v>298</v>
      </c>
      <c r="F414" s="1375" t="s">
        <v>354</v>
      </c>
      <c r="G414" s="66"/>
      <c r="H414" s="66">
        <v>1459.04901442</v>
      </c>
      <c r="I414" s="74">
        <v>0.97346019131353934</v>
      </c>
      <c r="J414" s="66">
        <v>0</v>
      </c>
    </row>
    <row r="415" spans="1:10">
      <c r="A415" s="75" t="str">
        <f t="shared" si="6"/>
        <v>2019RES_200601_P1T3</v>
      </c>
      <c r="B415" s="1375" t="s">
        <v>278</v>
      </c>
      <c r="C415" s="1375" t="s">
        <v>419</v>
      </c>
      <c r="D415" s="1375" t="s">
        <v>149</v>
      </c>
      <c r="E415" s="1375" t="s">
        <v>298</v>
      </c>
      <c r="F415" s="1375" t="s">
        <v>355</v>
      </c>
      <c r="G415" s="66"/>
      <c r="H415" s="66">
        <v>1459.04901442</v>
      </c>
      <c r="I415" s="74">
        <v>0.97346019131353934</v>
      </c>
      <c r="J415" s="66">
        <v>0</v>
      </c>
    </row>
    <row r="416" spans="1:10">
      <c r="A416" s="75" t="str">
        <f t="shared" si="6"/>
        <v>2019RES_200601_P1T4</v>
      </c>
      <c r="B416" s="1375" t="s">
        <v>278</v>
      </c>
      <c r="C416" s="1375" t="s">
        <v>1321</v>
      </c>
      <c r="D416" s="1375" t="s">
        <v>149</v>
      </c>
      <c r="E416" s="1375" t="s">
        <v>298</v>
      </c>
      <c r="F416" s="1375" t="s">
        <v>356</v>
      </c>
      <c r="G416" s="66"/>
      <c r="H416" s="66">
        <v>1459.04901442</v>
      </c>
      <c r="I416" s="74">
        <v>0.97346019131353934</v>
      </c>
      <c r="J416" s="66">
        <v>0</v>
      </c>
    </row>
    <row r="417" spans="1:10">
      <c r="A417" s="75" t="str">
        <f t="shared" si="6"/>
        <v>2019RES_200601_P1T5</v>
      </c>
      <c r="B417" s="1375" t="s">
        <v>278</v>
      </c>
      <c r="C417" s="1375" t="s">
        <v>74</v>
      </c>
      <c r="D417" s="1375" t="s">
        <v>149</v>
      </c>
      <c r="E417" s="1375" t="s">
        <v>298</v>
      </c>
      <c r="F417" s="1375" t="s">
        <v>357</v>
      </c>
      <c r="G417" s="66"/>
      <c r="H417" s="66">
        <v>0</v>
      </c>
      <c r="I417" s="74">
        <v>0</v>
      </c>
      <c r="J417" s="66">
        <v>0</v>
      </c>
    </row>
    <row r="418" spans="1:10">
      <c r="A418" s="75" t="str">
        <f t="shared" si="6"/>
        <v>2019RES_200601_P1T6</v>
      </c>
      <c r="B418" s="1375" t="s">
        <v>278</v>
      </c>
      <c r="C418" s="1375" t="s">
        <v>1519</v>
      </c>
      <c r="D418" s="1375" t="s">
        <v>149</v>
      </c>
      <c r="E418" s="1375" t="s">
        <v>298</v>
      </c>
      <c r="F418" s="1375" t="s">
        <v>367</v>
      </c>
      <c r="G418" s="66"/>
      <c r="H418" s="66">
        <v>0</v>
      </c>
      <c r="I418" s="74">
        <v>0</v>
      </c>
      <c r="J418" s="66">
        <v>0</v>
      </c>
    </row>
    <row r="419" spans="1:10">
      <c r="A419" s="75" t="str">
        <f t="shared" si="6"/>
        <v>2019RES_200601_P2T1</v>
      </c>
      <c r="B419" s="1375" t="s">
        <v>278</v>
      </c>
      <c r="C419" s="1375" t="s">
        <v>429</v>
      </c>
      <c r="D419" s="1375" t="s">
        <v>149</v>
      </c>
      <c r="E419" s="1375" t="s">
        <v>306</v>
      </c>
      <c r="F419" s="1375" t="s">
        <v>364</v>
      </c>
      <c r="G419" s="66"/>
      <c r="H419" s="66">
        <v>519.87229717000002</v>
      </c>
      <c r="I419" s="74">
        <v>0.9450486203573405</v>
      </c>
      <c r="J419" s="66">
        <v>0</v>
      </c>
    </row>
    <row r="420" spans="1:10">
      <c r="A420" s="75" t="str">
        <f t="shared" si="6"/>
        <v>2019RES_200601_P2T2</v>
      </c>
      <c r="B420" s="1375" t="s">
        <v>278</v>
      </c>
      <c r="C420" s="1375" t="s">
        <v>430</v>
      </c>
      <c r="D420" s="1375" t="s">
        <v>149</v>
      </c>
      <c r="E420" s="1375" t="s">
        <v>306</v>
      </c>
      <c r="F420" s="1375" t="s">
        <v>365</v>
      </c>
      <c r="G420" s="66"/>
      <c r="H420" s="66">
        <v>519.87229717000002</v>
      </c>
      <c r="I420" s="74">
        <v>0.9450486203573405</v>
      </c>
      <c r="J420" s="66">
        <v>0</v>
      </c>
    </row>
    <row r="421" spans="1:10">
      <c r="A421" s="75" t="str">
        <f t="shared" si="6"/>
        <v>2019RES_200601_P2T3</v>
      </c>
      <c r="B421" s="1375" t="s">
        <v>278</v>
      </c>
      <c r="C421" s="1375" t="s">
        <v>431</v>
      </c>
      <c r="D421" s="1375" t="s">
        <v>149</v>
      </c>
      <c r="E421" s="1375" t="s">
        <v>306</v>
      </c>
      <c r="F421" s="1375" t="s">
        <v>366</v>
      </c>
      <c r="G421" s="66"/>
      <c r="H421" s="66">
        <v>519.87229717000002</v>
      </c>
      <c r="I421" s="74">
        <v>0.9450486203573405</v>
      </c>
      <c r="J421" s="66">
        <v>0</v>
      </c>
    </row>
    <row r="422" spans="1:10">
      <c r="A422" s="75" t="str">
        <f t="shared" si="6"/>
        <v>2019RES_200601_P2T4</v>
      </c>
      <c r="B422" s="1375" t="s">
        <v>278</v>
      </c>
      <c r="C422" s="1375" t="s">
        <v>1322</v>
      </c>
      <c r="D422" s="1375" t="s">
        <v>149</v>
      </c>
      <c r="E422" s="1375" t="s">
        <v>306</v>
      </c>
      <c r="F422" s="1375" t="s">
        <v>356</v>
      </c>
      <c r="G422" s="66"/>
      <c r="H422" s="66">
        <v>519.87229717000002</v>
      </c>
      <c r="I422" s="74">
        <v>0.9450486203573405</v>
      </c>
      <c r="J422" s="66">
        <v>0</v>
      </c>
    </row>
    <row r="423" spans="1:10">
      <c r="A423" s="75" t="str">
        <f t="shared" si="6"/>
        <v>2019RES_200601_P2T5</v>
      </c>
      <c r="B423" s="1375" t="s">
        <v>278</v>
      </c>
      <c r="C423" s="1375" t="s">
        <v>75</v>
      </c>
      <c r="D423" s="1375" t="s">
        <v>149</v>
      </c>
      <c r="E423" s="1375" t="s">
        <v>306</v>
      </c>
      <c r="F423" s="1375" t="s">
        <v>357</v>
      </c>
      <c r="G423" s="66"/>
      <c r="H423" s="66">
        <v>0</v>
      </c>
      <c r="I423" s="74">
        <v>0</v>
      </c>
      <c r="J423" s="66">
        <v>0</v>
      </c>
    </row>
    <row r="424" spans="1:10">
      <c r="A424" s="75" t="str">
        <f t="shared" si="6"/>
        <v>2019RES_200601_P2T6</v>
      </c>
      <c r="B424" s="1375" t="s">
        <v>278</v>
      </c>
      <c r="C424" s="1375" t="s">
        <v>1520</v>
      </c>
      <c r="D424" s="1375" t="s">
        <v>149</v>
      </c>
      <c r="E424" s="1375" t="s">
        <v>306</v>
      </c>
      <c r="F424" s="1375" t="s">
        <v>367</v>
      </c>
      <c r="G424" s="66"/>
      <c r="H424" s="66">
        <v>0</v>
      </c>
      <c r="I424" s="74">
        <v>0</v>
      </c>
      <c r="J424" s="66">
        <v>0</v>
      </c>
    </row>
    <row r="425" spans="1:10">
      <c r="A425" s="75" t="str">
        <f t="shared" si="6"/>
        <v>2019RES_200601_P3T1</v>
      </c>
      <c r="B425" s="1375" t="s">
        <v>278</v>
      </c>
      <c r="C425" s="1375" t="s">
        <v>441</v>
      </c>
      <c r="D425" s="1375" t="s">
        <v>149</v>
      </c>
      <c r="E425" s="1375" t="s">
        <v>312</v>
      </c>
      <c r="F425" s="1375" t="s">
        <v>371</v>
      </c>
      <c r="G425" s="66"/>
      <c r="H425" s="66">
        <v>1691.58796418</v>
      </c>
      <c r="I425" s="74">
        <v>0.89177550706825659</v>
      </c>
      <c r="J425" s="66">
        <v>0</v>
      </c>
    </row>
    <row r="426" spans="1:10">
      <c r="A426" s="75" t="str">
        <f t="shared" si="6"/>
        <v>2019RES_200601_P3T2</v>
      </c>
      <c r="B426" s="1375" t="s">
        <v>278</v>
      </c>
      <c r="C426" s="1375" t="s">
        <v>1521</v>
      </c>
      <c r="D426" s="1375" t="s">
        <v>149</v>
      </c>
      <c r="E426" s="1375" t="s">
        <v>312</v>
      </c>
      <c r="F426" s="1375" t="s">
        <v>1518</v>
      </c>
      <c r="G426" s="66"/>
      <c r="H426" s="66">
        <v>1691.58796418</v>
      </c>
      <c r="I426" s="74">
        <v>0.89177550706825659</v>
      </c>
      <c r="J426" s="66">
        <v>0</v>
      </c>
    </row>
    <row r="427" spans="1:10">
      <c r="A427" s="75" t="str">
        <f t="shared" si="6"/>
        <v>2019RES_200601_P3T3</v>
      </c>
      <c r="B427" s="1375" t="s">
        <v>278</v>
      </c>
      <c r="C427" s="1375" t="s">
        <v>1522</v>
      </c>
      <c r="D427" s="1375" t="s">
        <v>149</v>
      </c>
      <c r="E427" s="1375" t="s">
        <v>312</v>
      </c>
      <c r="F427" s="1375" t="s">
        <v>1523</v>
      </c>
      <c r="G427" s="66"/>
      <c r="H427" s="66">
        <v>1691.58796418</v>
      </c>
      <c r="I427" s="74">
        <v>0.89177550706825659</v>
      </c>
      <c r="J427" s="66">
        <v>0</v>
      </c>
    </row>
    <row r="428" spans="1:10">
      <c r="A428" s="75" t="str">
        <f t="shared" si="6"/>
        <v>2019RES_200601_P3T4</v>
      </c>
      <c r="B428" s="1375" t="s">
        <v>278</v>
      </c>
      <c r="C428" s="1375" t="s">
        <v>755</v>
      </c>
      <c r="D428" s="1375" t="s">
        <v>149</v>
      </c>
      <c r="E428" s="1375" t="s">
        <v>312</v>
      </c>
      <c r="F428" s="1375" t="s">
        <v>810</v>
      </c>
      <c r="G428" s="66"/>
      <c r="H428" s="66">
        <v>1691.58796418</v>
      </c>
      <c r="I428" s="74">
        <v>0.89177550706825659</v>
      </c>
      <c r="J428" s="66">
        <v>0</v>
      </c>
    </row>
    <row r="429" spans="1:10">
      <c r="A429" s="75" t="str">
        <f t="shared" si="6"/>
        <v>2019RES_200601_P3T5</v>
      </c>
      <c r="B429" s="1375" t="s">
        <v>278</v>
      </c>
      <c r="C429" s="1375" t="s">
        <v>1312</v>
      </c>
      <c r="D429" s="1375" t="s">
        <v>149</v>
      </c>
      <c r="E429" s="1375" t="s">
        <v>312</v>
      </c>
      <c r="F429" s="1375" t="s">
        <v>1564</v>
      </c>
      <c r="G429" s="66"/>
      <c r="H429" s="66">
        <v>0</v>
      </c>
      <c r="I429" s="74">
        <v>0</v>
      </c>
      <c r="J429" s="66">
        <v>0</v>
      </c>
    </row>
    <row r="430" spans="1:10">
      <c r="A430" s="75" t="str">
        <f t="shared" si="6"/>
        <v>2019RES_200601_P3T6</v>
      </c>
      <c r="B430" s="1375" t="s">
        <v>278</v>
      </c>
      <c r="C430" s="1375" t="s">
        <v>1524</v>
      </c>
      <c r="D430" s="1375" t="s">
        <v>149</v>
      </c>
      <c r="E430" s="1375" t="s">
        <v>312</v>
      </c>
      <c r="F430" s="1375" t="s">
        <v>944</v>
      </c>
      <c r="G430" s="66"/>
      <c r="H430" s="66">
        <v>0</v>
      </c>
      <c r="I430" s="74">
        <v>0</v>
      </c>
      <c r="J430" s="66">
        <v>0</v>
      </c>
    </row>
    <row r="431" spans="1:10">
      <c r="A431" s="75" t="str">
        <f t="shared" si="6"/>
        <v>2019RES_200601_P4T1</v>
      </c>
      <c r="B431" s="1375" t="s">
        <v>278</v>
      </c>
      <c r="C431" s="1375" t="s">
        <v>464</v>
      </c>
      <c r="D431" s="1375" t="s">
        <v>149</v>
      </c>
      <c r="E431" s="1375" t="s">
        <v>330</v>
      </c>
      <c r="F431" s="1375" t="s">
        <v>382</v>
      </c>
      <c r="G431" s="66"/>
      <c r="H431" s="66">
        <v>13313.59534613</v>
      </c>
      <c r="I431" s="74">
        <v>3.6073743497560518</v>
      </c>
      <c r="J431" s="66">
        <v>0</v>
      </c>
    </row>
    <row r="432" spans="1:10">
      <c r="A432" s="75" t="str">
        <f t="shared" si="6"/>
        <v>2019RES_200601_P4T2</v>
      </c>
      <c r="B432" s="1375" t="s">
        <v>278</v>
      </c>
      <c r="C432" s="1375" t="s">
        <v>465</v>
      </c>
      <c r="D432" s="1375" t="s">
        <v>149</v>
      </c>
      <c r="E432" s="1375" t="s">
        <v>330</v>
      </c>
      <c r="F432" s="1375" t="s">
        <v>383</v>
      </c>
      <c r="G432" s="66"/>
      <c r="H432" s="66">
        <v>0</v>
      </c>
      <c r="I432" s="74">
        <v>0</v>
      </c>
      <c r="J432" s="66">
        <v>0</v>
      </c>
    </row>
    <row r="433" spans="1:10">
      <c r="A433" s="75" t="str">
        <f t="shared" si="6"/>
        <v>2019RES_200601_P4T3</v>
      </c>
      <c r="B433" s="1375" t="s">
        <v>278</v>
      </c>
      <c r="C433" s="1375" t="s">
        <v>466</v>
      </c>
      <c r="D433" s="1375" t="s">
        <v>149</v>
      </c>
      <c r="E433" s="1375" t="s">
        <v>330</v>
      </c>
      <c r="F433" s="1375" t="s">
        <v>384</v>
      </c>
      <c r="G433" s="66"/>
      <c r="H433" s="66">
        <v>3362.2530002899998</v>
      </c>
      <c r="I433" s="74">
        <v>0.91101651472095446</v>
      </c>
      <c r="J433" s="66"/>
    </row>
    <row r="434" spans="1:10">
      <c r="A434" s="75" t="str">
        <f t="shared" si="6"/>
        <v>2019RES_200601_P4T4</v>
      </c>
      <c r="B434" s="1375" t="s">
        <v>278</v>
      </c>
      <c r="C434" s="1375" t="s">
        <v>72</v>
      </c>
      <c r="D434" s="1375" t="s">
        <v>149</v>
      </c>
      <c r="E434" s="1375" t="s">
        <v>330</v>
      </c>
      <c r="F434" s="1375" t="s">
        <v>385</v>
      </c>
      <c r="G434" s="66"/>
      <c r="H434" s="66">
        <v>3362.2530002899998</v>
      </c>
      <c r="I434" s="74">
        <v>0.91101651472095446</v>
      </c>
      <c r="J434" s="66">
        <v>0</v>
      </c>
    </row>
    <row r="435" spans="1:10">
      <c r="A435" s="75" t="str">
        <f t="shared" si="6"/>
        <v>2019RES_200601_P4T5</v>
      </c>
      <c r="B435" s="1375" t="s">
        <v>278</v>
      </c>
      <c r="C435" s="1375" t="s">
        <v>73</v>
      </c>
      <c r="D435" s="1375" t="s">
        <v>149</v>
      </c>
      <c r="E435" s="1375" t="s">
        <v>330</v>
      </c>
      <c r="F435" s="1375" t="s">
        <v>386</v>
      </c>
      <c r="G435" s="66"/>
      <c r="H435" s="66">
        <v>0</v>
      </c>
      <c r="I435" s="74">
        <v>0</v>
      </c>
      <c r="J435" s="66">
        <v>0</v>
      </c>
    </row>
    <row r="436" spans="1:10">
      <c r="A436" s="75" t="str">
        <f t="shared" si="6"/>
        <v>2019RES_200601_P4T6</v>
      </c>
      <c r="B436" s="1375" t="s">
        <v>278</v>
      </c>
      <c r="C436" s="1375" t="s">
        <v>1525</v>
      </c>
      <c r="D436" s="1375" t="s">
        <v>149</v>
      </c>
      <c r="E436" s="1375" t="s">
        <v>330</v>
      </c>
      <c r="F436" s="1375" t="s">
        <v>1526</v>
      </c>
      <c r="G436" s="66"/>
      <c r="H436" s="66">
        <v>0</v>
      </c>
      <c r="I436" s="74">
        <v>0</v>
      </c>
      <c r="J436" s="66">
        <v>0</v>
      </c>
    </row>
    <row r="437" spans="1:10">
      <c r="A437" s="75" t="str">
        <f t="shared" si="6"/>
        <v>2019RES_200804_P1T1</v>
      </c>
      <c r="B437" s="1375" t="s">
        <v>278</v>
      </c>
      <c r="C437" s="1375" t="s">
        <v>51</v>
      </c>
      <c r="D437" s="1375" t="s">
        <v>150</v>
      </c>
      <c r="E437" s="1375" t="s">
        <v>290</v>
      </c>
      <c r="F437" s="1375" t="s">
        <v>157</v>
      </c>
      <c r="G437" s="66">
        <v>99746.967287380001</v>
      </c>
      <c r="H437" s="66"/>
      <c r="I437" s="74"/>
      <c r="J437" s="66">
        <v>7380</v>
      </c>
    </row>
    <row r="438" spans="1:10">
      <c r="A438" s="75" t="str">
        <f t="shared" si="6"/>
        <v>2019RES_200804_P2T1</v>
      </c>
      <c r="B438" s="1375" t="s">
        <v>278</v>
      </c>
      <c r="C438" s="1375" t="s">
        <v>52</v>
      </c>
      <c r="D438" s="1375" t="s">
        <v>150</v>
      </c>
      <c r="E438" s="1375" t="s">
        <v>288</v>
      </c>
      <c r="F438" s="1375" t="s">
        <v>157</v>
      </c>
      <c r="G438" s="66">
        <v>11402.343900559999</v>
      </c>
      <c r="H438" s="66"/>
      <c r="I438" s="74"/>
      <c r="J438" s="66">
        <v>1083</v>
      </c>
    </row>
    <row r="439" spans="1:10">
      <c r="A439" s="75" t="str">
        <f t="shared" si="6"/>
        <v>2019RES_200804_P3T1</v>
      </c>
      <c r="B439" s="1375" t="s">
        <v>278</v>
      </c>
      <c r="C439" s="1375" t="s">
        <v>53</v>
      </c>
      <c r="D439" s="1375" t="s">
        <v>150</v>
      </c>
      <c r="E439" s="1375" t="s">
        <v>289</v>
      </c>
      <c r="F439" s="1375" t="s">
        <v>157</v>
      </c>
      <c r="G439" s="66">
        <v>7342.8146862100002</v>
      </c>
      <c r="H439" s="66"/>
      <c r="I439" s="74"/>
      <c r="J439" s="66">
        <v>1316</v>
      </c>
    </row>
    <row r="440" spans="1:10">
      <c r="A440" s="75" t="str">
        <f t="shared" si="6"/>
        <v>2019RES_200902_P1T0</v>
      </c>
      <c r="B440" s="1375" t="s">
        <v>278</v>
      </c>
      <c r="C440" s="1375" t="s">
        <v>1527</v>
      </c>
      <c r="D440" s="1375" t="s">
        <v>1350</v>
      </c>
      <c r="E440" s="1375" t="s">
        <v>1350</v>
      </c>
      <c r="F440" s="1375" t="s">
        <v>1528</v>
      </c>
      <c r="G440" s="66"/>
      <c r="H440" s="66"/>
      <c r="I440" s="74"/>
      <c r="J440" s="66">
        <v>0</v>
      </c>
    </row>
    <row r="441" spans="1:10">
      <c r="A441" s="75" t="str">
        <f t="shared" si="6"/>
        <v>2019RES_201101_P1T1</v>
      </c>
      <c r="B441" s="1375" t="s">
        <v>278</v>
      </c>
      <c r="C441" s="1375" t="s">
        <v>54</v>
      </c>
      <c r="D441" s="1375" t="s">
        <v>151</v>
      </c>
      <c r="E441" s="1375" t="s">
        <v>283</v>
      </c>
      <c r="F441" s="1375" t="s">
        <v>1385</v>
      </c>
      <c r="G441" s="66">
        <v>514874.98932215001</v>
      </c>
      <c r="H441" s="66">
        <v>132636.17475594001</v>
      </c>
      <c r="I441" s="74">
        <v>0.4069586634451367</v>
      </c>
      <c r="J441" s="66">
        <v>8684</v>
      </c>
    </row>
    <row r="442" spans="1:10">
      <c r="A442" s="75" t="str">
        <f t="shared" si="6"/>
        <v>2019RES_201101_P1T2</v>
      </c>
      <c r="B442" s="1375" t="s">
        <v>278</v>
      </c>
      <c r="C442" s="1375" t="s">
        <v>88</v>
      </c>
      <c r="D442" s="1375" t="s">
        <v>151</v>
      </c>
      <c r="E442" s="1375" t="s">
        <v>283</v>
      </c>
      <c r="F442" s="1375" t="s">
        <v>1386</v>
      </c>
      <c r="G442" s="66">
        <v>3961.7114013400001</v>
      </c>
      <c r="H442" s="66">
        <v>678.48039567000001</v>
      </c>
      <c r="I442" s="74">
        <v>2.0817358122975057E-3</v>
      </c>
      <c r="J442" s="66">
        <v>659</v>
      </c>
    </row>
    <row r="443" spans="1:10">
      <c r="A443" s="75" t="str">
        <f t="shared" si="6"/>
        <v>2019RES_201101_P1T3</v>
      </c>
      <c r="B443" s="1375" t="s">
        <v>278</v>
      </c>
      <c r="C443" s="1375" t="s">
        <v>89</v>
      </c>
      <c r="D443" s="1375" t="s">
        <v>151</v>
      </c>
      <c r="E443" s="1375" t="s">
        <v>283</v>
      </c>
      <c r="F443" s="1375" t="s">
        <v>1387</v>
      </c>
      <c r="G443" s="66">
        <v>2521.4803956699998</v>
      </c>
      <c r="H443" s="66">
        <v>678.48039567000001</v>
      </c>
      <c r="I443" s="74">
        <v>2.0817358122975057E-3</v>
      </c>
      <c r="J443" s="66">
        <v>96</v>
      </c>
    </row>
    <row r="444" spans="1:10">
      <c r="A444" s="75" t="str">
        <f t="shared" si="6"/>
        <v>2019RES_201101_P1T4</v>
      </c>
      <c r="B444" s="1375" t="s">
        <v>278</v>
      </c>
      <c r="C444" s="1375" t="s">
        <v>90</v>
      </c>
      <c r="D444" s="1375" t="s">
        <v>151</v>
      </c>
      <c r="E444" s="1375" t="s">
        <v>283</v>
      </c>
      <c r="F444" s="1375" t="s">
        <v>1388</v>
      </c>
      <c r="G444" s="66">
        <v>2024.48039567</v>
      </c>
      <c r="H444" s="66">
        <v>678.48039567000001</v>
      </c>
      <c r="I444" s="74">
        <v>2.0817358122975057E-3</v>
      </c>
      <c r="J444" s="66">
        <v>95</v>
      </c>
    </row>
    <row r="445" spans="1:10">
      <c r="A445" s="75" t="str">
        <f t="shared" si="6"/>
        <v>2019RES_201101_P1T5</v>
      </c>
      <c r="B445" s="1375" t="s">
        <v>278</v>
      </c>
      <c r="C445" s="1375" t="s">
        <v>91</v>
      </c>
      <c r="D445" s="1375" t="s">
        <v>151</v>
      </c>
      <c r="E445" s="1375" t="s">
        <v>283</v>
      </c>
      <c r="F445" s="1375" t="s">
        <v>1389</v>
      </c>
      <c r="G445" s="66">
        <v>1037</v>
      </c>
      <c r="H445" s="66">
        <v>95</v>
      </c>
      <c r="I445" s="74">
        <v>2.9148211714056973E-4</v>
      </c>
      <c r="J445" s="66">
        <v>95</v>
      </c>
    </row>
    <row r="446" spans="1:10">
      <c r="A446" s="75" t="str">
        <f t="shared" si="6"/>
        <v>2019RES_201101_P1T6</v>
      </c>
      <c r="B446" s="1375" t="s">
        <v>278</v>
      </c>
      <c r="C446" s="1375" t="s">
        <v>117</v>
      </c>
      <c r="D446" s="1375" t="s">
        <v>151</v>
      </c>
      <c r="E446" s="1375" t="s">
        <v>283</v>
      </c>
      <c r="F446" s="1375" t="s">
        <v>1390</v>
      </c>
      <c r="G446" s="66">
        <v>1037</v>
      </c>
      <c r="H446" s="66">
        <v>95</v>
      </c>
      <c r="I446" s="74">
        <v>2.9148211714056973E-4</v>
      </c>
      <c r="J446" s="66">
        <v>95</v>
      </c>
    </row>
    <row r="447" spans="1:10">
      <c r="A447" s="75" t="str">
        <f t="shared" si="6"/>
        <v>2019RES_201202_P1T1</v>
      </c>
      <c r="B447" s="1375" t="s">
        <v>278</v>
      </c>
      <c r="C447" s="1375" t="s">
        <v>55</v>
      </c>
      <c r="D447" s="1375" t="s">
        <v>152</v>
      </c>
      <c r="E447" s="1375" t="s">
        <v>804</v>
      </c>
      <c r="F447" s="1375" t="s">
        <v>157</v>
      </c>
      <c r="G447" s="66">
        <v>25847</v>
      </c>
      <c r="H447" s="66">
        <v>4065</v>
      </c>
      <c r="I447" s="74">
        <v>2.5857640577379874E-2</v>
      </c>
      <c r="J447" s="66">
        <v>3101</v>
      </c>
    </row>
    <row r="448" spans="1:10">
      <c r="A448" s="75" t="str">
        <f t="shared" si="6"/>
        <v>2019RES_201202_P1T2</v>
      </c>
      <c r="B448" s="1375" t="s">
        <v>278</v>
      </c>
      <c r="C448" s="1375" t="s">
        <v>56</v>
      </c>
      <c r="D448" s="1375" t="s">
        <v>152</v>
      </c>
      <c r="E448" s="1375" t="s">
        <v>804</v>
      </c>
      <c r="F448" s="1375" t="s">
        <v>158</v>
      </c>
      <c r="G448" s="66">
        <v>18093</v>
      </c>
      <c r="H448" s="66">
        <v>3993</v>
      </c>
      <c r="I448" s="74">
        <v>2.5399645467522224E-2</v>
      </c>
      <c r="J448" s="66">
        <v>2919</v>
      </c>
    </row>
    <row r="449" spans="1:10">
      <c r="A449" s="75" t="str">
        <f t="shared" si="6"/>
        <v>2019RES_201202_P1T3</v>
      </c>
      <c r="B449" s="1375" t="s">
        <v>278</v>
      </c>
      <c r="C449" s="1375" t="s">
        <v>770</v>
      </c>
      <c r="D449" s="1375" t="s">
        <v>152</v>
      </c>
      <c r="E449" s="1375" t="s">
        <v>804</v>
      </c>
      <c r="F449" s="1375" t="s">
        <v>818</v>
      </c>
      <c r="G449" s="66">
        <v>11132</v>
      </c>
      <c r="H449" s="66">
        <v>3965</v>
      </c>
      <c r="I449" s="74">
        <v>2.5221536258133136E-2</v>
      </c>
      <c r="J449" s="66">
        <v>2871</v>
      </c>
    </row>
    <row r="450" spans="1:10">
      <c r="A450" s="75" t="str">
        <f t="shared" si="6"/>
        <v>2019RES_201202_P1T4</v>
      </c>
      <c r="B450" s="1375" t="s">
        <v>278</v>
      </c>
      <c r="C450" s="1375" t="s">
        <v>771</v>
      </c>
      <c r="D450" s="1375" t="s">
        <v>152</v>
      </c>
      <c r="E450" s="1375" t="s">
        <v>804</v>
      </c>
      <c r="F450" s="1375" t="s">
        <v>819</v>
      </c>
      <c r="G450" s="66">
        <v>33</v>
      </c>
      <c r="H450" s="66">
        <v>2</v>
      </c>
      <c r="I450" s="74">
        <v>1.2722086384934748E-5</v>
      </c>
      <c r="J450" s="66">
        <v>0</v>
      </c>
    </row>
    <row r="451" spans="1:10">
      <c r="A451" s="75" t="str">
        <f t="shared" si="6"/>
        <v>2019RES_201202_P1T5</v>
      </c>
      <c r="B451" s="1375" t="s">
        <v>278</v>
      </c>
      <c r="C451" s="1375" t="s">
        <v>921</v>
      </c>
      <c r="D451" s="1375" t="s">
        <v>152</v>
      </c>
      <c r="E451" s="1375" t="s">
        <v>804</v>
      </c>
      <c r="F451" s="1375" t="s">
        <v>922</v>
      </c>
      <c r="G451" s="66">
        <v>0</v>
      </c>
      <c r="H451" s="66">
        <v>0</v>
      </c>
      <c r="I451" s="74">
        <v>0</v>
      </c>
      <c r="J451" s="66">
        <v>0</v>
      </c>
    </row>
    <row r="452" spans="1:10">
      <c r="A452" s="75" t="str">
        <f t="shared" si="6"/>
        <v>2019RES_201202_P2T1</v>
      </c>
      <c r="B452" s="1375" t="s">
        <v>278</v>
      </c>
      <c r="C452" s="1375" t="s">
        <v>57</v>
      </c>
      <c r="D452" s="1375" t="s">
        <v>152</v>
      </c>
      <c r="E452" s="1375" t="s">
        <v>805</v>
      </c>
      <c r="F452" s="1375" t="s">
        <v>157</v>
      </c>
      <c r="G452" s="66">
        <v>9330</v>
      </c>
      <c r="H452" s="66">
        <v>2419</v>
      </c>
      <c r="I452" s="74">
        <v>0.14607969364749798</v>
      </c>
      <c r="J452" s="66">
        <v>2419</v>
      </c>
    </row>
    <row r="453" spans="1:10">
      <c r="A453" s="75" t="str">
        <f t="shared" si="6"/>
        <v>2019RES_201202_P2T2</v>
      </c>
      <c r="B453" s="1375" t="s">
        <v>278</v>
      </c>
      <c r="C453" s="1375" t="s">
        <v>58</v>
      </c>
      <c r="D453" s="1375" t="s">
        <v>152</v>
      </c>
      <c r="E453" s="1375" t="s">
        <v>805</v>
      </c>
      <c r="F453" s="1375" t="s">
        <v>158</v>
      </c>
      <c r="G453" s="66">
        <v>8777</v>
      </c>
      <c r="H453" s="66">
        <v>2417</v>
      </c>
      <c r="I453" s="74">
        <v>0.14595891672013339</v>
      </c>
      <c r="J453" s="66">
        <v>2417</v>
      </c>
    </row>
    <row r="454" spans="1:10">
      <c r="A454" s="75" t="str">
        <f t="shared" si="6"/>
        <v>2019RES_201202_P2T3</v>
      </c>
      <c r="B454" s="1375" t="s">
        <v>278</v>
      </c>
      <c r="C454" s="1375" t="s">
        <v>762</v>
      </c>
      <c r="D454" s="1375" t="s">
        <v>152</v>
      </c>
      <c r="E454" s="1375" t="s">
        <v>805</v>
      </c>
      <c r="F454" s="1375" t="s">
        <v>818</v>
      </c>
      <c r="G454" s="66">
        <v>5824</v>
      </c>
      <c r="H454" s="66">
        <v>2397</v>
      </c>
      <c r="I454" s="74">
        <v>0.14475114744648726</v>
      </c>
      <c r="J454" s="66">
        <v>2397</v>
      </c>
    </row>
    <row r="455" spans="1:10">
      <c r="A455" s="75" t="str">
        <f t="shared" ref="A455:A518" si="7">B455&amp;C455</f>
        <v>2019RES_201202_P2T4</v>
      </c>
      <c r="B455" s="1375" t="s">
        <v>278</v>
      </c>
      <c r="C455" s="1375" t="s">
        <v>763</v>
      </c>
      <c r="D455" s="1375" t="s">
        <v>152</v>
      </c>
      <c r="E455" s="1375" t="s">
        <v>805</v>
      </c>
      <c r="F455" s="1375" t="s">
        <v>819</v>
      </c>
      <c r="G455" s="66">
        <v>24</v>
      </c>
      <c r="H455" s="66">
        <v>0</v>
      </c>
      <c r="I455" s="74">
        <v>0</v>
      </c>
      <c r="J455" s="66">
        <v>0</v>
      </c>
    </row>
    <row r="456" spans="1:10">
      <c r="A456" s="75" t="str">
        <f t="shared" si="7"/>
        <v>2019RES_201202_P2T5</v>
      </c>
      <c r="B456" s="1375" t="s">
        <v>278</v>
      </c>
      <c r="C456" s="1375" t="s">
        <v>923</v>
      </c>
      <c r="D456" s="1375" t="s">
        <v>152</v>
      </c>
      <c r="E456" s="1375" t="s">
        <v>805</v>
      </c>
      <c r="F456" s="1375" t="s">
        <v>922</v>
      </c>
      <c r="G456" s="66">
        <v>0</v>
      </c>
      <c r="H456" s="66">
        <v>0</v>
      </c>
      <c r="I456" s="74">
        <v>0</v>
      </c>
      <c r="J456" s="66">
        <v>0</v>
      </c>
    </row>
    <row r="457" spans="1:10">
      <c r="A457" s="75" t="str">
        <f t="shared" si="7"/>
        <v>2019RES_201202_P3T1</v>
      </c>
      <c r="B457" s="1375" t="s">
        <v>278</v>
      </c>
      <c r="C457" s="1375" t="s">
        <v>744</v>
      </c>
      <c r="D457" s="1375" t="s">
        <v>152</v>
      </c>
      <c r="E457" s="1375" t="s">
        <v>806</v>
      </c>
      <c r="F457" s="1375" t="s">
        <v>157</v>
      </c>
      <c r="G457" s="66">
        <v>19935</v>
      </c>
      <c r="H457" s="66">
        <v>6645</v>
      </c>
      <c r="I457" s="74">
        <v>0.67779071720409834</v>
      </c>
      <c r="J457" s="66">
        <v>1261</v>
      </c>
    </row>
    <row r="458" spans="1:10">
      <c r="A458" s="75" t="str">
        <f t="shared" si="7"/>
        <v>2019RES_201202_P3T2</v>
      </c>
      <c r="B458" s="1375" t="s">
        <v>278</v>
      </c>
      <c r="C458" s="1375" t="s">
        <v>745</v>
      </c>
      <c r="D458" s="1375" t="s">
        <v>152</v>
      </c>
      <c r="E458" s="1375" t="s">
        <v>806</v>
      </c>
      <c r="F458" s="1375" t="s">
        <v>158</v>
      </c>
      <c r="G458" s="66">
        <v>18588</v>
      </c>
      <c r="H458" s="66">
        <v>6526</v>
      </c>
      <c r="I458" s="74">
        <v>0.66565270436026269</v>
      </c>
      <c r="J458" s="66">
        <v>1259</v>
      </c>
    </row>
    <row r="459" spans="1:10">
      <c r="A459" s="75" t="str">
        <f t="shared" si="7"/>
        <v>2019RES_201202_P3T3</v>
      </c>
      <c r="B459" s="1375" t="s">
        <v>278</v>
      </c>
      <c r="C459" s="1375" t="s">
        <v>764</v>
      </c>
      <c r="D459" s="1375" t="s">
        <v>152</v>
      </c>
      <c r="E459" s="1375" t="s">
        <v>806</v>
      </c>
      <c r="F459" s="1375" t="s">
        <v>818</v>
      </c>
      <c r="G459" s="66">
        <v>14914</v>
      </c>
      <c r="H459" s="66">
        <v>6482</v>
      </c>
      <c r="I459" s="74">
        <v>0.66116469961128144</v>
      </c>
      <c r="J459" s="66">
        <v>1247</v>
      </c>
    </row>
    <row r="460" spans="1:10">
      <c r="A460" s="75" t="str">
        <f t="shared" si="7"/>
        <v>2019RES_201202_P3T4</v>
      </c>
      <c r="B460" s="1375" t="s">
        <v>278</v>
      </c>
      <c r="C460" s="1375" t="s">
        <v>765</v>
      </c>
      <c r="D460" s="1375" t="s">
        <v>152</v>
      </c>
      <c r="E460" s="1375" t="s">
        <v>806</v>
      </c>
      <c r="F460" s="1375" t="s">
        <v>819</v>
      </c>
      <c r="G460" s="66">
        <v>41</v>
      </c>
      <c r="H460" s="66">
        <v>3</v>
      </c>
      <c r="I460" s="74">
        <v>3.0600032379417529E-4</v>
      </c>
      <c r="J460" s="66">
        <v>0</v>
      </c>
    </row>
    <row r="461" spans="1:10">
      <c r="A461" s="75" t="str">
        <f t="shared" si="7"/>
        <v>2019RES_201202_P3T5</v>
      </c>
      <c r="B461" s="1375" t="s">
        <v>278</v>
      </c>
      <c r="C461" s="1375" t="s">
        <v>924</v>
      </c>
      <c r="D461" s="1375" t="s">
        <v>152</v>
      </c>
      <c r="E461" s="1375" t="s">
        <v>806</v>
      </c>
      <c r="F461" s="1375" t="s">
        <v>922</v>
      </c>
      <c r="G461" s="66">
        <v>0</v>
      </c>
      <c r="H461" s="66">
        <v>0</v>
      </c>
      <c r="I461" s="74">
        <v>0</v>
      </c>
      <c r="J461" s="66">
        <v>0</v>
      </c>
    </row>
    <row r="462" spans="1:10">
      <c r="A462" s="75" t="str">
        <f t="shared" si="7"/>
        <v>2019RES_201202_P4T1</v>
      </c>
      <c r="B462" s="1375" t="s">
        <v>278</v>
      </c>
      <c r="C462" s="1375" t="s">
        <v>766</v>
      </c>
      <c r="D462" s="1375" t="s">
        <v>152</v>
      </c>
      <c r="E462" s="1375" t="s">
        <v>807</v>
      </c>
      <c r="F462" s="1375" t="s">
        <v>157</v>
      </c>
      <c r="G462" s="66">
        <v>8046</v>
      </c>
      <c r="H462" s="66">
        <v>2796</v>
      </c>
      <c r="I462" s="74">
        <v>0.57902679451493488</v>
      </c>
      <c r="J462" s="66">
        <v>530</v>
      </c>
    </row>
    <row r="463" spans="1:10">
      <c r="A463" s="75" t="str">
        <f t="shared" si="7"/>
        <v>2019RES_201202_P4T2</v>
      </c>
      <c r="B463" s="1375" t="s">
        <v>278</v>
      </c>
      <c r="C463" s="1375" t="s">
        <v>767</v>
      </c>
      <c r="D463" s="1375" t="s">
        <v>152</v>
      </c>
      <c r="E463" s="1375" t="s">
        <v>807</v>
      </c>
      <c r="F463" s="1375" t="s">
        <v>158</v>
      </c>
      <c r="G463" s="66">
        <v>7842</v>
      </c>
      <c r="H463" s="66">
        <v>2793</v>
      </c>
      <c r="I463" s="74">
        <v>0.57840552113026222</v>
      </c>
      <c r="J463" s="66">
        <v>530</v>
      </c>
    </row>
    <row r="464" spans="1:10">
      <c r="A464" s="75" t="str">
        <f t="shared" si="7"/>
        <v>2019RES_201202_P4T3</v>
      </c>
      <c r="B464" s="1375" t="s">
        <v>278</v>
      </c>
      <c r="C464" s="1375" t="s">
        <v>768</v>
      </c>
      <c r="D464" s="1375" t="s">
        <v>152</v>
      </c>
      <c r="E464" s="1375" t="s">
        <v>807</v>
      </c>
      <c r="F464" s="1375" t="s">
        <v>818</v>
      </c>
      <c r="G464" s="66">
        <v>6798</v>
      </c>
      <c r="H464" s="66">
        <v>2775</v>
      </c>
      <c r="I464" s="74">
        <v>0.57467788082222615</v>
      </c>
      <c r="J464" s="66">
        <v>525</v>
      </c>
    </row>
    <row r="465" spans="1:10">
      <c r="A465" s="75" t="str">
        <f t="shared" si="7"/>
        <v>2019RES_201202_P4T4</v>
      </c>
      <c r="B465" s="1375" t="s">
        <v>278</v>
      </c>
      <c r="C465" s="1375" t="s">
        <v>769</v>
      </c>
      <c r="D465" s="1375" t="s">
        <v>152</v>
      </c>
      <c r="E465" s="1375" t="s">
        <v>807</v>
      </c>
      <c r="F465" s="1375" t="s">
        <v>819</v>
      </c>
      <c r="G465" s="66">
        <v>29</v>
      </c>
      <c r="H465" s="66">
        <v>1</v>
      </c>
      <c r="I465" s="74">
        <v>2.0709112822422563E-4</v>
      </c>
      <c r="J465" s="66">
        <v>0</v>
      </c>
    </row>
    <row r="466" spans="1:10">
      <c r="A466" s="75" t="str">
        <f t="shared" si="7"/>
        <v>2019RES_201202_P4T5</v>
      </c>
      <c r="B466" s="1375" t="s">
        <v>278</v>
      </c>
      <c r="C466" s="1375" t="s">
        <v>925</v>
      </c>
      <c r="D466" s="1375" t="s">
        <v>152</v>
      </c>
      <c r="E466" s="1375" t="s">
        <v>807</v>
      </c>
      <c r="F466" s="1375" t="s">
        <v>922</v>
      </c>
      <c r="G466" s="66">
        <v>0</v>
      </c>
      <c r="H466" s="66">
        <v>0</v>
      </c>
      <c r="I466" s="74">
        <v>0</v>
      </c>
      <c r="J466" s="66">
        <v>0</v>
      </c>
    </row>
    <row r="467" spans="1:10">
      <c r="A467" s="75" t="str">
        <f t="shared" si="7"/>
        <v>2019RES_201301_P10T1</v>
      </c>
      <c r="B467" s="1375" t="s">
        <v>278</v>
      </c>
      <c r="C467" s="1375" t="s">
        <v>59</v>
      </c>
      <c r="D467" s="1375" t="s">
        <v>746</v>
      </c>
      <c r="E467" s="1375" t="s">
        <v>311</v>
      </c>
      <c r="F467" s="1375" t="s">
        <v>363</v>
      </c>
      <c r="G467" s="66"/>
      <c r="H467" s="66">
        <v>0</v>
      </c>
      <c r="I467" s="74">
        <v>0</v>
      </c>
      <c r="J467" s="66">
        <v>0</v>
      </c>
    </row>
    <row r="468" spans="1:10">
      <c r="A468" s="75" t="str">
        <f t="shared" si="7"/>
        <v>2019RES_201301_P11T1</v>
      </c>
      <c r="B468" s="1375" t="s">
        <v>278</v>
      </c>
      <c r="C468" s="1375" t="s">
        <v>463</v>
      </c>
      <c r="D468" s="1375" t="s">
        <v>746</v>
      </c>
      <c r="E468" s="1375" t="s">
        <v>916</v>
      </c>
      <c r="F468" s="1375" t="s">
        <v>917</v>
      </c>
      <c r="G468" s="66"/>
      <c r="H468" s="66">
        <v>0</v>
      </c>
      <c r="I468" s="74">
        <v>0</v>
      </c>
      <c r="J468" s="66">
        <v>0</v>
      </c>
    </row>
    <row r="469" spans="1:10">
      <c r="A469" s="75" t="str">
        <f t="shared" si="7"/>
        <v>2019RES_201301_P12T1</v>
      </c>
      <c r="B469" s="1375" t="s">
        <v>278</v>
      </c>
      <c r="C469" s="1375" t="s">
        <v>60</v>
      </c>
      <c r="D469" s="1375" t="s">
        <v>746</v>
      </c>
      <c r="E469" s="1375" t="s">
        <v>329</v>
      </c>
      <c r="F469" s="1375" t="s">
        <v>363</v>
      </c>
      <c r="G469" s="66"/>
      <c r="H469" s="66">
        <v>0</v>
      </c>
      <c r="I469" s="74">
        <v>0</v>
      </c>
      <c r="J469" s="66">
        <v>0</v>
      </c>
    </row>
    <row r="470" spans="1:10">
      <c r="A470" s="75" t="str">
        <f t="shared" si="7"/>
        <v>2019RES_201301_P13T1</v>
      </c>
      <c r="B470" s="1375" t="s">
        <v>278</v>
      </c>
      <c r="C470" s="1375" t="s">
        <v>81</v>
      </c>
      <c r="D470" s="1375" t="s">
        <v>746</v>
      </c>
      <c r="E470" s="1375" t="s">
        <v>1529</v>
      </c>
      <c r="F470" s="1375" t="s">
        <v>927</v>
      </c>
      <c r="G470" s="66"/>
      <c r="H470" s="66">
        <v>8</v>
      </c>
      <c r="I470" s="74">
        <v>6.9510817620992268E-4</v>
      </c>
      <c r="J470" s="66">
        <v>0</v>
      </c>
    </row>
    <row r="471" spans="1:10">
      <c r="A471" s="75" t="str">
        <f t="shared" si="7"/>
        <v>2019RES_201301_P13T2</v>
      </c>
      <c r="B471" s="1375" t="s">
        <v>278</v>
      </c>
      <c r="C471" s="1375" t="s">
        <v>82</v>
      </c>
      <c r="D471" s="1375" t="s">
        <v>746</v>
      </c>
      <c r="E471" s="1375" t="s">
        <v>1530</v>
      </c>
      <c r="F471" s="1375" t="s">
        <v>927</v>
      </c>
      <c r="G471" s="66"/>
      <c r="H471" s="66">
        <v>0</v>
      </c>
      <c r="I471" s="74">
        <v>0</v>
      </c>
      <c r="J471" s="66">
        <v>0</v>
      </c>
    </row>
    <row r="472" spans="1:10">
      <c r="A472" s="75" t="str">
        <f t="shared" si="7"/>
        <v>2019RES_201301_P13T3</v>
      </c>
      <c r="B472" s="1375" t="s">
        <v>278</v>
      </c>
      <c r="C472" s="1375" t="s">
        <v>83</v>
      </c>
      <c r="D472" s="1375" t="s">
        <v>746</v>
      </c>
      <c r="E472" s="1375" t="s">
        <v>1531</v>
      </c>
      <c r="F472" s="1375" t="s">
        <v>927</v>
      </c>
      <c r="G472" s="66"/>
      <c r="H472" s="66">
        <v>2</v>
      </c>
      <c r="I472" s="74">
        <v>2.0483408439164277E-4</v>
      </c>
      <c r="J472" s="66">
        <v>0</v>
      </c>
    </row>
    <row r="473" spans="1:10">
      <c r="A473" s="75" t="str">
        <f t="shared" si="7"/>
        <v>2019RES_201301_P13T4</v>
      </c>
      <c r="B473" s="1375" t="s">
        <v>278</v>
      </c>
      <c r="C473" s="1375" t="s">
        <v>84</v>
      </c>
      <c r="D473" s="1375" t="s">
        <v>746</v>
      </c>
      <c r="E473" s="1375" t="s">
        <v>930</v>
      </c>
      <c r="F473" s="1375" t="s">
        <v>927</v>
      </c>
      <c r="G473" s="66"/>
      <c r="H473" s="66">
        <v>55</v>
      </c>
      <c r="I473" s="74">
        <v>2.3440163654960791E-3</v>
      </c>
      <c r="J473" s="66">
        <v>0</v>
      </c>
    </row>
    <row r="474" spans="1:10">
      <c r="A474" s="75" t="str">
        <f t="shared" si="7"/>
        <v>2019RES_201301_P14T1</v>
      </c>
      <c r="B474" s="1375" t="s">
        <v>278</v>
      </c>
      <c r="C474" s="1375" t="s">
        <v>76</v>
      </c>
      <c r="D474" s="1375" t="s">
        <v>746</v>
      </c>
      <c r="E474" s="1375" t="s">
        <v>931</v>
      </c>
      <c r="F474" s="1375" t="s">
        <v>927</v>
      </c>
      <c r="G474" s="66"/>
      <c r="H474" s="66">
        <v>903</v>
      </c>
      <c r="I474" s="74">
        <v>3.8484486873508354E-2</v>
      </c>
      <c r="J474" s="66">
        <v>0</v>
      </c>
    </row>
    <row r="475" spans="1:10">
      <c r="A475" s="75" t="str">
        <f t="shared" si="7"/>
        <v>2019RES_201301_P15T1</v>
      </c>
      <c r="B475" s="1375" t="s">
        <v>278</v>
      </c>
      <c r="C475" s="1375" t="s">
        <v>77</v>
      </c>
      <c r="D475" s="1375" t="s">
        <v>746</v>
      </c>
      <c r="E475" s="1375" t="s">
        <v>932</v>
      </c>
      <c r="F475" s="1375" t="s">
        <v>927</v>
      </c>
      <c r="G475" s="66"/>
      <c r="H475" s="66">
        <v>1668</v>
      </c>
      <c r="I475" s="74">
        <v>0.14493005473976889</v>
      </c>
      <c r="J475" s="66">
        <v>0</v>
      </c>
    </row>
    <row r="476" spans="1:10">
      <c r="A476" s="75" t="str">
        <f t="shared" si="7"/>
        <v>2019RES_201301_P15T2</v>
      </c>
      <c r="B476" s="1375" t="s">
        <v>278</v>
      </c>
      <c r="C476" s="1375" t="s">
        <v>78</v>
      </c>
      <c r="D476" s="1375" t="s">
        <v>746</v>
      </c>
      <c r="E476" s="1375" t="s">
        <v>933</v>
      </c>
      <c r="F476" s="1375" t="s">
        <v>927</v>
      </c>
      <c r="G476" s="66"/>
      <c r="H476" s="66">
        <v>2</v>
      </c>
      <c r="I476" s="74">
        <v>8.2884376295068376E-4</v>
      </c>
      <c r="J476" s="66">
        <v>0</v>
      </c>
    </row>
    <row r="477" spans="1:10">
      <c r="A477" s="75" t="str">
        <f t="shared" si="7"/>
        <v>2019RES_201301_P15T3</v>
      </c>
      <c r="B477" s="1375" t="s">
        <v>278</v>
      </c>
      <c r="C477" s="1375" t="s">
        <v>79</v>
      </c>
      <c r="D477" s="1375" t="s">
        <v>746</v>
      </c>
      <c r="E477" s="1375" t="s">
        <v>934</v>
      </c>
      <c r="F477" s="1375" t="s">
        <v>927</v>
      </c>
      <c r="G477" s="66"/>
      <c r="H477" s="66">
        <v>97</v>
      </c>
      <c r="I477" s="74">
        <v>9.9344530929946738E-3</v>
      </c>
      <c r="J477" s="66">
        <v>0</v>
      </c>
    </row>
    <row r="478" spans="1:10">
      <c r="A478" s="75" t="str">
        <f t="shared" si="7"/>
        <v>2019RES_201301_P15T4</v>
      </c>
      <c r="B478" s="1375" t="s">
        <v>278</v>
      </c>
      <c r="C478" s="1375" t="s">
        <v>80</v>
      </c>
      <c r="D478" s="1375" t="s">
        <v>746</v>
      </c>
      <c r="E478" s="1375" t="s">
        <v>935</v>
      </c>
      <c r="F478" s="1375" t="s">
        <v>927</v>
      </c>
      <c r="G478" s="66"/>
      <c r="H478" s="66">
        <v>515</v>
      </c>
      <c r="I478" s="74">
        <v>2.1948516876917831E-2</v>
      </c>
      <c r="J478" s="66">
        <v>0</v>
      </c>
    </row>
    <row r="479" spans="1:10">
      <c r="A479" s="75" t="str">
        <f t="shared" si="7"/>
        <v>2019RES_201301_P16T1</v>
      </c>
      <c r="B479" s="1375" t="s">
        <v>278</v>
      </c>
      <c r="C479" s="1375" t="s">
        <v>1398</v>
      </c>
      <c r="D479" s="1375" t="s">
        <v>746</v>
      </c>
      <c r="E479" s="1375" t="s">
        <v>1399</v>
      </c>
      <c r="F479" s="1375" t="s">
        <v>927</v>
      </c>
      <c r="G479" s="66"/>
      <c r="H479" s="66">
        <v>393</v>
      </c>
      <c r="I479" s="74">
        <v>3.414718915631245E-2</v>
      </c>
      <c r="J479" s="66">
        <v>0</v>
      </c>
    </row>
    <row r="480" spans="1:10">
      <c r="A480" s="75" t="str">
        <f t="shared" si="7"/>
        <v>2019RES_201301_P16T2</v>
      </c>
      <c r="B480" s="1375" t="s">
        <v>278</v>
      </c>
      <c r="C480" s="1375" t="s">
        <v>1400</v>
      </c>
      <c r="D480" s="1375" t="s">
        <v>746</v>
      </c>
      <c r="E480" s="1375" t="s">
        <v>1401</v>
      </c>
      <c r="F480" s="1375" t="s">
        <v>927</v>
      </c>
      <c r="G480" s="66"/>
      <c r="H480" s="66">
        <v>0</v>
      </c>
      <c r="I480" s="74">
        <v>0</v>
      </c>
      <c r="J480" s="66">
        <v>0</v>
      </c>
    </row>
    <row r="481" spans="1:10">
      <c r="A481" s="75" t="str">
        <f t="shared" si="7"/>
        <v>2019RES_201301_P16T3</v>
      </c>
      <c r="B481" s="1375" t="s">
        <v>278</v>
      </c>
      <c r="C481" s="1375" t="s">
        <v>1402</v>
      </c>
      <c r="D481" s="1375" t="s">
        <v>746</v>
      </c>
      <c r="E481" s="1375" t="s">
        <v>1403</v>
      </c>
      <c r="F481" s="1375" t="s">
        <v>927</v>
      </c>
      <c r="G481" s="66"/>
      <c r="H481" s="66">
        <v>13</v>
      </c>
      <c r="I481" s="74">
        <v>1.331421548545678E-3</v>
      </c>
      <c r="J481" s="66">
        <v>0</v>
      </c>
    </row>
    <row r="482" spans="1:10">
      <c r="A482" s="75" t="str">
        <f t="shared" si="7"/>
        <v>2019RES_201301_P16T4</v>
      </c>
      <c r="B482" s="1375" t="s">
        <v>278</v>
      </c>
      <c r="C482" s="1375" t="s">
        <v>1404</v>
      </c>
      <c r="D482" s="1375" t="s">
        <v>746</v>
      </c>
      <c r="E482" s="1375" t="s">
        <v>1405</v>
      </c>
      <c r="F482" s="1375" t="s">
        <v>927</v>
      </c>
      <c r="G482" s="66"/>
      <c r="H482" s="66">
        <v>1</v>
      </c>
      <c r="I482" s="74">
        <v>4.2618479372655982E-5</v>
      </c>
      <c r="J482" s="66">
        <v>0</v>
      </c>
    </row>
    <row r="483" spans="1:10">
      <c r="A483" s="75" t="str">
        <f t="shared" si="7"/>
        <v>2019RES_201301_P17T1</v>
      </c>
      <c r="B483" s="1375" t="s">
        <v>278</v>
      </c>
      <c r="C483" s="1375" t="s">
        <v>118</v>
      </c>
      <c r="D483" s="1375" t="s">
        <v>746</v>
      </c>
      <c r="E483" s="1375" t="s">
        <v>498</v>
      </c>
      <c r="F483" s="1375" t="s">
        <v>917</v>
      </c>
      <c r="G483" s="66"/>
      <c r="H483" s="66">
        <v>0</v>
      </c>
      <c r="I483" s="74">
        <v>0</v>
      </c>
      <c r="J483" s="66">
        <v>0</v>
      </c>
    </row>
    <row r="484" spans="1:10">
      <c r="A484" s="75" t="str">
        <f t="shared" si="7"/>
        <v>2019RES_201301_P18T1</v>
      </c>
      <c r="B484" s="1375" t="s">
        <v>278</v>
      </c>
      <c r="C484" s="1375" t="s">
        <v>119</v>
      </c>
      <c r="D484" s="1375" t="s">
        <v>746</v>
      </c>
      <c r="E484" s="1375" t="s">
        <v>499</v>
      </c>
      <c r="F484" s="1375" t="s">
        <v>917</v>
      </c>
      <c r="G484" s="66"/>
      <c r="H484" s="66">
        <v>0</v>
      </c>
      <c r="I484" s="74">
        <v>0</v>
      </c>
      <c r="J484" s="66">
        <v>0</v>
      </c>
    </row>
    <row r="485" spans="1:10">
      <c r="A485" s="75" t="str">
        <f t="shared" si="7"/>
        <v>2019Res_201301_P19T1</v>
      </c>
      <c r="B485" s="1375" t="s">
        <v>278</v>
      </c>
      <c r="C485" s="1375" t="s">
        <v>681</v>
      </c>
      <c r="D485" s="1375" t="s">
        <v>746</v>
      </c>
      <c r="E485" s="1375" t="s">
        <v>682</v>
      </c>
      <c r="F485" s="1375" t="s">
        <v>927</v>
      </c>
      <c r="G485" s="66"/>
      <c r="H485" s="66">
        <v>3796</v>
      </c>
      <c r="I485" s="74">
        <v>0.38877509217533796</v>
      </c>
      <c r="J485" s="66">
        <v>3796</v>
      </c>
    </row>
    <row r="486" spans="1:10">
      <c r="A486" s="75" t="str">
        <f t="shared" si="7"/>
        <v>2019RES_201301_P1T4</v>
      </c>
      <c r="B486" s="1375" t="s">
        <v>278</v>
      </c>
      <c r="C486" s="1375" t="s">
        <v>61</v>
      </c>
      <c r="D486" s="1375" t="s">
        <v>746</v>
      </c>
      <c r="E486" s="1375" t="s">
        <v>295</v>
      </c>
      <c r="F486" s="1375" t="s">
        <v>356</v>
      </c>
      <c r="G486" s="66"/>
      <c r="H486" s="66">
        <v>11203</v>
      </c>
      <c r="I486" s="74">
        <v>0.97341211225997049</v>
      </c>
      <c r="J486" s="66"/>
    </row>
    <row r="487" spans="1:10">
      <c r="A487" s="75" t="str">
        <f t="shared" si="7"/>
        <v>2019RES_201301_P1T5</v>
      </c>
      <c r="B487" s="1375" t="s">
        <v>278</v>
      </c>
      <c r="C487" s="1375" t="s">
        <v>62</v>
      </c>
      <c r="D487" s="1375" t="s">
        <v>746</v>
      </c>
      <c r="E487" s="1375" t="s">
        <v>295</v>
      </c>
      <c r="F487" s="1375" t="s">
        <v>357</v>
      </c>
      <c r="G487" s="66"/>
      <c r="H487" s="66">
        <v>0</v>
      </c>
      <c r="I487" s="74">
        <v>0</v>
      </c>
      <c r="J487" s="66"/>
    </row>
    <row r="488" spans="1:10">
      <c r="A488" s="75" t="str">
        <f t="shared" si="7"/>
        <v>2019Res_201301_P20T3</v>
      </c>
      <c r="B488" s="1375" t="s">
        <v>278</v>
      </c>
      <c r="C488" s="1375" t="s">
        <v>500</v>
      </c>
      <c r="D488" s="1375" t="s">
        <v>746</v>
      </c>
      <c r="E488" s="1375" t="s">
        <v>936</v>
      </c>
      <c r="F488" s="1375" t="s">
        <v>927</v>
      </c>
      <c r="G488" s="66"/>
      <c r="H488" s="66">
        <v>808</v>
      </c>
      <c r="I488" s="74">
        <v>3.4435731333106033E-2</v>
      </c>
      <c r="J488" s="66">
        <v>0</v>
      </c>
    </row>
    <row r="489" spans="1:10">
      <c r="A489" s="75" t="str">
        <f t="shared" si="7"/>
        <v>2019RES_201301_P21T1</v>
      </c>
      <c r="B489" s="1375" t="s">
        <v>278</v>
      </c>
      <c r="C489" s="1375" t="s">
        <v>757</v>
      </c>
      <c r="D489" s="1375" t="s">
        <v>746</v>
      </c>
      <c r="E489" s="1375" t="s">
        <v>937</v>
      </c>
      <c r="F489" s="1375" t="s">
        <v>927</v>
      </c>
      <c r="G489" s="66"/>
      <c r="H489" s="66">
        <v>224</v>
      </c>
      <c r="I489" s="74">
        <v>1.9463028933877836E-2</v>
      </c>
      <c r="J489" s="66">
        <v>224</v>
      </c>
    </row>
    <row r="490" spans="1:10">
      <c r="A490" s="75" t="str">
        <f t="shared" si="7"/>
        <v>2019RES_201301_P22T1</v>
      </c>
      <c r="B490" s="1375" t="s">
        <v>278</v>
      </c>
      <c r="C490" s="1375" t="s">
        <v>758</v>
      </c>
      <c r="D490" s="1375" t="s">
        <v>746</v>
      </c>
      <c r="E490" s="1375" t="s">
        <v>938</v>
      </c>
      <c r="F490" s="1375" t="s">
        <v>927</v>
      </c>
      <c r="G490" s="66"/>
      <c r="H490" s="66">
        <v>0</v>
      </c>
      <c r="I490" s="74">
        <v>0</v>
      </c>
      <c r="J490" s="66">
        <v>0</v>
      </c>
    </row>
    <row r="491" spans="1:10">
      <c r="A491" s="75" t="str">
        <f t="shared" si="7"/>
        <v>2019RES_201301_P23T1</v>
      </c>
      <c r="B491" s="1375" t="s">
        <v>278</v>
      </c>
      <c r="C491" s="1375" t="s">
        <v>759</v>
      </c>
      <c r="D491" s="1375" t="s">
        <v>746</v>
      </c>
      <c r="E491" s="1375" t="s">
        <v>939</v>
      </c>
      <c r="F491" s="1375" t="s">
        <v>927</v>
      </c>
      <c r="G491" s="66"/>
      <c r="H491" s="66">
        <v>15</v>
      </c>
      <c r="I491" s="74">
        <v>1.5362556329373209E-3</v>
      </c>
      <c r="J491" s="66">
        <v>15</v>
      </c>
    </row>
    <row r="492" spans="1:10">
      <c r="A492" s="75" t="str">
        <f t="shared" si="7"/>
        <v>2019RES_201301_P24T1</v>
      </c>
      <c r="B492" s="1375" t="s">
        <v>278</v>
      </c>
      <c r="C492" s="1375" t="s">
        <v>760</v>
      </c>
      <c r="D492" s="1375" t="s">
        <v>746</v>
      </c>
      <c r="E492" s="1375" t="s">
        <v>940</v>
      </c>
      <c r="F492" s="1375" t="s">
        <v>927</v>
      </c>
      <c r="G492" s="66"/>
      <c r="H492" s="66">
        <v>331</v>
      </c>
      <c r="I492" s="74">
        <v>1.4106716672349131E-2</v>
      </c>
      <c r="J492" s="66">
        <v>331</v>
      </c>
    </row>
    <row r="493" spans="1:10">
      <c r="A493" s="75" t="str">
        <f t="shared" si="7"/>
        <v>2019RES_201301_P25T1</v>
      </c>
      <c r="B493" s="1375" t="s">
        <v>278</v>
      </c>
      <c r="C493" s="1375" t="s">
        <v>761</v>
      </c>
      <c r="D493" s="1375" t="s">
        <v>746</v>
      </c>
      <c r="E493" s="1375" t="s">
        <v>941</v>
      </c>
      <c r="F493" s="1375" t="s">
        <v>927</v>
      </c>
      <c r="G493" s="66"/>
      <c r="H493" s="66">
        <v>59</v>
      </c>
      <c r="I493" s="74">
        <v>2.5144902829867029E-3</v>
      </c>
      <c r="J493" s="66">
        <v>0</v>
      </c>
    </row>
    <row r="494" spans="1:10">
      <c r="A494" s="75" t="str">
        <f t="shared" si="7"/>
        <v>2019RES_201301_P26T5</v>
      </c>
      <c r="B494" s="1375" t="s">
        <v>278</v>
      </c>
      <c r="C494" s="1375" t="s">
        <v>756</v>
      </c>
      <c r="D494" s="1375" t="s">
        <v>746</v>
      </c>
      <c r="E494" s="1375" t="s">
        <v>942</v>
      </c>
      <c r="F494" s="1375" t="s">
        <v>927</v>
      </c>
      <c r="G494" s="66"/>
      <c r="H494" s="66">
        <v>87</v>
      </c>
      <c r="I494" s="74">
        <v>8.910282671036461E-3</v>
      </c>
      <c r="J494" s="66">
        <v>0</v>
      </c>
    </row>
    <row r="495" spans="1:10">
      <c r="A495" s="75" t="str">
        <f t="shared" si="7"/>
        <v>2019RES_201301_P2T4</v>
      </c>
      <c r="B495" s="1375" t="s">
        <v>278</v>
      </c>
      <c r="C495" s="1375" t="s">
        <v>63</v>
      </c>
      <c r="D495" s="1375" t="s">
        <v>746</v>
      </c>
      <c r="E495" s="1375" t="s">
        <v>303</v>
      </c>
      <c r="F495" s="1375" t="s">
        <v>357</v>
      </c>
      <c r="G495" s="66"/>
      <c r="H495" s="66">
        <v>0</v>
      </c>
      <c r="I495" s="74">
        <v>0</v>
      </c>
      <c r="J495" s="66"/>
    </row>
    <row r="496" spans="1:10">
      <c r="A496" s="75" t="str">
        <f t="shared" si="7"/>
        <v>2019RES_201301_P2T5</v>
      </c>
      <c r="B496" s="1375" t="s">
        <v>278</v>
      </c>
      <c r="C496" s="1375" t="s">
        <v>64</v>
      </c>
      <c r="D496" s="1375" t="s">
        <v>746</v>
      </c>
      <c r="E496" s="1375" t="s">
        <v>303</v>
      </c>
      <c r="F496" s="1375" t="s">
        <v>367</v>
      </c>
      <c r="G496" s="66"/>
      <c r="H496" s="66">
        <v>0</v>
      </c>
      <c r="I496" s="74">
        <v>0</v>
      </c>
      <c r="J496" s="66"/>
    </row>
    <row r="497" spans="1:10">
      <c r="A497" s="75" t="str">
        <f t="shared" si="7"/>
        <v>2019Res_201301_P3T3</v>
      </c>
      <c r="B497" s="1375" t="s">
        <v>278</v>
      </c>
      <c r="C497" s="1375" t="s">
        <v>433</v>
      </c>
      <c r="D497" s="1375" t="s">
        <v>746</v>
      </c>
      <c r="E497" s="1375" t="s">
        <v>309</v>
      </c>
      <c r="F497" s="1375" t="s">
        <v>810</v>
      </c>
      <c r="G497" s="66"/>
      <c r="H497" s="66">
        <v>8707</v>
      </c>
      <c r="I497" s="74">
        <v>0.89174518639901679</v>
      </c>
      <c r="J497" s="66"/>
    </row>
    <row r="498" spans="1:10">
      <c r="A498" s="75" t="str">
        <f t="shared" si="7"/>
        <v>2019RES_201301_P3T4</v>
      </c>
      <c r="B498" s="1375" t="s">
        <v>278</v>
      </c>
      <c r="C498" s="1375" t="s">
        <v>65</v>
      </c>
      <c r="D498" s="1375" t="s">
        <v>746</v>
      </c>
      <c r="E498" s="1375" t="s">
        <v>309</v>
      </c>
      <c r="F498" s="1375" t="s">
        <v>1564</v>
      </c>
      <c r="G498" s="66"/>
      <c r="H498" s="66">
        <v>0</v>
      </c>
      <c r="I498" s="74">
        <v>0</v>
      </c>
      <c r="J498" s="66"/>
    </row>
    <row r="499" spans="1:10">
      <c r="A499" s="75" t="str">
        <f t="shared" si="7"/>
        <v>2019RES_201301_P3T5</v>
      </c>
      <c r="B499" s="1375" t="s">
        <v>278</v>
      </c>
      <c r="C499" s="1375" t="s">
        <v>66</v>
      </c>
      <c r="D499" s="1375" t="s">
        <v>746</v>
      </c>
      <c r="E499" s="1375" t="s">
        <v>309</v>
      </c>
      <c r="F499" s="1375" t="s">
        <v>944</v>
      </c>
      <c r="G499" s="66"/>
      <c r="H499" s="66">
        <v>0</v>
      </c>
      <c r="I499" s="74">
        <v>0</v>
      </c>
      <c r="J499" s="66"/>
    </row>
    <row r="500" spans="1:10">
      <c r="A500" s="75" t="str">
        <f t="shared" si="7"/>
        <v>2019RES_201301_P4T4</v>
      </c>
      <c r="B500" s="1375" t="s">
        <v>278</v>
      </c>
      <c r="C500" s="1375" t="s">
        <v>67</v>
      </c>
      <c r="D500" s="1375" t="s">
        <v>746</v>
      </c>
      <c r="E500" s="1375" t="s">
        <v>327</v>
      </c>
      <c r="F500" s="1375" t="s">
        <v>385</v>
      </c>
      <c r="G500" s="66"/>
      <c r="H500" s="66">
        <v>21376</v>
      </c>
      <c r="I500" s="74">
        <v>0.91101261506989428</v>
      </c>
      <c r="J500" s="66"/>
    </row>
    <row r="501" spans="1:10">
      <c r="A501" s="75" t="str">
        <f t="shared" si="7"/>
        <v>2019RES_201301_P4T5</v>
      </c>
      <c r="B501" s="1375" t="s">
        <v>278</v>
      </c>
      <c r="C501" s="1375" t="s">
        <v>68</v>
      </c>
      <c r="D501" s="1375" t="s">
        <v>746</v>
      </c>
      <c r="E501" s="1375" t="s">
        <v>327</v>
      </c>
      <c r="F501" s="1375" t="s">
        <v>386</v>
      </c>
      <c r="G501" s="66"/>
      <c r="H501" s="66">
        <v>0</v>
      </c>
      <c r="I501" s="74">
        <v>0</v>
      </c>
      <c r="J501" s="66"/>
    </row>
    <row r="502" spans="1:10">
      <c r="A502" s="75" t="str">
        <f t="shared" si="7"/>
        <v>2019RES_201301_P4T6</v>
      </c>
      <c r="B502" s="1375" t="s">
        <v>278</v>
      </c>
      <c r="C502" s="1375" t="s">
        <v>458</v>
      </c>
      <c r="D502" s="1375" t="s">
        <v>746</v>
      </c>
      <c r="E502" s="1375" t="s">
        <v>327</v>
      </c>
      <c r="F502" s="1375" t="s">
        <v>885</v>
      </c>
      <c r="G502" s="66"/>
      <c r="H502" s="66">
        <v>0</v>
      </c>
      <c r="I502" s="74">
        <v>0</v>
      </c>
      <c r="J502" s="66"/>
    </row>
    <row r="503" spans="1:10">
      <c r="A503" s="75" t="str">
        <f t="shared" si="7"/>
        <v>2019RES_201301_P5T1</v>
      </c>
      <c r="B503" s="1375" t="s">
        <v>278</v>
      </c>
      <c r="C503" s="1375" t="s">
        <v>416</v>
      </c>
      <c r="D503" s="1375" t="s">
        <v>746</v>
      </c>
      <c r="E503" s="1375" t="s">
        <v>918</v>
      </c>
      <c r="F503" s="1375" t="s">
        <v>917</v>
      </c>
      <c r="G503" s="66"/>
      <c r="H503" s="66">
        <v>0</v>
      </c>
      <c r="I503" s="74">
        <v>0</v>
      </c>
      <c r="J503" s="66">
        <v>0</v>
      </c>
    </row>
    <row r="504" spans="1:10">
      <c r="A504" s="75" t="str">
        <f t="shared" si="7"/>
        <v>2019RES_201301_P6T1</v>
      </c>
      <c r="B504" s="1375" t="s">
        <v>278</v>
      </c>
      <c r="C504" s="1375" t="s">
        <v>428</v>
      </c>
      <c r="D504" s="1375" t="s">
        <v>746</v>
      </c>
      <c r="E504" s="1375" t="s">
        <v>919</v>
      </c>
      <c r="F504" s="1375" t="s">
        <v>917</v>
      </c>
      <c r="G504" s="66"/>
      <c r="H504" s="66">
        <v>0</v>
      </c>
      <c r="I504" s="74">
        <v>0</v>
      </c>
      <c r="J504" s="66">
        <v>0</v>
      </c>
    </row>
    <row r="505" spans="1:10">
      <c r="A505" s="75" t="str">
        <f t="shared" si="7"/>
        <v>2019RES_201301_P7T1</v>
      </c>
      <c r="B505" s="1375" t="s">
        <v>278</v>
      </c>
      <c r="C505" s="1375" t="s">
        <v>440</v>
      </c>
      <c r="D505" s="1375" t="s">
        <v>746</v>
      </c>
      <c r="E505" s="1375" t="s">
        <v>920</v>
      </c>
      <c r="F505" s="1375" t="s">
        <v>917</v>
      </c>
      <c r="G505" s="66"/>
      <c r="H505" s="66">
        <v>0</v>
      </c>
      <c r="I505" s="74">
        <v>0</v>
      </c>
      <c r="J505" s="66">
        <v>0</v>
      </c>
    </row>
    <row r="506" spans="1:10">
      <c r="A506" s="75" t="str">
        <f t="shared" si="7"/>
        <v>2019RES_201301_P8T1</v>
      </c>
      <c r="B506" s="1375" t="s">
        <v>278</v>
      </c>
      <c r="C506" s="1375" t="s">
        <v>69</v>
      </c>
      <c r="D506" s="1375" t="s">
        <v>746</v>
      </c>
      <c r="E506" s="1375" t="s">
        <v>297</v>
      </c>
      <c r="F506" s="1375" t="s">
        <v>363</v>
      </c>
      <c r="G506" s="66"/>
      <c r="H506" s="66">
        <v>0</v>
      </c>
      <c r="I506" s="74">
        <v>0</v>
      </c>
      <c r="J506" s="66">
        <v>0</v>
      </c>
    </row>
    <row r="507" spans="1:10">
      <c r="A507" s="75" t="str">
        <f t="shared" si="7"/>
        <v>2019RES_201301_P9T1</v>
      </c>
      <c r="B507" s="1375" t="s">
        <v>278</v>
      </c>
      <c r="C507" s="1375" t="s">
        <v>70</v>
      </c>
      <c r="D507" s="1375" t="s">
        <v>746</v>
      </c>
      <c r="E507" s="1375" t="s">
        <v>305</v>
      </c>
      <c r="F507" s="1375" t="s">
        <v>363</v>
      </c>
      <c r="G507" s="66"/>
      <c r="H507" s="66">
        <v>0</v>
      </c>
      <c r="I507" s="74">
        <v>0</v>
      </c>
      <c r="J507" s="66">
        <v>0</v>
      </c>
    </row>
    <row r="508" spans="1:10">
      <c r="A508" s="75" t="str">
        <f t="shared" si="7"/>
        <v>2019RES_201402_P2T1</v>
      </c>
      <c r="B508" s="1375" t="s">
        <v>278</v>
      </c>
      <c r="C508" s="1375" t="s">
        <v>451</v>
      </c>
      <c r="D508" s="1375" t="s">
        <v>470</v>
      </c>
      <c r="E508" s="1375" t="s">
        <v>318</v>
      </c>
      <c r="F508" s="1375" t="s">
        <v>333</v>
      </c>
      <c r="G508" s="66"/>
      <c r="H508" s="66">
        <v>53245.82612731</v>
      </c>
      <c r="I508" s="74">
        <v>1</v>
      </c>
      <c r="J508" s="66"/>
    </row>
    <row r="509" spans="1:10">
      <c r="A509" s="75" t="str">
        <f t="shared" si="7"/>
        <v>2019RES_201402_P3T1</v>
      </c>
      <c r="B509" s="1375" t="s">
        <v>278</v>
      </c>
      <c r="C509" s="1375" t="s">
        <v>393</v>
      </c>
      <c r="D509" s="1375" t="s">
        <v>470</v>
      </c>
      <c r="E509" s="1375" t="s">
        <v>280</v>
      </c>
      <c r="F509" s="1375" t="s">
        <v>333</v>
      </c>
      <c r="G509" s="66"/>
      <c r="H509" s="66">
        <v>5210593.8702462297</v>
      </c>
      <c r="I509" s="74">
        <v>0.21091503237040207</v>
      </c>
      <c r="J509" s="66"/>
    </row>
    <row r="510" spans="1:10">
      <c r="A510" s="75" t="str">
        <f t="shared" si="7"/>
        <v>2019RES_201402_P4T1</v>
      </c>
      <c r="B510" s="1375" t="s">
        <v>278</v>
      </c>
      <c r="C510" s="1375" t="s">
        <v>452</v>
      </c>
      <c r="D510" s="1375" t="s">
        <v>470</v>
      </c>
      <c r="E510" s="1375" t="s">
        <v>319</v>
      </c>
      <c r="F510" s="1375" t="s">
        <v>333</v>
      </c>
      <c r="G510" s="66"/>
      <c r="H510" s="66">
        <v>55597.910219960002</v>
      </c>
      <c r="I510" s="74">
        <v>1</v>
      </c>
      <c r="J510" s="66"/>
    </row>
    <row r="511" spans="1:10">
      <c r="A511" s="75" t="str">
        <f t="shared" si="7"/>
        <v>2019RES_201402_P5T1</v>
      </c>
      <c r="B511" s="1375" t="s">
        <v>278</v>
      </c>
      <c r="C511" s="1375" t="s">
        <v>467</v>
      </c>
      <c r="D511" s="1375" t="s">
        <v>470</v>
      </c>
      <c r="E511" s="1375" t="s">
        <v>331</v>
      </c>
      <c r="F511" s="1375" t="s">
        <v>333</v>
      </c>
      <c r="G511" s="66"/>
      <c r="H511" s="66">
        <v>156950.36151578999</v>
      </c>
      <c r="I511" s="74">
        <v>1</v>
      </c>
      <c r="J511" s="66"/>
    </row>
    <row r="512" spans="1:10">
      <c r="A512" s="75" t="str">
        <f t="shared" si="7"/>
        <v>2019RES_201402_P6T1</v>
      </c>
      <c r="B512" s="1375" t="s">
        <v>278</v>
      </c>
      <c r="C512" s="1375" t="s">
        <v>395</v>
      </c>
      <c r="D512" s="1375" t="s">
        <v>470</v>
      </c>
      <c r="E512" s="1375" t="s">
        <v>283</v>
      </c>
      <c r="F512" s="1375" t="s">
        <v>333</v>
      </c>
      <c r="G512" s="66"/>
      <c r="H512" s="66">
        <v>258591</v>
      </c>
      <c r="I512" s="74">
        <v>1</v>
      </c>
      <c r="J512" s="66"/>
    </row>
    <row r="513" spans="1:10">
      <c r="A513" s="75" t="str">
        <f t="shared" si="7"/>
        <v>2019RES_201402_P7T1</v>
      </c>
      <c r="B513" s="1375" t="s">
        <v>278</v>
      </c>
      <c r="C513" s="1375" t="s">
        <v>405</v>
      </c>
      <c r="D513" s="1375" t="s">
        <v>470</v>
      </c>
      <c r="E513" s="1375" t="s">
        <v>293</v>
      </c>
      <c r="F513" s="1375" t="s">
        <v>333</v>
      </c>
      <c r="G513" s="66"/>
      <c r="H513" s="66">
        <v>11160770.913975401</v>
      </c>
      <c r="I513" s="74">
        <v>1</v>
      </c>
      <c r="J513" s="66"/>
    </row>
    <row r="514" spans="1:10">
      <c r="A514" s="75" t="str">
        <f t="shared" si="7"/>
        <v>2019RES_201402_P8T1</v>
      </c>
      <c r="B514" s="1375" t="s">
        <v>278</v>
      </c>
      <c r="C514" s="1375" t="s">
        <v>407</v>
      </c>
      <c r="D514" s="1375" t="s">
        <v>470</v>
      </c>
      <c r="E514" s="1375" t="s">
        <v>1391</v>
      </c>
      <c r="F514" s="1375" t="s">
        <v>333</v>
      </c>
      <c r="G514" s="66"/>
      <c r="H514" s="66">
        <v>910622.20547160006</v>
      </c>
      <c r="I514" s="74"/>
      <c r="J514" s="66"/>
    </row>
    <row r="515" spans="1:10">
      <c r="A515" s="75" t="str">
        <f t="shared" si="7"/>
        <v>2019RES_201403_P10T1</v>
      </c>
      <c r="B515" s="1375" t="s">
        <v>278</v>
      </c>
      <c r="C515" s="1375" t="s">
        <v>114</v>
      </c>
      <c r="D515" s="1375" t="s">
        <v>154</v>
      </c>
      <c r="E515" s="1375" t="s">
        <v>945</v>
      </c>
      <c r="F515" s="1375" t="s">
        <v>1262</v>
      </c>
      <c r="G515" s="66"/>
      <c r="H515" s="66">
        <v>984.98332995999999</v>
      </c>
      <c r="I515" s="74">
        <v>2.4318174253407071E-2</v>
      </c>
      <c r="J515" s="66"/>
    </row>
    <row r="516" spans="1:10">
      <c r="A516" s="75" t="str">
        <f t="shared" si="7"/>
        <v>2019RES_201403_P10T2</v>
      </c>
      <c r="B516" s="1375" t="s">
        <v>278</v>
      </c>
      <c r="C516" s="1375" t="s">
        <v>400</v>
      </c>
      <c r="D516" s="1375" t="s">
        <v>154</v>
      </c>
      <c r="E516" s="1375" t="s">
        <v>945</v>
      </c>
      <c r="F516" s="1375" t="s">
        <v>1130</v>
      </c>
      <c r="G516" s="66"/>
      <c r="H516" s="66">
        <v>36.38483634</v>
      </c>
      <c r="I516" s="74">
        <v>8.9830229952597273E-4</v>
      </c>
      <c r="J516" s="66"/>
    </row>
    <row r="517" spans="1:10">
      <c r="A517" s="75" t="str">
        <f t="shared" si="7"/>
        <v>2019RES_201403_P11T1</v>
      </c>
      <c r="B517" s="1375" t="s">
        <v>278</v>
      </c>
      <c r="C517" s="1375" t="s">
        <v>268</v>
      </c>
      <c r="D517" s="1375" t="s">
        <v>154</v>
      </c>
      <c r="E517" s="1375" t="s">
        <v>284</v>
      </c>
      <c r="F517" s="1375" t="s">
        <v>1392</v>
      </c>
      <c r="G517" s="66"/>
      <c r="H517" s="66">
        <v>113729.96450176</v>
      </c>
      <c r="I517" s="74">
        <v>0.36778137638603969</v>
      </c>
      <c r="J517" s="66">
        <v>3484.6488135599998</v>
      </c>
    </row>
    <row r="518" spans="1:10">
      <c r="A518" s="75" t="str">
        <f t="shared" si="7"/>
        <v>2019RES_201403_P11T2</v>
      </c>
      <c r="B518" s="1375" t="s">
        <v>278</v>
      </c>
      <c r="C518" s="1375" t="s">
        <v>269</v>
      </c>
      <c r="D518" s="1375" t="s">
        <v>154</v>
      </c>
      <c r="E518" s="1375" t="s">
        <v>284</v>
      </c>
      <c r="F518" s="1375" t="s">
        <v>1532</v>
      </c>
      <c r="G518" s="66"/>
      <c r="H518" s="66">
        <v>12211.77846096</v>
      </c>
      <c r="I518" s="74">
        <v>3.9490601357074717E-2</v>
      </c>
      <c r="J518" s="66">
        <v>1.0020339</v>
      </c>
    </row>
    <row r="519" spans="1:10">
      <c r="A519" s="75" t="str">
        <f t="shared" ref="A519:A582" si="8">B519&amp;C519</f>
        <v>2019RES_201403_P11T3</v>
      </c>
      <c r="B519" s="1375" t="s">
        <v>278</v>
      </c>
      <c r="C519" s="1375" t="s">
        <v>270</v>
      </c>
      <c r="D519" s="1375" t="s">
        <v>154</v>
      </c>
      <c r="E519" s="1375" t="s">
        <v>284</v>
      </c>
      <c r="F519" s="1375" t="s">
        <v>1393</v>
      </c>
      <c r="G519" s="66"/>
      <c r="H519" s="66"/>
      <c r="I519" s="74"/>
      <c r="J519" s="66">
        <v>0</v>
      </c>
    </row>
    <row r="520" spans="1:10">
      <c r="A520" s="75" t="str">
        <f t="shared" si="8"/>
        <v>2019RES_201403_P12T1</v>
      </c>
      <c r="B520" s="1375" t="s">
        <v>278</v>
      </c>
      <c r="C520" s="1375" t="s">
        <v>447</v>
      </c>
      <c r="D520" s="1375" t="s">
        <v>154</v>
      </c>
      <c r="E520" s="1375" t="s">
        <v>315</v>
      </c>
      <c r="F520" s="1375" t="s">
        <v>1262</v>
      </c>
      <c r="G520" s="66"/>
      <c r="H520" s="66">
        <v>170793.38973992999</v>
      </c>
      <c r="I520" s="74">
        <v>0.76615020481751539</v>
      </c>
      <c r="J520" s="66">
        <v>5862.6001127299996</v>
      </c>
    </row>
    <row r="521" spans="1:10">
      <c r="A521" s="75" t="str">
        <f t="shared" si="8"/>
        <v>2019RES_201403_P12T2</v>
      </c>
      <c r="B521" s="1375" t="s">
        <v>278</v>
      </c>
      <c r="C521" s="1375" t="s">
        <v>448</v>
      </c>
      <c r="D521" s="1375" t="s">
        <v>154</v>
      </c>
      <c r="E521" s="1375" t="s">
        <v>315</v>
      </c>
      <c r="F521" s="1375" t="s">
        <v>1533</v>
      </c>
      <c r="G521" s="66"/>
      <c r="H521" s="66">
        <v>189.45469876999999</v>
      </c>
      <c r="I521" s="74">
        <v>8.4986167490029736E-4</v>
      </c>
      <c r="J521" s="66">
        <v>21.685556600000002</v>
      </c>
    </row>
    <row r="522" spans="1:10">
      <c r="A522" s="75" t="str">
        <f t="shared" si="8"/>
        <v>2019RES_201403_P13T1</v>
      </c>
      <c r="B522" s="1375" t="s">
        <v>278</v>
      </c>
      <c r="C522" s="1375" t="s">
        <v>449</v>
      </c>
      <c r="D522" s="1375" t="s">
        <v>154</v>
      </c>
      <c r="E522" s="1375" t="s">
        <v>317</v>
      </c>
      <c r="F522" s="1375" t="s">
        <v>1262</v>
      </c>
      <c r="G522" s="66"/>
      <c r="H522" s="66">
        <v>8136.60666219</v>
      </c>
      <c r="I522" s="74">
        <v>8.936479678940383E-2</v>
      </c>
      <c r="J522" s="66">
        <v>298.26952813999998</v>
      </c>
    </row>
    <row r="523" spans="1:10">
      <c r="A523" s="75" t="str">
        <f t="shared" si="8"/>
        <v>2019RES_201403_P13T2</v>
      </c>
      <c r="B523" s="1375" t="s">
        <v>278</v>
      </c>
      <c r="C523" s="1375" t="s">
        <v>450</v>
      </c>
      <c r="D523" s="1375" t="s">
        <v>154</v>
      </c>
      <c r="E523" s="1375" t="s">
        <v>317</v>
      </c>
      <c r="F523" s="1375" t="s">
        <v>163</v>
      </c>
      <c r="G523" s="66"/>
      <c r="H523" s="66"/>
      <c r="I523" s="74"/>
      <c r="J523" s="66">
        <v>0.65150215</v>
      </c>
    </row>
    <row r="524" spans="1:10">
      <c r="A524" s="75" t="str">
        <f t="shared" si="8"/>
        <v>2019RES_201403_P14T1</v>
      </c>
      <c r="B524" s="1375" t="s">
        <v>278</v>
      </c>
      <c r="C524" s="1375" t="s">
        <v>1534</v>
      </c>
      <c r="D524" s="1375" t="s">
        <v>154</v>
      </c>
      <c r="E524" s="1375" t="s">
        <v>1535</v>
      </c>
      <c r="F524" s="1375" t="s">
        <v>1536</v>
      </c>
      <c r="G524" s="66">
        <v>525398.15568368998</v>
      </c>
      <c r="H524" s="66">
        <v>143159.34111748001</v>
      </c>
      <c r="I524" s="74">
        <v>0.40695054212218851</v>
      </c>
      <c r="J524" s="66">
        <v>8684</v>
      </c>
    </row>
    <row r="525" spans="1:10">
      <c r="A525" s="75" t="str">
        <f t="shared" si="8"/>
        <v>2019RES_201403_P14T2</v>
      </c>
      <c r="B525" s="1375" t="s">
        <v>278</v>
      </c>
      <c r="C525" s="1375" t="s">
        <v>1537</v>
      </c>
      <c r="D525" s="1375" t="s">
        <v>154</v>
      </c>
      <c r="E525" s="1375" t="s">
        <v>1535</v>
      </c>
      <c r="F525" s="1375" t="s">
        <v>1386</v>
      </c>
      <c r="G525" s="66">
        <v>4012.69872545</v>
      </c>
      <c r="H525" s="66">
        <v>729.46771978000004</v>
      </c>
      <c r="I525" s="74">
        <v>2.0736144893367418E-3</v>
      </c>
      <c r="J525" s="66">
        <v>659</v>
      </c>
    </row>
    <row r="526" spans="1:10">
      <c r="A526" s="75" t="str">
        <f t="shared" si="8"/>
        <v>2019RES_201403_P14T3</v>
      </c>
      <c r="B526" s="1375" t="s">
        <v>278</v>
      </c>
      <c r="C526" s="1375" t="s">
        <v>1538</v>
      </c>
      <c r="D526" s="1375" t="s">
        <v>154</v>
      </c>
      <c r="E526" s="1375" t="s">
        <v>1535</v>
      </c>
      <c r="F526" s="1375" t="s">
        <v>1387</v>
      </c>
      <c r="G526" s="66">
        <v>2572.4677197800002</v>
      </c>
      <c r="H526" s="66">
        <v>729.46771978000004</v>
      </c>
      <c r="I526" s="74">
        <v>2.0736144893367418E-3</v>
      </c>
      <c r="J526" s="66">
        <v>96</v>
      </c>
    </row>
    <row r="527" spans="1:10">
      <c r="A527" s="75" t="str">
        <f t="shared" si="8"/>
        <v>2019RES_201403_P14T4</v>
      </c>
      <c r="B527" s="1375" t="s">
        <v>278</v>
      </c>
      <c r="C527" s="1375" t="s">
        <v>1539</v>
      </c>
      <c r="D527" s="1375" t="s">
        <v>154</v>
      </c>
      <c r="E527" s="1375" t="s">
        <v>1535</v>
      </c>
      <c r="F527" s="1375" t="s">
        <v>1388</v>
      </c>
      <c r="G527" s="66">
        <v>2075.4677197800002</v>
      </c>
      <c r="H527" s="66">
        <v>729.46771978000004</v>
      </c>
      <c r="I527" s="74">
        <v>2.0736144893367418E-3</v>
      </c>
      <c r="J527" s="66">
        <v>95</v>
      </c>
    </row>
    <row r="528" spans="1:10">
      <c r="A528" s="75" t="str">
        <f t="shared" si="8"/>
        <v>2019RES_201403_P14T5</v>
      </c>
      <c r="B528" s="1375" t="s">
        <v>278</v>
      </c>
      <c r="C528" s="1375" t="s">
        <v>1540</v>
      </c>
      <c r="D528" s="1375" t="s">
        <v>154</v>
      </c>
      <c r="E528" s="1375" t="s">
        <v>1535</v>
      </c>
      <c r="F528" s="1375" t="s">
        <v>1389</v>
      </c>
      <c r="G528" s="66">
        <v>0</v>
      </c>
      <c r="H528" s="66">
        <v>95</v>
      </c>
      <c r="I528" s="74">
        <v>2.7005084823548004E-4</v>
      </c>
      <c r="J528" s="66">
        <v>95</v>
      </c>
    </row>
    <row r="529" spans="1:10">
      <c r="A529" s="75" t="str">
        <f t="shared" si="8"/>
        <v>2019RES_201403_P14T6</v>
      </c>
      <c r="B529" s="1375" t="s">
        <v>278</v>
      </c>
      <c r="C529" s="1375" t="s">
        <v>1541</v>
      </c>
      <c r="D529" s="1375" t="s">
        <v>154</v>
      </c>
      <c r="E529" s="1375" t="s">
        <v>1535</v>
      </c>
      <c r="F529" s="1375" t="s">
        <v>1390</v>
      </c>
      <c r="G529" s="66">
        <v>1037</v>
      </c>
      <c r="H529" s="66"/>
      <c r="I529" s="74"/>
      <c r="J529" s="66">
        <v>0</v>
      </c>
    </row>
    <row r="530" spans="1:10">
      <c r="A530" s="75" t="str">
        <f t="shared" si="8"/>
        <v>2019RES_201403_P2T1</v>
      </c>
      <c r="B530" s="1375" t="s">
        <v>278</v>
      </c>
      <c r="C530" s="1375" t="s">
        <v>391</v>
      </c>
      <c r="D530" s="1375" t="s">
        <v>154</v>
      </c>
      <c r="E530" s="1375" t="s">
        <v>279</v>
      </c>
      <c r="F530" s="1375" t="s">
        <v>1536</v>
      </c>
      <c r="G530" s="66"/>
      <c r="H530" s="66">
        <v>98521.894280359993</v>
      </c>
      <c r="I530" s="74">
        <v>0.43000000000000038</v>
      </c>
      <c r="J530" s="66"/>
    </row>
    <row r="531" spans="1:10">
      <c r="A531" s="75" t="str">
        <f t="shared" si="8"/>
        <v>2019RES_201403_P2T2</v>
      </c>
      <c r="B531" s="1375" t="s">
        <v>278</v>
      </c>
      <c r="C531" s="1375" t="s">
        <v>392</v>
      </c>
      <c r="D531" s="1375" t="s">
        <v>154</v>
      </c>
      <c r="E531" s="1375" t="s">
        <v>279</v>
      </c>
      <c r="F531" s="1375" t="s">
        <v>1542</v>
      </c>
      <c r="G531" s="66">
        <v>29556.568284109999</v>
      </c>
      <c r="H531" s="66">
        <v>29556.568284109999</v>
      </c>
      <c r="I531" s="74">
        <v>0.12900000000000886</v>
      </c>
      <c r="J531" s="66"/>
    </row>
    <row r="532" spans="1:10">
      <c r="A532" s="75" t="str">
        <f t="shared" si="8"/>
        <v>2019RES_201403_P3T1</v>
      </c>
      <c r="B532" s="1375" t="s">
        <v>278</v>
      </c>
      <c r="C532" s="1375" t="s">
        <v>120</v>
      </c>
      <c r="D532" s="1375" t="s">
        <v>154</v>
      </c>
      <c r="E532" s="1375" t="s">
        <v>512</v>
      </c>
      <c r="F532" s="1375" t="s">
        <v>948</v>
      </c>
      <c r="G532" s="66"/>
      <c r="H532" s="66">
        <v>17374.518299150001</v>
      </c>
      <c r="I532" s="74">
        <v>0.93632102041878473</v>
      </c>
      <c r="J532" s="66"/>
    </row>
    <row r="533" spans="1:10">
      <c r="A533" s="75" t="str">
        <f t="shared" si="8"/>
        <v>2019RES_201403_P3T2</v>
      </c>
      <c r="B533" s="1375" t="s">
        <v>278</v>
      </c>
      <c r="C533" s="1375" t="s">
        <v>1394</v>
      </c>
      <c r="D533" s="1375" t="s">
        <v>154</v>
      </c>
      <c r="E533" s="1375" t="s">
        <v>512</v>
      </c>
      <c r="F533" s="1375" t="s">
        <v>163</v>
      </c>
      <c r="G533" s="66"/>
      <c r="H533" s="66">
        <v>793.16987755000002</v>
      </c>
      <c r="I533" s="74">
        <v>4.2744300378640784E-2</v>
      </c>
      <c r="J533" s="66"/>
    </row>
    <row r="534" spans="1:10">
      <c r="A534" s="75" t="str">
        <f t="shared" si="8"/>
        <v>2019RES_201403_P4T1</v>
      </c>
      <c r="B534" s="1375" t="s">
        <v>278</v>
      </c>
      <c r="C534" s="1375" t="s">
        <v>121</v>
      </c>
      <c r="D534" s="1375" t="s">
        <v>154</v>
      </c>
      <c r="E534" s="1375" t="s">
        <v>517</v>
      </c>
      <c r="F534" s="1375" t="s">
        <v>949</v>
      </c>
      <c r="G534" s="66"/>
      <c r="H534" s="66">
        <v>41712.951000000001</v>
      </c>
      <c r="I534" s="74">
        <v>0.3804085994240487</v>
      </c>
      <c r="J534" s="66"/>
    </row>
    <row r="535" spans="1:10">
      <c r="A535" s="75" t="str">
        <f t="shared" si="8"/>
        <v>2019RES_201403_P4T2</v>
      </c>
      <c r="B535" s="1375" t="s">
        <v>278</v>
      </c>
      <c r="C535" s="1375" t="s">
        <v>408</v>
      </c>
      <c r="D535" s="1375" t="s">
        <v>154</v>
      </c>
      <c r="E535" s="1375" t="s">
        <v>517</v>
      </c>
      <c r="F535" s="1375" t="s">
        <v>950</v>
      </c>
      <c r="G535" s="66"/>
      <c r="H535" s="66">
        <v>41712.951000000001</v>
      </c>
      <c r="I535" s="74">
        <v>0.3804085994240487</v>
      </c>
      <c r="J535" s="66"/>
    </row>
    <row r="536" spans="1:10">
      <c r="A536" s="75" t="str">
        <f t="shared" si="8"/>
        <v>2019RES_201403_P4T3</v>
      </c>
      <c r="B536" s="1375" t="s">
        <v>278</v>
      </c>
      <c r="C536" s="1375" t="s">
        <v>92</v>
      </c>
      <c r="D536" s="1375" t="s">
        <v>154</v>
      </c>
      <c r="E536" s="1375" t="s">
        <v>517</v>
      </c>
      <c r="F536" s="1375" t="s">
        <v>951</v>
      </c>
      <c r="G536" s="66"/>
      <c r="H536" s="66">
        <v>41712.951000000001</v>
      </c>
      <c r="I536" s="74">
        <v>0.3804085994240487</v>
      </c>
      <c r="J536" s="66"/>
    </row>
    <row r="537" spans="1:10">
      <c r="A537" s="75" t="str">
        <f t="shared" si="8"/>
        <v>2019RES_201403_P5T1</v>
      </c>
      <c r="B537" s="1375" t="s">
        <v>278</v>
      </c>
      <c r="C537" s="1375" t="s">
        <v>116</v>
      </c>
      <c r="D537" s="1375" t="s">
        <v>154</v>
      </c>
      <c r="E537" s="1375" t="s">
        <v>952</v>
      </c>
      <c r="F537" s="1375" t="s">
        <v>1262</v>
      </c>
      <c r="G537" s="66"/>
      <c r="H537" s="66">
        <v>21343.731875289999</v>
      </c>
      <c r="I537" s="74">
        <v>0.42006124412624041</v>
      </c>
      <c r="J537" s="66">
        <v>0</v>
      </c>
    </row>
    <row r="538" spans="1:10">
      <c r="A538" s="75" t="str">
        <f t="shared" si="8"/>
        <v>2019RES_201403_P5T2</v>
      </c>
      <c r="B538" s="1375" t="s">
        <v>278</v>
      </c>
      <c r="C538" s="1375" t="s">
        <v>1543</v>
      </c>
      <c r="D538" s="1375" t="s">
        <v>154</v>
      </c>
      <c r="E538" s="1375" t="s">
        <v>952</v>
      </c>
      <c r="F538" s="1375" t="s">
        <v>1130</v>
      </c>
      <c r="G538" s="66"/>
      <c r="H538" s="66">
        <v>3.0858005999999998</v>
      </c>
      <c r="I538" s="74">
        <v>6.0730955895400889E-5</v>
      </c>
      <c r="J538" s="66"/>
    </row>
    <row r="539" spans="1:10">
      <c r="A539" s="75" t="str">
        <f t="shared" si="8"/>
        <v>2019RES_201403_P5T3</v>
      </c>
      <c r="B539" s="1375" t="s">
        <v>278</v>
      </c>
      <c r="C539" s="1375" t="s">
        <v>454</v>
      </c>
      <c r="D539" s="1375" t="s">
        <v>154</v>
      </c>
      <c r="E539" s="1375" t="s">
        <v>952</v>
      </c>
      <c r="F539" s="1375" t="s">
        <v>332</v>
      </c>
      <c r="G539" s="66"/>
      <c r="H539" s="66">
        <v>0</v>
      </c>
      <c r="I539" s="74">
        <v>0</v>
      </c>
      <c r="J539" s="66"/>
    </row>
    <row r="540" spans="1:10">
      <c r="A540" s="75" t="str">
        <f t="shared" si="8"/>
        <v>2019RES_201403_P6T1</v>
      </c>
      <c r="B540" s="1375" t="s">
        <v>278</v>
      </c>
      <c r="C540" s="1375" t="s">
        <v>95</v>
      </c>
      <c r="D540" s="1375" t="s">
        <v>154</v>
      </c>
      <c r="E540" s="1375" t="s">
        <v>316</v>
      </c>
      <c r="F540" s="1375" t="s">
        <v>1262</v>
      </c>
      <c r="G540" s="66"/>
      <c r="H540" s="66">
        <v>40332.18573623</v>
      </c>
      <c r="I540" s="74">
        <v>0.20935744057039127</v>
      </c>
      <c r="J540" s="66">
        <v>1274.72240683</v>
      </c>
    </row>
    <row r="541" spans="1:10">
      <c r="A541" s="75" t="str">
        <f t="shared" si="8"/>
        <v>2019RES_201403_P6T2</v>
      </c>
      <c r="B541" s="1375" t="s">
        <v>278</v>
      </c>
      <c r="C541" s="1375" t="s">
        <v>96</v>
      </c>
      <c r="D541" s="1375" t="s">
        <v>154</v>
      </c>
      <c r="E541" s="1375" t="s">
        <v>316</v>
      </c>
      <c r="F541" s="1375" t="s">
        <v>1533</v>
      </c>
      <c r="G541" s="66"/>
      <c r="H541" s="66">
        <v>38619.459514560003</v>
      </c>
      <c r="I541" s="74">
        <v>0.20046697327680929</v>
      </c>
      <c r="J541" s="66">
        <v>1232.0708935600001</v>
      </c>
    </row>
    <row r="542" spans="1:10">
      <c r="A542" s="75" t="str">
        <f t="shared" si="8"/>
        <v>2019RES_201403_P8T1</v>
      </c>
      <c r="B542" s="1375" t="s">
        <v>278</v>
      </c>
      <c r="C542" s="1375" t="s">
        <v>97</v>
      </c>
      <c r="D542" s="1375" t="s">
        <v>154</v>
      </c>
      <c r="E542" s="1375" t="s">
        <v>156</v>
      </c>
      <c r="F542" s="1375" t="s">
        <v>947</v>
      </c>
      <c r="G542" s="66"/>
      <c r="H542" s="66">
        <v>161948.83689479</v>
      </c>
      <c r="I542" s="74">
        <v>0.99124954583147418</v>
      </c>
      <c r="J542" s="66">
        <v>11114.219661020001</v>
      </c>
    </row>
    <row r="543" spans="1:10">
      <c r="A543" s="75" t="str">
        <f t="shared" si="8"/>
        <v>2019RES_201403_P8T2</v>
      </c>
      <c r="B543" s="1375" t="s">
        <v>278</v>
      </c>
      <c r="C543" s="1375" t="s">
        <v>98</v>
      </c>
      <c r="D543" s="1375" t="s">
        <v>154</v>
      </c>
      <c r="E543" s="1375" t="s">
        <v>156</v>
      </c>
      <c r="F543" s="1375" t="s">
        <v>1565</v>
      </c>
      <c r="G543" s="66"/>
      <c r="H543" s="66">
        <v>101051.89583296</v>
      </c>
      <c r="I543" s="74">
        <v>0.61851414169096453</v>
      </c>
      <c r="J543" s="66">
        <v>5770.1166101700001</v>
      </c>
    </row>
    <row r="544" spans="1:10">
      <c r="A544" s="75" t="str">
        <f t="shared" si="8"/>
        <v>2019RES_201403_P8T3</v>
      </c>
      <c r="B544" s="1375" t="s">
        <v>278</v>
      </c>
      <c r="C544" s="1375" t="s">
        <v>99</v>
      </c>
      <c r="D544" s="1375" t="s">
        <v>154</v>
      </c>
      <c r="E544" s="1375" t="s">
        <v>156</v>
      </c>
      <c r="F544" s="1375" t="s">
        <v>1566</v>
      </c>
      <c r="G544" s="66"/>
      <c r="H544" s="66"/>
      <c r="I544" s="74"/>
      <c r="J544" s="66">
        <v>0</v>
      </c>
    </row>
    <row r="545" spans="1:10">
      <c r="A545" s="75" t="str">
        <f t="shared" si="8"/>
        <v>2019RES_201403_P9T1</v>
      </c>
      <c r="B545" s="1375" t="s">
        <v>278</v>
      </c>
      <c r="C545" s="1375" t="s">
        <v>107</v>
      </c>
      <c r="D545" s="1375" t="s">
        <v>154</v>
      </c>
      <c r="E545" s="1375" t="s">
        <v>953</v>
      </c>
      <c r="F545" s="1375" t="s">
        <v>1262</v>
      </c>
      <c r="G545" s="66"/>
      <c r="H545" s="66">
        <v>735.84215095000002</v>
      </c>
      <c r="I545" s="74">
        <v>4.7357584692397585E-2</v>
      </c>
      <c r="J545" s="66"/>
    </row>
    <row r="546" spans="1:10">
      <c r="A546" s="75" t="str">
        <f t="shared" si="8"/>
        <v>2019RES_201403_P9T2</v>
      </c>
      <c r="B546" s="1375" t="s">
        <v>278</v>
      </c>
      <c r="C546" s="1375" t="s">
        <v>108</v>
      </c>
      <c r="D546" s="1375" t="s">
        <v>154</v>
      </c>
      <c r="E546" s="1375" t="s">
        <v>953</v>
      </c>
      <c r="F546" s="1375" t="s">
        <v>1130</v>
      </c>
      <c r="G546" s="66"/>
      <c r="H546" s="66">
        <v>139.80293499999999</v>
      </c>
      <c r="I546" s="74">
        <v>8.9974858411693889E-3</v>
      </c>
      <c r="J546" s="66"/>
    </row>
    <row r="547" spans="1:10">
      <c r="A547" s="75" t="str">
        <f t="shared" si="8"/>
        <v>2019RES_201601_P1T1</v>
      </c>
      <c r="B547" s="1375" t="s">
        <v>278</v>
      </c>
      <c r="C547" s="1375" t="s">
        <v>954</v>
      </c>
      <c r="D547" s="1375" t="s">
        <v>857</v>
      </c>
      <c r="E547" s="1375" t="s">
        <v>1395</v>
      </c>
      <c r="F547" s="1375" t="s">
        <v>955</v>
      </c>
      <c r="G547" s="66"/>
      <c r="H547" s="66">
        <v>0</v>
      </c>
      <c r="I547" s="74">
        <v>0</v>
      </c>
      <c r="J547" s="66">
        <v>0</v>
      </c>
    </row>
    <row r="548" spans="1:10">
      <c r="A548" s="75" t="str">
        <f t="shared" si="8"/>
        <v>2019RES_201601_P1T2</v>
      </c>
      <c r="B548" s="1375" t="s">
        <v>278</v>
      </c>
      <c r="C548" s="1375" t="s">
        <v>1396</v>
      </c>
      <c r="D548" s="1375" t="s">
        <v>857</v>
      </c>
      <c r="E548" s="1375" t="s">
        <v>1395</v>
      </c>
      <c r="F548" s="1375" t="s">
        <v>1397</v>
      </c>
      <c r="G548" s="66"/>
      <c r="H548" s="66">
        <v>1564</v>
      </c>
      <c r="I548" s="74">
        <v>0.41551540913921359</v>
      </c>
      <c r="J548" s="66">
        <v>348.35479631999999</v>
      </c>
    </row>
    <row r="549" spans="1:10">
      <c r="A549" s="75" t="str">
        <f t="shared" si="8"/>
        <v>2019RES_201601_P1T3</v>
      </c>
      <c r="B549" s="1375" t="s">
        <v>278</v>
      </c>
      <c r="C549" s="1375" t="s">
        <v>956</v>
      </c>
      <c r="D549" s="1375" t="s">
        <v>857</v>
      </c>
      <c r="E549" s="1375" t="s">
        <v>1395</v>
      </c>
      <c r="F549" s="1375" t="s">
        <v>1327</v>
      </c>
      <c r="G549" s="66"/>
      <c r="H549" s="66">
        <v>42</v>
      </c>
      <c r="I549" s="74">
        <v>1.1158342189160468E-2</v>
      </c>
      <c r="J549" s="66">
        <v>29</v>
      </c>
    </row>
    <row r="550" spans="1:10">
      <c r="A550" s="75" t="str">
        <f t="shared" si="8"/>
        <v>2019Unknown</v>
      </c>
      <c r="B550" s="1375" t="s">
        <v>278</v>
      </c>
      <c r="C550" s="1375" t="s">
        <v>325</v>
      </c>
      <c r="D550" s="1375" t="s">
        <v>325</v>
      </c>
      <c r="E550" s="1375" t="s">
        <v>325</v>
      </c>
      <c r="F550" s="1375" t="s">
        <v>325</v>
      </c>
      <c r="G550" s="66"/>
      <c r="H550" s="66">
        <v>0</v>
      </c>
      <c r="I550" s="74"/>
      <c r="J550" s="66"/>
    </row>
    <row r="551" spans="1:10">
      <c r="A551" s="75" t="str">
        <f t="shared" si="8"/>
        <v>2019XMP_202001_P1T1</v>
      </c>
      <c r="B551" s="1375" t="s">
        <v>278</v>
      </c>
      <c r="C551" s="1375" t="s">
        <v>1549</v>
      </c>
      <c r="D551" s="1375" t="s">
        <v>1107</v>
      </c>
      <c r="E551" s="1375" t="s">
        <v>1567</v>
      </c>
      <c r="F551" s="1375" t="s">
        <v>157</v>
      </c>
      <c r="G551" s="66"/>
      <c r="H551" s="66"/>
      <c r="I551" s="74"/>
      <c r="J551" s="66">
        <v>0</v>
      </c>
    </row>
    <row r="552" spans="1:10">
      <c r="A552" s="75" t="str">
        <f t="shared" si="8"/>
        <v>2019XMP_202001_P1T2</v>
      </c>
      <c r="B552" s="1375" t="s">
        <v>278</v>
      </c>
      <c r="C552" s="1375" t="s">
        <v>1550</v>
      </c>
      <c r="D552" s="1375" t="s">
        <v>1107</v>
      </c>
      <c r="E552" s="1375" t="s">
        <v>1567</v>
      </c>
      <c r="F552" s="1375" t="s">
        <v>158</v>
      </c>
      <c r="G552" s="66"/>
      <c r="H552" s="66"/>
      <c r="I552" s="74"/>
      <c r="J552" s="66">
        <v>0</v>
      </c>
    </row>
    <row r="553" spans="1:10">
      <c r="A553" s="75" t="str">
        <f t="shared" si="8"/>
        <v>2019XMP_202001_P2T1</v>
      </c>
      <c r="B553" s="1375" t="s">
        <v>278</v>
      </c>
      <c r="C553" s="1375" t="s">
        <v>1551</v>
      </c>
      <c r="D553" s="1375" t="s">
        <v>1107</v>
      </c>
      <c r="E553" s="1375" t="s">
        <v>1568</v>
      </c>
      <c r="F553" s="1375" t="s">
        <v>157</v>
      </c>
      <c r="G553" s="66"/>
      <c r="H553" s="66"/>
      <c r="I553" s="74"/>
      <c r="J553" s="66">
        <v>0</v>
      </c>
    </row>
    <row r="554" spans="1:10">
      <c r="A554" s="75" t="str">
        <f t="shared" si="8"/>
        <v>2019XMP_202001_P2T2</v>
      </c>
      <c r="B554" s="1375" t="s">
        <v>278</v>
      </c>
      <c r="C554" s="1375" t="s">
        <v>1552</v>
      </c>
      <c r="D554" s="1375" t="s">
        <v>1107</v>
      </c>
      <c r="E554" s="1375" t="s">
        <v>1568</v>
      </c>
      <c r="F554" s="1375" t="s">
        <v>158</v>
      </c>
      <c r="G554" s="66"/>
      <c r="H554" s="66"/>
      <c r="I554" s="74"/>
      <c r="J554" s="66">
        <v>0</v>
      </c>
    </row>
    <row r="555" spans="1:10">
      <c r="A555" s="75" t="str">
        <f t="shared" si="8"/>
        <v>2019XMP_202001_P3T1</v>
      </c>
      <c r="B555" s="1375" t="s">
        <v>278</v>
      </c>
      <c r="C555" s="1375" t="s">
        <v>1553</v>
      </c>
      <c r="D555" s="1375" t="s">
        <v>1107</v>
      </c>
      <c r="E555" s="1375" t="s">
        <v>1569</v>
      </c>
      <c r="F555" s="1375" t="s">
        <v>157</v>
      </c>
      <c r="G555" s="66"/>
      <c r="H555" s="66"/>
      <c r="I555" s="74"/>
      <c r="J555" s="66">
        <v>0</v>
      </c>
    </row>
    <row r="556" spans="1:10">
      <c r="A556" s="75" t="str">
        <f t="shared" si="8"/>
        <v>2019XMP_202001_P3T2</v>
      </c>
      <c r="B556" s="1375" t="s">
        <v>278</v>
      </c>
      <c r="C556" s="1375" t="s">
        <v>1554</v>
      </c>
      <c r="D556" s="1375" t="s">
        <v>1107</v>
      </c>
      <c r="E556" s="1375" t="s">
        <v>1569</v>
      </c>
      <c r="F556" s="1375" t="s">
        <v>158</v>
      </c>
      <c r="G556" s="66"/>
      <c r="H556" s="66"/>
      <c r="I556" s="74"/>
      <c r="J556" s="66">
        <v>0</v>
      </c>
    </row>
    <row r="557" spans="1:10">
      <c r="A557" s="75" t="str">
        <f t="shared" si="8"/>
        <v>2019XMP_202001_P3T3</v>
      </c>
      <c r="B557" s="1375" t="s">
        <v>278</v>
      </c>
      <c r="C557" s="1375" t="s">
        <v>1555</v>
      </c>
      <c r="D557" s="1375" t="s">
        <v>1107</v>
      </c>
      <c r="E557" s="1375" t="s">
        <v>1569</v>
      </c>
      <c r="F557" s="1375" t="s">
        <v>818</v>
      </c>
      <c r="G557" s="66"/>
      <c r="H557" s="66"/>
      <c r="I557" s="74"/>
      <c r="J557" s="66">
        <v>0</v>
      </c>
    </row>
    <row r="558" spans="1:10">
      <c r="A558" s="75" t="str">
        <f t="shared" si="8"/>
        <v>2019XMP_202001_P4T1</v>
      </c>
      <c r="B558" s="1375" t="s">
        <v>278</v>
      </c>
      <c r="C558" s="1375" t="s">
        <v>1556</v>
      </c>
      <c r="D558" s="1375" t="s">
        <v>1107</v>
      </c>
      <c r="E558" s="1375" t="s">
        <v>1570</v>
      </c>
      <c r="F558" s="1375" t="s">
        <v>157</v>
      </c>
      <c r="G558" s="66"/>
      <c r="H558" s="66"/>
      <c r="I558" s="74"/>
      <c r="J558" s="66">
        <v>0</v>
      </c>
    </row>
    <row r="559" spans="1:10">
      <c r="A559" s="75" t="str">
        <f t="shared" si="8"/>
        <v>2019XMP_202001_P4T2</v>
      </c>
      <c r="B559" s="1375" t="s">
        <v>278</v>
      </c>
      <c r="C559" s="1375" t="s">
        <v>1557</v>
      </c>
      <c r="D559" s="1375" t="s">
        <v>1107</v>
      </c>
      <c r="E559" s="1375" t="s">
        <v>1570</v>
      </c>
      <c r="F559" s="1375" t="s">
        <v>158</v>
      </c>
      <c r="G559" s="66"/>
      <c r="H559" s="66"/>
      <c r="I559" s="74"/>
      <c r="J559" s="66">
        <v>0</v>
      </c>
    </row>
    <row r="560" spans="1:10">
      <c r="A560" s="75" t="str">
        <f t="shared" si="8"/>
        <v>2019XMP_202001_P4T3</v>
      </c>
      <c r="B560" s="1375" t="s">
        <v>278</v>
      </c>
      <c r="C560" s="1375" t="s">
        <v>1558</v>
      </c>
      <c r="D560" s="1375" t="s">
        <v>1107</v>
      </c>
      <c r="E560" s="1375" t="s">
        <v>1570</v>
      </c>
      <c r="F560" s="1375" t="s">
        <v>818</v>
      </c>
      <c r="G560" s="66"/>
      <c r="H560" s="66"/>
      <c r="I560" s="74"/>
      <c r="J560" s="66">
        <v>0</v>
      </c>
    </row>
    <row r="561" spans="1:10">
      <c r="A561" s="75" t="str">
        <f t="shared" si="8"/>
        <v>2019XMP_202001_P5T1</v>
      </c>
      <c r="B561" s="1375" t="s">
        <v>278</v>
      </c>
      <c r="C561" s="1375" t="s">
        <v>1559</v>
      </c>
      <c r="D561" s="1375" t="s">
        <v>1107</v>
      </c>
      <c r="E561" s="1375" t="s">
        <v>1575</v>
      </c>
      <c r="F561" s="1375" t="s">
        <v>334</v>
      </c>
      <c r="G561" s="66"/>
      <c r="H561" s="66"/>
      <c r="I561" s="74"/>
      <c r="J561" s="66">
        <v>0</v>
      </c>
    </row>
    <row r="562" spans="1:10">
      <c r="A562" s="75" t="str">
        <f t="shared" si="8"/>
        <v>2019XMP_202001_P6T1</v>
      </c>
      <c r="B562" s="1375" t="s">
        <v>278</v>
      </c>
      <c r="C562" s="1375" t="s">
        <v>1560</v>
      </c>
      <c r="D562" s="1375" t="s">
        <v>1107</v>
      </c>
      <c r="E562" s="1375" t="s">
        <v>1743</v>
      </c>
      <c r="F562" s="1375" t="s">
        <v>157</v>
      </c>
      <c r="G562" s="66"/>
      <c r="H562" s="66"/>
      <c r="I562" s="74"/>
      <c r="J562" s="66">
        <v>0</v>
      </c>
    </row>
    <row r="563" spans="1:10">
      <c r="A563" s="75" t="str">
        <f t="shared" si="8"/>
        <v>2019XMP_202001_P6T2</v>
      </c>
      <c r="B563" s="1375" t="s">
        <v>278</v>
      </c>
      <c r="C563" s="1375" t="s">
        <v>1561</v>
      </c>
      <c r="D563" s="1375" t="s">
        <v>1107</v>
      </c>
      <c r="E563" s="1375" t="s">
        <v>1743</v>
      </c>
      <c r="F563" s="1375" t="s">
        <v>158</v>
      </c>
      <c r="G563" s="66"/>
      <c r="H563" s="66"/>
      <c r="I563" s="74"/>
      <c r="J563" s="66">
        <v>0</v>
      </c>
    </row>
    <row r="564" spans="1:10">
      <c r="A564" s="75" t="str">
        <f t="shared" si="8"/>
        <v/>
      </c>
    </row>
    <row r="565" spans="1:10">
      <c r="A565" s="75" t="str">
        <f t="shared" si="8"/>
        <v/>
      </c>
    </row>
    <row r="566" spans="1:10">
      <c r="A566" s="75" t="str">
        <f t="shared" si="8"/>
        <v/>
      </c>
    </row>
    <row r="567" spans="1:10">
      <c r="A567" s="75" t="str">
        <f t="shared" si="8"/>
        <v/>
      </c>
    </row>
    <row r="568" spans="1:10">
      <c r="A568" s="75" t="str">
        <f t="shared" si="8"/>
        <v/>
      </c>
    </row>
    <row r="569" spans="1:10">
      <c r="A569" s="75" t="str">
        <f t="shared" si="8"/>
        <v/>
      </c>
    </row>
    <row r="570" spans="1:10">
      <c r="A570" s="75" t="str">
        <f t="shared" si="8"/>
        <v/>
      </c>
    </row>
    <row r="571" spans="1:10">
      <c r="A571" s="75" t="str">
        <f t="shared" si="8"/>
        <v/>
      </c>
    </row>
    <row r="572" spans="1:10">
      <c r="A572" s="75" t="str">
        <f t="shared" si="8"/>
        <v/>
      </c>
    </row>
    <row r="573" spans="1:10">
      <c r="A573" s="75" t="str">
        <f t="shared" si="8"/>
        <v/>
      </c>
    </row>
    <row r="574" spans="1:10">
      <c r="A574" s="75" t="str">
        <f t="shared" si="8"/>
        <v/>
      </c>
    </row>
    <row r="575" spans="1:10">
      <c r="A575" s="75" t="str">
        <f t="shared" si="8"/>
        <v/>
      </c>
    </row>
    <row r="576" spans="1:10">
      <c r="A576" s="75" t="str">
        <f t="shared" si="8"/>
        <v/>
      </c>
    </row>
    <row r="577" spans="1:1">
      <c r="A577" s="75" t="str">
        <f t="shared" si="8"/>
        <v/>
      </c>
    </row>
    <row r="578" spans="1:1">
      <c r="A578" s="75" t="str">
        <f t="shared" si="8"/>
        <v/>
      </c>
    </row>
    <row r="579" spans="1:1">
      <c r="A579" s="75" t="str">
        <f t="shared" si="8"/>
        <v/>
      </c>
    </row>
    <row r="580" spans="1:1">
      <c r="A580" s="75" t="str">
        <f t="shared" si="8"/>
        <v/>
      </c>
    </row>
    <row r="581" spans="1:1">
      <c r="A581" s="75" t="str">
        <f t="shared" si="8"/>
        <v/>
      </c>
    </row>
    <row r="582" spans="1:1">
      <c r="A582" s="75" t="str">
        <f t="shared" si="8"/>
        <v/>
      </c>
    </row>
    <row r="583" spans="1:1">
      <c r="A583" s="75" t="str">
        <f t="shared" ref="A583:A646" si="9">B583&amp;C583</f>
        <v/>
      </c>
    </row>
    <row r="584" spans="1:1">
      <c r="A584" s="75" t="str">
        <f t="shared" si="9"/>
        <v/>
      </c>
    </row>
    <row r="585" spans="1:1">
      <c r="A585" s="75" t="str">
        <f t="shared" si="9"/>
        <v/>
      </c>
    </row>
    <row r="586" spans="1:1">
      <c r="A586" s="75" t="str">
        <f t="shared" si="9"/>
        <v/>
      </c>
    </row>
    <row r="587" spans="1:1">
      <c r="A587" s="75" t="str">
        <f t="shared" si="9"/>
        <v/>
      </c>
    </row>
    <row r="588" spans="1:1">
      <c r="A588" s="75" t="str">
        <f t="shared" si="9"/>
        <v/>
      </c>
    </row>
    <row r="589" spans="1:1">
      <c r="A589" s="75" t="str">
        <f t="shared" si="9"/>
        <v/>
      </c>
    </row>
    <row r="590" spans="1:1">
      <c r="A590" s="75" t="str">
        <f t="shared" si="9"/>
        <v/>
      </c>
    </row>
    <row r="591" spans="1:1">
      <c r="A591" s="75" t="str">
        <f t="shared" si="9"/>
        <v/>
      </c>
    </row>
    <row r="592" spans="1:1">
      <c r="A592" s="75" t="str">
        <f t="shared" si="9"/>
        <v/>
      </c>
    </row>
    <row r="593" spans="1:1">
      <c r="A593" s="75" t="str">
        <f t="shared" si="9"/>
        <v/>
      </c>
    </row>
    <row r="594" spans="1:1">
      <c r="A594" s="75" t="str">
        <f t="shared" si="9"/>
        <v/>
      </c>
    </row>
    <row r="595" spans="1:1">
      <c r="A595" s="75" t="str">
        <f t="shared" si="9"/>
        <v/>
      </c>
    </row>
    <row r="596" spans="1:1">
      <c r="A596" s="75" t="str">
        <f t="shared" si="9"/>
        <v/>
      </c>
    </row>
    <row r="597" spans="1:1">
      <c r="A597" s="75" t="str">
        <f t="shared" si="9"/>
        <v/>
      </c>
    </row>
    <row r="598" spans="1:1">
      <c r="A598" s="75" t="str">
        <f t="shared" si="9"/>
        <v/>
      </c>
    </row>
    <row r="599" spans="1:1">
      <c r="A599" s="75" t="str">
        <f t="shared" si="9"/>
        <v/>
      </c>
    </row>
    <row r="600" spans="1:1">
      <c r="A600" s="75" t="str">
        <f t="shared" si="9"/>
        <v/>
      </c>
    </row>
    <row r="601" spans="1:1">
      <c r="A601" s="75" t="str">
        <f t="shared" si="9"/>
        <v/>
      </c>
    </row>
    <row r="602" spans="1:1">
      <c r="A602" s="75" t="str">
        <f t="shared" si="9"/>
        <v/>
      </c>
    </row>
    <row r="603" spans="1:1">
      <c r="A603" s="75" t="str">
        <f t="shared" si="9"/>
        <v/>
      </c>
    </row>
    <row r="604" spans="1:1">
      <c r="A604" s="75" t="str">
        <f t="shared" si="9"/>
        <v/>
      </c>
    </row>
    <row r="605" spans="1:1">
      <c r="A605" s="75" t="str">
        <f t="shared" si="9"/>
        <v/>
      </c>
    </row>
    <row r="606" spans="1:1">
      <c r="A606" s="75" t="str">
        <f t="shared" si="9"/>
        <v/>
      </c>
    </row>
    <row r="607" spans="1:1">
      <c r="A607" s="75" t="str">
        <f t="shared" si="9"/>
        <v/>
      </c>
    </row>
    <row r="608" spans="1:1">
      <c r="A608" s="75" t="str">
        <f t="shared" si="9"/>
        <v/>
      </c>
    </row>
    <row r="609" spans="1:1">
      <c r="A609" s="75" t="str">
        <f t="shared" si="9"/>
        <v/>
      </c>
    </row>
    <row r="610" spans="1:1">
      <c r="A610" s="75" t="str">
        <f t="shared" si="9"/>
        <v/>
      </c>
    </row>
    <row r="611" spans="1:1">
      <c r="A611" s="75" t="str">
        <f t="shared" si="9"/>
        <v/>
      </c>
    </row>
    <row r="612" spans="1:1">
      <c r="A612" s="75" t="str">
        <f t="shared" si="9"/>
        <v/>
      </c>
    </row>
    <row r="613" spans="1:1">
      <c r="A613" s="75" t="str">
        <f t="shared" si="9"/>
        <v/>
      </c>
    </row>
    <row r="614" spans="1:1">
      <c r="A614" s="75" t="str">
        <f t="shared" si="9"/>
        <v/>
      </c>
    </row>
    <row r="615" spans="1:1">
      <c r="A615" s="75" t="str">
        <f t="shared" si="9"/>
        <v/>
      </c>
    </row>
    <row r="616" spans="1:1">
      <c r="A616" s="75" t="str">
        <f t="shared" si="9"/>
        <v/>
      </c>
    </row>
    <row r="617" spans="1:1">
      <c r="A617" s="75" t="str">
        <f t="shared" si="9"/>
        <v/>
      </c>
    </row>
    <row r="618" spans="1:1">
      <c r="A618" s="75" t="str">
        <f t="shared" si="9"/>
        <v/>
      </c>
    </row>
    <row r="619" spans="1:1">
      <c r="A619" s="75" t="str">
        <f t="shared" si="9"/>
        <v/>
      </c>
    </row>
    <row r="620" spans="1:1">
      <c r="A620" s="75" t="str">
        <f t="shared" si="9"/>
        <v/>
      </c>
    </row>
    <row r="621" spans="1:1">
      <c r="A621" s="75" t="str">
        <f t="shared" si="9"/>
        <v/>
      </c>
    </row>
    <row r="622" spans="1:1">
      <c r="A622" s="75" t="str">
        <f t="shared" si="9"/>
        <v/>
      </c>
    </row>
    <row r="623" spans="1:1">
      <c r="A623" s="75" t="str">
        <f t="shared" si="9"/>
        <v/>
      </c>
    </row>
    <row r="624" spans="1:1">
      <c r="A624" s="75" t="str">
        <f t="shared" si="9"/>
        <v/>
      </c>
    </row>
    <row r="625" spans="1:1">
      <c r="A625" s="75" t="str">
        <f t="shared" si="9"/>
        <v/>
      </c>
    </row>
    <row r="626" spans="1:1">
      <c r="A626" s="75" t="str">
        <f t="shared" si="9"/>
        <v/>
      </c>
    </row>
    <row r="627" spans="1:1">
      <c r="A627" s="75" t="str">
        <f t="shared" si="9"/>
        <v/>
      </c>
    </row>
    <row r="628" spans="1:1">
      <c r="A628" s="75" t="str">
        <f t="shared" si="9"/>
        <v/>
      </c>
    </row>
    <row r="629" spans="1:1">
      <c r="A629" s="75" t="str">
        <f t="shared" si="9"/>
        <v/>
      </c>
    </row>
    <row r="630" spans="1:1">
      <c r="A630" s="75" t="str">
        <f t="shared" si="9"/>
        <v/>
      </c>
    </row>
    <row r="631" spans="1:1">
      <c r="A631" s="75" t="str">
        <f t="shared" si="9"/>
        <v/>
      </c>
    </row>
    <row r="632" spans="1:1">
      <c r="A632" s="75" t="str">
        <f t="shared" si="9"/>
        <v/>
      </c>
    </row>
    <row r="633" spans="1:1">
      <c r="A633" s="75" t="str">
        <f t="shared" si="9"/>
        <v/>
      </c>
    </row>
    <row r="634" spans="1:1">
      <c r="A634" s="75" t="str">
        <f t="shared" si="9"/>
        <v/>
      </c>
    </row>
    <row r="635" spans="1:1">
      <c r="A635" s="75" t="str">
        <f t="shared" si="9"/>
        <v/>
      </c>
    </row>
    <row r="636" spans="1:1">
      <c r="A636" s="75" t="str">
        <f t="shared" si="9"/>
        <v/>
      </c>
    </row>
    <row r="637" spans="1:1">
      <c r="A637" s="75" t="str">
        <f t="shared" si="9"/>
        <v/>
      </c>
    </row>
    <row r="638" spans="1:1">
      <c r="A638" s="75" t="str">
        <f t="shared" si="9"/>
        <v/>
      </c>
    </row>
    <row r="639" spans="1:1">
      <c r="A639" s="75" t="str">
        <f t="shared" si="9"/>
        <v/>
      </c>
    </row>
    <row r="640" spans="1:1">
      <c r="A640" s="75" t="str">
        <f t="shared" si="9"/>
        <v/>
      </c>
    </row>
    <row r="641" spans="1:1">
      <c r="A641" s="75" t="str">
        <f t="shared" si="9"/>
        <v/>
      </c>
    </row>
    <row r="642" spans="1:1">
      <c r="A642" s="75" t="str">
        <f t="shared" si="9"/>
        <v/>
      </c>
    </row>
    <row r="643" spans="1:1">
      <c r="A643" s="75" t="str">
        <f t="shared" si="9"/>
        <v/>
      </c>
    </row>
    <row r="644" spans="1:1">
      <c r="A644" s="75" t="str">
        <f t="shared" si="9"/>
        <v/>
      </c>
    </row>
    <row r="645" spans="1:1">
      <c r="A645" s="75" t="str">
        <f t="shared" si="9"/>
        <v/>
      </c>
    </row>
    <row r="646" spans="1:1">
      <c r="A646" s="75" t="str">
        <f t="shared" si="9"/>
        <v/>
      </c>
    </row>
    <row r="647" spans="1:1">
      <c r="A647" s="75" t="str">
        <f t="shared" ref="A647:A649" si="10">B647&amp;C647</f>
        <v/>
      </c>
    </row>
    <row r="648" spans="1:1">
      <c r="A648" s="75" t="str">
        <f t="shared" si="10"/>
        <v/>
      </c>
    </row>
    <row r="649" spans="1:1">
      <c r="A649" s="75" t="str">
        <f t="shared" si="10"/>
        <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filterMode="1">
    <tabColor theme="3"/>
    <pageSetUpPr fitToPage="1"/>
  </sheetPr>
  <dimension ref="A2:T213"/>
  <sheetViews>
    <sheetView workbookViewId="0"/>
  </sheetViews>
  <sheetFormatPr defaultColWidth="18.7109375" defaultRowHeight="12.75" customHeight="1"/>
  <cols>
    <col min="1" max="2" width="7" style="8" customWidth="1"/>
    <col min="3" max="4" width="7" style="10" customWidth="1"/>
    <col min="5" max="5" width="7" style="8" customWidth="1"/>
    <col min="6" max="6" width="23.42578125" style="1" customWidth="1"/>
    <col min="7" max="7" width="29.28515625" style="1" customWidth="1"/>
    <col min="8" max="8" width="41.7109375" style="1" customWidth="1"/>
    <col min="9" max="9" width="37.7109375" style="1" customWidth="1"/>
    <col min="10" max="10" width="8" style="1" customWidth="1"/>
    <col min="11" max="14" width="14.7109375" style="2" customWidth="1"/>
    <col min="15" max="15" width="14.28515625" style="1" customWidth="1"/>
    <col min="16" max="16" width="17.42578125" style="1" customWidth="1"/>
    <col min="17" max="17" width="22" style="1" customWidth="1"/>
    <col min="18" max="19" width="12.28515625" style="1" customWidth="1"/>
    <col min="20" max="20" width="12.28515625" style="3" customWidth="1"/>
    <col min="21" max="16384" width="18.7109375" style="1"/>
  </cols>
  <sheetData>
    <row r="2" spans="1:20" customFormat="1" ht="15.75" customHeight="1">
      <c r="A2" s="2600" t="s">
        <v>131</v>
      </c>
      <c r="B2" s="2601"/>
      <c r="C2" s="2601"/>
      <c r="D2" s="2601"/>
      <c r="E2" s="2602"/>
      <c r="F2" s="2875" t="s">
        <v>7</v>
      </c>
      <c r="G2" s="2875"/>
      <c r="H2" s="2875"/>
      <c r="I2" s="2875"/>
      <c r="J2" s="2875"/>
      <c r="K2" s="2876" t="s">
        <v>127</v>
      </c>
      <c r="L2" s="2877"/>
      <c r="M2" s="2877"/>
      <c r="N2" s="2877"/>
      <c r="O2" s="2878"/>
      <c r="P2" s="2879" t="s">
        <v>129</v>
      </c>
      <c r="Q2" s="2880"/>
      <c r="R2" s="2881" t="s">
        <v>130</v>
      </c>
      <c r="S2" s="2882"/>
      <c r="T2" s="2883"/>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140</v>
      </c>
      <c r="H4" s="14" t="s">
        <v>281</v>
      </c>
      <c r="I4" s="14" t="s">
        <v>334</v>
      </c>
      <c r="J4" s="23">
        <v>2019</v>
      </c>
      <c r="K4" s="28" t="e">
        <v>#VALUE!</v>
      </c>
      <c r="L4" s="15" t="e">
        <v>#VALUE!</v>
      </c>
      <c r="M4" s="16" t="e">
        <v>#VALUE!</v>
      </c>
      <c r="N4" s="16"/>
      <c r="O4" s="29" t="e">
        <v>#VALUE!</v>
      </c>
      <c r="P4" s="38">
        <v>39299.845042590001</v>
      </c>
      <c r="Q4" s="39" t="s">
        <v>1012</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146</v>
      </c>
      <c r="H5" s="18" t="s">
        <v>493</v>
      </c>
      <c r="I5" s="18" t="s">
        <v>334</v>
      </c>
      <c r="J5" s="24">
        <v>2019</v>
      </c>
      <c r="K5" s="30" t="e">
        <v>#VALUE!</v>
      </c>
      <c r="L5" s="19" t="e">
        <v>#VALUE!</v>
      </c>
      <c r="M5" s="20" t="e">
        <v>#VALUE!</v>
      </c>
      <c r="N5" s="20"/>
      <c r="O5" s="31" t="e">
        <v>#VALUE!</v>
      </c>
      <c r="P5" s="40">
        <v>8760000</v>
      </c>
      <c r="Q5" s="41" t="s">
        <v>1012</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147</v>
      </c>
      <c r="H6" s="18" t="s">
        <v>147</v>
      </c>
      <c r="I6" s="18" t="s">
        <v>346</v>
      </c>
      <c r="J6" s="24">
        <v>2019</v>
      </c>
      <c r="K6" s="30" t="e">
        <v>#VALUE!</v>
      </c>
      <c r="L6" s="19" t="e">
        <v>#VALUE!</v>
      </c>
      <c r="M6" s="20" t="e">
        <v>#VALUE!</v>
      </c>
      <c r="N6" s="20"/>
      <c r="O6" s="31" t="e">
        <v>#VALUE!</v>
      </c>
      <c r="P6" s="40">
        <v>0</v>
      </c>
      <c r="Q6" s="41" t="s">
        <v>1012</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147</v>
      </c>
      <c r="H7" s="18" t="s">
        <v>147</v>
      </c>
      <c r="I7" s="18" t="s">
        <v>344</v>
      </c>
      <c r="J7" s="24">
        <v>2019</v>
      </c>
      <c r="K7" s="30" t="e">
        <v>#VALUE!</v>
      </c>
      <c r="L7" s="19" t="e">
        <v>#VALUE!</v>
      </c>
      <c r="M7" s="20" t="e">
        <v>#VALUE!</v>
      </c>
      <c r="N7" s="20"/>
      <c r="O7" s="31" t="e">
        <v>#VALUE!</v>
      </c>
      <c r="P7" s="40">
        <v>0</v>
      </c>
      <c r="Q7" s="41" t="s">
        <v>1012</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147</v>
      </c>
      <c r="H8" s="18" t="s">
        <v>147</v>
      </c>
      <c r="I8" s="18" t="s">
        <v>160</v>
      </c>
      <c r="J8" s="24">
        <v>2019</v>
      </c>
      <c r="K8" s="30" t="e">
        <v>#VALUE!</v>
      </c>
      <c r="L8" s="19" t="e">
        <v>#VALUE!</v>
      </c>
      <c r="M8" s="20" t="e">
        <v>#VALUE!</v>
      </c>
      <c r="N8" s="20"/>
      <c r="O8" s="31" t="e">
        <v>#VALUE!</v>
      </c>
      <c r="P8" s="40">
        <v>0</v>
      </c>
      <c r="Q8" s="41" t="s">
        <v>1012</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147</v>
      </c>
      <c r="H9" s="18" t="s">
        <v>147</v>
      </c>
      <c r="I9" s="18" t="s">
        <v>161</v>
      </c>
      <c r="J9" s="24">
        <v>2019</v>
      </c>
      <c r="K9" s="30" t="e">
        <v>#VALUE!</v>
      </c>
      <c r="L9" s="19" t="e">
        <v>#VALUE!</v>
      </c>
      <c r="M9" s="20" t="e">
        <v>#VALUE!</v>
      </c>
      <c r="N9" s="20"/>
      <c r="O9" s="31" t="e">
        <v>#VALUE!</v>
      </c>
      <c r="P9" s="40">
        <v>0</v>
      </c>
      <c r="Q9" s="41" t="s">
        <v>1012</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147</v>
      </c>
      <c r="H10" s="18" t="s">
        <v>147</v>
      </c>
      <c r="I10" s="18" t="s">
        <v>162</v>
      </c>
      <c r="J10" s="24">
        <v>2019</v>
      </c>
      <c r="K10" s="30" t="e">
        <v>#VALUE!</v>
      </c>
      <c r="L10" s="19" t="e">
        <v>#VALUE!</v>
      </c>
      <c r="M10" s="20" t="e">
        <v>#VALUE!</v>
      </c>
      <c r="N10" s="20"/>
      <c r="O10" s="31" t="e">
        <v>#VALUE!</v>
      </c>
      <c r="P10" s="40">
        <v>0</v>
      </c>
      <c r="Q10" s="41" t="s">
        <v>1012</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147</v>
      </c>
      <c r="H11" s="18" t="s">
        <v>284</v>
      </c>
      <c r="I11" s="18" t="s">
        <v>1013</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147</v>
      </c>
      <c r="H12" s="18" t="s">
        <v>284</v>
      </c>
      <c r="I12" s="18" t="s">
        <v>917</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139</v>
      </c>
      <c r="H13" s="18" t="s">
        <v>481</v>
      </c>
      <c r="I13" s="18" t="s">
        <v>334</v>
      </c>
      <c r="J13" s="24">
        <v>2019</v>
      </c>
      <c r="K13" s="30" t="e">
        <v>#VALUE!</v>
      </c>
      <c r="L13" s="19" t="e">
        <v>#VALUE!</v>
      </c>
      <c r="M13" s="20" t="e">
        <v>#VALUE!</v>
      </c>
      <c r="N13" s="20"/>
      <c r="O13" s="31" t="e">
        <v>#VALUE!</v>
      </c>
      <c r="P13" s="40">
        <v>0</v>
      </c>
      <c r="Q13" s="41" t="s">
        <v>1012</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139</v>
      </c>
      <c r="H14" s="18" t="s">
        <v>482</v>
      </c>
      <c r="I14" s="18" t="s">
        <v>334</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139</v>
      </c>
      <c r="H15" s="18" t="s">
        <v>483</v>
      </c>
      <c r="I15" s="18" t="s">
        <v>334</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139</v>
      </c>
      <c r="H16" s="18" t="s">
        <v>484</v>
      </c>
      <c r="I16" s="18" t="s">
        <v>334</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136</v>
      </c>
      <c r="H17" s="18" t="s">
        <v>287</v>
      </c>
      <c r="I17" s="18" t="s">
        <v>334</v>
      </c>
      <c r="J17" s="24">
        <v>2019</v>
      </c>
      <c r="K17" s="30" t="e">
        <v>#VALUE!</v>
      </c>
      <c r="L17" s="19" t="e">
        <v>#VALUE!</v>
      </c>
      <c r="M17" s="20" t="e">
        <v>#VALUE!</v>
      </c>
      <c r="N17" s="20"/>
      <c r="O17" s="31" t="e">
        <v>#VALUE!</v>
      </c>
      <c r="P17" s="40">
        <v>0.43631310000000001</v>
      </c>
      <c r="Q17" s="41" t="s">
        <v>1012</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136</v>
      </c>
      <c r="H18" s="18" t="s">
        <v>313</v>
      </c>
      <c r="I18" s="18" t="s">
        <v>334</v>
      </c>
      <c r="J18" s="24">
        <v>2019</v>
      </c>
      <c r="K18" s="30" t="e">
        <v>#VALUE!</v>
      </c>
      <c r="L18" s="19" t="e">
        <v>#VALUE!</v>
      </c>
      <c r="M18" s="20" t="e">
        <v>#VALUE!</v>
      </c>
      <c r="N18" s="20"/>
      <c r="O18" s="31" t="e">
        <v>#VALUE!</v>
      </c>
      <c r="P18" s="40">
        <v>0.43152249999999998</v>
      </c>
      <c r="Q18" s="41" t="s">
        <v>1012</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138</v>
      </c>
      <c r="H19" s="18" t="s">
        <v>476</v>
      </c>
      <c r="I19" s="18" t="s">
        <v>741</v>
      </c>
      <c r="J19" s="24">
        <v>2019</v>
      </c>
      <c r="K19" s="30" t="e">
        <v>#VALUE!</v>
      </c>
      <c r="L19" s="19" t="e">
        <v>#VALUE!</v>
      </c>
      <c r="M19" s="20" t="e">
        <v>#VALUE!</v>
      </c>
      <c r="N19" s="20"/>
      <c r="O19" s="31" t="e">
        <v>#VALUE!</v>
      </c>
      <c r="P19" s="40">
        <v>30.878850979999999</v>
      </c>
      <c r="Q19" s="41" t="s">
        <v>1012</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145</v>
      </c>
      <c r="H20" s="18" t="s">
        <v>307</v>
      </c>
      <c r="I20" s="18" t="s">
        <v>334</v>
      </c>
      <c r="J20" s="24">
        <v>2019</v>
      </c>
      <c r="K20" s="30" t="e">
        <v>#VALUE!</v>
      </c>
      <c r="L20" s="19" t="e">
        <v>#VALUE!</v>
      </c>
      <c r="M20" s="20" t="e">
        <v>#VALUE!</v>
      </c>
      <c r="N20" s="20"/>
      <c r="O20" s="31" t="e">
        <v>#VALUE!</v>
      </c>
      <c r="P20" s="40">
        <v>0</v>
      </c>
      <c r="Q20" s="41" t="s">
        <v>1012</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145</v>
      </c>
      <c r="H21" s="18" t="s">
        <v>292</v>
      </c>
      <c r="I21" s="18" t="s">
        <v>334</v>
      </c>
      <c r="J21" s="24">
        <v>2019</v>
      </c>
      <c r="K21" s="30" t="e">
        <v>#VALUE!</v>
      </c>
      <c r="L21" s="19" t="e">
        <v>#VALUE!</v>
      </c>
      <c r="M21" s="20" t="e">
        <v>#VALUE!</v>
      </c>
      <c r="N21" s="20"/>
      <c r="O21" s="31" t="e">
        <v>#VALUE!</v>
      </c>
      <c r="P21" s="40">
        <v>4953.7021836800004</v>
      </c>
      <c r="Q21" s="41" t="s">
        <v>1012</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150</v>
      </c>
      <c r="H22" s="18" t="s">
        <v>290</v>
      </c>
      <c r="I22" s="18" t="s">
        <v>157</v>
      </c>
      <c r="J22" s="24">
        <v>2019</v>
      </c>
      <c r="K22" s="30" t="e">
        <v>#VALUE!</v>
      </c>
      <c r="L22" s="19" t="e">
        <v>#VALUE!</v>
      </c>
      <c r="M22" s="20" t="e">
        <v>#VALUE!</v>
      </c>
      <c r="N22" s="20"/>
      <c r="O22" s="31" t="e">
        <v>#VALUE!</v>
      </c>
      <c r="P22" s="40">
        <v>2146.7983377599999</v>
      </c>
      <c r="Q22" s="41" t="s">
        <v>1012</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150</v>
      </c>
      <c r="H23" s="18" t="s">
        <v>288</v>
      </c>
      <c r="I23" s="18" t="s">
        <v>157</v>
      </c>
      <c r="J23" s="24">
        <v>2019</v>
      </c>
      <c r="K23" s="30" t="e">
        <v>#VALUE!</v>
      </c>
      <c r="L23" s="19" t="e">
        <v>#VALUE!</v>
      </c>
      <c r="M23" s="20" t="e">
        <v>#VALUE!</v>
      </c>
      <c r="N23" s="20"/>
      <c r="O23" s="31" t="e">
        <v>#VALUE!</v>
      </c>
      <c r="P23" s="40">
        <v>3793.5503881499999</v>
      </c>
      <c r="Q23" s="41" t="s">
        <v>1012</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150</v>
      </c>
      <c r="H24" s="18" t="s">
        <v>289</v>
      </c>
      <c r="I24" s="18" t="s">
        <v>157</v>
      </c>
      <c r="J24" s="24">
        <v>2019</v>
      </c>
      <c r="K24" s="30" t="e">
        <v>#VALUE!</v>
      </c>
      <c r="L24" s="19" t="e">
        <v>#VALUE!</v>
      </c>
      <c r="M24" s="20" t="e">
        <v>#VALUE!</v>
      </c>
      <c r="N24" s="20"/>
      <c r="O24" s="31" t="e">
        <v>#VALUE!</v>
      </c>
      <c r="P24" s="40">
        <v>5709.5283126900003</v>
      </c>
      <c r="Q24" s="41" t="s">
        <v>1012</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469</v>
      </c>
      <c r="H25" s="18" t="s">
        <v>916</v>
      </c>
      <c r="I25" s="18" t="s">
        <v>917</v>
      </c>
      <c r="J25" s="24">
        <v>2019</v>
      </c>
      <c r="K25" s="30" t="e">
        <v>#VALUE!</v>
      </c>
      <c r="L25" s="19" t="e">
        <v>#VALUE!</v>
      </c>
      <c r="M25" s="20" t="e">
        <v>#VALUE!</v>
      </c>
      <c r="N25" s="20"/>
      <c r="O25" s="31" t="e">
        <v>#VALUE!</v>
      </c>
      <c r="P25" s="40">
        <v>0</v>
      </c>
      <c r="Q25" s="41" t="s">
        <v>1012</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469</v>
      </c>
      <c r="H26" s="18" t="s">
        <v>918</v>
      </c>
      <c r="I26" s="18" t="s">
        <v>917</v>
      </c>
      <c r="J26" s="24">
        <v>2019</v>
      </c>
      <c r="K26" s="30" t="e">
        <v>#VALUE!</v>
      </c>
      <c r="L26" s="19" t="e">
        <v>#VALUE!</v>
      </c>
      <c r="M26" s="20" t="e">
        <v>#VALUE!</v>
      </c>
      <c r="N26" s="20"/>
      <c r="O26" s="31" t="e">
        <v>#VALUE!</v>
      </c>
      <c r="P26" s="40">
        <v>0</v>
      </c>
      <c r="Q26" s="41" t="s">
        <v>1012</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469</v>
      </c>
      <c r="H27" s="18" t="s">
        <v>919</v>
      </c>
      <c r="I27" s="18" t="s">
        <v>917</v>
      </c>
      <c r="J27" s="24">
        <v>2019</v>
      </c>
      <c r="K27" s="30" t="e">
        <v>#VALUE!</v>
      </c>
      <c r="L27" s="19" t="e">
        <v>#VALUE!</v>
      </c>
      <c r="M27" s="20" t="e">
        <v>#VALUE!</v>
      </c>
      <c r="N27" s="20"/>
      <c r="O27" s="31" t="e">
        <v>#VALUE!</v>
      </c>
      <c r="P27" s="40">
        <v>0</v>
      </c>
      <c r="Q27" s="41" t="s">
        <v>1012</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469</v>
      </c>
      <c r="H28" s="18" t="s">
        <v>920</v>
      </c>
      <c r="I28" s="18" t="s">
        <v>917</v>
      </c>
      <c r="J28" s="24">
        <v>2019</v>
      </c>
      <c r="K28" s="30" t="e">
        <v>#VALUE!</v>
      </c>
      <c r="L28" s="19" t="e">
        <v>#VALUE!</v>
      </c>
      <c r="M28" s="20" t="e">
        <v>#VALUE!</v>
      </c>
      <c r="N28" s="20"/>
      <c r="O28" s="31" t="e">
        <v>#VALUE!</v>
      </c>
      <c r="P28" s="40">
        <v>0</v>
      </c>
      <c r="Q28" s="41" t="s">
        <v>1012</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159</v>
      </c>
      <c r="H29" s="18" t="s">
        <v>485</v>
      </c>
      <c r="I29" s="18" t="s">
        <v>334</v>
      </c>
      <c r="J29" s="24">
        <v>2019</v>
      </c>
      <c r="K29" s="30" t="e">
        <v>#VALUE!</v>
      </c>
      <c r="L29" s="19" t="e">
        <v>#VALUE!</v>
      </c>
      <c r="M29" s="20" t="e">
        <v>#VALUE!</v>
      </c>
      <c r="N29" s="20"/>
      <c r="O29" s="31" t="e">
        <v>#VALUE!</v>
      </c>
      <c r="P29" s="40">
        <v>0</v>
      </c>
      <c r="Q29" s="41" t="s">
        <v>1012</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491</v>
      </c>
      <c r="H30" s="18" t="s">
        <v>492</v>
      </c>
      <c r="I30" s="18" t="s">
        <v>334</v>
      </c>
      <c r="J30" s="24">
        <v>2019</v>
      </c>
      <c r="K30" s="30" t="e">
        <v>#VALUE!</v>
      </c>
      <c r="L30" s="19" t="e">
        <v>#VALUE!</v>
      </c>
      <c r="M30" s="20" t="e">
        <v>#VALUE!</v>
      </c>
      <c r="N30" s="20"/>
      <c r="O30" s="31" t="e">
        <v>#VALUE!</v>
      </c>
      <c r="P30" s="40">
        <v>0</v>
      </c>
      <c r="Q30" s="41" t="s">
        <v>1012</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479</v>
      </c>
      <c r="H31" s="18" t="s">
        <v>480</v>
      </c>
      <c r="I31" s="18" t="s">
        <v>334</v>
      </c>
      <c r="J31" s="24">
        <v>2019</v>
      </c>
      <c r="K31" s="30" t="e">
        <v>#VALUE!</v>
      </c>
      <c r="L31" s="19" t="e">
        <v>#VALUE!</v>
      </c>
      <c r="M31" s="20" t="e">
        <v>#VALUE!</v>
      </c>
      <c r="N31" s="20"/>
      <c r="O31" s="31" t="e">
        <v>#VALUE!</v>
      </c>
      <c r="P31" s="40">
        <v>0</v>
      </c>
      <c r="Q31" s="41" t="s">
        <v>1012</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152</v>
      </c>
      <c r="H32" s="18" t="s">
        <v>1014</v>
      </c>
      <c r="I32" s="18" t="s">
        <v>157</v>
      </c>
      <c r="J32" s="24">
        <v>2019</v>
      </c>
      <c r="K32" s="30" t="e">
        <v>#VALUE!</v>
      </c>
      <c r="L32" s="19" t="e">
        <v>#VALUE!</v>
      </c>
      <c r="M32" s="20" t="e">
        <v>#VALUE!</v>
      </c>
      <c r="N32" s="20"/>
      <c r="O32" s="31" t="e">
        <v>#VALUE!</v>
      </c>
      <c r="P32" s="40">
        <v>1083.3729312400001</v>
      </c>
      <c r="Q32" s="41" t="s">
        <v>1012</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152</v>
      </c>
      <c r="H33" s="18" t="s">
        <v>1014</v>
      </c>
      <c r="I33" s="18" t="s">
        <v>158</v>
      </c>
      <c r="J33" s="24">
        <v>2019</v>
      </c>
      <c r="K33" s="30" t="e">
        <v>#VALUE!</v>
      </c>
      <c r="L33" s="19" t="e">
        <v>#VALUE!</v>
      </c>
      <c r="M33" s="20" t="e">
        <v>#VALUE!</v>
      </c>
      <c r="N33" s="20"/>
      <c r="O33" s="31" t="e">
        <v>#VALUE!</v>
      </c>
      <c r="P33" s="40">
        <v>348.34607240000003</v>
      </c>
      <c r="Q33" s="41" t="s">
        <v>1012</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152</v>
      </c>
      <c r="H34" s="18" t="s">
        <v>1015</v>
      </c>
      <c r="I34" s="18" t="s">
        <v>157</v>
      </c>
      <c r="J34" s="24">
        <v>2019</v>
      </c>
      <c r="K34" s="30" t="e">
        <v>#VALUE!</v>
      </c>
      <c r="L34" s="19" t="e">
        <v>#VALUE!</v>
      </c>
      <c r="M34" s="20" t="e">
        <v>#VALUE!</v>
      </c>
      <c r="N34" s="20"/>
      <c r="O34" s="31" t="e">
        <v>#VALUE!</v>
      </c>
      <c r="P34" s="40">
        <v>0</v>
      </c>
      <c r="Q34" s="41" t="s">
        <v>1012</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152</v>
      </c>
      <c r="H35" s="18" t="s">
        <v>1015</v>
      </c>
      <c r="I35" s="18" t="s">
        <v>158</v>
      </c>
      <c r="J35" s="24">
        <v>2019</v>
      </c>
      <c r="K35" s="30" t="e">
        <v>#VALUE!</v>
      </c>
      <c r="L35" s="19" t="e">
        <v>#VALUE!</v>
      </c>
      <c r="M35" s="20" t="e">
        <v>#VALUE!</v>
      </c>
      <c r="N35" s="20"/>
      <c r="O35" s="31" t="e">
        <v>#VALUE!</v>
      </c>
      <c r="P35" s="40">
        <v>469.02860042999998</v>
      </c>
      <c r="Q35" s="41" t="s">
        <v>1012</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142</v>
      </c>
      <c r="H36" s="18" t="s">
        <v>486</v>
      </c>
      <c r="I36" s="18" t="s">
        <v>487</v>
      </c>
      <c r="J36" s="24">
        <v>2019</v>
      </c>
      <c r="K36" s="30" t="e">
        <v>#VALUE!</v>
      </c>
      <c r="L36" s="19" t="e">
        <v>#VALUE!</v>
      </c>
      <c r="M36" s="20" t="e">
        <v>#VALUE!</v>
      </c>
      <c r="N36" s="20"/>
      <c r="O36" s="31" t="e">
        <v>#VALUE!</v>
      </c>
      <c r="P36" s="40">
        <v>7843317.8330154298</v>
      </c>
      <c r="Q36" s="41" t="s">
        <v>1012</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488</v>
      </c>
      <c r="H37" s="18" t="s">
        <v>489</v>
      </c>
      <c r="I37" s="18" t="s">
        <v>334</v>
      </c>
      <c r="J37" s="24">
        <v>2019</v>
      </c>
      <c r="K37" s="30" t="e">
        <v>#VALUE!</v>
      </c>
      <c r="L37" s="19" t="e">
        <v>#VALUE!</v>
      </c>
      <c r="M37" s="20" t="e">
        <v>#VALUE!</v>
      </c>
      <c r="N37" s="20"/>
      <c r="O37" s="31" t="e">
        <v>#VALUE!</v>
      </c>
      <c r="P37" s="40">
        <v>0</v>
      </c>
      <c r="Q37" s="41" t="s">
        <v>1012</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488</v>
      </c>
      <c r="H38" s="18" t="s">
        <v>490</v>
      </c>
      <c r="I38" s="18" t="s">
        <v>334</v>
      </c>
      <c r="J38" s="24">
        <v>2019</v>
      </c>
      <c r="K38" s="30" t="e">
        <v>#VALUE!</v>
      </c>
      <c r="L38" s="19" t="e">
        <v>#VALUE!</v>
      </c>
      <c r="M38" s="20" t="e">
        <v>#VALUE!</v>
      </c>
      <c r="N38" s="20"/>
      <c r="O38" s="31" t="e">
        <v>#VALUE!</v>
      </c>
      <c r="P38" s="40">
        <v>0</v>
      </c>
      <c r="Q38" s="41" t="s">
        <v>1012</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137</v>
      </c>
      <c r="H39" s="18" t="s">
        <v>296</v>
      </c>
      <c r="I39" s="18" t="s">
        <v>362</v>
      </c>
      <c r="J39" s="24">
        <v>2019</v>
      </c>
      <c r="K39" s="30" t="e">
        <v>#VALUE!</v>
      </c>
      <c r="L39" s="19" t="e">
        <v>#VALUE!</v>
      </c>
      <c r="M39" s="20" t="e">
        <v>#VALUE!</v>
      </c>
      <c r="N39" s="20"/>
      <c r="O39" s="31" t="e">
        <v>#VALUE!</v>
      </c>
      <c r="P39" s="40">
        <v>0.17179098000000001</v>
      </c>
      <c r="Q39" s="41" t="s">
        <v>1012</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137</v>
      </c>
      <c r="H40" s="18" t="s">
        <v>304</v>
      </c>
      <c r="I40" s="18" t="s">
        <v>1016</v>
      </c>
      <c r="J40" s="24">
        <v>2019</v>
      </c>
      <c r="K40" s="30" t="e">
        <v>#VALUE!</v>
      </c>
      <c r="L40" s="19" t="e">
        <v>#VALUE!</v>
      </c>
      <c r="M40" s="20" t="e">
        <v>#VALUE!</v>
      </c>
      <c r="N40" s="20"/>
      <c r="O40" s="31" t="e">
        <v>#VALUE!</v>
      </c>
      <c r="P40" s="40">
        <v>0.27822064000000002</v>
      </c>
      <c r="Q40" s="41" t="s">
        <v>1012</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137</v>
      </c>
      <c r="H41" s="18" t="s">
        <v>310</v>
      </c>
      <c r="I41" s="18" t="s">
        <v>375</v>
      </c>
      <c r="J41" s="24">
        <v>2019</v>
      </c>
      <c r="K41" s="30" t="e">
        <v>#VALUE!</v>
      </c>
      <c r="L41" s="19" t="e">
        <v>#VALUE!</v>
      </c>
      <c r="M41" s="20" t="e">
        <v>#VALUE!</v>
      </c>
      <c r="N41" s="20"/>
      <c r="O41" s="31" t="e">
        <v>#VALUE!</v>
      </c>
      <c r="P41" s="40">
        <v>0.23834701999999999</v>
      </c>
      <c r="Q41" s="41" t="s">
        <v>1012</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137</v>
      </c>
      <c r="H42" s="18" t="s">
        <v>328</v>
      </c>
      <c r="I42" s="18" t="s">
        <v>1017</v>
      </c>
      <c r="J42" s="24">
        <v>2019</v>
      </c>
      <c r="K42" s="30" t="e">
        <v>#VALUE!</v>
      </c>
      <c r="L42" s="19" t="e">
        <v>#VALUE!</v>
      </c>
      <c r="M42" s="20" t="e">
        <v>#VALUE!</v>
      </c>
      <c r="N42" s="20"/>
      <c r="O42" s="31" t="e">
        <v>#VALUE!</v>
      </c>
      <c r="P42" s="40">
        <v>0.19237533000000001</v>
      </c>
      <c r="Q42" s="41" t="s">
        <v>1012</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149</v>
      </c>
      <c r="H43" s="18" t="s">
        <v>330</v>
      </c>
      <c r="I43" s="18" t="s">
        <v>385</v>
      </c>
      <c r="J43" s="24">
        <v>2019</v>
      </c>
      <c r="K43" s="30" t="e">
        <v>#VALUE!</v>
      </c>
      <c r="L43" s="19" t="e">
        <v>#VALUE!</v>
      </c>
      <c r="M43" s="20" t="e">
        <v>#VALUE!</v>
      </c>
      <c r="N43" s="20"/>
      <c r="O43" s="31" t="e">
        <v>#VALUE!</v>
      </c>
      <c r="P43" s="40">
        <v>379.04190051</v>
      </c>
      <c r="Q43" s="41" t="s">
        <v>1012</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149</v>
      </c>
      <c r="H44" s="18" t="s">
        <v>330</v>
      </c>
      <c r="I44" s="18" t="s">
        <v>386</v>
      </c>
      <c r="J44" s="24">
        <v>2019</v>
      </c>
      <c r="K44" s="30" t="e">
        <v>#VALUE!</v>
      </c>
      <c r="L44" s="19" t="e">
        <v>#VALUE!</v>
      </c>
      <c r="M44" s="20" t="e">
        <v>#VALUE!</v>
      </c>
      <c r="N44" s="20"/>
      <c r="O44" s="31" t="e">
        <v>#VALUE!</v>
      </c>
      <c r="P44" s="40">
        <v>653.46374700000001</v>
      </c>
      <c r="Q44" s="41" t="s">
        <v>1012</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149</v>
      </c>
      <c r="H45" s="18" t="s">
        <v>298</v>
      </c>
      <c r="I45" s="18" t="s">
        <v>1018</v>
      </c>
      <c r="J45" s="24">
        <v>2019</v>
      </c>
      <c r="K45" s="30" t="e">
        <v>#VALUE!</v>
      </c>
      <c r="L45" s="19" t="e">
        <v>#VALUE!</v>
      </c>
      <c r="M45" s="20" t="e">
        <v>#VALUE!</v>
      </c>
      <c r="N45" s="20"/>
      <c r="O45" s="31" t="e">
        <v>#VALUE!</v>
      </c>
      <c r="P45" s="40">
        <v>1045.09411615</v>
      </c>
      <c r="Q45" s="41" t="s">
        <v>1012</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149</v>
      </c>
      <c r="H46" s="18" t="s">
        <v>306</v>
      </c>
      <c r="I46" s="18" t="s">
        <v>357</v>
      </c>
      <c r="J46" s="24">
        <v>2019</v>
      </c>
      <c r="K46" s="30" t="e">
        <v>#VALUE!</v>
      </c>
      <c r="L46" s="19" t="e">
        <v>#VALUE!</v>
      </c>
      <c r="M46" s="20" t="e">
        <v>#VALUE!</v>
      </c>
      <c r="N46" s="20"/>
      <c r="O46" s="31" t="e">
        <v>#VALUE!</v>
      </c>
      <c r="P46" s="40">
        <v>579</v>
      </c>
      <c r="Q46" s="41" t="s">
        <v>1012</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141</v>
      </c>
      <c r="H47" s="18" t="s">
        <v>773</v>
      </c>
      <c r="I47" s="18" t="s">
        <v>333</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144</v>
      </c>
      <c r="H48" s="18" t="s">
        <v>299</v>
      </c>
      <c r="I48" s="18" t="s">
        <v>334</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143</v>
      </c>
      <c r="H49" s="18" t="s">
        <v>323</v>
      </c>
      <c r="I49" s="18" t="s">
        <v>157</v>
      </c>
      <c r="J49" s="24">
        <v>2019</v>
      </c>
      <c r="K49" s="30" t="e">
        <v>#VALUE!</v>
      </c>
      <c r="L49" s="19" t="e">
        <v>#VALUE!</v>
      </c>
      <c r="M49" s="20" t="e">
        <v>#VALUE!</v>
      </c>
      <c r="N49" s="20"/>
      <c r="O49" s="31" t="e">
        <v>#VALUE!</v>
      </c>
      <c r="P49" s="40">
        <v>4.5151722200000002</v>
      </c>
      <c r="Q49" s="41" t="s">
        <v>1012</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143</v>
      </c>
      <c r="H50" s="18" t="s">
        <v>321</v>
      </c>
      <c r="I50" s="18" t="s">
        <v>157</v>
      </c>
      <c r="J50" s="24">
        <v>2019</v>
      </c>
      <c r="K50" s="30" t="e">
        <v>#VALUE!</v>
      </c>
      <c r="L50" s="19" t="e">
        <v>#VALUE!</v>
      </c>
      <c r="M50" s="20" t="e">
        <v>#VALUE!</v>
      </c>
      <c r="N50" s="20"/>
      <c r="O50" s="31" t="e">
        <v>#VALUE!</v>
      </c>
      <c r="P50" s="40">
        <v>-24.052118270000001</v>
      </c>
      <c r="Q50" s="41" t="s">
        <v>1012</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143</v>
      </c>
      <c r="H51" s="18" t="s">
        <v>324</v>
      </c>
      <c r="I51" s="18" t="s">
        <v>157</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143</v>
      </c>
      <c r="H52" s="18" t="s">
        <v>322</v>
      </c>
      <c r="I52" s="18" t="s">
        <v>157</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143</v>
      </c>
      <c r="H53" s="18" t="s">
        <v>324</v>
      </c>
      <c r="I53" s="18" t="s">
        <v>1019</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143</v>
      </c>
      <c r="H54" s="18" t="s">
        <v>322</v>
      </c>
      <c r="I54" s="18" t="s">
        <v>1019</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143</v>
      </c>
      <c r="H55" s="18" t="s">
        <v>323</v>
      </c>
      <c r="I55" s="18" t="s">
        <v>1019</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143</v>
      </c>
      <c r="H56" s="18" t="s">
        <v>321</v>
      </c>
      <c r="I56" s="18" t="s">
        <v>1019</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148</v>
      </c>
      <c r="H57" s="18" t="s">
        <v>676</v>
      </c>
      <c r="I57" s="18" t="s">
        <v>157</v>
      </c>
      <c r="J57" s="24">
        <v>2019</v>
      </c>
      <c r="K57" s="30" t="e">
        <v>#VALUE!</v>
      </c>
      <c r="L57" s="19" t="e">
        <v>#VALUE!</v>
      </c>
      <c r="M57" s="20" t="e">
        <v>#VALUE!</v>
      </c>
      <c r="N57" s="20"/>
      <c r="O57" s="31" t="e">
        <v>#VALUE!</v>
      </c>
      <c r="P57" s="40">
        <v>8.1375121000000004</v>
      </c>
      <c r="Q57" s="41" t="s">
        <v>1012</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148</v>
      </c>
      <c r="H58" s="18" t="s">
        <v>677</v>
      </c>
      <c r="I58" s="18" t="s">
        <v>157</v>
      </c>
      <c r="J58" s="24">
        <v>2019</v>
      </c>
      <c r="K58" s="30" t="e">
        <v>#VALUE!</v>
      </c>
      <c r="L58" s="19" t="e">
        <v>#VALUE!</v>
      </c>
      <c r="M58" s="20" t="e">
        <v>#VALUE!</v>
      </c>
      <c r="N58" s="20"/>
      <c r="O58" s="31" t="e">
        <v>#VALUE!</v>
      </c>
      <c r="P58" s="40">
        <v>0</v>
      </c>
      <c r="Q58" s="41" t="s">
        <v>1012</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148</v>
      </c>
      <c r="H59" s="18" t="s">
        <v>300</v>
      </c>
      <c r="I59" s="18" t="s">
        <v>157</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148</v>
      </c>
      <c r="H60" s="18" t="s">
        <v>301</v>
      </c>
      <c r="I60" s="18" t="s">
        <v>157</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153</v>
      </c>
      <c r="H61" s="18" t="s">
        <v>311</v>
      </c>
      <c r="I61" s="18" t="s">
        <v>363</v>
      </c>
      <c r="J61" s="24">
        <v>2019</v>
      </c>
      <c r="K61" s="30" t="e">
        <v>#VALUE!</v>
      </c>
      <c r="L61" s="19" t="e">
        <v>#VALUE!</v>
      </c>
      <c r="M61" s="20" t="e">
        <v>#VALUE!</v>
      </c>
      <c r="N61" s="20"/>
      <c r="O61" s="31" t="e">
        <v>#VALUE!</v>
      </c>
      <c r="P61" s="40">
        <v>710</v>
      </c>
      <c r="Q61" s="41" t="s">
        <v>1012</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153</v>
      </c>
      <c r="H62" s="18" t="s">
        <v>329</v>
      </c>
      <c r="I62" s="18" t="s">
        <v>363</v>
      </c>
      <c r="J62" s="24">
        <v>2019</v>
      </c>
      <c r="K62" s="30" t="e">
        <v>#VALUE!</v>
      </c>
      <c r="L62" s="19" t="e">
        <v>#VALUE!</v>
      </c>
      <c r="M62" s="20" t="e">
        <v>#VALUE!</v>
      </c>
      <c r="N62" s="20"/>
      <c r="O62" s="31" t="e">
        <v>#VALUE!</v>
      </c>
      <c r="P62" s="40">
        <v>388</v>
      </c>
      <c r="Q62" s="41" t="s">
        <v>1012</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153</v>
      </c>
      <c r="H63" s="18" t="s">
        <v>295</v>
      </c>
      <c r="I63" s="18" t="s">
        <v>356</v>
      </c>
      <c r="J63" s="24">
        <v>2019</v>
      </c>
      <c r="K63" s="30" t="e">
        <v>#VALUE!</v>
      </c>
      <c r="L63" s="19" t="e">
        <v>#VALUE!</v>
      </c>
      <c r="M63" s="20" t="e">
        <v>#VALUE!</v>
      </c>
      <c r="N63" s="20"/>
      <c r="O63" s="31" t="e">
        <v>#VALUE!</v>
      </c>
      <c r="P63" s="40">
        <v>0</v>
      </c>
      <c r="Q63" s="41" t="s">
        <v>1012</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153</v>
      </c>
      <c r="H64" s="18" t="s">
        <v>295</v>
      </c>
      <c r="I64" s="18" t="s">
        <v>357</v>
      </c>
      <c r="J64" s="24">
        <v>2019</v>
      </c>
      <c r="K64" s="30" t="e">
        <v>#VALUE!</v>
      </c>
      <c r="L64" s="19" t="e">
        <v>#VALUE!</v>
      </c>
      <c r="M64" s="20" t="e">
        <v>#VALUE!</v>
      </c>
      <c r="N64" s="20"/>
      <c r="O64" s="31" t="e">
        <v>#VALUE!</v>
      </c>
      <c r="P64" s="40">
        <v>1007</v>
      </c>
      <c r="Q64" s="41" t="s">
        <v>1012</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153</v>
      </c>
      <c r="H65" s="18" t="s">
        <v>303</v>
      </c>
      <c r="I65" s="18" t="s">
        <v>357</v>
      </c>
      <c r="J65" s="24">
        <v>2019</v>
      </c>
      <c r="K65" s="30" t="e">
        <v>#VALUE!</v>
      </c>
      <c r="L65" s="19" t="e">
        <v>#VALUE!</v>
      </c>
      <c r="M65" s="20" t="e">
        <v>#VALUE!</v>
      </c>
      <c r="N65" s="20"/>
      <c r="O65" s="31" t="e">
        <v>#VALUE!</v>
      </c>
      <c r="P65" s="40">
        <v>363</v>
      </c>
      <c r="Q65" s="41" t="s">
        <v>1012</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153</v>
      </c>
      <c r="H66" s="18" t="s">
        <v>303</v>
      </c>
      <c r="I66" s="18" t="s">
        <v>367</v>
      </c>
      <c r="J66" s="24">
        <v>2019</v>
      </c>
      <c r="K66" s="30" t="e">
        <v>#VALUE!</v>
      </c>
      <c r="L66" s="19" t="e">
        <v>#VALUE!</v>
      </c>
      <c r="M66" s="20" t="e">
        <v>#VALUE!</v>
      </c>
      <c r="N66" s="20"/>
      <c r="O66" s="31" t="e">
        <v>#VALUE!</v>
      </c>
      <c r="P66" s="40">
        <v>5</v>
      </c>
      <c r="Q66" s="41" t="s">
        <v>1012</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153</v>
      </c>
      <c r="H67" s="18" t="s">
        <v>309</v>
      </c>
      <c r="I67" s="18" t="s">
        <v>943</v>
      </c>
      <c r="J67" s="24">
        <v>2019</v>
      </c>
      <c r="K67" s="30" t="e">
        <v>#VALUE!</v>
      </c>
      <c r="L67" s="19" t="e">
        <v>#VALUE!</v>
      </c>
      <c r="M67" s="20" t="e">
        <v>#VALUE!</v>
      </c>
      <c r="N67" s="20"/>
      <c r="O67" s="31" t="e">
        <v>#VALUE!</v>
      </c>
      <c r="P67" s="40">
        <v>266</v>
      </c>
      <c r="Q67" s="41" t="s">
        <v>1012</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153</v>
      </c>
      <c r="H68" s="18" t="s">
        <v>309</v>
      </c>
      <c r="I68" s="18" t="s">
        <v>944</v>
      </c>
      <c r="J68" s="24">
        <v>2019</v>
      </c>
      <c r="K68" s="30" t="e">
        <v>#VALUE!</v>
      </c>
      <c r="L68" s="19" t="e">
        <v>#VALUE!</v>
      </c>
      <c r="M68" s="20" t="e">
        <v>#VALUE!</v>
      </c>
      <c r="N68" s="20"/>
      <c r="O68" s="31" t="e">
        <v>#VALUE!</v>
      </c>
      <c r="P68" s="40">
        <v>444.824682</v>
      </c>
      <c r="Q68" s="41" t="s">
        <v>1012</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153</v>
      </c>
      <c r="H69" s="18" t="s">
        <v>327</v>
      </c>
      <c r="I69" s="18" t="s">
        <v>385</v>
      </c>
      <c r="J69" s="24">
        <v>2019</v>
      </c>
      <c r="K69" s="30" t="e">
        <v>#VALUE!</v>
      </c>
      <c r="L69" s="19" t="e">
        <v>#VALUE!</v>
      </c>
      <c r="M69" s="20" t="e">
        <v>#VALUE!</v>
      </c>
      <c r="N69" s="20"/>
      <c r="O69" s="31" t="e">
        <v>#VALUE!</v>
      </c>
      <c r="P69" s="40">
        <v>225.30855</v>
      </c>
      <c r="Q69" s="41" t="s">
        <v>1012</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153</v>
      </c>
      <c r="H70" s="18" t="s">
        <v>327</v>
      </c>
      <c r="I70" s="18" t="s">
        <v>386</v>
      </c>
      <c r="J70" s="24">
        <v>2019</v>
      </c>
      <c r="K70" s="30" t="e">
        <v>#VALUE!</v>
      </c>
      <c r="L70" s="19" t="e">
        <v>#VALUE!</v>
      </c>
      <c r="M70" s="20" t="e">
        <v>#VALUE!</v>
      </c>
      <c r="N70" s="20"/>
      <c r="O70" s="31" t="e">
        <v>#VALUE!</v>
      </c>
      <c r="P70" s="40">
        <v>101</v>
      </c>
      <c r="Q70" s="41" t="s">
        <v>1012</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153</v>
      </c>
      <c r="H71" s="18" t="s">
        <v>297</v>
      </c>
      <c r="I71" s="18" t="s">
        <v>363</v>
      </c>
      <c r="J71" s="24">
        <v>2019</v>
      </c>
      <c r="K71" s="30" t="e">
        <v>#VALUE!</v>
      </c>
      <c r="L71" s="19" t="e">
        <v>#VALUE!</v>
      </c>
      <c r="M71" s="20" t="e">
        <v>#VALUE!</v>
      </c>
      <c r="N71" s="20"/>
      <c r="O71" s="31" t="e">
        <v>#VALUE!</v>
      </c>
      <c r="P71" s="40">
        <v>685</v>
      </c>
      <c r="Q71" s="41" t="s">
        <v>1012</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153</v>
      </c>
      <c r="H72" s="18" t="s">
        <v>305</v>
      </c>
      <c r="I72" s="18" t="s">
        <v>363</v>
      </c>
      <c r="J72" s="24">
        <v>2019</v>
      </c>
      <c r="K72" s="30" t="e">
        <v>#VALUE!</v>
      </c>
      <c r="L72" s="19" t="e">
        <v>#VALUE!</v>
      </c>
      <c r="M72" s="20" t="e">
        <v>#VALUE!</v>
      </c>
      <c r="N72" s="20"/>
      <c r="O72" s="31" t="e">
        <v>#VALUE!</v>
      </c>
      <c r="P72" s="40">
        <v>486</v>
      </c>
      <c r="Q72" s="41" t="s">
        <v>1012</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153</v>
      </c>
      <c r="H73" s="18" t="s">
        <v>931</v>
      </c>
      <c r="I73" s="18" t="s">
        <v>927</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153</v>
      </c>
      <c r="H74" s="18" t="s">
        <v>932</v>
      </c>
      <c r="I74" s="18" t="s">
        <v>927</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153</v>
      </c>
      <c r="H75" s="18" t="s">
        <v>933</v>
      </c>
      <c r="I75" s="18" t="s">
        <v>927</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153</v>
      </c>
      <c r="H76" s="18" t="s">
        <v>934</v>
      </c>
      <c r="I76" s="18" t="s">
        <v>927</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153</v>
      </c>
      <c r="H77" s="18" t="s">
        <v>935</v>
      </c>
      <c r="I77" s="18" t="s">
        <v>927</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153</v>
      </c>
      <c r="H78" s="18" t="s">
        <v>926</v>
      </c>
      <c r="I78" s="18" t="s">
        <v>927</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153</v>
      </c>
      <c r="H79" s="18" t="s">
        <v>928</v>
      </c>
      <c r="I79" s="18" t="s">
        <v>927</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153</v>
      </c>
      <c r="H80" s="18" t="s">
        <v>929</v>
      </c>
      <c r="I80" s="18" t="s">
        <v>927</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153</v>
      </c>
      <c r="H81" s="18" t="s">
        <v>930</v>
      </c>
      <c r="I81" s="18" t="s">
        <v>927</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153</v>
      </c>
      <c r="H82" s="18" t="s">
        <v>309</v>
      </c>
      <c r="I82" s="18" t="s">
        <v>810</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153</v>
      </c>
      <c r="H83" s="18" t="s">
        <v>498</v>
      </c>
      <c r="I83" s="18" t="s">
        <v>917</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153</v>
      </c>
      <c r="H84" s="18" t="s">
        <v>499</v>
      </c>
      <c r="I84" s="18" t="s">
        <v>917</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154</v>
      </c>
      <c r="H85" s="18" t="s">
        <v>683</v>
      </c>
      <c r="I85" s="18" t="s">
        <v>684</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154</v>
      </c>
      <c r="H86" s="18" t="s">
        <v>279</v>
      </c>
      <c r="I86" s="18" t="s">
        <v>332</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154</v>
      </c>
      <c r="H87" s="18" t="s">
        <v>294</v>
      </c>
      <c r="I87" s="18" t="s">
        <v>352</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154</v>
      </c>
      <c r="H88" s="18" t="s">
        <v>316</v>
      </c>
      <c r="I88" s="18" t="s">
        <v>381</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154</v>
      </c>
      <c r="H89" s="18" t="s">
        <v>316</v>
      </c>
      <c r="I89" s="18" t="s">
        <v>351</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154</v>
      </c>
      <c r="H90" s="18" t="s">
        <v>156</v>
      </c>
      <c r="I90" s="18" t="s">
        <v>917</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154</v>
      </c>
      <c r="H91" s="18" t="s">
        <v>156</v>
      </c>
      <c r="I91" s="18" t="s">
        <v>163</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154</v>
      </c>
      <c r="H92" s="18" t="s">
        <v>156</v>
      </c>
      <c r="I92" s="18" t="s">
        <v>164</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154</v>
      </c>
      <c r="H93" s="18" t="s">
        <v>326</v>
      </c>
      <c r="I93" s="18" t="s">
        <v>917</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154</v>
      </c>
      <c r="H94" s="18" t="s">
        <v>282</v>
      </c>
      <c r="I94" s="18" t="s">
        <v>1013</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154</v>
      </c>
      <c r="H95" s="18" t="s">
        <v>282</v>
      </c>
      <c r="I95" s="18" t="s">
        <v>917</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154</v>
      </c>
      <c r="H96" s="18" t="s">
        <v>282</v>
      </c>
      <c r="I96" s="18" t="s">
        <v>335</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154</v>
      </c>
      <c r="H97" s="18" t="s">
        <v>286</v>
      </c>
      <c r="I97" s="18" t="s">
        <v>917</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154</v>
      </c>
      <c r="H98" s="18" t="s">
        <v>286</v>
      </c>
      <c r="I98" s="18" t="s">
        <v>1013</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154</v>
      </c>
      <c r="H99" s="18" t="s">
        <v>512</v>
      </c>
      <c r="I99" s="18" t="s">
        <v>917</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154</v>
      </c>
      <c r="H100" s="18" t="s">
        <v>294</v>
      </c>
      <c r="I100" s="18" t="s">
        <v>917</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151</v>
      </c>
      <c r="H101" s="18" t="s">
        <v>283</v>
      </c>
      <c r="I101" s="18" t="s">
        <v>336</v>
      </c>
      <c r="J101" s="24">
        <v>2019</v>
      </c>
      <c r="K101" s="30" t="e">
        <v>#VALUE!</v>
      </c>
      <c r="L101" s="19" t="e">
        <v>#VALUE!</v>
      </c>
      <c r="M101" s="20" t="e">
        <v>#VALUE!</v>
      </c>
      <c r="N101" s="20"/>
      <c r="O101" s="31" t="e">
        <v>#VALUE!</v>
      </c>
      <c r="P101" s="40">
        <v>54.425781999999998</v>
      </c>
      <c r="Q101" s="41" t="s">
        <v>1012</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151</v>
      </c>
      <c r="H102" s="18" t="s">
        <v>283</v>
      </c>
      <c r="I102" s="18" t="s">
        <v>337</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151</v>
      </c>
      <c r="H103" s="18" t="s">
        <v>283</v>
      </c>
      <c r="I103" s="18" t="s">
        <v>338</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151</v>
      </c>
      <c r="H104" s="18" t="s">
        <v>283</v>
      </c>
      <c r="I104" s="18" t="s">
        <v>339</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151</v>
      </c>
      <c r="H105" s="18" t="s">
        <v>283</v>
      </c>
      <c r="I105" s="18" t="s">
        <v>340</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151</v>
      </c>
      <c r="H106" s="18" t="s">
        <v>283</v>
      </c>
      <c r="I106" s="18" t="s">
        <v>341</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140</v>
      </c>
      <c r="H107" s="18" t="s">
        <v>281</v>
      </c>
      <c r="I107" s="18" t="s">
        <v>334</v>
      </c>
      <c r="J107" s="24">
        <v>2018</v>
      </c>
      <c r="K107" s="30" t="e">
        <v>#VALUE!</v>
      </c>
      <c r="L107" s="19" t="e">
        <v>#VALUE!</v>
      </c>
      <c r="M107" s="20" t="e">
        <v>#VALUE!</v>
      </c>
      <c r="N107" s="20"/>
      <c r="O107" s="31" t="e">
        <v>#VALUE!</v>
      </c>
      <c r="P107" s="40">
        <v>39299.845042590001</v>
      </c>
      <c r="Q107" s="41" t="s">
        <v>1012</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146</v>
      </c>
      <c r="H108" s="18" t="s">
        <v>493</v>
      </c>
      <c r="I108" s="18" t="s">
        <v>334</v>
      </c>
      <c r="J108" s="24">
        <v>2018</v>
      </c>
      <c r="K108" s="30" t="e">
        <v>#VALUE!</v>
      </c>
      <c r="L108" s="19" t="e">
        <v>#VALUE!</v>
      </c>
      <c r="M108" s="20" t="e">
        <v>#VALUE!</v>
      </c>
      <c r="N108" s="20"/>
      <c r="O108" s="31" t="e">
        <v>#VALUE!</v>
      </c>
      <c r="P108" s="40">
        <v>8760000</v>
      </c>
      <c r="Q108" s="41" t="s">
        <v>1012</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147</v>
      </c>
      <c r="H109" s="18" t="s">
        <v>147</v>
      </c>
      <c r="I109" s="18" t="s">
        <v>346</v>
      </c>
      <c r="J109" s="24">
        <v>2018</v>
      </c>
      <c r="K109" s="30" t="e">
        <v>#VALUE!</v>
      </c>
      <c r="L109" s="19" t="e">
        <v>#VALUE!</v>
      </c>
      <c r="M109" s="20" t="e">
        <v>#VALUE!</v>
      </c>
      <c r="N109" s="20"/>
      <c r="O109" s="31" t="e">
        <v>#VALUE!</v>
      </c>
      <c r="P109" s="40">
        <v>0</v>
      </c>
      <c r="Q109" s="41" t="s">
        <v>1012</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147</v>
      </c>
      <c r="H110" s="18" t="s">
        <v>147</v>
      </c>
      <c r="I110" s="18" t="s">
        <v>344</v>
      </c>
      <c r="J110" s="24">
        <v>2018</v>
      </c>
      <c r="K110" s="30" t="e">
        <v>#VALUE!</v>
      </c>
      <c r="L110" s="19" t="e">
        <v>#VALUE!</v>
      </c>
      <c r="M110" s="20" t="e">
        <v>#VALUE!</v>
      </c>
      <c r="N110" s="20"/>
      <c r="O110" s="31" t="e">
        <v>#VALUE!</v>
      </c>
      <c r="P110" s="40">
        <v>0</v>
      </c>
      <c r="Q110" s="41" t="s">
        <v>1012</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147</v>
      </c>
      <c r="H111" s="18" t="s">
        <v>147</v>
      </c>
      <c r="I111" s="18" t="s">
        <v>160</v>
      </c>
      <c r="J111" s="24">
        <v>2018</v>
      </c>
      <c r="K111" s="30" t="e">
        <v>#VALUE!</v>
      </c>
      <c r="L111" s="19" t="e">
        <v>#VALUE!</v>
      </c>
      <c r="M111" s="20" t="e">
        <v>#VALUE!</v>
      </c>
      <c r="N111" s="20"/>
      <c r="O111" s="31" t="e">
        <v>#VALUE!</v>
      </c>
      <c r="P111" s="40">
        <v>0</v>
      </c>
      <c r="Q111" s="41" t="s">
        <v>1012</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147</v>
      </c>
      <c r="H112" s="18" t="s">
        <v>147</v>
      </c>
      <c r="I112" s="18" t="s">
        <v>161</v>
      </c>
      <c r="J112" s="24">
        <v>2018</v>
      </c>
      <c r="K112" s="30" t="e">
        <v>#VALUE!</v>
      </c>
      <c r="L112" s="19" t="e">
        <v>#VALUE!</v>
      </c>
      <c r="M112" s="20" t="e">
        <v>#VALUE!</v>
      </c>
      <c r="N112" s="20"/>
      <c r="O112" s="31" t="e">
        <v>#VALUE!</v>
      </c>
      <c r="P112" s="40">
        <v>0</v>
      </c>
      <c r="Q112" s="41" t="s">
        <v>1012</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147</v>
      </c>
      <c r="H113" s="18" t="s">
        <v>147</v>
      </c>
      <c r="I113" s="18" t="s">
        <v>162</v>
      </c>
      <c r="J113" s="24">
        <v>2018</v>
      </c>
      <c r="K113" s="30" t="e">
        <v>#VALUE!</v>
      </c>
      <c r="L113" s="19" t="e">
        <v>#VALUE!</v>
      </c>
      <c r="M113" s="20" t="e">
        <v>#VALUE!</v>
      </c>
      <c r="N113" s="20"/>
      <c r="O113" s="31" t="e">
        <v>#VALUE!</v>
      </c>
      <c r="P113" s="40">
        <v>0</v>
      </c>
      <c r="Q113" s="41" t="s">
        <v>1012</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147</v>
      </c>
      <c r="H114" s="18" t="s">
        <v>284</v>
      </c>
      <c r="I114" s="18" t="s">
        <v>1013</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147</v>
      </c>
      <c r="H115" s="18" t="s">
        <v>284</v>
      </c>
      <c r="I115" s="18" t="s">
        <v>917</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139</v>
      </c>
      <c r="H116" s="18" t="s">
        <v>481</v>
      </c>
      <c r="I116" s="18" t="s">
        <v>334</v>
      </c>
      <c r="J116" s="24">
        <v>2018</v>
      </c>
      <c r="K116" s="30" t="e">
        <v>#VALUE!</v>
      </c>
      <c r="L116" s="19" t="e">
        <v>#VALUE!</v>
      </c>
      <c r="M116" s="20" t="e">
        <v>#VALUE!</v>
      </c>
      <c r="N116" s="20"/>
      <c r="O116" s="31" t="e">
        <v>#VALUE!</v>
      </c>
      <c r="P116" s="40">
        <v>0</v>
      </c>
      <c r="Q116" s="41" t="s">
        <v>1012</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139</v>
      </c>
      <c r="H117" s="18" t="s">
        <v>482</v>
      </c>
      <c r="I117" s="18" t="s">
        <v>334</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139</v>
      </c>
      <c r="H118" s="18" t="s">
        <v>483</v>
      </c>
      <c r="I118" s="18" t="s">
        <v>334</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139</v>
      </c>
      <c r="H119" s="18" t="s">
        <v>484</v>
      </c>
      <c r="I119" s="18" t="s">
        <v>334</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136</v>
      </c>
      <c r="H120" s="18" t="s">
        <v>287</v>
      </c>
      <c r="I120" s="18" t="s">
        <v>334</v>
      </c>
      <c r="J120" s="24">
        <v>2018</v>
      </c>
      <c r="K120" s="30" t="e">
        <v>#VALUE!</v>
      </c>
      <c r="L120" s="19" t="e">
        <v>#VALUE!</v>
      </c>
      <c r="M120" s="20" t="e">
        <v>#VALUE!</v>
      </c>
      <c r="N120" s="20"/>
      <c r="O120" s="31" t="e">
        <v>#VALUE!</v>
      </c>
      <c r="P120" s="40">
        <v>0.43631310000000001</v>
      </c>
      <c r="Q120" s="41" t="s">
        <v>1012</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136</v>
      </c>
      <c r="H121" s="18" t="s">
        <v>313</v>
      </c>
      <c r="I121" s="18" t="s">
        <v>334</v>
      </c>
      <c r="J121" s="24">
        <v>2018</v>
      </c>
      <c r="K121" s="30" t="e">
        <v>#VALUE!</v>
      </c>
      <c r="L121" s="19" t="e">
        <v>#VALUE!</v>
      </c>
      <c r="M121" s="20" t="e">
        <v>#VALUE!</v>
      </c>
      <c r="N121" s="20"/>
      <c r="O121" s="31" t="e">
        <v>#VALUE!</v>
      </c>
      <c r="P121" s="40">
        <v>0.43152249999999998</v>
      </c>
      <c r="Q121" s="41" t="s">
        <v>1012</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138</v>
      </c>
      <c r="H122" s="18" t="s">
        <v>476</v>
      </c>
      <c r="I122" s="18" t="s">
        <v>741</v>
      </c>
      <c r="J122" s="24">
        <v>2018</v>
      </c>
      <c r="K122" s="30" t="e">
        <v>#VALUE!</v>
      </c>
      <c r="L122" s="19" t="e">
        <v>#VALUE!</v>
      </c>
      <c r="M122" s="20" t="e">
        <v>#VALUE!</v>
      </c>
      <c r="N122" s="20"/>
      <c r="O122" s="31" t="e">
        <v>#VALUE!</v>
      </c>
      <c r="P122" s="40">
        <v>30.878850979999999</v>
      </c>
      <c r="Q122" s="41" t="s">
        <v>1012</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145</v>
      </c>
      <c r="H123" s="18" t="s">
        <v>307</v>
      </c>
      <c r="I123" s="18" t="s">
        <v>334</v>
      </c>
      <c r="J123" s="24">
        <v>2018</v>
      </c>
      <c r="K123" s="30" t="e">
        <v>#VALUE!</v>
      </c>
      <c r="L123" s="19" t="e">
        <v>#VALUE!</v>
      </c>
      <c r="M123" s="20" t="e">
        <v>#VALUE!</v>
      </c>
      <c r="N123" s="20"/>
      <c r="O123" s="31" t="e">
        <v>#VALUE!</v>
      </c>
      <c r="P123" s="40">
        <v>0</v>
      </c>
      <c r="Q123" s="41" t="s">
        <v>1012</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145</v>
      </c>
      <c r="H124" s="18" t="s">
        <v>292</v>
      </c>
      <c r="I124" s="18" t="s">
        <v>334</v>
      </c>
      <c r="J124" s="24">
        <v>2018</v>
      </c>
      <c r="K124" s="30" t="e">
        <v>#VALUE!</v>
      </c>
      <c r="L124" s="19" t="e">
        <v>#VALUE!</v>
      </c>
      <c r="M124" s="20" t="e">
        <v>#VALUE!</v>
      </c>
      <c r="N124" s="20"/>
      <c r="O124" s="31" t="e">
        <v>#VALUE!</v>
      </c>
      <c r="P124" s="40">
        <v>4953.7021836800004</v>
      </c>
      <c r="Q124" s="41" t="s">
        <v>1012</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150</v>
      </c>
      <c r="H125" s="18" t="s">
        <v>290</v>
      </c>
      <c r="I125" s="18" t="s">
        <v>157</v>
      </c>
      <c r="J125" s="24">
        <v>2018</v>
      </c>
      <c r="K125" s="30" t="e">
        <v>#VALUE!</v>
      </c>
      <c r="L125" s="19" t="e">
        <v>#VALUE!</v>
      </c>
      <c r="M125" s="20" t="e">
        <v>#VALUE!</v>
      </c>
      <c r="N125" s="20"/>
      <c r="O125" s="31" t="e">
        <v>#VALUE!</v>
      </c>
      <c r="P125" s="40">
        <v>2129.8225458500001</v>
      </c>
      <c r="Q125" s="41" t="s">
        <v>1012</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150</v>
      </c>
      <c r="H126" s="18" t="s">
        <v>288</v>
      </c>
      <c r="I126" s="18" t="s">
        <v>157</v>
      </c>
      <c r="J126" s="24">
        <v>2018</v>
      </c>
      <c r="K126" s="30" t="e">
        <v>#VALUE!</v>
      </c>
      <c r="L126" s="19" t="e">
        <v>#VALUE!</v>
      </c>
      <c r="M126" s="20" t="e">
        <v>#VALUE!</v>
      </c>
      <c r="N126" s="20"/>
      <c r="O126" s="31" t="e">
        <v>#VALUE!</v>
      </c>
      <c r="P126" s="40">
        <v>3793.5503881499999</v>
      </c>
      <c r="Q126" s="41" t="s">
        <v>1012</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150</v>
      </c>
      <c r="H127" s="18" t="s">
        <v>289</v>
      </c>
      <c r="I127" s="18" t="s">
        <v>157</v>
      </c>
      <c r="J127" s="24">
        <v>2018</v>
      </c>
      <c r="K127" s="30" t="e">
        <v>#VALUE!</v>
      </c>
      <c r="L127" s="19" t="e">
        <v>#VALUE!</v>
      </c>
      <c r="M127" s="20" t="e">
        <v>#VALUE!</v>
      </c>
      <c r="N127" s="20"/>
      <c r="O127" s="31" t="e">
        <v>#VALUE!</v>
      </c>
      <c r="P127" s="40">
        <v>5709.5283126900003</v>
      </c>
      <c r="Q127" s="41" t="s">
        <v>1012</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469</v>
      </c>
      <c r="H128" s="18" t="s">
        <v>916</v>
      </c>
      <c r="I128" s="18" t="s">
        <v>917</v>
      </c>
      <c r="J128" s="24">
        <v>2018</v>
      </c>
      <c r="K128" s="30" t="e">
        <v>#VALUE!</v>
      </c>
      <c r="L128" s="19" t="e">
        <v>#VALUE!</v>
      </c>
      <c r="M128" s="20" t="e">
        <v>#VALUE!</v>
      </c>
      <c r="N128" s="20"/>
      <c r="O128" s="31" t="e">
        <v>#VALUE!</v>
      </c>
      <c r="P128" s="40">
        <v>0</v>
      </c>
      <c r="Q128" s="41" t="s">
        <v>1012</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469</v>
      </c>
      <c r="H129" s="18" t="s">
        <v>918</v>
      </c>
      <c r="I129" s="18" t="s">
        <v>917</v>
      </c>
      <c r="J129" s="24">
        <v>2018</v>
      </c>
      <c r="K129" s="30" t="e">
        <v>#VALUE!</v>
      </c>
      <c r="L129" s="19" t="e">
        <v>#VALUE!</v>
      </c>
      <c r="M129" s="20" t="e">
        <v>#VALUE!</v>
      </c>
      <c r="N129" s="20"/>
      <c r="O129" s="31" t="e">
        <v>#VALUE!</v>
      </c>
      <c r="P129" s="40">
        <v>0</v>
      </c>
      <c r="Q129" s="41" t="s">
        <v>1012</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469</v>
      </c>
      <c r="H130" s="18" t="s">
        <v>919</v>
      </c>
      <c r="I130" s="18" t="s">
        <v>917</v>
      </c>
      <c r="J130" s="24">
        <v>2018</v>
      </c>
      <c r="K130" s="30" t="e">
        <v>#VALUE!</v>
      </c>
      <c r="L130" s="19" t="e">
        <v>#VALUE!</v>
      </c>
      <c r="M130" s="20" t="e">
        <v>#VALUE!</v>
      </c>
      <c r="N130" s="20"/>
      <c r="O130" s="31" t="e">
        <v>#VALUE!</v>
      </c>
      <c r="P130" s="40">
        <v>0</v>
      </c>
      <c r="Q130" s="41" t="s">
        <v>1012</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469</v>
      </c>
      <c r="H131" s="18" t="s">
        <v>920</v>
      </c>
      <c r="I131" s="18" t="s">
        <v>917</v>
      </c>
      <c r="J131" s="24">
        <v>2018</v>
      </c>
      <c r="K131" s="30" t="e">
        <v>#VALUE!</v>
      </c>
      <c r="L131" s="19" t="e">
        <v>#VALUE!</v>
      </c>
      <c r="M131" s="20" t="e">
        <v>#VALUE!</v>
      </c>
      <c r="N131" s="20"/>
      <c r="O131" s="31" t="e">
        <v>#VALUE!</v>
      </c>
      <c r="P131" s="40">
        <v>0</v>
      </c>
      <c r="Q131" s="41" t="s">
        <v>1012</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159</v>
      </c>
      <c r="H132" s="18" t="s">
        <v>485</v>
      </c>
      <c r="I132" s="18" t="s">
        <v>334</v>
      </c>
      <c r="J132" s="24">
        <v>2018</v>
      </c>
      <c r="K132" s="30" t="e">
        <v>#VALUE!</v>
      </c>
      <c r="L132" s="19" t="e">
        <v>#VALUE!</v>
      </c>
      <c r="M132" s="20" t="e">
        <v>#VALUE!</v>
      </c>
      <c r="N132" s="20"/>
      <c r="O132" s="31" t="e">
        <v>#VALUE!</v>
      </c>
      <c r="P132" s="40">
        <v>0</v>
      </c>
      <c r="Q132" s="41" t="s">
        <v>1012</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491</v>
      </c>
      <c r="H133" s="18" t="s">
        <v>492</v>
      </c>
      <c r="I133" s="18" t="s">
        <v>334</v>
      </c>
      <c r="J133" s="24">
        <v>2018</v>
      </c>
      <c r="K133" s="30" t="e">
        <v>#VALUE!</v>
      </c>
      <c r="L133" s="19" t="e">
        <v>#VALUE!</v>
      </c>
      <c r="M133" s="20" t="e">
        <v>#VALUE!</v>
      </c>
      <c r="N133" s="20"/>
      <c r="O133" s="31" t="e">
        <v>#VALUE!</v>
      </c>
      <c r="P133" s="40">
        <v>0</v>
      </c>
      <c r="Q133" s="41" t="s">
        <v>1012</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479</v>
      </c>
      <c r="H134" s="18" t="s">
        <v>480</v>
      </c>
      <c r="I134" s="18" t="s">
        <v>334</v>
      </c>
      <c r="J134" s="24">
        <v>2018</v>
      </c>
      <c r="K134" s="30" t="e">
        <v>#VALUE!</v>
      </c>
      <c r="L134" s="19" t="e">
        <v>#VALUE!</v>
      </c>
      <c r="M134" s="20" t="e">
        <v>#VALUE!</v>
      </c>
      <c r="N134" s="20"/>
      <c r="O134" s="31" t="e">
        <v>#VALUE!</v>
      </c>
      <c r="P134" s="40">
        <v>0</v>
      </c>
      <c r="Q134" s="41" t="s">
        <v>1012</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152</v>
      </c>
      <c r="H135" s="18" t="s">
        <v>1014</v>
      </c>
      <c r="I135" s="18" t="s">
        <v>157</v>
      </c>
      <c r="J135" s="24">
        <v>2018</v>
      </c>
      <c r="K135" s="30" t="e">
        <v>#VALUE!</v>
      </c>
      <c r="L135" s="19" t="e">
        <v>#VALUE!</v>
      </c>
      <c r="M135" s="20" t="e">
        <v>#VALUE!</v>
      </c>
      <c r="N135" s="20"/>
      <c r="O135" s="31" t="e">
        <v>#VALUE!</v>
      </c>
      <c r="P135" s="40">
        <v>1083.3729312400001</v>
      </c>
      <c r="Q135" s="41" t="s">
        <v>1012</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152</v>
      </c>
      <c r="H136" s="18" t="s">
        <v>1014</v>
      </c>
      <c r="I136" s="18" t="s">
        <v>158</v>
      </c>
      <c r="J136" s="24">
        <v>2018</v>
      </c>
      <c r="K136" s="30" t="e">
        <v>#VALUE!</v>
      </c>
      <c r="L136" s="19" t="e">
        <v>#VALUE!</v>
      </c>
      <c r="M136" s="20" t="e">
        <v>#VALUE!</v>
      </c>
      <c r="N136" s="20"/>
      <c r="O136" s="31" t="e">
        <v>#VALUE!</v>
      </c>
      <c r="P136" s="40">
        <v>348.34607240000003</v>
      </c>
      <c r="Q136" s="41" t="s">
        <v>1012</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152</v>
      </c>
      <c r="H137" s="18" t="s">
        <v>1015</v>
      </c>
      <c r="I137" s="18" t="s">
        <v>157</v>
      </c>
      <c r="J137" s="24">
        <v>2018</v>
      </c>
      <c r="K137" s="30" t="e">
        <v>#VALUE!</v>
      </c>
      <c r="L137" s="19" t="e">
        <v>#VALUE!</v>
      </c>
      <c r="M137" s="20" t="e">
        <v>#VALUE!</v>
      </c>
      <c r="N137" s="20"/>
      <c r="O137" s="31" t="e">
        <v>#VALUE!</v>
      </c>
      <c r="P137" s="40">
        <v>0</v>
      </c>
      <c r="Q137" s="41" t="s">
        <v>1012</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152</v>
      </c>
      <c r="H138" s="18" t="s">
        <v>1015</v>
      </c>
      <c r="I138" s="18" t="s">
        <v>158</v>
      </c>
      <c r="J138" s="24">
        <v>2018</v>
      </c>
      <c r="K138" s="30" t="e">
        <v>#VALUE!</v>
      </c>
      <c r="L138" s="19" t="e">
        <v>#VALUE!</v>
      </c>
      <c r="M138" s="20" t="e">
        <v>#VALUE!</v>
      </c>
      <c r="N138" s="20"/>
      <c r="O138" s="31" t="e">
        <v>#VALUE!</v>
      </c>
      <c r="P138" s="40">
        <v>469.02860042999998</v>
      </c>
      <c r="Q138" s="41" t="s">
        <v>1012</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142</v>
      </c>
      <c r="H139" s="18" t="s">
        <v>486</v>
      </c>
      <c r="I139" s="18" t="s">
        <v>487</v>
      </c>
      <c r="J139" s="24">
        <v>2018</v>
      </c>
      <c r="K139" s="30" t="e">
        <v>#VALUE!</v>
      </c>
      <c r="L139" s="19" t="e">
        <v>#VALUE!</v>
      </c>
      <c r="M139" s="20" t="e">
        <v>#VALUE!</v>
      </c>
      <c r="N139" s="20"/>
      <c r="O139" s="31" t="e">
        <v>#VALUE!</v>
      </c>
      <c r="P139" s="40">
        <v>7843317.8330154298</v>
      </c>
      <c r="Q139" s="41" t="s">
        <v>1012</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488</v>
      </c>
      <c r="H140" s="18" t="s">
        <v>489</v>
      </c>
      <c r="I140" s="18" t="s">
        <v>334</v>
      </c>
      <c r="J140" s="24">
        <v>2018</v>
      </c>
      <c r="K140" s="30" t="e">
        <v>#VALUE!</v>
      </c>
      <c r="L140" s="19" t="e">
        <v>#VALUE!</v>
      </c>
      <c r="M140" s="20" t="e">
        <v>#VALUE!</v>
      </c>
      <c r="N140" s="20"/>
      <c r="O140" s="31" t="e">
        <v>#VALUE!</v>
      </c>
      <c r="P140" s="40">
        <v>0</v>
      </c>
      <c r="Q140" s="41" t="s">
        <v>1012</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488</v>
      </c>
      <c r="H141" s="18" t="s">
        <v>490</v>
      </c>
      <c r="I141" s="18" t="s">
        <v>334</v>
      </c>
      <c r="J141" s="24">
        <v>2018</v>
      </c>
      <c r="K141" s="30" t="e">
        <v>#VALUE!</v>
      </c>
      <c r="L141" s="19" t="e">
        <v>#VALUE!</v>
      </c>
      <c r="M141" s="20" t="e">
        <v>#VALUE!</v>
      </c>
      <c r="N141" s="20"/>
      <c r="O141" s="31" t="e">
        <v>#VALUE!</v>
      </c>
      <c r="P141" s="40">
        <v>0</v>
      </c>
      <c r="Q141" s="41" t="s">
        <v>1012</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137</v>
      </c>
      <c r="H142" s="18" t="s">
        <v>296</v>
      </c>
      <c r="I142" s="18" t="s">
        <v>362</v>
      </c>
      <c r="J142" s="24">
        <v>2018</v>
      </c>
      <c r="K142" s="30" t="e">
        <v>#VALUE!</v>
      </c>
      <c r="L142" s="19" t="e">
        <v>#VALUE!</v>
      </c>
      <c r="M142" s="20" t="e">
        <v>#VALUE!</v>
      </c>
      <c r="N142" s="20"/>
      <c r="O142" s="31" t="e">
        <v>#VALUE!</v>
      </c>
      <c r="P142" s="40">
        <v>0.16466685</v>
      </c>
      <c r="Q142" s="41" t="s">
        <v>1012</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137</v>
      </c>
      <c r="H143" s="18" t="s">
        <v>304</v>
      </c>
      <c r="I143" s="18" t="s">
        <v>1016</v>
      </c>
      <c r="J143" s="24">
        <v>2018</v>
      </c>
      <c r="K143" s="30" t="e">
        <v>#VALUE!</v>
      </c>
      <c r="L143" s="19" t="e">
        <v>#VALUE!</v>
      </c>
      <c r="M143" s="20" t="e">
        <v>#VALUE!</v>
      </c>
      <c r="N143" s="20"/>
      <c r="O143" s="31" t="e">
        <v>#VALUE!</v>
      </c>
      <c r="P143" s="40">
        <v>0.31790055</v>
      </c>
      <c r="Q143" s="41" t="s">
        <v>1012</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137</v>
      </c>
      <c r="H144" s="18" t="s">
        <v>310</v>
      </c>
      <c r="I144" s="18" t="s">
        <v>375</v>
      </c>
      <c r="J144" s="24">
        <v>2018</v>
      </c>
      <c r="K144" s="30" t="e">
        <v>#VALUE!</v>
      </c>
      <c r="L144" s="19" t="e">
        <v>#VALUE!</v>
      </c>
      <c r="M144" s="20" t="e">
        <v>#VALUE!</v>
      </c>
      <c r="N144" s="20"/>
      <c r="O144" s="31" t="e">
        <v>#VALUE!</v>
      </c>
      <c r="P144" s="40">
        <v>0.20878674999999999</v>
      </c>
      <c r="Q144" s="41" t="s">
        <v>1012</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137</v>
      </c>
      <c r="H145" s="18" t="s">
        <v>328</v>
      </c>
      <c r="I145" s="18" t="s">
        <v>1017</v>
      </c>
      <c r="J145" s="24">
        <v>2018</v>
      </c>
      <c r="K145" s="30" t="e">
        <v>#VALUE!</v>
      </c>
      <c r="L145" s="19" t="e">
        <v>#VALUE!</v>
      </c>
      <c r="M145" s="20" t="e">
        <v>#VALUE!</v>
      </c>
      <c r="N145" s="20"/>
      <c r="O145" s="31" t="e">
        <v>#VALUE!</v>
      </c>
      <c r="P145" s="40">
        <v>0.16850598999999999</v>
      </c>
      <c r="Q145" s="41" t="s">
        <v>1012</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149</v>
      </c>
      <c r="H146" s="18" t="s">
        <v>330</v>
      </c>
      <c r="I146" s="18" t="s">
        <v>385</v>
      </c>
      <c r="J146" s="24">
        <v>2018</v>
      </c>
      <c r="K146" s="30" t="e">
        <v>#VALUE!</v>
      </c>
      <c r="L146" s="19" t="e">
        <v>#VALUE!</v>
      </c>
      <c r="M146" s="20" t="e">
        <v>#VALUE!</v>
      </c>
      <c r="N146" s="20"/>
      <c r="O146" s="31" t="e">
        <v>#VALUE!</v>
      </c>
      <c r="P146" s="40">
        <v>379.04190051</v>
      </c>
      <c r="Q146" s="41" t="s">
        <v>1012</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149</v>
      </c>
      <c r="H147" s="18" t="s">
        <v>330</v>
      </c>
      <c r="I147" s="18" t="s">
        <v>386</v>
      </c>
      <c r="J147" s="24">
        <v>2018</v>
      </c>
      <c r="K147" s="30" t="e">
        <v>#VALUE!</v>
      </c>
      <c r="L147" s="19" t="e">
        <v>#VALUE!</v>
      </c>
      <c r="M147" s="20" t="e">
        <v>#VALUE!</v>
      </c>
      <c r="N147" s="20"/>
      <c r="O147" s="31" t="e">
        <v>#VALUE!</v>
      </c>
      <c r="P147" s="40">
        <v>653.46374700000001</v>
      </c>
      <c r="Q147" s="41" t="s">
        <v>1012</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149</v>
      </c>
      <c r="H148" s="18" t="s">
        <v>298</v>
      </c>
      <c r="I148" s="18" t="s">
        <v>1018</v>
      </c>
      <c r="J148" s="24">
        <v>2018</v>
      </c>
      <c r="K148" s="30" t="e">
        <v>#VALUE!</v>
      </c>
      <c r="L148" s="19" t="e">
        <v>#VALUE!</v>
      </c>
      <c r="M148" s="20" t="e">
        <v>#VALUE!</v>
      </c>
      <c r="N148" s="20"/>
      <c r="O148" s="31" t="e">
        <v>#VALUE!</v>
      </c>
      <c r="P148" s="40">
        <v>1045.09411615</v>
      </c>
      <c r="Q148" s="41" t="s">
        <v>1012</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149</v>
      </c>
      <c r="H149" s="18" t="s">
        <v>306</v>
      </c>
      <c r="I149" s="18" t="s">
        <v>357</v>
      </c>
      <c r="J149" s="24">
        <v>2018</v>
      </c>
      <c r="K149" s="30" t="e">
        <v>#VALUE!</v>
      </c>
      <c r="L149" s="19" t="e">
        <v>#VALUE!</v>
      </c>
      <c r="M149" s="20" t="e">
        <v>#VALUE!</v>
      </c>
      <c r="N149" s="20"/>
      <c r="O149" s="31" t="e">
        <v>#VALUE!</v>
      </c>
      <c r="P149" s="40">
        <v>579</v>
      </c>
      <c r="Q149" s="41" t="s">
        <v>1012</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141</v>
      </c>
      <c r="H150" s="18" t="s">
        <v>773</v>
      </c>
      <c r="I150" s="18" t="s">
        <v>333</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144</v>
      </c>
      <c r="H151" s="18" t="s">
        <v>299</v>
      </c>
      <c r="I151" s="18" t="s">
        <v>334</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143</v>
      </c>
      <c r="H152" s="18" t="s">
        <v>323</v>
      </c>
      <c r="I152" s="18" t="s">
        <v>157</v>
      </c>
      <c r="J152" s="24">
        <v>2018</v>
      </c>
      <c r="K152" s="30" t="e">
        <v>#VALUE!</v>
      </c>
      <c r="L152" s="19" t="e">
        <v>#VALUE!</v>
      </c>
      <c r="M152" s="20" t="e">
        <v>#VALUE!</v>
      </c>
      <c r="N152" s="20"/>
      <c r="O152" s="31" t="e">
        <v>#VALUE!</v>
      </c>
      <c r="P152" s="40">
        <v>3.52248743</v>
      </c>
      <c r="Q152" s="41" t="s">
        <v>1012</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143</v>
      </c>
      <c r="H153" s="18" t="s">
        <v>321</v>
      </c>
      <c r="I153" s="18" t="s">
        <v>157</v>
      </c>
      <c r="J153" s="24">
        <v>2018</v>
      </c>
      <c r="K153" s="30" t="e">
        <v>#VALUE!</v>
      </c>
      <c r="L153" s="19" t="e">
        <v>#VALUE!</v>
      </c>
      <c r="M153" s="20" t="e">
        <v>#VALUE!</v>
      </c>
      <c r="N153" s="20"/>
      <c r="O153" s="31" t="e">
        <v>#VALUE!</v>
      </c>
      <c r="P153" s="40">
        <v>-11.234745520000001</v>
      </c>
      <c r="Q153" s="41" t="s">
        <v>1012</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143</v>
      </c>
      <c r="H154" s="18" t="s">
        <v>324</v>
      </c>
      <c r="I154" s="18" t="s">
        <v>157</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143</v>
      </c>
      <c r="H155" s="18" t="s">
        <v>322</v>
      </c>
      <c r="I155" s="18" t="s">
        <v>157</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143</v>
      </c>
      <c r="H156" s="18" t="s">
        <v>324</v>
      </c>
      <c r="I156" s="18" t="s">
        <v>1019</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143</v>
      </c>
      <c r="H157" s="18" t="s">
        <v>322</v>
      </c>
      <c r="I157" s="18" t="s">
        <v>1019</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143</v>
      </c>
      <c r="H158" s="18" t="s">
        <v>323</v>
      </c>
      <c r="I158" s="18" t="s">
        <v>1019</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143</v>
      </c>
      <c r="H159" s="18" t="s">
        <v>321</v>
      </c>
      <c r="I159" s="18" t="s">
        <v>1019</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148</v>
      </c>
      <c r="H160" s="18" t="s">
        <v>676</v>
      </c>
      <c r="I160" s="18" t="s">
        <v>157</v>
      </c>
      <c r="J160" s="24">
        <v>2018</v>
      </c>
      <c r="K160" s="30" t="e">
        <v>#VALUE!</v>
      </c>
      <c r="L160" s="19" t="e">
        <v>#VALUE!</v>
      </c>
      <c r="M160" s="20" t="e">
        <v>#VALUE!</v>
      </c>
      <c r="N160" s="20"/>
      <c r="O160" s="31" t="e">
        <v>#VALUE!</v>
      </c>
      <c r="P160" s="40">
        <v>8.1375121000000004</v>
      </c>
      <c r="Q160" s="41" t="s">
        <v>1012</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148</v>
      </c>
      <c r="H161" s="18" t="s">
        <v>677</v>
      </c>
      <c r="I161" s="18" t="s">
        <v>157</v>
      </c>
      <c r="J161" s="24">
        <v>2018</v>
      </c>
      <c r="K161" s="30" t="e">
        <v>#VALUE!</v>
      </c>
      <c r="L161" s="19" t="e">
        <v>#VALUE!</v>
      </c>
      <c r="M161" s="20" t="e">
        <v>#VALUE!</v>
      </c>
      <c r="N161" s="20"/>
      <c r="O161" s="31" t="e">
        <v>#VALUE!</v>
      </c>
      <c r="P161" s="40">
        <v>12.24773081</v>
      </c>
      <c r="Q161" s="41" t="s">
        <v>1012</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148</v>
      </c>
      <c r="H162" s="18" t="s">
        <v>300</v>
      </c>
      <c r="I162" s="18" t="s">
        <v>157</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148</v>
      </c>
      <c r="H163" s="18" t="s">
        <v>301</v>
      </c>
      <c r="I163" s="18" t="s">
        <v>157</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153</v>
      </c>
      <c r="H164" s="18" t="s">
        <v>311</v>
      </c>
      <c r="I164" s="18" t="s">
        <v>363</v>
      </c>
      <c r="J164" s="24">
        <v>2018</v>
      </c>
      <c r="K164" s="30" t="e">
        <v>#VALUE!</v>
      </c>
      <c r="L164" s="19" t="e">
        <v>#VALUE!</v>
      </c>
      <c r="M164" s="20" t="e">
        <v>#VALUE!</v>
      </c>
      <c r="N164" s="20"/>
      <c r="O164" s="31" t="e">
        <v>#VALUE!</v>
      </c>
      <c r="P164" s="40">
        <v>1195</v>
      </c>
      <c r="Q164" s="41" t="s">
        <v>1012</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153</v>
      </c>
      <c r="H165" s="18" t="s">
        <v>329</v>
      </c>
      <c r="I165" s="18" t="s">
        <v>363</v>
      </c>
      <c r="J165" s="24">
        <v>2018</v>
      </c>
      <c r="K165" s="30" t="e">
        <v>#VALUE!</v>
      </c>
      <c r="L165" s="19" t="e">
        <v>#VALUE!</v>
      </c>
      <c r="M165" s="20" t="e">
        <v>#VALUE!</v>
      </c>
      <c r="N165" s="20"/>
      <c r="O165" s="31" t="e">
        <v>#VALUE!</v>
      </c>
      <c r="P165" s="40">
        <v>994</v>
      </c>
      <c r="Q165" s="41" t="s">
        <v>1012</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153</v>
      </c>
      <c r="H166" s="18" t="s">
        <v>295</v>
      </c>
      <c r="I166" s="18" t="s">
        <v>356</v>
      </c>
      <c r="J166" s="24">
        <v>2018</v>
      </c>
      <c r="K166" s="30" t="e">
        <v>#VALUE!</v>
      </c>
      <c r="L166" s="19" t="e">
        <v>#VALUE!</v>
      </c>
      <c r="M166" s="20" t="e">
        <v>#VALUE!</v>
      </c>
      <c r="N166" s="20"/>
      <c r="O166" s="31" t="e">
        <v>#VALUE!</v>
      </c>
      <c r="P166" s="40">
        <v>0</v>
      </c>
      <c r="Q166" s="41" t="s">
        <v>1012</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153</v>
      </c>
      <c r="H167" s="18" t="s">
        <v>295</v>
      </c>
      <c r="I167" s="18" t="s">
        <v>357</v>
      </c>
      <c r="J167" s="24">
        <v>2018</v>
      </c>
      <c r="K167" s="30" t="e">
        <v>#VALUE!</v>
      </c>
      <c r="L167" s="19" t="e">
        <v>#VALUE!</v>
      </c>
      <c r="M167" s="20" t="e">
        <v>#VALUE!</v>
      </c>
      <c r="N167" s="20"/>
      <c r="O167" s="31" t="e">
        <v>#VALUE!</v>
      </c>
      <c r="P167" s="40">
        <v>1007</v>
      </c>
      <c r="Q167" s="41" t="s">
        <v>1012</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153</v>
      </c>
      <c r="H168" s="18" t="s">
        <v>303</v>
      </c>
      <c r="I168" s="18" t="s">
        <v>357</v>
      </c>
      <c r="J168" s="24">
        <v>2018</v>
      </c>
      <c r="K168" s="30" t="e">
        <v>#VALUE!</v>
      </c>
      <c r="L168" s="19" t="e">
        <v>#VALUE!</v>
      </c>
      <c r="M168" s="20" t="e">
        <v>#VALUE!</v>
      </c>
      <c r="N168" s="20"/>
      <c r="O168" s="31" t="e">
        <v>#VALUE!</v>
      </c>
      <c r="P168" s="40">
        <v>363</v>
      </c>
      <c r="Q168" s="41" t="s">
        <v>1012</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153</v>
      </c>
      <c r="H169" s="18" t="s">
        <v>303</v>
      </c>
      <c r="I169" s="18" t="s">
        <v>367</v>
      </c>
      <c r="J169" s="24">
        <v>2018</v>
      </c>
      <c r="K169" s="30" t="e">
        <v>#VALUE!</v>
      </c>
      <c r="L169" s="19" t="e">
        <v>#VALUE!</v>
      </c>
      <c r="M169" s="20" t="e">
        <v>#VALUE!</v>
      </c>
      <c r="N169" s="20"/>
      <c r="O169" s="31" t="e">
        <v>#VALUE!</v>
      </c>
      <c r="P169" s="40">
        <v>5</v>
      </c>
      <c r="Q169" s="41" t="s">
        <v>1012</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153</v>
      </c>
      <c r="H170" s="18" t="s">
        <v>309</v>
      </c>
      <c r="I170" s="18" t="s">
        <v>943</v>
      </c>
      <c r="J170" s="24">
        <v>2018</v>
      </c>
      <c r="K170" s="30" t="e">
        <v>#VALUE!</v>
      </c>
      <c r="L170" s="19" t="e">
        <v>#VALUE!</v>
      </c>
      <c r="M170" s="20" t="e">
        <v>#VALUE!</v>
      </c>
      <c r="N170" s="20"/>
      <c r="O170" s="31" t="e">
        <v>#VALUE!</v>
      </c>
      <c r="P170" s="40">
        <v>266</v>
      </c>
      <c r="Q170" s="41" t="s">
        <v>1012</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153</v>
      </c>
      <c r="H171" s="18" t="s">
        <v>309</v>
      </c>
      <c r="I171" s="18" t="s">
        <v>944</v>
      </c>
      <c r="J171" s="24">
        <v>2018</v>
      </c>
      <c r="K171" s="30" t="e">
        <v>#VALUE!</v>
      </c>
      <c r="L171" s="19" t="e">
        <v>#VALUE!</v>
      </c>
      <c r="M171" s="20" t="e">
        <v>#VALUE!</v>
      </c>
      <c r="N171" s="20"/>
      <c r="O171" s="31" t="e">
        <v>#VALUE!</v>
      </c>
      <c r="P171" s="40">
        <v>444.824682</v>
      </c>
      <c r="Q171" s="41" t="s">
        <v>1012</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153</v>
      </c>
      <c r="H172" s="18" t="s">
        <v>327</v>
      </c>
      <c r="I172" s="18" t="s">
        <v>385</v>
      </c>
      <c r="J172" s="24">
        <v>2018</v>
      </c>
      <c r="K172" s="30" t="e">
        <v>#VALUE!</v>
      </c>
      <c r="L172" s="19" t="e">
        <v>#VALUE!</v>
      </c>
      <c r="M172" s="20" t="e">
        <v>#VALUE!</v>
      </c>
      <c r="N172" s="20"/>
      <c r="O172" s="31" t="e">
        <v>#VALUE!</v>
      </c>
      <c r="P172" s="40">
        <v>225.30855</v>
      </c>
      <c r="Q172" s="41" t="s">
        <v>1012</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153</v>
      </c>
      <c r="H173" s="18" t="s">
        <v>327</v>
      </c>
      <c r="I173" s="18" t="s">
        <v>386</v>
      </c>
      <c r="J173" s="24">
        <v>2018</v>
      </c>
      <c r="K173" s="30" t="e">
        <v>#VALUE!</v>
      </c>
      <c r="L173" s="19" t="e">
        <v>#VALUE!</v>
      </c>
      <c r="M173" s="20" t="e">
        <v>#VALUE!</v>
      </c>
      <c r="N173" s="20"/>
      <c r="O173" s="31" t="e">
        <v>#VALUE!</v>
      </c>
      <c r="P173" s="40">
        <v>101</v>
      </c>
      <c r="Q173" s="41" t="s">
        <v>1012</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153</v>
      </c>
      <c r="H174" s="18" t="s">
        <v>297</v>
      </c>
      <c r="I174" s="18" t="s">
        <v>363</v>
      </c>
      <c r="J174" s="24">
        <v>2018</v>
      </c>
      <c r="K174" s="30" t="e">
        <v>#VALUE!</v>
      </c>
      <c r="L174" s="19" t="e">
        <v>#VALUE!</v>
      </c>
      <c r="M174" s="20" t="e">
        <v>#VALUE!</v>
      </c>
      <c r="N174" s="20"/>
      <c r="O174" s="31" t="e">
        <v>#VALUE!</v>
      </c>
      <c r="P174" s="40">
        <v>1947</v>
      </c>
      <c r="Q174" s="41" t="s">
        <v>1012</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153</v>
      </c>
      <c r="H175" s="18" t="s">
        <v>305</v>
      </c>
      <c r="I175" s="18" t="s">
        <v>363</v>
      </c>
      <c r="J175" s="24">
        <v>2018</v>
      </c>
      <c r="K175" s="30" t="e">
        <v>#VALUE!</v>
      </c>
      <c r="L175" s="19" t="e">
        <v>#VALUE!</v>
      </c>
      <c r="M175" s="20" t="e">
        <v>#VALUE!</v>
      </c>
      <c r="N175" s="20"/>
      <c r="O175" s="31" t="e">
        <v>#VALUE!</v>
      </c>
      <c r="P175" s="40">
        <v>486</v>
      </c>
      <c r="Q175" s="41" t="s">
        <v>1012</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153</v>
      </c>
      <c r="H176" s="18" t="s">
        <v>931</v>
      </c>
      <c r="I176" s="18" t="s">
        <v>927</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153</v>
      </c>
      <c r="H177" s="18" t="s">
        <v>932</v>
      </c>
      <c r="I177" s="18" t="s">
        <v>927</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153</v>
      </c>
      <c r="H178" s="18" t="s">
        <v>933</v>
      </c>
      <c r="I178" s="18" t="s">
        <v>927</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153</v>
      </c>
      <c r="H179" s="18" t="s">
        <v>934</v>
      </c>
      <c r="I179" s="18" t="s">
        <v>927</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153</v>
      </c>
      <c r="H180" s="18" t="s">
        <v>935</v>
      </c>
      <c r="I180" s="18" t="s">
        <v>927</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153</v>
      </c>
      <c r="H181" s="18" t="s">
        <v>926</v>
      </c>
      <c r="I181" s="18" t="s">
        <v>927</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153</v>
      </c>
      <c r="H182" s="18" t="s">
        <v>928</v>
      </c>
      <c r="I182" s="18" t="s">
        <v>927</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153</v>
      </c>
      <c r="H183" s="18" t="s">
        <v>929</v>
      </c>
      <c r="I183" s="18" t="s">
        <v>927</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153</v>
      </c>
      <c r="H184" s="18" t="s">
        <v>930</v>
      </c>
      <c r="I184" s="18" t="s">
        <v>927</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153</v>
      </c>
      <c r="H185" s="18" t="s">
        <v>309</v>
      </c>
      <c r="I185" s="18" t="s">
        <v>810</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153</v>
      </c>
      <c r="H186" s="18" t="s">
        <v>498</v>
      </c>
      <c r="I186" s="18" t="s">
        <v>917</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153</v>
      </c>
      <c r="H187" s="18" t="s">
        <v>499</v>
      </c>
      <c r="I187" s="18" t="s">
        <v>917</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154</v>
      </c>
      <c r="H188" s="18" t="s">
        <v>683</v>
      </c>
      <c r="I188" s="18" t="s">
        <v>684</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154</v>
      </c>
      <c r="H189" s="18" t="s">
        <v>279</v>
      </c>
      <c r="I189" s="18" t="s">
        <v>332</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154</v>
      </c>
      <c r="H190" s="18" t="s">
        <v>294</v>
      </c>
      <c r="I190" s="18" t="s">
        <v>352</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154</v>
      </c>
      <c r="H191" s="18" t="s">
        <v>316</v>
      </c>
      <c r="I191" s="18" t="s">
        <v>381</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154</v>
      </c>
      <c r="H192" s="18" t="s">
        <v>316</v>
      </c>
      <c r="I192" s="18" t="s">
        <v>351</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154</v>
      </c>
      <c r="H193" s="18" t="s">
        <v>156</v>
      </c>
      <c r="I193" s="18" t="s">
        <v>917</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154</v>
      </c>
      <c r="H194" s="18" t="s">
        <v>156</v>
      </c>
      <c r="I194" s="18" t="s">
        <v>163</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154</v>
      </c>
      <c r="H195" s="18" t="s">
        <v>156</v>
      </c>
      <c r="I195" s="18" t="s">
        <v>164</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154</v>
      </c>
      <c r="H196" s="18" t="s">
        <v>326</v>
      </c>
      <c r="I196" s="18" t="s">
        <v>917</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154</v>
      </c>
      <c r="H197" s="18" t="s">
        <v>282</v>
      </c>
      <c r="I197" s="18" t="s">
        <v>1013</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154</v>
      </c>
      <c r="H198" s="18" t="s">
        <v>282</v>
      </c>
      <c r="I198" s="18" t="s">
        <v>917</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154</v>
      </c>
      <c r="H199" s="18" t="s">
        <v>282</v>
      </c>
      <c r="I199" s="18" t="s">
        <v>335</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154</v>
      </c>
      <c r="H200" s="18" t="s">
        <v>286</v>
      </c>
      <c r="I200" s="18" t="s">
        <v>917</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154</v>
      </c>
      <c r="H201" s="18" t="s">
        <v>286</v>
      </c>
      <c r="I201" s="18" t="s">
        <v>1013</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154</v>
      </c>
      <c r="H202" s="18" t="s">
        <v>512</v>
      </c>
      <c r="I202" s="18" t="s">
        <v>917</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154</v>
      </c>
      <c r="H203" s="18" t="s">
        <v>294</v>
      </c>
      <c r="I203" s="18" t="s">
        <v>917</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151</v>
      </c>
      <c r="H204" s="18" t="s">
        <v>283</v>
      </c>
      <c r="I204" s="18" t="s">
        <v>336</v>
      </c>
      <c r="J204" s="24">
        <v>2018</v>
      </c>
      <c r="K204" s="30" t="e">
        <v>#VALUE!</v>
      </c>
      <c r="L204" s="19" t="e">
        <v>#VALUE!</v>
      </c>
      <c r="M204" s="20" t="e">
        <v>#VALUE!</v>
      </c>
      <c r="N204" s="20"/>
      <c r="O204" s="31" t="e">
        <v>#VALUE!</v>
      </c>
      <c r="P204" s="40">
        <v>54.425781999999998</v>
      </c>
      <c r="Q204" s="41" t="s">
        <v>1012</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151</v>
      </c>
      <c r="H205" s="18" t="s">
        <v>283</v>
      </c>
      <c r="I205" s="18" t="s">
        <v>337</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151</v>
      </c>
      <c r="H206" s="18" t="s">
        <v>283</v>
      </c>
      <c r="I206" s="18" t="s">
        <v>338</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151</v>
      </c>
      <c r="H207" s="18" t="s">
        <v>283</v>
      </c>
      <c r="I207" s="18" t="s">
        <v>339</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151</v>
      </c>
      <c r="H208" s="18" t="s">
        <v>283</v>
      </c>
      <c r="I208" s="18" t="s">
        <v>340</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151</v>
      </c>
      <c r="H209" s="22" t="s">
        <v>283</v>
      </c>
      <c r="I209" s="22" t="s">
        <v>341</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135</v>
      </c>
    </row>
    <row r="211" spans="1:20" ht="12.75" hidden="1" customHeight="1">
      <c r="A211" s="8" t="s">
        <v>97</v>
      </c>
    </row>
    <row r="212" spans="1:20" ht="12.75" hidden="1" customHeight="1">
      <c r="A212" s="8" t="s">
        <v>98</v>
      </c>
    </row>
    <row r="213" spans="1:20" ht="12.75" hidden="1" customHeight="1">
      <c r="A213" s="8" t="s">
        <v>99</v>
      </c>
    </row>
  </sheetData>
  <autoFilter ref="A3:AB213" xr:uid="{00000000-0009-0000-0000-000024000000}">
    <filterColumn colId="6">
      <filters>
        <filter val="Other Non-Residential Standards"/>
      </filters>
    </filterColumn>
  </autoFilter>
  <sortState xmlns:xlrd2="http://schemas.microsoft.com/office/spreadsheetml/2017/richdata2"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9"/>
  <sheetViews>
    <sheetView showGridLines="0" workbookViewId="0">
      <selection activeCell="A7" sqref="A7"/>
    </sheetView>
  </sheetViews>
  <sheetFormatPr defaultColWidth="9.140625" defaultRowHeight="15"/>
  <cols>
    <col min="1" max="1" width="34.7109375" style="895" customWidth="1"/>
    <col min="2" max="2" width="81.7109375" style="895" bestFit="1" customWidth="1"/>
    <col min="3" max="16384" width="9.140625" style="895"/>
  </cols>
  <sheetData>
    <row r="1" spans="1:2">
      <c r="A1" s="1311" t="s">
        <v>848</v>
      </c>
      <c r="B1" s="1311"/>
    </row>
    <row r="2" spans="1:2" s="270" customFormat="1" ht="12.75"/>
    <row r="3" spans="1:2" s="270" customFormat="1">
      <c r="A3" s="1394" t="s">
        <v>1499</v>
      </c>
      <c r="B3" s="1338" t="s">
        <v>3283</v>
      </c>
    </row>
    <row r="4" spans="1:2" s="270" customFormat="1">
      <c r="A4" s="1395" t="s">
        <v>1493</v>
      </c>
      <c r="B4" s="1339" t="s">
        <v>3281</v>
      </c>
    </row>
    <row r="5" spans="1:2" s="270" customFormat="1">
      <c r="A5" s="1395" t="s">
        <v>1494</v>
      </c>
      <c r="B5" s="1339" t="s">
        <v>3282</v>
      </c>
    </row>
    <row r="6" spans="1:2" s="270" customFormat="1">
      <c r="A6" s="2267" t="s">
        <v>1253</v>
      </c>
      <c r="B6" s="1339" t="s">
        <v>1347</v>
      </c>
    </row>
    <row r="7" spans="1:2" s="270" customFormat="1">
      <c r="A7" s="2267" t="s">
        <v>3053</v>
      </c>
      <c r="B7" s="1339" t="s">
        <v>3054</v>
      </c>
    </row>
    <row r="8" spans="1:2" s="270" customFormat="1">
      <c r="A8" s="2267" t="s">
        <v>855</v>
      </c>
      <c r="B8" s="1339" t="s">
        <v>1348</v>
      </c>
    </row>
    <row r="9" spans="1:2" s="270" customFormat="1">
      <c r="A9" s="2271" t="s">
        <v>849</v>
      </c>
      <c r="B9" s="1340" t="s">
        <v>850</v>
      </c>
    </row>
    <row r="10" spans="1:2" s="270" customFormat="1">
      <c r="A10" s="2272"/>
      <c r="B10" s="1341" t="s">
        <v>851</v>
      </c>
    </row>
    <row r="11" spans="1:2" s="270" customFormat="1">
      <c r="A11" s="2272"/>
      <c r="B11" s="1341" t="s">
        <v>852</v>
      </c>
    </row>
    <row r="12" spans="1:2" s="270" customFormat="1">
      <c r="A12" s="2272"/>
      <c r="B12" s="1341" t="s">
        <v>853</v>
      </c>
    </row>
    <row r="13" spans="1:2" s="270" customFormat="1">
      <c r="A13" s="2273"/>
      <c r="B13" s="1341" t="s">
        <v>854</v>
      </c>
    </row>
    <row r="14" spans="1:2">
      <c r="A14" s="270"/>
      <c r="B14" s="270"/>
    </row>
    <row r="15" spans="1:2">
      <c r="A15" s="1312"/>
      <c r="B15" s="590"/>
    </row>
    <row r="16" spans="1:2">
      <c r="A16" s="1313"/>
      <c r="B16" s="1313"/>
    </row>
    <row r="17" spans="1:2">
      <c r="A17" s="1313"/>
      <c r="B17" s="1313"/>
    </row>
    <row r="18" spans="1:2">
      <c r="A18" s="1313"/>
      <c r="B18" s="1313"/>
    </row>
    <row r="19" spans="1:2">
      <c r="A19" s="1313"/>
      <c r="B19" s="1313"/>
    </row>
  </sheetData>
  <mergeCells count="1">
    <mergeCell ref="A9:A13"/>
  </mergeCells>
  <phoneticPr fontId="183" type="noConversion"/>
  <hyperlinks>
    <hyperlink ref="A3" location="'Summary ALL'!A1" display="Summary Table" xr:uid="{324C4FB4-CED8-438F-AE8C-A3633F99BD61}"/>
    <hyperlink ref="A4" location="'Summary Program Measures'!A1" display="Program Measures Summary" xr:uid="{EBD4D8F9-65D4-48DF-91B3-BD4470570C86}"/>
    <hyperlink ref="A5" location="'Summary Codes and Stds'!A1" display="Codes and Stds Summary" xr:uid="{7149E777-D050-48D4-B966-4A680BEAD42A}"/>
    <hyperlink ref="A6" location="'C&amp;S List'!A1" display="C&amp;S List" xr:uid="{62C6A56E-D909-45D3-A4C8-7D9189B540EE}"/>
    <hyperlink ref="A7" location="'Funder Share Table'!A1" display="Funder Share Table" xr:uid="{85099E3E-86EA-4A56-A465-B1451DE544DF}"/>
    <hyperlink ref="A8" location="Methodology!A1" display="Methodology" xr:uid="{75E936DE-7F67-48EF-A36B-93FADF08E78C}"/>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8CC646"/>
  </sheetPr>
  <dimension ref="A1:Q65"/>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6384" width="9.28515625" style="270"/>
  </cols>
  <sheetData>
    <row r="1" spans="1:13" ht="15">
      <c r="A1" s="461" t="str">
        <f>Selection!A2</f>
        <v>Puget Sound Energy</v>
      </c>
    </row>
    <row r="2" spans="1:13" ht="15" hidden="1">
      <c r="A2" s="769" t="s">
        <v>1221</v>
      </c>
      <c r="B2" s="270">
        <f>' Summary by Program 2020-21'!AI8</f>
        <v>0</v>
      </c>
    </row>
    <row r="3" spans="1:13" ht="13.5" hidden="1" thickBot="1">
      <c r="A3" s="463" t="s">
        <v>234</v>
      </c>
      <c r="B3" s="464">
        <v>2020</v>
      </c>
      <c r="C3" s="464">
        <v>2019</v>
      </c>
      <c r="D3" s="464" t="s">
        <v>1025</v>
      </c>
    </row>
    <row r="4" spans="1:13" ht="13.5" hidden="1" thickTop="1">
      <c r="A4" s="465" t="str">
        <f>' Summary by Program'!K5</f>
        <v>Program Measures</v>
      </c>
      <c r="B4" s="462" t="e">
        <f ca="1">' Summary by Program 2020-21'!W38</f>
        <v>#REF!</v>
      </c>
      <c r="C4" s="462" t="e">
        <f ca="1">' Summary by Program 2020-21'!AC38</f>
        <v>#REF!</v>
      </c>
      <c r="D4" s="462" t="e">
        <f ca="1">' Summary by Program 2020-21'!L38</f>
        <v>#REF!</v>
      </c>
      <c r="F4" s="459" t="e">
        <f ca="1">B4+C4</f>
        <v>#REF!</v>
      </c>
    </row>
    <row r="5" spans="1:13" hidden="1">
      <c r="A5" s="466" t="str">
        <f>' Summary by Program'!N5</f>
        <v>Codes &amp; Standards Measures</v>
      </c>
      <c r="B5" s="460" t="e">
        <f ca="1">' Summary by Program 2020-21'!Y38</f>
        <v>#REF!</v>
      </c>
      <c r="C5" s="460" t="e">
        <f ca="1">' Summary by Program 2020-21'!AE38</f>
        <v>#REF!</v>
      </c>
      <c r="D5" s="460" t="e">
        <f ca="1">' Summary by Program 2020-21'!Q38</f>
        <v>#REF!</v>
      </c>
      <c r="F5" s="459" t="e">
        <f ca="1">B5+C5</f>
        <v>#REF!</v>
      </c>
    </row>
    <row r="6" spans="1:13" hidden="1">
      <c r="A6" s="467" t="str">
        <f>' Summary by Program'!P5</f>
        <v xml:space="preserve">Trackable Measures </v>
      </c>
      <c r="B6" s="468" t="e">
        <f ca="1">' Summary by Program 2020-21'!AA38</f>
        <v>#REF!</v>
      </c>
      <c r="C6" s="468" t="e">
        <f ca="1">' Summary by Program 2020-21'!AG38</f>
        <v>#REF!</v>
      </c>
      <c r="D6" s="468" t="e">
        <f ca="1">' Summary by Program 2020-21'!U38</f>
        <v>#REF!</v>
      </c>
      <c r="F6" s="459" t="e">
        <f ca="1">B6+C6</f>
        <v>#REF!</v>
      </c>
    </row>
    <row r="7" spans="1:13">
      <c r="B7" s="2274" t="s">
        <v>777</v>
      </c>
      <c r="C7" s="2274"/>
      <c r="D7" s="2274"/>
      <c r="E7" s="2275" t="s">
        <v>1231</v>
      </c>
      <c r="F7" s="2275"/>
      <c r="G7" s="2275"/>
      <c r="H7" s="2276" t="s">
        <v>1233</v>
      </c>
      <c r="I7" s="2276"/>
      <c r="J7" s="2276"/>
      <c r="K7" s="2277" t="s">
        <v>1232</v>
      </c>
      <c r="L7" s="2277"/>
      <c r="M7" s="2277"/>
    </row>
    <row r="8" spans="1:13">
      <c r="A8" s="806" t="s">
        <v>719</v>
      </c>
      <c r="B8" s="2280" t="s">
        <v>1163</v>
      </c>
      <c r="C8" s="2281"/>
      <c r="D8" s="2282"/>
      <c r="E8" s="2280" t="s">
        <v>1161</v>
      </c>
      <c r="F8" s="2281"/>
      <c r="G8" s="2282"/>
      <c r="H8" s="2280" t="s">
        <v>1162</v>
      </c>
      <c r="I8" s="2281"/>
      <c r="J8" s="2282"/>
      <c r="K8" s="2280" t="s">
        <v>1219</v>
      </c>
      <c r="L8" s="2281"/>
      <c r="M8" s="2282"/>
    </row>
    <row r="9" spans="1:13" ht="26.25" thickBot="1">
      <c r="A9" s="463" t="s">
        <v>234</v>
      </c>
      <c r="B9" s="470">
        <v>2020</v>
      </c>
      <c r="C9" s="464">
        <v>2021</v>
      </c>
      <c r="D9" s="471" t="s">
        <v>1164</v>
      </c>
      <c r="E9" s="470">
        <v>2020</v>
      </c>
      <c r="F9" s="464">
        <v>2021</v>
      </c>
      <c r="G9" s="471" t="s">
        <v>1164</v>
      </c>
      <c r="H9" s="470">
        <v>2020</v>
      </c>
      <c r="I9" s="464">
        <v>2021</v>
      </c>
      <c r="J9" s="471" t="s">
        <v>1164</v>
      </c>
      <c r="K9" s="470">
        <v>2020</v>
      </c>
      <c r="L9" s="464">
        <v>2021</v>
      </c>
      <c r="M9" s="471" t="s">
        <v>1164</v>
      </c>
    </row>
    <row r="10" spans="1:13" ht="13.5" thickTop="1">
      <c r="A10" s="836" t="s">
        <v>546</v>
      </c>
      <c r="B10" s="839">
        <v>1.5745612292047584</v>
      </c>
      <c r="C10" s="840">
        <v>1.35848427321719</v>
      </c>
      <c r="D10" s="841">
        <v>2.9330455024219484</v>
      </c>
      <c r="E10" s="839">
        <v>1.5496133581293632</v>
      </c>
      <c r="F10" s="840">
        <v>1.3248317427767142</v>
      </c>
      <c r="G10" s="841">
        <v>2.8744451009060779</v>
      </c>
      <c r="H10" s="839">
        <v>1.4757589456993327</v>
      </c>
      <c r="I10" s="840">
        <v>1.0989149279619994</v>
      </c>
      <c r="J10" s="841">
        <v>2.5746738736613324</v>
      </c>
      <c r="K10" s="839">
        <v>0.67188220980088664</v>
      </c>
      <c r="L10" s="840">
        <v>0.63121484400632455</v>
      </c>
      <c r="M10" s="841">
        <f>SUM(K10:L10)</f>
        <v>1.3030970538072113</v>
      </c>
    </row>
    <row r="11" spans="1:13">
      <c r="A11" s="837" t="s">
        <v>545</v>
      </c>
      <c r="B11" s="842">
        <v>1.3532387673734581</v>
      </c>
      <c r="C11" s="843">
        <v>1.7733463352314303</v>
      </c>
      <c r="D11" s="844">
        <v>3.1265851026048885</v>
      </c>
      <c r="E11" s="842">
        <v>1.3532387673734581</v>
      </c>
      <c r="F11" s="843">
        <v>1.7733463352314303</v>
      </c>
      <c r="G11" s="844">
        <v>3.1265851026048885</v>
      </c>
      <c r="H11" s="842">
        <v>1.3554501254355797</v>
      </c>
      <c r="I11" s="843">
        <v>1.7733463352314303</v>
      </c>
      <c r="J11" s="844">
        <v>3.1287964606670098</v>
      </c>
      <c r="K11" s="842">
        <v>2.6838645015657576</v>
      </c>
      <c r="L11" s="843">
        <v>2.8313989158132338</v>
      </c>
      <c r="M11" s="844">
        <f>SUM(K11:L11)</f>
        <v>5.515263417378991</v>
      </c>
    </row>
    <row r="12" spans="1:13">
      <c r="A12" s="838" t="s">
        <v>544</v>
      </c>
      <c r="B12" s="845">
        <v>2.8879032135753895</v>
      </c>
      <c r="C12" s="846">
        <v>4.9558971487929302</v>
      </c>
      <c r="D12" s="847">
        <v>7.8438003623683201</v>
      </c>
      <c r="E12" s="845">
        <v>3.2070145343298671</v>
      </c>
      <c r="F12" s="846">
        <v>5.7029739910569504</v>
      </c>
      <c r="G12" s="847">
        <v>8.909988525386817</v>
      </c>
      <c r="H12" s="845">
        <v>3.4148320357981485</v>
      </c>
      <c r="I12" s="846">
        <v>3.0664674948516586</v>
      </c>
      <c r="J12" s="847">
        <v>6.4812995306498067</v>
      </c>
      <c r="K12" s="845">
        <v>0</v>
      </c>
      <c r="L12" s="846">
        <v>0</v>
      </c>
      <c r="M12" s="847">
        <v>0</v>
      </c>
    </row>
    <row r="13" spans="1:13">
      <c r="A13" s="806" t="s">
        <v>1227</v>
      </c>
      <c r="B13" s="2280" t="s">
        <v>1163</v>
      </c>
      <c r="C13" s="2281"/>
      <c r="D13" s="2282"/>
      <c r="E13" s="2280" t="s">
        <v>1161</v>
      </c>
      <c r="F13" s="2281"/>
      <c r="G13" s="2282"/>
      <c r="H13" s="2280" t="s">
        <v>1162</v>
      </c>
      <c r="I13" s="2281"/>
      <c r="J13" s="2282"/>
      <c r="K13" s="2280" t="s">
        <v>1219</v>
      </c>
      <c r="L13" s="2281"/>
      <c r="M13" s="2282"/>
    </row>
    <row r="14" spans="1:13" ht="26.25" thickBot="1">
      <c r="A14" s="463" t="s">
        <v>234</v>
      </c>
      <c r="B14" s="470">
        <v>2020</v>
      </c>
      <c r="C14" s="464">
        <v>2021</v>
      </c>
      <c r="D14" s="471" t="s">
        <v>1164</v>
      </c>
      <c r="E14" s="470">
        <v>2020</v>
      </c>
      <c r="F14" s="464">
        <v>2021</v>
      </c>
      <c r="G14" s="471" t="s">
        <v>1164</v>
      </c>
      <c r="H14" s="470">
        <v>2020</v>
      </c>
      <c r="I14" s="464">
        <v>2021</v>
      </c>
      <c r="J14" s="471" t="s">
        <v>1164</v>
      </c>
      <c r="K14" s="470">
        <v>2020</v>
      </c>
      <c r="L14" s="464">
        <v>2021</v>
      </c>
      <c r="M14" s="471" t="s">
        <v>1164</v>
      </c>
    </row>
    <row r="15" spans="1:13" ht="13.5" thickTop="1">
      <c r="A15" s="479" t="s">
        <v>1025</v>
      </c>
      <c r="B15" s="832">
        <f>SUM(B16:B17)</f>
        <v>0.54304878653443167</v>
      </c>
      <c r="C15" s="832">
        <f t="shared" ref="C15:J15" si="0">SUM(C16:C17)</f>
        <v>0.57045490193457737</v>
      </c>
      <c r="D15" s="877">
        <f t="shared" si="0"/>
        <v>1.113503688469009</v>
      </c>
      <c r="E15" s="832">
        <f t="shared" si="0"/>
        <v>0.53875649103389223</v>
      </c>
      <c r="F15" s="832">
        <f t="shared" si="0"/>
        <v>0.56463096384504741</v>
      </c>
      <c r="G15" s="833">
        <f t="shared" si="0"/>
        <v>1.1033874548789395</v>
      </c>
      <c r="H15" s="832">
        <f t="shared" si="0"/>
        <v>0.52737956563934918</v>
      </c>
      <c r="I15" s="832">
        <f t="shared" si="0"/>
        <v>0.51855001387966859</v>
      </c>
      <c r="J15" s="833">
        <f t="shared" si="0"/>
        <v>1.0459295795190178</v>
      </c>
      <c r="K15" s="878">
        <f>SUM(K16:K18)</f>
        <v>0.64320163041034073</v>
      </c>
      <c r="L15" s="878">
        <f t="shared" ref="L15:M15" si="1">SUM(L16:L18)</f>
        <v>0.65058832780813858</v>
      </c>
      <c r="M15" s="879">
        <f t="shared" si="1"/>
        <v>1.2937899582184791</v>
      </c>
    </row>
    <row r="16" spans="1:13">
      <c r="A16" s="809" t="s">
        <v>546</v>
      </c>
      <c r="B16" s="807">
        <v>0.30003759943567687</v>
      </c>
      <c r="C16" s="808">
        <v>0.25200186286132764</v>
      </c>
      <c r="D16" s="810">
        <v>0.55203946229700451</v>
      </c>
      <c r="E16" s="811">
        <v>0.29574530393513737</v>
      </c>
      <c r="F16" s="812">
        <v>0.24617792477179765</v>
      </c>
      <c r="G16" s="810">
        <v>0.54192322870693499</v>
      </c>
      <c r="H16" s="811">
        <v>0.28397126846605847</v>
      </c>
      <c r="I16" s="812">
        <v>0.20009697480641875</v>
      </c>
      <c r="J16" s="810">
        <v>0.48406824327247722</v>
      </c>
      <c r="K16" s="842">
        <v>0.123626588898559</v>
      </c>
      <c r="L16" s="843">
        <v>0.1150604807583672</v>
      </c>
      <c r="M16" s="844">
        <f>SUM(K16:L16)</f>
        <v>0.23868706965692621</v>
      </c>
    </row>
    <row r="17" spans="1:17">
      <c r="A17" s="809" t="s">
        <v>545</v>
      </c>
      <c r="B17" s="807">
        <v>0.24301118709875483</v>
      </c>
      <c r="C17" s="808">
        <v>0.31845303907324973</v>
      </c>
      <c r="D17" s="810">
        <v>0.56146422617200464</v>
      </c>
      <c r="E17" s="811">
        <v>0.24301118709875483</v>
      </c>
      <c r="F17" s="812">
        <v>0.31845303907324973</v>
      </c>
      <c r="G17" s="810">
        <v>0.56146422617200464</v>
      </c>
      <c r="H17" s="811">
        <v>0.24340829717329071</v>
      </c>
      <c r="I17" s="812">
        <v>0.31845303907324979</v>
      </c>
      <c r="J17" s="810">
        <v>0.56186133624654055</v>
      </c>
      <c r="K17" s="845">
        <v>0.51957504151178169</v>
      </c>
      <c r="L17" s="846">
        <v>0.53552784704977141</v>
      </c>
      <c r="M17" s="844">
        <f>SUM(K17:L17)</f>
        <v>1.055102888561553</v>
      </c>
    </row>
    <row r="18" spans="1:17">
      <c r="A18" s="813" t="s">
        <v>544</v>
      </c>
      <c r="B18" s="476">
        <v>0.52131390171775593</v>
      </c>
      <c r="C18" s="477">
        <v>0.89073967087038708</v>
      </c>
      <c r="D18" s="478">
        <v>1.4120535725881429</v>
      </c>
      <c r="E18" s="476">
        <v>0.57861910368422909</v>
      </c>
      <c r="F18" s="477">
        <v>1.0248978362065315</v>
      </c>
      <c r="G18" s="478">
        <v>1.6035169398907607</v>
      </c>
      <c r="H18" s="476">
        <v>0.61593844373670747</v>
      </c>
      <c r="I18" s="477">
        <v>0.55144068371901189</v>
      </c>
      <c r="J18" s="478">
        <v>1.1673791274557193</v>
      </c>
      <c r="K18" s="845">
        <v>0</v>
      </c>
      <c r="L18" s="846">
        <v>0</v>
      </c>
      <c r="M18" s="847">
        <v>0</v>
      </c>
    </row>
    <row r="19" spans="1:17">
      <c r="A19" s="806" t="s">
        <v>1228</v>
      </c>
      <c r="B19" s="2280" t="s">
        <v>1163</v>
      </c>
      <c r="C19" s="2281"/>
      <c r="D19" s="2282"/>
      <c r="E19" s="2280" t="s">
        <v>1161</v>
      </c>
      <c r="F19" s="2281"/>
      <c r="G19" s="2282"/>
      <c r="H19" s="2280" t="s">
        <v>1162</v>
      </c>
      <c r="I19" s="2281"/>
      <c r="J19" s="2282"/>
      <c r="K19" s="2280" t="s">
        <v>1219</v>
      </c>
      <c r="L19" s="2281"/>
      <c r="M19" s="2282"/>
    </row>
    <row r="20" spans="1:17" ht="26.25" thickBot="1">
      <c r="A20" s="463" t="s">
        <v>234</v>
      </c>
      <c r="B20" s="470">
        <v>2020</v>
      </c>
      <c r="C20" s="464">
        <v>2021</v>
      </c>
      <c r="D20" s="471" t="s">
        <v>1164</v>
      </c>
      <c r="E20" s="470">
        <v>2020</v>
      </c>
      <c r="F20" s="464">
        <v>2021</v>
      </c>
      <c r="G20" s="471" t="s">
        <v>1164</v>
      </c>
      <c r="H20" s="470">
        <v>2020</v>
      </c>
      <c r="I20" s="464">
        <v>2021</v>
      </c>
      <c r="J20" s="471" t="s">
        <v>1164</v>
      </c>
      <c r="K20" s="470">
        <v>2020</v>
      </c>
      <c r="L20" s="464">
        <v>2021</v>
      </c>
      <c r="M20" s="471" t="s">
        <v>1164</v>
      </c>
      <c r="O20" s="428" t="s">
        <v>1221</v>
      </c>
      <c r="P20" s="428"/>
      <c r="Q20" s="428"/>
    </row>
    <row r="21" spans="1:17" ht="15.75" thickTop="1">
      <c r="A21" s="831" t="s">
        <v>1025</v>
      </c>
      <c r="B21" s="832">
        <f>B22+B23</f>
        <v>0.82977835594399785</v>
      </c>
      <c r="C21" s="832">
        <f t="shared" ref="C21:J21" si="2">C22+C23</f>
        <v>0.88847015516794381</v>
      </c>
      <c r="D21" s="833">
        <f t="shared" si="2"/>
        <v>1.7182485111119417</v>
      </c>
      <c r="E21" s="832">
        <f t="shared" si="2"/>
        <v>0.82257683082762723</v>
      </c>
      <c r="F21" s="832">
        <f t="shared" si="2"/>
        <v>0.8787750773616968</v>
      </c>
      <c r="G21" s="833">
        <f t="shared" si="2"/>
        <v>1.701351908189324</v>
      </c>
      <c r="H21" s="832">
        <f>H22+H23</f>
        <v>0.8008547934173551</v>
      </c>
      <c r="I21" s="832">
        <f t="shared" si="2"/>
        <v>0.81572659664496983</v>
      </c>
      <c r="J21" s="833">
        <f t="shared" si="2"/>
        <v>1.6165813900623249</v>
      </c>
      <c r="K21" s="797">
        <f>SUM(K22:K24)</f>
        <v>1.1514228924984311</v>
      </c>
      <c r="L21" s="797">
        <f t="shared" ref="L21" si="3">SUM(L22:L24)</f>
        <v>1.2345039705308767</v>
      </c>
      <c r="M21" s="841">
        <f>SUM(K21:L21)</f>
        <v>2.385926863029308</v>
      </c>
      <c r="O21" s="428"/>
      <c r="P21" s="428"/>
      <c r="Q21" s="428"/>
    </row>
    <row r="22" spans="1:17">
      <c r="A22" s="828" t="s">
        <v>546</v>
      </c>
      <c r="B22" s="829">
        <v>0.44486769528051923</v>
      </c>
      <c r="C22" s="829">
        <v>0.3840655179848631</v>
      </c>
      <c r="D22" s="830">
        <v>0.82893321326538238</v>
      </c>
      <c r="E22" s="829">
        <v>0.4376661701641486</v>
      </c>
      <c r="F22" s="829">
        <v>0.37437044017861609</v>
      </c>
      <c r="G22" s="830">
        <v>0.81203661034276475</v>
      </c>
      <c r="H22" s="829">
        <v>0.41594413275387643</v>
      </c>
      <c r="I22" s="829">
        <v>0.31132195946188918</v>
      </c>
      <c r="J22" s="830">
        <v>0.72726609221576566</v>
      </c>
      <c r="K22" s="829">
        <v>0.19001614980063236</v>
      </c>
      <c r="L22" s="829">
        <v>0.17878461233427895</v>
      </c>
      <c r="M22" s="830">
        <f>SUM(K22:L22)</f>
        <v>0.36880076213491131</v>
      </c>
      <c r="O22" s="817" t="e">
        <f ca="1">SUM(' Summary by Program 2020-21'!W7:W37)</f>
        <v>#REF!</v>
      </c>
      <c r="P22" s="817" t="e">
        <f ca="1">SUM(' Summary by Program 2020-21'!AC7:AC37)</f>
        <v>#REF!</v>
      </c>
      <c r="Q22" s="818" t="e">
        <f ca="1">SUM(O22:P22)</f>
        <v>#REF!</v>
      </c>
    </row>
    <row r="23" spans="1:17">
      <c r="A23" s="825" t="s">
        <v>545</v>
      </c>
      <c r="B23" s="811">
        <v>0.38491066066347862</v>
      </c>
      <c r="C23" s="812">
        <v>0.50440463718308071</v>
      </c>
      <c r="D23" s="810">
        <v>0.88931529784655927</v>
      </c>
      <c r="E23" s="811">
        <v>0.38491066066347862</v>
      </c>
      <c r="F23" s="812">
        <v>0.50440463718308071</v>
      </c>
      <c r="G23" s="810">
        <v>0.88931529784655927</v>
      </c>
      <c r="H23" s="811">
        <v>0.38491066066347862</v>
      </c>
      <c r="I23" s="812">
        <v>0.50440463718308071</v>
      </c>
      <c r="J23" s="810">
        <v>0.88931529784655927</v>
      </c>
      <c r="K23" s="811">
        <v>0.76099307308706565</v>
      </c>
      <c r="L23" s="812">
        <v>0.8036088449443598</v>
      </c>
      <c r="M23" s="810">
        <f t="shared" ref="M23:M25" si="4">SUM(K23:L23)</f>
        <v>1.5646019180314255</v>
      </c>
      <c r="O23" s="819">
        <f>SUM(O24:O25)</f>
        <v>0</v>
      </c>
      <c r="P23" s="820">
        <f>SUM(P24:P25)</f>
        <v>0</v>
      </c>
      <c r="Q23" s="821">
        <f>SUM(O23:P23)</f>
        <v>0</v>
      </c>
    </row>
    <row r="24" spans="1:17">
      <c r="A24" s="826" t="s">
        <v>1229</v>
      </c>
      <c r="B24" s="815">
        <v>6.0061439184337886E-2</v>
      </c>
      <c r="C24" s="816">
        <v>0.10713264841296803</v>
      </c>
      <c r="D24" s="814">
        <v>0.16719408759730592</v>
      </c>
      <c r="E24" s="815">
        <v>6.0061439184337886E-2</v>
      </c>
      <c r="F24" s="816">
        <v>0.10713264841296803</v>
      </c>
      <c r="G24" s="814">
        <v>0.16719408759730592</v>
      </c>
      <c r="H24" s="815">
        <v>6.0061439184337886E-2</v>
      </c>
      <c r="I24" s="816">
        <v>0.10713264841296803</v>
      </c>
      <c r="J24" s="814">
        <v>0.16719408759730592</v>
      </c>
      <c r="K24" s="815">
        <v>0.20041366961073309</v>
      </c>
      <c r="L24" s="816">
        <v>0.25211051325223788</v>
      </c>
      <c r="M24" s="814">
        <f t="shared" si="4"/>
        <v>0.45252418286297097</v>
      </c>
      <c r="O24" s="819">
        <f>SUMIFS(' Summary by Program 2020-21'!Y7:Y37,' Summary by Program 2020-21'!AJ7:AJ37,1)</f>
        <v>0</v>
      </c>
      <c r="P24" s="820">
        <f>SUMIFS(' Summary by Program 2020-21'!AE7:AE37,' Summary by Program 2020-21'!AJ7:AJ37,1)</f>
        <v>0</v>
      </c>
      <c r="Q24" s="821">
        <f>SUM(O24:P24)</f>
        <v>0</v>
      </c>
    </row>
    <row r="25" spans="1:17" ht="25.5">
      <c r="A25" s="827" t="s">
        <v>1230</v>
      </c>
      <c r="B25" s="815">
        <v>0.32484922147914075</v>
      </c>
      <c r="C25" s="816">
        <v>0.39727198877011272</v>
      </c>
      <c r="D25" s="814">
        <v>0.72212121024925346</v>
      </c>
      <c r="E25" s="815">
        <v>0.32484922147914075</v>
      </c>
      <c r="F25" s="816">
        <v>0.39727198877011272</v>
      </c>
      <c r="G25" s="814">
        <v>0.72212121024925346</v>
      </c>
      <c r="H25" s="815">
        <v>0.32484922147914075</v>
      </c>
      <c r="I25" s="816">
        <v>0.39727198877011272</v>
      </c>
      <c r="J25" s="814">
        <v>0.72212121024925346</v>
      </c>
      <c r="K25" s="815">
        <f>K23-K24</f>
        <v>0.56057940347633251</v>
      </c>
      <c r="L25" s="816">
        <f>L23-L24</f>
        <v>0.55149833169212192</v>
      </c>
      <c r="M25" s="814">
        <f t="shared" si="4"/>
        <v>1.1120777351684543</v>
      </c>
      <c r="O25" s="819">
        <f>SUMIFS(' Summary by Program 2020-21'!Y7:Y37,' Summary by Program 2020-21'!AJ7:AJ37,0)</f>
        <v>0</v>
      </c>
      <c r="P25" s="820">
        <f>SUMIFS(' Summary by Program 2020-21'!AE7:AE37,' Summary by Program 2020-21'!AJ7:AJ37,0)</f>
        <v>0</v>
      </c>
      <c r="Q25" s="821">
        <f>SUM(O25:P25)</f>
        <v>0</v>
      </c>
    </row>
    <row r="26" spans="1:17">
      <c r="A26" s="813" t="s">
        <v>544</v>
      </c>
      <c r="B26" s="476">
        <v>0.8212560271992263</v>
      </c>
      <c r="C26" s="477">
        <v>1.4095903890541204</v>
      </c>
      <c r="D26" s="478">
        <v>2.2308464162533466</v>
      </c>
      <c r="E26" s="476">
        <v>0.91202297258847531</v>
      </c>
      <c r="F26" s="477">
        <v>1.6220864007375273</v>
      </c>
      <c r="G26" s="478">
        <v>2.5341093733260025</v>
      </c>
      <c r="H26" s="476">
        <v>0.97113388022441316</v>
      </c>
      <c r="I26" s="477">
        <v>0.87216740509152635</v>
      </c>
      <c r="J26" s="478">
        <v>1.8433012853159396</v>
      </c>
      <c r="K26" s="476">
        <v>0</v>
      </c>
      <c r="L26" s="477">
        <v>0</v>
      </c>
      <c r="M26" s="478">
        <v>0</v>
      </c>
      <c r="O26" s="822" t="e">
        <f ca="1">SUM(' Summary by Program 2020-21'!AA7:AA37)</f>
        <v>#REF!</v>
      </c>
      <c r="P26" s="823" t="e">
        <f ca="1">SUM(' Summary by Program 2020-21'!AG7:AG37)</f>
        <v>#REF!</v>
      </c>
      <c r="Q26" s="824" t="e">
        <f ca="1">SUM(O26:P26)</f>
        <v>#REF!</v>
      </c>
    </row>
    <row r="27" spans="1:17" ht="15">
      <c r="A27" s="850" t="s">
        <v>1271</v>
      </c>
      <c r="B27" s="848"/>
      <c r="C27" s="848"/>
      <c r="D27" s="848"/>
      <c r="E27" s="848"/>
      <c r="F27" s="848"/>
      <c r="G27" s="848"/>
      <c r="H27" s="428"/>
      <c r="L27" s="428"/>
      <c r="M27" s="428"/>
      <c r="O27" s="849"/>
      <c r="P27" s="849"/>
      <c r="Q27" s="849"/>
    </row>
    <row r="28" spans="1:17" ht="27.6" customHeight="1">
      <c r="A28" s="2285" t="s">
        <v>1220</v>
      </c>
      <c r="B28" s="2285"/>
      <c r="C28" s="2285"/>
      <c r="D28" s="2285"/>
      <c r="E28" s="2285"/>
      <c r="F28" s="2285"/>
      <c r="G28" s="2285"/>
      <c r="H28" s="2285"/>
      <c r="I28" s="2285"/>
      <c r="J28" s="2285"/>
      <c r="K28" s="2285"/>
      <c r="L28" s="2285"/>
      <c r="M28" s="2285"/>
    </row>
    <row r="29" spans="1:17" ht="13.5">
      <c r="A29" s="835" t="s">
        <v>1234</v>
      </c>
      <c r="B29" s="367"/>
      <c r="C29" s="367"/>
      <c r="D29" s="367"/>
      <c r="E29" s="367"/>
      <c r="F29" s="367"/>
      <c r="G29" s="367"/>
      <c r="H29" s="367"/>
      <c r="I29" s="367"/>
      <c r="J29" s="367"/>
      <c r="K29" s="367"/>
      <c r="L29" s="367"/>
      <c r="M29" s="367"/>
      <c r="N29" s="367"/>
      <c r="O29" s="367"/>
      <c r="P29" s="367"/>
    </row>
    <row r="30" spans="1:17" ht="51.75" customHeight="1">
      <c r="A30" s="2278" t="s">
        <v>1239</v>
      </c>
      <c r="B30" s="2279"/>
      <c r="C30" s="2279"/>
      <c r="D30" s="2279"/>
      <c r="E30" s="2279"/>
      <c r="F30" s="2279"/>
      <c r="G30" s="2279"/>
      <c r="H30" s="2279"/>
      <c r="I30" s="2279"/>
      <c r="J30" s="2279"/>
      <c r="K30" s="2279"/>
      <c r="L30" s="2279"/>
      <c r="M30" s="2279"/>
      <c r="N30"/>
      <c r="O30"/>
      <c r="P30"/>
    </row>
    <row r="31" spans="1:17" ht="51.75" customHeight="1">
      <c r="A31" s="2278" t="s">
        <v>1240</v>
      </c>
      <c r="B31" s="2279"/>
      <c r="C31" s="2279"/>
      <c r="D31" s="2279"/>
      <c r="E31" s="2279"/>
      <c r="F31" s="2279"/>
      <c r="G31" s="2279"/>
      <c r="H31" s="2279"/>
      <c r="I31" s="2279"/>
      <c r="J31" s="2279"/>
      <c r="K31" s="2279"/>
      <c r="L31" s="2279"/>
      <c r="M31" s="2279"/>
      <c r="N31"/>
      <c r="O31"/>
      <c r="P31"/>
    </row>
    <row r="32" spans="1:17" ht="41.25" customHeight="1">
      <c r="A32" s="2278" t="s">
        <v>1241</v>
      </c>
      <c r="B32" s="2279"/>
      <c r="C32" s="2279"/>
      <c r="D32" s="2279"/>
      <c r="E32" s="2279"/>
      <c r="F32" s="2279"/>
      <c r="G32" s="2279"/>
      <c r="H32" s="2279"/>
      <c r="I32" s="2279"/>
      <c r="J32" s="2279"/>
      <c r="K32" s="2279"/>
      <c r="L32" s="2279"/>
      <c r="M32" s="2279"/>
      <c r="N32"/>
      <c r="O32"/>
      <c r="P32"/>
    </row>
    <row r="33" spans="1:13" ht="13.5">
      <c r="A33" s="835" t="s">
        <v>1235</v>
      </c>
      <c r="B33" s="834"/>
      <c r="C33" s="834"/>
      <c r="D33" s="834"/>
      <c r="E33" s="834"/>
      <c r="F33" s="834"/>
      <c r="G33" s="834"/>
      <c r="H33" s="834"/>
      <c r="I33" s="834"/>
      <c r="J33" s="834"/>
      <c r="K33" s="834"/>
      <c r="L33" s="834"/>
      <c r="M33" s="834"/>
    </row>
    <row r="34" spans="1:13" ht="42" customHeight="1">
      <c r="A34" s="2278" t="s">
        <v>1222</v>
      </c>
      <c r="B34" s="2279"/>
      <c r="C34" s="2279"/>
      <c r="D34" s="2279"/>
      <c r="E34" s="2279"/>
      <c r="F34" s="2279"/>
      <c r="G34" s="2279"/>
      <c r="H34" s="2279"/>
      <c r="I34" s="2279"/>
      <c r="J34" s="2279"/>
      <c r="K34" s="2279"/>
      <c r="L34" s="2279"/>
      <c r="M34" s="2279"/>
    </row>
    <row r="35" spans="1:13" ht="52.5" customHeight="1">
      <c r="A35" s="2278" t="s">
        <v>1223</v>
      </c>
      <c r="B35" s="2279"/>
      <c r="C35" s="2279"/>
      <c r="D35" s="2279"/>
      <c r="E35" s="2279"/>
      <c r="F35" s="2279"/>
      <c r="G35" s="2279"/>
      <c r="H35" s="2279"/>
      <c r="I35" s="2279"/>
      <c r="J35" s="2279"/>
      <c r="K35" s="2279"/>
      <c r="L35" s="2279"/>
      <c r="M35" s="2279"/>
    </row>
    <row r="36" spans="1:13" ht="55.15" customHeight="1">
      <c r="A36" s="2278" t="s">
        <v>1224</v>
      </c>
      <c r="B36" s="2279"/>
      <c r="C36" s="2279"/>
      <c r="D36" s="2279"/>
      <c r="E36" s="2279"/>
      <c r="F36" s="2279"/>
      <c r="G36" s="2279"/>
      <c r="H36" s="2279"/>
      <c r="I36" s="2279"/>
      <c r="J36" s="2279"/>
      <c r="K36" s="2279"/>
      <c r="L36" s="2279"/>
      <c r="M36" s="2279"/>
    </row>
    <row r="37" spans="1:13" ht="66" customHeight="1">
      <c r="A37" s="2278" t="s">
        <v>1225</v>
      </c>
      <c r="B37" s="2279"/>
      <c r="C37" s="2279"/>
      <c r="D37" s="2279"/>
      <c r="E37" s="2279"/>
      <c r="F37" s="2279"/>
      <c r="G37" s="2279"/>
      <c r="H37" s="2279"/>
      <c r="I37" s="2279"/>
      <c r="J37" s="2279"/>
      <c r="K37" s="2279"/>
      <c r="L37" s="2279"/>
      <c r="M37" s="2279"/>
    </row>
    <row r="38" spans="1:13" hidden="1"/>
    <row r="39" spans="1:13" hidden="1">
      <c r="A39" s="270" t="s">
        <v>1217</v>
      </c>
      <c r="B39" s="2280" t="s">
        <v>1163</v>
      </c>
      <c r="C39" s="2281"/>
      <c r="D39" s="2282"/>
      <c r="E39" s="2280" t="s">
        <v>1161</v>
      </c>
      <c r="F39" s="2281"/>
      <c r="G39" s="2282"/>
      <c r="H39" s="2280" t="s">
        <v>1162</v>
      </c>
      <c r="I39" s="2281"/>
      <c r="J39" s="2282"/>
      <c r="K39" s="2280" t="s">
        <v>1160</v>
      </c>
      <c r="L39" s="2281"/>
      <c r="M39" s="2282"/>
    </row>
    <row r="40" spans="1:13" ht="26.25" hidden="1" thickBot="1">
      <c r="A40" s="463"/>
      <c r="B40" s="470">
        <v>2020</v>
      </c>
      <c r="C40" s="464">
        <v>2021</v>
      </c>
      <c r="D40" s="471" t="s">
        <v>1164</v>
      </c>
      <c r="E40" s="470">
        <v>2020</v>
      </c>
      <c r="F40" s="464">
        <v>2021</v>
      </c>
      <c r="G40" s="471" t="s">
        <v>1164</v>
      </c>
      <c r="H40" s="470">
        <v>2020</v>
      </c>
      <c r="I40" s="464">
        <v>2021</v>
      </c>
      <c r="J40" s="471" t="s">
        <v>1164</v>
      </c>
      <c r="K40" s="470">
        <v>2020</v>
      </c>
      <c r="L40" s="464">
        <v>2021</v>
      </c>
      <c r="M40" s="471" t="s">
        <v>1164</v>
      </c>
    </row>
    <row r="41" spans="1:13" hidden="1">
      <c r="A41" s="479" t="s">
        <v>546</v>
      </c>
      <c r="B41" s="472">
        <v>11.414018328986648</v>
      </c>
      <c r="C41" s="462">
        <v>11.398745717852929</v>
      </c>
      <c r="D41" s="473">
        <v>22.812764046839572</v>
      </c>
      <c r="E41" s="472">
        <v>11.270026931010436</v>
      </c>
      <c r="F41" s="462">
        <v>11.246944090544226</v>
      </c>
      <c r="G41" s="473">
        <v>22.516971021554657</v>
      </c>
      <c r="H41" s="472">
        <v>11.370579053548811</v>
      </c>
      <c r="I41" s="462">
        <v>8.0336143092530801</v>
      </c>
      <c r="J41" s="473">
        <f>SUM(H41:I41)</f>
        <v>19.404193362801891</v>
      </c>
      <c r="K41" s="472">
        <v>4.7315643451177829</v>
      </c>
      <c r="L41" s="462">
        <v>4.3679293351618291</v>
      </c>
      <c r="M41" s="473">
        <f>SUM(K41:L41)</f>
        <v>9.0994936802796111</v>
      </c>
    </row>
    <row r="42" spans="1:13" hidden="1">
      <c r="A42" s="480" t="s">
        <v>545</v>
      </c>
      <c r="B42" s="474">
        <v>9.1656233835666896</v>
      </c>
      <c r="C42" s="460">
        <v>9.3704491065817219</v>
      </c>
      <c r="D42" s="475">
        <v>18.536072490148413</v>
      </c>
      <c r="E42" s="474">
        <v>9.1656233835666896</v>
      </c>
      <c r="F42" s="460">
        <v>9.3704491065817219</v>
      </c>
      <c r="G42" s="475">
        <v>18.536072490148413</v>
      </c>
      <c r="H42" s="474">
        <v>9.5454234185604214</v>
      </c>
      <c r="I42" s="460">
        <v>12.488354473460777</v>
      </c>
      <c r="J42" s="475">
        <f>SUM(H42:I42)</f>
        <v>22.033777892021199</v>
      </c>
      <c r="K42" s="474">
        <v>19.092466227081957</v>
      </c>
      <c r="L42" s="460">
        <v>20.040706432929436</v>
      </c>
      <c r="M42" s="475">
        <f>SUM(K42:L42)</f>
        <v>39.133172660011397</v>
      </c>
    </row>
    <row r="43" spans="1:13" hidden="1">
      <c r="A43" s="481" t="s">
        <v>544</v>
      </c>
      <c r="B43" s="476">
        <v>21.283371174039523</v>
      </c>
      <c r="C43" s="477">
        <v>36.193051836966085</v>
      </c>
      <c r="D43" s="478">
        <v>57.476423011005608</v>
      </c>
      <c r="E43" s="476">
        <v>23.530633996254153</v>
      </c>
      <c r="F43" s="477">
        <v>41.454156359952144</v>
      </c>
      <c r="G43" s="478">
        <v>64.98479035620629</v>
      </c>
      <c r="H43" s="476">
        <v>23.552620553308614</v>
      </c>
      <c r="I43" s="477">
        <v>21.453730457906921</v>
      </c>
      <c r="J43" s="478">
        <v>0</v>
      </c>
      <c r="K43" s="476">
        <v>0</v>
      </c>
      <c r="L43" s="477">
        <v>0</v>
      </c>
      <c r="M43" s="478">
        <v>0</v>
      </c>
    </row>
    <row r="44" spans="1:13" hidden="1">
      <c r="A44" s="274" t="s">
        <v>1025</v>
      </c>
      <c r="B44" s="492"/>
      <c r="C44" s="492"/>
      <c r="D44" s="767">
        <f t="shared" ref="D44:M44" si="5">SUM(D41:D42)</f>
        <v>41.348836536987989</v>
      </c>
      <c r="E44" s="492"/>
      <c r="F44" s="492"/>
      <c r="G44" s="767">
        <f t="shared" si="5"/>
        <v>41.053043511703066</v>
      </c>
      <c r="H44" s="492"/>
      <c r="I44" s="492"/>
      <c r="J44" s="767">
        <f t="shared" si="5"/>
        <v>41.43797125482309</v>
      </c>
      <c r="K44" s="492"/>
      <c r="L44" s="492"/>
      <c r="M44" s="767">
        <f t="shared" si="5"/>
        <v>48.232666340291004</v>
      </c>
    </row>
    <row r="45" spans="1:13" hidden="1">
      <c r="B45" s="766">
        <f t="shared" ref="B45:M45" si="6">B10/B41</f>
        <v>0.13794977227310534</v>
      </c>
      <c r="C45" s="766">
        <f t="shared" si="6"/>
        <v>0.11917839969791645</v>
      </c>
      <c r="D45" s="766">
        <f t="shared" si="6"/>
        <v>0.12857036948261805</v>
      </c>
      <c r="E45" s="766">
        <f t="shared" si="6"/>
        <v>0.13749863843408133</v>
      </c>
      <c r="F45" s="766">
        <f t="shared" si="6"/>
        <v>0.11779481894024489</v>
      </c>
      <c r="G45" s="766">
        <f t="shared" si="6"/>
        <v>0.12765682818326135</v>
      </c>
      <c r="H45" s="766">
        <f t="shared" si="6"/>
        <v>0.12978749268171541</v>
      </c>
      <c r="I45" s="766">
        <f t="shared" si="6"/>
        <v>0.13678960498467971</v>
      </c>
      <c r="J45" s="766">
        <f t="shared" si="6"/>
        <v>0.13268646758576516</v>
      </c>
      <c r="K45" s="766">
        <f t="shared" si="6"/>
        <v>0.14200001538479795</v>
      </c>
      <c r="L45" s="766">
        <f t="shared" si="6"/>
        <v>0.14451123073925334</v>
      </c>
      <c r="M45" s="766">
        <f t="shared" si="6"/>
        <v>0.1432054463240387</v>
      </c>
    </row>
    <row r="46" spans="1:13" hidden="1">
      <c r="B46" s="766">
        <f t="shared" ref="B46:M46" si="7">B11/B42</f>
        <v>0.14764285098160576</v>
      </c>
      <c r="C46" s="766">
        <f t="shared" si="7"/>
        <v>0.18924880921511514</v>
      </c>
      <c r="D46" s="766">
        <f t="shared" si="7"/>
        <v>0.16867570539911364</v>
      </c>
      <c r="E46" s="766">
        <f t="shared" si="7"/>
        <v>0.14764285098160576</v>
      </c>
      <c r="F46" s="766">
        <f t="shared" si="7"/>
        <v>0.18924880921511514</v>
      </c>
      <c r="G46" s="766">
        <f t="shared" si="7"/>
        <v>0.16867570539911364</v>
      </c>
      <c r="H46" s="766">
        <f t="shared" si="7"/>
        <v>0.14199999999999999</v>
      </c>
      <c r="I46" s="766">
        <f t="shared" si="7"/>
        <v>0.14199999999999999</v>
      </c>
      <c r="J46" s="766">
        <f t="shared" si="7"/>
        <v>0.14199999999999999</v>
      </c>
      <c r="K46" s="766">
        <f t="shared" si="7"/>
        <v>0.14057191300717323</v>
      </c>
      <c r="L46" s="766">
        <f t="shared" si="7"/>
        <v>0.14128239068264004</v>
      </c>
      <c r="M46" s="766">
        <f t="shared" si="7"/>
        <v>0.14093575967620983</v>
      </c>
    </row>
    <row r="47" spans="1:13" hidden="1">
      <c r="B47" s="766">
        <f t="shared" ref="B47:I47" si="8">B12/B43</f>
        <v>0.13568824177148783</v>
      </c>
      <c r="C47" s="766">
        <f t="shared" si="8"/>
        <v>0.13692951816047694</v>
      </c>
      <c r="D47" s="766">
        <f t="shared" si="8"/>
        <v>0.13646987671564714</v>
      </c>
      <c r="E47" s="766">
        <f t="shared" si="8"/>
        <v>0.13629103809274296</v>
      </c>
      <c r="F47" s="766">
        <f t="shared" si="8"/>
        <v>0.13757303228021919</v>
      </c>
      <c r="G47" s="766">
        <f t="shared" si="8"/>
        <v>0.13710882925908954</v>
      </c>
      <c r="H47" s="766">
        <f t="shared" si="8"/>
        <v>0.14498734983944031</v>
      </c>
      <c r="I47" s="766">
        <f t="shared" si="8"/>
        <v>0.14293399932791132</v>
      </c>
      <c r="J47" s="766"/>
      <c r="K47" s="766"/>
      <c r="L47" s="766"/>
      <c r="M47" s="766"/>
    </row>
    <row r="48" spans="1:13" hidden="1"/>
    <row r="49" spans="1:7" hidden="1"/>
    <row r="50" spans="1:7" hidden="1"/>
    <row r="51" spans="1:7" hidden="1"/>
    <row r="52" spans="1:7" ht="12.75" hidden="1" customHeight="1"/>
    <row r="53" spans="1:7" hidden="1">
      <c r="A53" s="270" t="s">
        <v>573</v>
      </c>
      <c r="B53" s="270" t="s">
        <v>1163</v>
      </c>
    </row>
    <row r="54" spans="1:7" ht="15" hidden="1" customHeight="1">
      <c r="A54" s="800"/>
      <c r="B54" s="2283">
        <v>2018</v>
      </c>
      <c r="C54" s="2284"/>
      <c r="D54" s="2283">
        <v>2019</v>
      </c>
      <c r="E54" s="2284"/>
      <c r="F54" s="2283" t="s">
        <v>573</v>
      </c>
      <c r="G54" s="2284"/>
    </row>
    <row r="55" spans="1:7" ht="15" hidden="1">
      <c r="A55" s="214"/>
      <c r="B55" s="804" t="s">
        <v>777</v>
      </c>
      <c r="C55" s="805" t="s">
        <v>776</v>
      </c>
      <c r="D55" s="804" t="s">
        <v>777</v>
      </c>
      <c r="E55" s="805" t="s">
        <v>776</v>
      </c>
      <c r="F55" s="804" t="s">
        <v>777</v>
      </c>
      <c r="G55" s="805" t="s">
        <v>776</v>
      </c>
    </row>
    <row r="56" spans="1:7" ht="30" hidden="1">
      <c r="A56" s="801" t="s">
        <v>546</v>
      </c>
      <c r="B56" s="801">
        <v>1.2443177352139783</v>
      </c>
      <c r="C56" s="801">
        <v>1.3958273399999999</v>
      </c>
      <c r="D56" s="801">
        <v>1.4214142429577614</v>
      </c>
      <c r="E56" s="801">
        <v>1.4653416099999999</v>
      </c>
      <c r="F56" s="803" t="s">
        <v>1226</v>
      </c>
      <c r="G56" s="802">
        <v>2.8611689499999997</v>
      </c>
    </row>
    <row r="57" spans="1:7" ht="15" hidden="1">
      <c r="A57" s="211" t="s">
        <v>545</v>
      </c>
      <c r="B57" s="211">
        <v>0.58612468603675261</v>
      </c>
      <c r="C57" s="211">
        <v>0.54277407</v>
      </c>
      <c r="D57" s="211">
        <v>0.70896329007321246</v>
      </c>
      <c r="E57" s="211">
        <v>0.60806019</v>
      </c>
      <c r="F57" s="212">
        <v>1.295087976109965</v>
      </c>
      <c r="G57" s="213">
        <v>1.1508342599999999</v>
      </c>
    </row>
    <row r="58" spans="1:7" ht="15" hidden="1">
      <c r="A58" s="134" t="s">
        <v>544</v>
      </c>
      <c r="B58" s="134">
        <v>2.3413588803540089</v>
      </c>
      <c r="C58" s="134">
        <v>2.5436623199999997</v>
      </c>
      <c r="D58" s="134">
        <v>2.3394662570319582</v>
      </c>
      <c r="E58" s="134">
        <v>2.11640972</v>
      </c>
      <c r="F58" s="209">
        <v>4.6808251373859671</v>
      </c>
      <c r="G58" s="210">
        <v>4.6600720399999993</v>
      </c>
    </row>
    <row r="59" spans="1:7" hidden="1"/>
    <row r="60" spans="1:7" hidden="1"/>
    <row r="61" spans="1:7" hidden="1"/>
    <row r="62" spans="1:7" hidden="1"/>
    <row r="63" spans="1:7" ht="13.5">
      <c r="A63" s="835" t="s">
        <v>1236</v>
      </c>
    </row>
    <row r="64" spans="1:7" ht="13.5">
      <c r="A64" s="835" t="s">
        <v>1237</v>
      </c>
    </row>
    <row r="65" spans="1:1">
      <c r="A65" s="768" t="s">
        <v>1238</v>
      </c>
    </row>
  </sheetData>
  <mergeCells count="31">
    <mergeCell ref="A34:M34"/>
    <mergeCell ref="A28:M28"/>
    <mergeCell ref="A35:M35"/>
    <mergeCell ref="A36:M36"/>
    <mergeCell ref="A37:M37"/>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B7:D7"/>
    <mergeCell ref="E7:G7"/>
    <mergeCell ref="H7:J7"/>
    <mergeCell ref="K7:M7"/>
    <mergeCell ref="A30:M30"/>
    <mergeCell ref="K8:M8"/>
    <mergeCell ref="H13:J13"/>
    <mergeCell ref="K13:M13"/>
    <mergeCell ref="K19:M19"/>
    <mergeCell ref="H19:J1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I20"/>
  <sheetViews>
    <sheetView showGridLines="0" workbookViewId="0">
      <selection activeCell="S18" sqref="S18"/>
    </sheetView>
  </sheetViews>
  <sheetFormatPr defaultRowHeight="15"/>
  <cols>
    <col min="1" max="1" width="1.7109375" style="428" customWidth="1"/>
    <col min="2" max="2" width="22.85546875" style="428" bestFit="1" customWidth="1"/>
    <col min="3" max="4" width="2.7109375" style="428" customWidth="1"/>
    <col min="5" max="5" width="8.28515625" style="428" customWidth="1"/>
    <col min="6" max="6" width="10.5703125" style="428" customWidth="1"/>
    <col min="7" max="7" width="8.28515625" style="428" customWidth="1"/>
    <col min="8" max="8" width="10.5703125" style="428" customWidth="1"/>
    <col min="9" max="9" width="8.28515625" style="428" customWidth="1"/>
    <col min="10" max="10" width="10" style="428" customWidth="1"/>
    <col min="11" max="11" width="3.140625" style="428" customWidth="1"/>
    <col min="15" max="16" width="16.7109375" customWidth="1"/>
    <col min="17" max="17" width="17.140625" customWidth="1"/>
    <col min="18" max="18" width="14.5703125" style="428" customWidth="1"/>
    <col min="19" max="21" width="9.140625" customWidth="1"/>
    <col min="22" max="27" width="8.5703125" customWidth="1"/>
    <col min="28" max="31" width="9.140625" customWidth="1"/>
    <col min="32" max="32" width="9.140625" hidden="1" customWidth="1"/>
    <col min="33" max="33" width="9.140625" customWidth="1"/>
  </cols>
  <sheetData>
    <row r="1" spans="2:35" ht="38.25" customHeight="1">
      <c r="B1" s="1342" t="str">
        <f>Selection!A2&amp;"'s Variance from 2020-2021 Targets"</f>
        <v>Puget Sound Energy's Variance from 2020-2021 Targets</v>
      </c>
      <c r="L1" s="1342" t="str">
        <f>Selection!A2&amp;"'s 2020 Savings and Targets"</f>
        <v>Puget Sound Energy's 2020 Savings and Targets</v>
      </c>
      <c r="M1" s="428"/>
      <c r="N1" s="428"/>
      <c r="O1" s="428"/>
      <c r="P1" s="428"/>
      <c r="Q1" s="1439"/>
      <c r="AF1" s="1439"/>
      <c r="AG1" s="1439"/>
      <c r="AH1" s="1439"/>
      <c r="AI1" s="1439"/>
    </row>
    <row r="2" spans="2:35">
      <c r="B2" s="2296" t="s">
        <v>1492</v>
      </c>
      <c r="C2" s="2297"/>
      <c r="D2" s="2297"/>
      <c r="E2" s="2297"/>
      <c r="F2" s="2297"/>
      <c r="G2" s="2297"/>
      <c r="H2" s="2297"/>
      <c r="I2" s="2297"/>
      <c r="J2" s="2298"/>
      <c r="L2" s="2286" t="s">
        <v>1739</v>
      </c>
      <c r="M2" s="2287"/>
      <c r="N2" s="2287"/>
      <c r="O2" s="2287"/>
      <c r="P2" s="2288"/>
      <c r="Q2" s="1440"/>
      <c r="S2" s="2296" t="s">
        <v>1492</v>
      </c>
      <c r="T2" s="2297"/>
      <c r="U2" s="2297"/>
      <c r="V2" s="2297"/>
      <c r="W2" s="2297"/>
      <c r="X2" s="2297"/>
      <c r="Y2" s="2297"/>
      <c r="Z2" s="2297"/>
      <c r="AA2" s="2298"/>
      <c r="AF2" s="1440"/>
      <c r="AG2" s="1440"/>
      <c r="AH2" s="1440"/>
      <c r="AI2" s="1439"/>
    </row>
    <row r="3" spans="2:35" ht="15.75">
      <c r="B3" s="1171"/>
      <c r="C3" s="1172"/>
      <c r="D3" s="1172"/>
      <c r="E3" s="2299">
        <v>2020</v>
      </c>
      <c r="F3" s="2300"/>
      <c r="G3" s="2299" t="s">
        <v>1740</v>
      </c>
      <c r="H3" s="2300"/>
      <c r="I3" s="2301" t="s">
        <v>1411</v>
      </c>
      <c r="J3" s="2302"/>
      <c r="L3" s="1403"/>
      <c r="M3" s="1404"/>
      <c r="N3" s="1404"/>
      <c r="O3" s="1438" t="s">
        <v>1707</v>
      </c>
      <c r="P3" s="1402" t="s">
        <v>1501</v>
      </c>
      <c r="Q3" s="1439"/>
      <c r="S3" s="1171"/>
      <c r="T3" s="1172"/>
      <c r="U3" s="1172"/>
      <c r="V3" s="2299">
        <v>2020</v>
      </c>
      <c r="W3" s="2300"/>
      <c r="X3" s="2299">
        <v>2021</v>
      </c>
      <c r="Y3" s="2300"/>
      <c r="Z3" s="2308" t="s">
        <v>1411</v>
      </c>
      <c r="AA3" s="2309"/>
      <c r="AF3" s="1439"/>
      <c r="AG3" s="1439"/>
      <c r="AH3" s="1439"/>
      <c r="AI3" s="1439"/>
    </row>
    <row r="4" spans="2:35" ht="17.25" customHeight="1">
      <c r="B4" s="2303" t="s">
        <v>1025</v>
      </c>
      <c r="C4" s="2304"/>
      <c r="D4" s="1343"/>
      <c r="E4" s="1344">
        <f t="shared" ref="E4:E15" ca="1" si="0">V4</f>
        <v>1.9342564007705647</v>
      </c>
      <c r="F4" s="1345" t="str">
        <f t="shared" ref="F4:F15" ca="1" si="1">IF(W4&lt;0,"("&amp;ROUND(W4,2)&amp;")","(+"&amp;ROUND(W4,2)&amp;")")</f>
        <v>(+1.93)</v>
      </c>
      <c r="G4" s="1344">
        <f t="shared" ref="G4:G15" ca="1" si="2">X4</f>
        <v>2.318750861037882</v>
      </c>
      <c r="H4" s="1345" t="str">
        <f t="shared" ref="H4:H15" ca="1" si="3">IF(Y4&lt;0,"("&amp;ROUND(Y4,2)&amp;")","(+"&amp;ROUND(Y4,2)&amp;")")</f>
        <v>(+2.32)</v>
      </c>
      <c r="I4" s="1304">
        <f t="shared" ref="I4:I15" ca="1" si="4">Z4</f>
        <v>4.2530072618084471</v>
      </c>
      <c r="J4" s="1345" t="str">
        <f t="shared" ref="J4:J15" ca="1" si="5">IF(AA4&lt;0,"("&amp;ROUND(AA4,2)&amp;")","(+"&amp;ROUND(AA4,2)&amp;")")</f>
        <v>(+4.25)</v>
      </c>
      <c r="L4" s="2292" t="s">
        <v>1025</v>
      </c>
      <c r="M4" s="2293"/>
      <c r="N4" s="1405"/>
      <c r="O4" s="1406">
        <f t="shared" ref="O4:O15" ca="1" si="6">E4</f>
        <v>1.9342564007705647</v>
      </c>
      <c r="P4" s="1407">
        <f t="shared" ref="P4:P15" ca="1" si="7">V4-W4</f>
        <v>0</v>
      </c>
      <c r="Q4" s="1469">
        <f ca="1">'Summary Program Measures'!L7+'Summary Codes and Stds'!L8</f>
        <v>1.9342564007705647</v>
      </c>
      <c r="R4" s="169">
        <f ca="1">'Summary Program Measures'!N7+'Summary Codes and Stds'!N8</f>
        <v>2.318750861037882</v>
      </c>
      <c r="S4" s="2310" t="s">
        <v>1025</v>
      </c>
      <c r="T4" s="2311"/>
      <c r="U4" s="1184"/>
      <c r="V4" s="1185">
        <f t="shared" ref="V4:Y5" ca="1" si="8">V7+V10+V13</f>
        <v>1.9342564007705647</v>
      </c>
      <c r="W4" s="1289">
        <f t="shared" ca="1" si="8"/>
        <v>1.9342564007705647</v>
      </c>
      <c r="X4" s="1185">
        <f t="shared" ca="1" si="8"/>
        <v>2.318750861037882</v>
      </c>
      <c r="Y4" s="1289">
        <f t="shared" ca="1" si="8"/>
        <v>2.318750861037882</v>
      </c>
      <c r="Z4" s="1185">
        <f ca="1">SUM(V4,X4)</f>
        <v>4.2530072618084471</v>
      </c>
      <c r="AA4" s="1289">
        <f ca="1">AA7+AA10+AA13</f>
        <v>4.2530072618084471</v>
      </c>
      <c r="AB4" s="169"/>
      <c r="AF4" s="1469">
        <f ca="1">'Summary Program Measures'!L7+'Summary Codes and Stds'!L8</f>
        <v>1.9342564007705647</v>
      </c>
      <c r="AG4" s="1439"/>
      <c r="AH4" s="1439"/>
      <c r="AI4" s="1439"/>
    </row>
    <row r="5" spans="2:35" s="428" customFormat="1" ht="17.25" customHeight="1">
      <c r="B5" s="1314" t="s">
        <v>546</v>
      </c>
      <c r="C5" s="1315"/>
      <c r="D5" s="1315"/>
      <c r="E5" s="1316">
        <f ca="1">V5</f>
        <v>1.4786813195882742</v>
      </c>
      <c r="F5" s="1317" t="str">
        <f t="shared" ca="1" si="1"/>
        <v>(+1.48)</v>
      </c>
      <c r="G5" s="1316">
        <f t="shared" ca="1" si="2"/>
        <v>1.7566993127495469</v>
      </c>
      <c r="H5" s="1317" t="str">
        <f t="shared" ca="1" si="3"/>
        <v>(+1.76)</v>
      </c>
      <c r="I5" s="1318">
        <f t="shared" ca="1" si="4"/>
        <v>3.2353806323378205</v>
      </c>
      <c r="J5" s="1317" t="str">
        <f t="shared" ca="1" si="5"/>
        <v>(+3.24)</v>
      </c>
      <c r="L5" s="1314" t="s">
        <v>546</v>
      </c>
      <c r="M5" s="1315"/>
      <c r="N5" s="1315"/>
      <c r="O5" s="1316">
        <f ca="1">E5</f>
        <v>1.4786813195882742</v>
      </c>
      <c r="P5" s="1408">
        <f ca="1">V5-W5</f>
        <v>0</v>
      </c>
      <c r="Q5" s="1439"/>
      <c r="S5" s="1180" t="s">
        <v>546</v>
      </c>
      <c r="T5" s="1181"/>
      <c r="U5" s="1181"/>
      <c r="V5" s="1182">
        <f ca="1">V8+V11+V14</f>
        <v>1.4786813195882742</v>
      </c>
      <c r="W5" s="1290">
        <f t="shared" ca="1" si="8"/>
        <v>1.4786813195882742</v>
      </c>
      <c r="X5" s="1182">
        <f t="shared" ca="1" si="8"/>
        <v>1.7566993127495469</v>
      </c>
      <c r="Y5" s="1290">
        <f t="shared" ca="1" si="8"/>
        <v>1.7566993127495469</v>
      </c>
      <c r="Z5" s="1183">
        <f t="shared" ref="Z5:AA5" ca="1" si="9">Z8+Z11+Z14</f>
        <v>3.2353806323378205</v>
      </c>
      <c r="AA5" s="1290">
        <f t="shared" ca="1" si="9"/>
        <v>3.2353806323378205</v>
      </c>
      <c r="AC5" s="170" t="e">
        <f ca="1">' Summary by Program 2020-21'!N38=Z5-AA5</f>
        <v>#DIV/0!</v>
      </c>
      <c r="AF5" s="1439"/>
      <c r="AG5" s="1439"/>
      <c r="AH5" s="1439"/>
      <c r="AI5" s="1439"/>
    </row>
    <row r="6" spans="2:35" s="428" customFormat="1" ht="17.25" customHeight="1">
      <c r="B6" s="1319" t="s">
        <v>1460</v>
      </c>
      <c r="C6" s="1320"/>
      <c r="D6" s="1321"/>
      <c r="E6" s="1322">
        <f t="shared" ca="1" si="0"/>
        <v>0.45557508118229051</v>
      </c>
      <c r="F6" s="1323" t="str">
        <f t="shared" ca="1" si="1"/>
        <v>(+0.46)</v>
      </c>
      <c r="G6" s="1322">
        <f t="shared" ca="1" si="2"/>
        <v>0.56205154828833537</v>
      </c>
      <c r="H6" s="1323" t="str">
        <f t="shared" ca="1" si="3"/>
        <v>(+0.56)</v>
      </c>
      <c r="I6" s="1324">
        <f t="shared" ca="1" si="4"/>
        <v>1.0176266294706258</v>
      </c>
      <c r="J6" s="1323" t="str">
        <f t="shared" ca="1" si="5"/>
        <v>(+1.02)</v>
      </c>
      <c r="L6" s="1319" t="s">
        <v>1460</v>
      </c>
      <c r="M6" s="1320"/>
      <c r="N6" s="1321"/>
      <c r="O6" s="1322">
        <f t="shared" ca="1" si="6"/>
        <v>0.45557508118229051</v>
      </c>
      <c r="P6" s="1409">
        <f ca="1">V6-W6</f>
        <v>0</v>
      </c>
      <c r="S6" s="1168" t="s">
        <v>1461</v>
      </c>
      <c r="T6" s="1169"/>
      <c r="U6" s="1170"/>
      <c r="V6" s="1175">
        <f ca="1">V9+V12+V15</f>
        <v>0.45557508118229051</v>
      </c>
      <c r="W6" s="1291">
        <f t="shared" ref="W6:AA6" ca="1" si="10">W9+W12+W15</f>
        <v>0.45557508118229051</v>
      </c>
      <c r="X6" s="1175">
        <f t="shared" ca="1" si="10"/>
        <v>0.56205154828833537</v>
      </c>
      <c r="Y6" s="1291">
        <f t="shared" ca="1" si="10"/>
        <v>0.56205154828833537</v>
      </c>
      <c r="Z6" s="1186">
        <f t="shared" ca="1" si="10"/>
        <v>1.0176266294706258</v>
      </c>
      <c r="AA6" s="1291">
        <f t="shared" ca="1" si="10"/>
        <v>1.0176266294706258</v>
      </c>
      <c r="AC6" s="170" t="b">
        <f ca="1">' Summary by Program 2020-21'!R38=Z6-AA6</f>
        <v>1</v>
      </c>
    </row>
    <row r="7" spans="2:35" ht="17.25" customHeight="1">
      <c r="B7" s="2294" t="s">
        <v>236</v>
      </c>
      <c r="C7" s="2295"/>
      <c r="D7" s="1325"/>
      <c r="E7" s="1326">
        <f t="shared" ca="1" si="0"/>
        <v>1.6410730883098794</v>
      </c>
      <c r="F7" s="1327" t="str">
        <f t="shared" ca="1" si="1"/>
        <v>(+1.64)</v>
      </c>
      <c r="G7" s="1326">
        <f t="shared" ca="1" si="2"/>
        <v>1.943476047556348</v>
      </c>
      <c r="H7" s="1327" t="str">
        <f t="shared" ca="1" si="3"/>
        <v>(+1.94)</v>
      </c>
      <c r="I7" s="1328">
        <f t="shared" ca="1" si="4"/>
        <v>3.5845491358662276</v>
      </c>
      <c r="J7" s="1327" t="str">
        <f t="shared" ca="1" si="5"/>
        <v>(+3.58)</v>
      </c>
      <c r="L7" s="2294" t="s">
        <v>236</v>
      </c>
      <c r="M7" s="2295"/>
      <c r="N7" s="1325"/>
      <c r="O7" s="1326">
        <f t="shared" ca="1" si="6"/>
        <v>1.6410730883098794</v>
      </c>
      <c r="P7" s="1410">
        <f t="shared" ca="1" si="7"/>
        <v>0</v>
      </c>
      <c r="S7" s="2305" t="s">
        <v>236</v>
      </c>
      <c r="T7" s="2306"/>
      <c r="U7" s="1165"/>
      <c r="V7" s="1173">
        <f ca="1">SUM(V8:V9)</f>
        <v>1.6410730883098794</v>
      </c>
      <c r="W7" s="1292">
        <f ca="1">SUM(W8:W9)</f>
        <v>1.6410730883098794</v>
      </c>
      <c r="X7" s="1173">
        <f ca="1">SUM(X8:X9)</f>
        <v>1.943476047556348</v>
      </c>
      <c r="Y7" s="1292">
        <f ca="1">SUM(Y8:Y9)</f>
        <v>1.943476047556348</v>
      </c>
      <c r="Z7" s="1176">
        <f t="shared" ref="Z7:Z13" ca="1" si="11">SUM(V7,X7)</f>
        <v>3.5845491358662276</v>
      </c>
      <c r="AA7" s="1292">
        <f ca="1">SUM(W7,Y7)</f>
        <v>3.5845491358662276</v>
      </c>
    </row>
    <row r="8" spans="2:35" s="428" customFormat="1" ht="17.25" customHeight="1">
      <c r="B8" s="1329" t="s">
        <v>546</v>
      </c>
      <c r="C8" s="1330"/>
      <c r="D8" s="1330"/>
      <c r="E8" s="1331">
        <f t="shared" ca="1" si="0"/>
        <v>1.2209173391063111</v>
      </c>
      <c r="F8" s="1332" t="str">
        <f t="shared" ca="1" si="1"/>
        <v>(+1.22)</v>
      </c>
      <c r="G8" s="1331">
        <f t="shared" ca="1" si="2"/>
        <v>1.4806726249689819</v>
      </c>
      <c r="H8" s="1332" t="str">
        <f t="shared" ca="1" si="3"/>
        <v>(+1.48)</v>
      </c>
      <c r="I8" s="1333">
        <f t="shared" ca="1" si="4"/>
        <v>2.7015899640752927</v>
      </c>
      <c r="J8" s="1332" t="str">
        <f t="shared" ca="1" si="5"/>
        <v>(+2.7)</v>
      </c>
      <c r="L8" s="1329" t="s">
        <v>546</v>
      </c>
      <c r="M8" s="1330"/>
      <c r="N8" s="1330"/>
      <c r="O8" s="1331">
        <f t="shared" ca="1" si="6"/>
        <v>1.2209173391063111</v>
      </c>
      <c r="P8" s="1411">
        <f t="shared" ca="1" si="7"/>
        <v>0</v>
      </c>
      <c r="Q8" s="169">
        <f ca="1">O6+O9+O12+O15</f>
        <v>0.91115016236458091</v>
      </c>
      <c r="S8" s="1166" t="s">
        <v>546</v>
      </c>
      <c r="T8" s="1167"/>
      <c r="U8" s="1167"/>
      <c r="V8" s="1174">
        <f ca="1">SUM('Summary Program Measures'!L8:L19)</f>
        <v>1.2209173391063111</v>
      </c>
      <c r="W8" s="1293">
        <f ca="1">V8-SUM('Summary Program Measures'!M8:M19)</f>
        <v>1.2209173391063111</v>
      </c>
      <c r="X8" s="1174">
        <f ca="1">SUM('Summary Program Measures'!N8:N19)</f>
        <v>1.4806726249689819</v>
      </c>
      <c r="Y8" s="1293">
        <f ca="1">X8-SUM('Summary Program Measures'!O8:O19)</f>
        <v>1.4806726249689819</v>
      </c>
      <c r="Z8" s="1177">
        <f ca="1">X8+V8</f>
        <v>2.7015899640752927</v>
      </c>
      <c r="AA8" s="1293">
        <f ca="1">Y8+W8</f>
        <v>2.7015899640752927</v>
      </c>
      <c r="AC8" s="170">
        <f ca="1">'Summary Program Measures'!T7+'Summary Codes and Stds'!T8</f>
        <v>4.2530072618084471</v>
      </c>
    </row>
    <row r="9" spans="2:35" s="428" customFormat="1" ht="17.25" customHeight="1">
      <c r="B9" s="1319" t="s">
        <v>1460</v>
      </c>
      <c r="C9" s="1320"/>
      <c r="D9" s="1321"/>
      <c r="E9" s="1322">
        <f t="shared" ca="1" si="0"/>
        <v>0.42015574920356841</v>
      </c>
      <c r="F9" s="1323" t="str">
        <f t="shared" ca="1" si="1"/>
        <v>(+0.42)</v>
      </c>
      <c r="G9" s="1322">
        <f t="shared" ca="1" si="2"/>
        <v>0.46280342258736606</v>
      </c>
      <c r="H9" s="1323" t="str">
        <f t="shared" ca="1" si="3"/>
        <v>(+0.46)</v>
      </c>
      <c r="I9" s="1334">
        <f t="shared" ca="1" si="4"/>
        <v>0.88295917179093442</v>
      </c>
      <c r="J9" s="1323" t="str">
        <f t="shared" ca="1" si="5"/>
        <v>(+0.88)</v>
      </c>
      <c r="L9" s="1319" t="s">
        <v>1460</v>
      </c>
      <c r="M9" s="1320"/>
      <c r="N9" s="1321"/>
      <c r="O9" s="1322">
        <f t="shared" ca="1" si="6"/>
        <v>0.42015574920356841</v>
      </c>
      <c r="P9" s="1409">
        <f t="shared" ca="1" si="7"/>
        <v>0</v>
      </c>
      <c r="S9" s="1168" t="s">
        <v>1461</v>
      </c>
      <c r="T9" s="1169"/>
      <c r="U9" s="1170"/>
      <c r="V9" s="1175">
        <f ca="1">SUM('Summary Codes and Stds'!L9:L11)</f>
        <v>0.42015574920356841</v>
      </c>
      <c r="W9" s="1291">
        <f ca="1">V9-SUM('Summary Codes and Stds'!M9:M10)</f>
        <v>0.42015574920356841</v>
      </c>
      <c r="X9" s="1175">
        <f ca="1">SUM('Summary Codes and Stds'!N9:N11)</f>
        <v>0.46280342258736606</v>
      </c>
      <c r="Y9" s="1291">
        <f ca="1">X9-SUM('Summary Codes and Stds'!O9:O10)</f>
        <v>0.46280342258736606</v>
      </c>
      <c r="Z9" s="1178">
        <f ca="1">X9+V9</f>
        <v>0.88295917179093442</v>
      </c>
      <c r="AA9" s="1291">
        <f ca="1">W9+Y9</f>
        <v>0.88295917179093442</v>
      </c>
      <c r="AC9" s="170">
        <f ca="1">I7+I10+I13</f>
        <v>4.2530072618084471</v>
      </c>
    </row>
    <row r="10" spans="2:35" ht="17.25" customHeight="1">
      <c r="B10" s="2294" t="s">
        <v>525</v>
      </c>
      <c r="C10" s="2295"/>
      <c r="D10" s="1325"/>
      <c r="E10" s="1326">
        <f t="shared" ca="1" si="0"/>
        <v>0.25560732087971649</v>
      </c>
      <c r="F10" s="1327" t="str">
        <f t="shared" ca="1" si="1"/>
        <v>(+0.26)</v>
      </c>
      <c r="G10" s="1326">
        <f t="shared" ca="1" si="2"/>
        <v>0.33878489121437411</v>
      </c>
      <c r="H10" s="1327" t="str">
        <f t="shared" ca="1" si="3"/>
        <v>(+0.34)</v>
      </c>
      <c r="I10" s="1328">
        <f t="shared" ca="1" si="4"/>
        <v>0.59439221209409054</v>
      </c>
      <c r="J10" s="1327" t="str">
        <f t="shared" ca="1" si="5"/>
        <v>(+0.59)</v>
      </c>
      <c r="L10" s="2294" t="s">
        <v>525</v>
      </c>
      <c r="M10" s="2295"/>
      <c r="N10" s="1325"/>
      <c r="O10" s="1326">
        <f t="shared" ca="1" si="6"/>
        <v>0.25560732087971649</v>
      </c>
      <c r="P10" s="1410">
        <f t="shared" ca="1" si="7"/>
        <v>0</v>
      </c>
      <c r="S10" s="2305" t="s">
        <v>525</v>
      </c>
      <c r="T10" s="2306"/>
      <c r="U10" s="1165"/>
      <c r="V10" s="1173">
        <f ca="1">SUM(V11:V12)</f>
        <v>0.25560732087971649</v>
      </c>
      <c r="W10" s="1292">
        <f ca="1">SUM(W11:W12)</f>
        <v>0.25560732087971649</v>
      </c>
      <c r="X10" s="1173">
        <f ca="1">SUM(X11:X12)</f>
        <v>0.33878489121437411</v>
      </c>
      <c r="Y10" s="1292">
        <f ca="1">SUM(Y11:Y12)</f>
        <v>0.33878489121437411</v>
      </c>
      <c r="Z10" s="1176">
        <f t="shared" ca="1" si="11"/>
        <v>0.59439221209409054</v>
      </c>
      <c r="AA10" s="1292">
        <f t="shared" ref="AA10" ca="1" si="12">SUM(W10,Y10)</f>
        <v>0.59439221209409054</v>
      </c>
      <c r="AC10" s="170">
        <f>'Summary Program Measures'!V7+'Summary Codes and Stds'!V8</f>
        <v>0</v>
      </c>
    </row>
    <row r="11" spans="2:35" s="428" customFormat="1" ht="17.25" customHeight="1">
      <c r="B11" s="1329" t="s">
        <v>546</v>
      </c>
      <c r="C11" s="1330"/>
      <c r="D11" s="1330"/>
      <c r="E11" s="1331">
        <f t="shared" ca="1" si="0"/>
        <v>0.22018798890099442</v>
      </c>
      <c r="F11" s="1332" t="str">
        <f t="shared" ca="1" si="1"/>
        <v>(+0.22)</v>
      </c>
      <c r="G11" s="1331">
        <f t="shared" ca="1" si="2"/>
        <v>0.23953676551340478</v>
      </c>
      <c r="H11" s="1332" t="str">
        <f t="shared" ca="1" si="3"/>
        <v>(+0.24)</v>
      </c>
      <c r="I11" s="1333">
        <f t="shared" ca="1" si="4"/>
        <v>0.45972475441439919</v>
      </c>
      <c r="J11" s="1332" t="str">
        <f t="shared" ca="1" si="5"/>
        <v>(+0.46)</v>
      </c>
      <c r="L11" s="1329" t="s">
        <v>546</v>
      </c>
      <c r="M11" s="1330"/>
      <c r="N11" s="1330"/>
      <c r="O11" s="1331">
        <f t="shared" ca="1" si="6"/>
        <v>0.22018798890099442</v>
      </c>
      <c r="P11" s="1411">
        <f t="shared" ca="1" si="7"/>
        <v>0</v>
      </c>
      <c r="S11" s="1166" t="s">
        <v>546</v>
      </c>
      <c r="T11" s="1167"/>
      <c r="U11" s="1167"/>
      <c r="V11" s="1174">
        <f ca="1">SUM('Summary Program Measures'!L20:L24)</f>
        <v>0.22018798890099442</v>
      </c>
      <c r="W11" s="1293">
        <f ca="1">V11-SUM('Summary Program Measures'!M20:M24)</f>
        <v>0.22018798890099442</v>
      </c>
      <c r="X11" s="1174">
        <f ca="1">SUM('Summary Program Measures'!N20:N24)</f>
        <v>0.23953676551340478</v>
      </c>
      <c r="Y11" s="1293">
        <f ca="1">X11-SUM('Summary Program Measures'!O20:O24)</f>
        <v>0.23953676551340478</v>
      </c>
      <c r="Z11" s="1177">
        <f ca="1">V11+X11</f>
        <v>0.45972475441439919</v>
      </c>
      <c r="AA11" s="1293">
        <f ca="1">Y11+W11</f>
        <v>0.45972475441439919</v>
      </c>
    </row>
    <row r="12" spans="2:35" s="428" customFormat="1" ht="17.25" customHeight="1">
      <c r="B12" s="1319" t="s">
        <v>1460</v>
      </c>
      <c r="C12" s="1320"/>
      <c r="D12" s="1321"/>
      <c r="E12" s="1322">
        <f t="shared" ca="1" si="0"/>
        <v>3.5419331978722088E-2</v>
      </c>
      <c r="F12" s="1323" t="str">
        <f t="shared" ca="1" si="1"/>
        <v>(+0.04)</v>
      </c>
      <c r="G12" s="1322">
        <f t="shared" ca="1" si="2"/>
        <v>9.9248125700969331E-2</v>
      </c>
      <c r="H12" s="1323" t="str">
        <f t="shared" ca="1" si="3"/>
        <v>(+0.1)</v>
      </c>
      <c r="I12" s="1334">
        <f t="shared" ca="1" si="4"/>
        <v>0.1346674576796914</v>
      </c>
      <c r="J12" s="1323" t="str">
        <f t="shared" ca="1" si="5"/>
        <v>(+0.13)</v>
      </c>
      <c r="L12" s="1319" t="s">
        <v>1460</v>
      </c>
      <c r="M12" s="1320"/>
      <c r="N12" s="1321"/>
      <c r="O12" s="1322">
        <f t="shared" ca="1" si="6"/>
        <v>3.5419331978722088E-2</v>
      </c>
      <c r="P12" s="1409">
        <f t="shared" ca="1" si="7"/>
        <v>0</v>
      </c>
      <c r="S12" s="1168" t="s">
        <v>1460</v>
      </c>
      <c r="T12" s="1169"/>
      <c r="U12" s="1170"/>
      <c r="V12" s="1175">
        <f ca="1">SUM('Summary Codes and Stds'!L12:L13)</f>
        <v>3.5419331978722088E-2</v>
      </c>
      <c r="W12" s="1291">
        <f ca="1">V12-SUM('Summary Codes and Stds'!M12:M13)</f>
        <v>3.5419331978722088E-2</v>
      </c>
      <c r="X12" s="1175">
        <f ca="1">SUM('Summary Codes and Stds'!N12:N13)</f>
        <v>9.9248125700969331E-2</v>
      </c>
      <c r="Y12" s="1291">
        <f ca="1">X12-SUM('Summary Codes and Stds'!O12:O13)</f>
        <v>9.9248125700969331E-2</v>
      </c>
      <c r="Z12" s="1178">
        <f ca="1">V12+X12</f>
        <v>0.1346674576796914</v>
      </c>
      <c r="AA12" s="1291">
        <f ca="1">Y12+W12</f>
        <v>0.1346674576796914</v>
      </c>
    </row>
    <row r="13" spans="2:35" ht="17.25" customHeight="1">
      <c r="B13" s="2294" t="s">
        <v>33</v>
      </c>
      <c r="C13" s="2295"/>
      <c r="D13" s="1325"/>
      <c r="E13" s="1326">
        <f t="shared" ca="1" si="0"/>
        <v>3.7575991580968894E-2</v>
      </c>
      <c r="F13" s="1335" t="str">
        <f t="shared" ca="1" si="1"/>
        <v>(+0.04)</v>
      </c>
      <c r="G13" s="1326">
        <f t="shared" ca="1" si="2"/>
        <v>3.648992226716008E-2</v>
      </c>
      <c r="H13" s="1401" t="str">
        <f t="shared" ca="1" si="3"/>
        <v>(+0.04)</v>
      </c>
      <c r="I13" s="1328">
        <f t="shared" ca="1" si="4"/>
        <v>7.4065913848128967E-2</v>
      </c>
      <c r="J13" s="1327" t="str">
        <f t="shared" ca="1" si="5"/>
        <v>(+0.07)</v>
      </c>
      <c r="L13" s="2294" t="s">
        <v>33</v>
      </c>
      <c r="M13" s="2295"/>
      <c r="N13" s="1325"/>
      <c r="O13" s="1326">
        <f t="shared" ca="1" si="6"/>
        <v>3.7575991580968894E-2</v>
      </c>
      <c r="P13" s="1410">
        <f t="shared" ca="1" si="7"/>
        <v>0</v>
      </c>
      <c r="S13" s="2305" t="s">
        <v>33</v>
      </c>
      <c r="T13" s="2306"/>
      <c r="U13" s="1165"/>
      <c r="V13" s="1173">
        <f ca="1">SUM(V14:V15)</f>
        <v>3.7575991580968894E-2</v>
      </c>
      <c r="W13" s="1294">
        <f ca="1">SUM(W14:W15)</f>
        <v>3.7575991580968894E-2</v>
      </c>
      <c r="X13" s="1173">
        <f ca="1">SUM(X14:X15)</f>
        <v>3.648992226716008E-2</v>
      </c>
      <c r="Y13" s="1292">
        <f ca="1">SUM(Y14:Y15)</f>
        <v>3.648992226716008E-2</v>
      </c>
      <c r="Z13" s="1176">
        <f t="shared" ca="1" si="11"/>
        <v>7.4065913848128967E-2</v>
      </c>
      <c r="AA13" s="1292">
        <f ca="1">AA14+AA15</f>
        <v>7.4065913848128967E-2</v>
      </c>
    </row>
    <row r="14" spans="2:35" s="428" customFormat="1" ht="17.25" customHeight="1">
      <c r="B14" s="1329" t="s">
        <v>546</v>
      </c>
      <c r="C14" s="1330"/>
      <c r="D14" s="1330"/>
      <c r="E14" s="1331">
        <f t="shared" ca="1" si="0"/>
        <v>3.7575991580968894E-2</v>
      </c>
      <c r="F14" s="1336" t="str">
        <f t="shared" ca="1" si="1"/>
        <v>(+0.04)</v>
      </c>
      <c r="G14" s="1331">
        <f t="shared" ca="1" si="2"/>
        <v>3.648992226716008E-2</v>
      </c>
      <c r="H14" s="1336" t="str">
        <f t="shared" ca="1" si="3"/>
        <v>(+0.04)</v>
      </c>
      <c r="I14" s="1333">
        <f t="shared" ca="1" si="4"/>
        <v>7.4065913848128967E-2</v>
      </c>
      <c r="J14" s="1332" t="str">
        <f t="shared" ca="1" si="5"/>
        <v>(+0.07)</v>
      </c>
      <c r="L14" s="1329" t="s">
        <v>546</v>
      </c>
      <c r="M14" s="1330"/>
      <c r="N14" s="1330"/>
      <c r="O14" s="1331">
        <f t="shared" ca="1" si="6"/>
        <v>3.7575991580968894E-2</v>
      </c>
      <c r="P14" s="1411">
        <f t="shared" ca="1" si="7"/>
        <v>0</v>
      </c>
      <c r="S14" s="1166" t="s">
        <v>546</v>
      </c>
      <c r="T14" s="1167"/>
      <c r="U14" s="1167"/>
      <c r="V14" s="1174">
        <f ca="1">SUM('Summary Program Measures'!L25:L25)</f>
        <v>3.7575991580968894E-2</v>
      </c>
      <c r="W14" s="1293">
        <f ca="1">V14-SUM('Summary Program Measures'!M25:M25)</f>
        <v>3.7575991580968894E-2</v>
      </c>
      <c r="X14" s="1174">
        <f ca="1">SUM('Summary Program Measures'!N25:N25)</f>
        <v>3.648992226716008E-2</v>
      </c>
      <c r="Y14" s="1293">
        <f ca="1">X14-SUM('Summary Program Measures'!O25:O25)</f>
        <v>3.648992226716008E-2</v>
      </c>
      <c r="Z14" s="1177">
        <f ca="1">X14+V14</f>
        <v>7.4065913848128967E-2</v>
      </c>
      <c r="AA14" s="1293">
        <f ca="1">W14+Y14</f>
        <v>7.4065913848128967E-2</v>
      </c>
    </row>
    <row r="15" spans="2:35" s="428" customFormat="1" ht="17.25" customHeight="1">
      <c r="B15" s="1319" t="s">
        <v>1460</v>
      </c>
      <c r="C15" s="1320"/>
      <c r="D15" s="1321"/>
      <c r="E15" s="1322">
        <f t="shared" ca="1" si="0"/>
        <v>0</v>
      </c>
      <c r="F15" s="1337" t="str">
        <f t="shared" ca="1" si="1"/>
        <v>(+0)</v>
      </c>
      <c r="G15" s="1322">
        <f t="shared" ca="1" si="2"/>
        <v>0</v>
      </c>
      <c r="H15" s="1337" t="str">
        <f t="shared" ca="1" si="3"/>
        <v>(+0)</v>
      </c>
      <c r="I15" s="1334">
        <f t="shared" ca="1" si="4"/>
        <v>0</v>
      </c>
      <c r="J15" s="1323" t="str">
        <f t="shared" ca="1" si="5"/>
        <v>(+0)</v>
      </c>
      <c r="L15" s="1319" t="s">
        <v>1460</v>
      </c>
      <c r="M15" s="1320"/>
      <c r="N15" s="1321"/>
      <c r="O15" s="1322">
        <f t="shared" ca="1" si="6"/>
        <v>0</v>
      </c>
      <c r="P15" s="1409">
        <f t="shared" ca="1" si="7"/>
        <v>0</v>
      </c>
      <c r="S15" s="1168" t="s">
        <v>1460</v>
      </c>
      <c r="T15" s="1169"/>
      <c r="U15" s="1170"/>
      <c r="V15" s="1175">
        <f ca="1">SUM('Summary Codes and Stds'!L14)</f>
        <v>0</v>
      </c>
      <c r="W15" s="1291">
        <f ca="1">V15-SUM('Summary Codes and Stds'!M14)</f>
        <v>0</v>
      </c>
      <c r="X15" s="1175">
        <f ca="1">SUM('Summary Codes and Stds'!N14)</f>
        <v>0</v>
      </c>
      <c r="Y15" s="1291">
        <f ca="1">X15-SUM('Summary Codes and Stds'!O14)</f>
        <v>0</v>
      </c>
      <c r="Z15" s="1178">
        <f ca="1">V15+X15</f>
        <v>0</v>
      </c>
      <c r="AA15" s="1291">
        <f ca="1">Y15+W15</f>
        <v>0</v>
      </c>
    </row>
    <row r="16" spans="2:35" ht="60" customHeight="1">
      <c r="B16" s="2289" t="s">
        <v>1498</v>
      </c>
      <c r="C16" s="2289"/>
      <c r="D16" s="2289"/>
      <c r="E16" s="2289"/>
      <c r="F16" s="2289"/>
      <c r="G16" s="2289"/>
      <c r="H16" s="2289"/>
      <c r="I16" s="2289"/>
      <c r="J16" s="2289"/>
      <c r="K16" s="2289"/>
      <c r="L16" s="2289"/>
      <c r="M16" s="2289"/>
      <c r="N16" s="2289"/>
      <c r="O16" s="2289"/>
      <c r="P16" s="2289"/>
      <c r="S16" s="171"/>
      <c r="T16" s="171"/>
    </row>
    <row r="17" spans="2:16" s="428" customFormat="1">
      <c r="B17" s="2290" t="s">
        <v>1339</v>
      </c>
      <c r="C17" s="2290"/>
      <c r="D17" s="2290"/>
      <c r="E17" s="2290"/>
      <c r="F17" s="2290"/>
      <c r="G17" s="2290"/>
      <c r="H17" s="2290"/>
      <c r="I17" s="2290"/>
      <c r="J17" s="2290"/>
      <c r="K17" s="2290"/>
      <c r="L17" s="2290"/>
      <c r="M17" s="2290"/>
      <c r="N17" s="2290"/>
      <c r="O17" s="2290"/>
      <c r="P17" s="2290"/>
    </row>
    <row r="18" spans="2:16" s="428" customFormat="1" ht="39.75" customHeight="1">
      <c r="B18" s="2291" t="s">
        <v>1341</v>
      </c>
      <c r="C18" s="2291"/>
      <c r="D18" s="2291"/>
      <c r="E18" s="2291"/>
      <c r="F18" s="2291"/>
      <c r="G18" s="2291"/>
      <c r="H18" s="2291"/>
      <c r="I18" s="2291"/>
      <c r="J18" s="2291"/>
      <c r="K18" s="2291"/>
      <c r="L18" s="2291"/>
      <c r="M18" s="2291"/>
      <c r="N18" s="2291"/>
      <c r="O18" s="2291"/>
      <c r="P18" s="2291"/>
    </row>
    <row r="19" spans="2:16" s="428" customFormat="1" ht="39" customHeight="1">
      <c r="B19" s="2307" t="s">
        <v>1342</v>
      </c>
      <c r="C19" s="2307"/>
      <c r="D19" s="2307"/>
      <c r="E19" s="2307"/>
      <c r="F19" s="2307"/>
      <c r="G19" s="2307"/>
      <c r="H19" s="2307"/>
      <c r="I19" s="2307"/>
      <c r="J19" s="2307"/>
      <c r="K19" s="2307"/>
      <c r="L19" s="2307"/>
      <c r="M19" s="2307"/>
      <c r="N19" s="2307"/>
      <c r="O19" s="2307"/>
      <c r="P19" s="2307"/>
    </row>
    <row r="20" spans="2:16" s="428" customFormat="1" ht="48.75" customHeight="1">
      <c r="B20" s="2291" t="s">
        <v>1343</v>
      </c>
      <c r="C20" s="2291"/>
      <c r="D20" s="2291"/>
      <c r="E20" s="2291"/>
      <c r="F20" s="2291"/>
      <c r="G20" s="2291"/>
      <c r="H20" s="2291"/>
      <c r="I20" s="2291"/>
      <c r="J20" s="2291"/>
      <c r="K20" s="2291"/>
      <c r="L20" s="2291"/>
      <c r="M20" s="2291"/>
      <c r="N20" s="2291"/>
      <c r="O20" s="2291"/>
      <c r="P20" s="2291"/>
    </row>
  </sheetData>
  <mergeCells count="26">
    <mergeCell ref="S2:AA2"/>
    <mergeCell ref="V3:W3"/>
    <mergeCell ref="X3:Y3"/>
    <mergeCell ref="Z3:AA3"/>
    <mergeCell ref="S4:T4"/>
    <mergeCell ref="S10:T10"/>
    <mergeCell ref="S13:T13"/>
    <mergeCell ref="B19:P19"/>
    <mergeCell ref="B20:P20"/>
    <mergeCell ref="S7:T7"/>
    <mergeCell ref="B7:C7"/>
    <mergeCell ref="B10:C10"/>
    <mergeCell ref="B13:C13"/>
    <mergeCell ref="L2:P2"/>
    <mergeCell ref="B16:P16"/>
    <mergeCell ref="B17:P17"/>
    <mergeCell ref="B18:P18"/>
    <mergeCell ref="L4:M4"/>
    <mergeCell ref="L7:M7"/>
    <mergeCell ref="L10:M10"/>
    <mergeCell ref="L13:M13"/>
    <mergeCell ref="B2:J2"/>
    <mergeCell ref="E3:F3"/>
    <mergeCell ref="G3:H3"/>
    <mergeCell ref="I3:J3"/>
    <mergeCell ref="B4:C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92D050"/>
  </sheetPr>
  <dimension ref="A1:P49"/>
  <sheetViews>
    <sheetView showGridLines="0" zoomScaleNormal="100" workbookViewId="0"/>
  </sheetViews>
  <sheetFormatPr defaultRowHeight="15" outlineLevelCol="1"/>
  <cols>
    <col min="1" max="1" width="16.140625" customWidth="1"/>
    <col min="2" max="2" width="38.85546875" customWidth="1"/>
    <col min="4" max="4" width="9.140625" style="1375"/>
    <col min="5" max="5" width="14" style="1375" customWidth="1"/>
    <col min="6" max="7" width="9.140625" hidden="1" customWidth="1" outlineLevel="1"/>
    <col min="8" max="8" width="9.140625" style="1375" hidden="1" customWidth="1" outlineLevel="1"/>
    <col min="9" max="9" width="22.28515625" customWidth="1" collapsed="1"/>
    <col min="10" max="10" width="14.140625" customWidth="1"/>
  </cols>
  <sheetData>
    <row r="1" spans="1:9" ht="30" customHeight="1">
      <c r="A1" s="1965"/>
      <c r="B1" s="1966"/>
      <c r="C1" s="2312" t="s">
        <v>3055</v>
      </c>
      <c r="D1" s="2312"/>
      <c r="E1" s="2312"/>
      <c r="F1" s="2313" t="s">
        <v>3056</v>
      </c>
      <c r="G1" s="2313"/>
      <c r="H1" s="2314"/>
    </row>
    <row r="2" spans="1:9" ht="15.75" customHeight="1">
      <c r="A2" s="2320"/>
      <c r="B2" s="2321"/>
      <c r="C2" s="2264">
        <v>2022</v>
      </c>
      <c r="D2" s="2265">
        <v>2023</v>
      </c>
      <c r="E2" s="2266" t="s">
        <v>1025</v>
      </c>
      <c r="F2" s="2109">
        <v>2024</v>
      </c>
      <c r="G2" s="1921">
        <v>2025</v>
      </c>
      <c r="H2" s="2110" t="s">
        <v>1025</v>
      </c>
    </row>
    <row r="3" spans="1:9" s="1375" customFormat="1" ht="18.75">
      <c r="A3" s="2316" t="s">
        <v>3280</v>
      </c>
      <c r="B3" s="2317"/>
      <c r="C3" s="2268">
        <f t="shared" ref="C3:H3" ca="1" si="0">SUM(C4,C25)</f>
        <v>1.9342564007705647</v>
      </c>
      <c r="D3" s="2269">
        <f t="shared" ca="1" si="0"/>
        <v>2.3187508610378824</v>
      </c>
      <c r="E3" s="2235">
        <f ca="1">SUM(E4,E25)</f>
        <v>4.2530072618084471</v>
      </c>
      <c r="F3" s="1967">
        <f t="shared" ca="1" si="0"/>
        <v>3.3704973599880583</v>
      </c>
      <c r="G3" s="1968">
        <f t="shared" ca="1" si="0"/>
        <v>4.9676031276757513</v>
      </c>
      <c r="H3" s="2112">
        <f t="shared" ca="1" si="0"/>
        <v>8.3381004876638087</v>
      </c>
    </row>
    <row r="4" spans="1:9">
      <c r="A4" s="2318" t="s">
        <v>546</v>
      </c>
      <c r="B4" s="2319"/>
      <c r="C4" s="2236">
        <f ca="1">SUM(C5,C18,C23)</f>
        <v>1.4786813195882742</v>
      </c>
      <c r="D4" s="2237">
        <f ca="1">SUM(D5,D18,D23)</f>
        <v>1.7566993127495469</v>
      </c>
      <c r="E4" s="2238">
        <f ca="1">SUM(C4:D4)</f>
        <v>3.2353806323378214</v>
      </c>
      <c r="F4" s="2233">
        <f ca="1">SUM(F5,F18,F23)</f>
        <v>2.2827314759531077</v>
      </c>
      <c r="G4" s="2234">
        <f ca="1">SUM(G5,G18,G23)</f>
        <v>3.3185614618429606</v>
      </c>
      <c r="H4" s="2234">
        <f ca="1">SUM(F4:G4)</f>
        <v>5.6012929377960683</v>
      </c>
      <c r="I4" s="1541"/>
    </row>
    <row r="5" spans="1:9">
      <c r="A5" s="2326" t="s">
        <v>236</v>
      </c>
      <c r="B5" s="2239" t="s">
        <v>1025</v>
      </c>
      <c r="C5" s="2240">
        <f ca="1">SUM(C6:C17)</f>
        <v>1.2209173391063111</v>
      </c>
      <c r="D5" s="2241">
        <f ca="1">SUM(D6:D17)</f>
        <v>1.4806726249689819</v>
      </c>
      <c r="E5" s="2242">
        <f t="shared" ref="E5:E24" ca="1" si="1">SUM(C5:D5)</f>
        <v>2.7015899640752927</v>
      </c>
      <c r="F5" s="2104">
        <f t="shared" ref="F5:G5" ca="1" si="2">SUM(F6:F17)</f>
        <v>1.9635662582497448</v>
      </c>
      <c r="G5" s="1925">
        <f t="shared" ca="1" si="2"/>
        <v>2.9657153685034681</v>
      </c>
      <c r="H5" s="2116">
        <f t="shared" ref="H5:H24" ca="1" si="3">SUM(F5:G5)</f>
        <v>4.9292816267532125</v>
      </c>
    </row>
    <row r="6" spans="1:9">
      <c r="A6" s="2327"/>
      <c r="B6" s="2243" t="s">
        <v>150</v>
      </c>
      <c r="C6" s="2244">
        <f ca="1">'Summary Program Measures'!L8</f>
        <v>0.37260567351378543</v>
      </c>
      <c r="D6" s="2245">
        <f ca="1">'Summary Program Measures'!N8</f>
        <v>0.4216677272782493</v>
      </c>
      <c r="E6" s="2246">
        <f t="shared" ca="1" si="1"/>
        <v>0.79427340079203468</v>
      </c>
      <c r="F6" s="2105">
        <f ca="1">'Summary Program Measures'!P8</f>
        <v>0.52119066016923388</v>
      </c>
      <c r="G6" s="1918">
        <f ca="1">'Summary Program Measures'!R8</f>
        <v>0.77663778864724942</v>
      </c>
      <c r="H6" s="2117">
        <f t="shared" ca="1" si="3"/>
        <v>1.2978284488164833</v>
      </c>
    </row>
    <row r="7" spans="1:9">
      <c r="A7" s="2327"/>
      <c r="B7" s="2243" t="s">
        <v>152</v>
      </c>
      <c r="C7" s="2244">
        <f ca="1">'Summary Program Measures'!L10</f>
        <v>0.20952198555191934</v>
      </c>
      <c r="D7" s="2245">
        <f ca="1">'Summary Program Measures'!N10</f>
        <v>0.25886638942295453</v>
      </c>
      <c r="E7" s="2246">
        <f t="shared" ca="1" si="1"/>
        <v>0.46838837497487384</v>
      </c>
      <c r="F7" s="2105">
        <f ca="1">'Summary Program Measures'!P10</f>
        <v>0.3228092009394638</v>
      </c>
      <c r="G7" s="1918">
        <f ca="1">'Summary Program Measures'!R10</f>
        <v>0.49813813242111971</v>
      </c>
      <c r="H7" s="2117">
        <f t="shared" ca="1" si="3"/>
        <v>0.82094733336058345</v>
      </c>
    </row>
    <row r="8" spans="1:9" s="1375" customFormat="1">
      <c r="A8" s="2327"/>
      <c r="B8" s="2243" t="s">
        <v>1107</v>
      </c>
      <c r="C8" s="2244">
        <f ca="1">'Summary Program Measures'!L9</f>
        <v>5.5344503331074005E-2</v>
      </c>
      <c r="D8" s="2245">
        <f ca="1">'Summary Program Measures'!N9</f>
        <v>6.0878953664181411E-2</v>
      </c>
      <c r="E8" s="2246">
        <f t="shared" ca="1" si="1"/>
        <v>0.11622345699525541</v>
      </c>
      <c r="F8" s="2105">
        <f ca="1">'Summary Program Measures'!P9</f>
        <v>6.6966849030599573E-2</v>
      </c>
      <c r="G8" s="1918">
        <f ca="1">'Summary Program Measures'!R9</f>
        <v>6.6966849030599573E-2</v>
      </c>
      <c r="H8" s="2117">
        <f t="shared" ca="1" si="3"/>
        <v>0.13393369806119915</v>
      </c>
    </row>
    <row r="9" spans="1:9">
      <c r="A9" s="2327"/>
      <c r="B9" s="2243" t="s">
        <v>970</v>
      </c>
      <c r="C9" s="2244" t="str">
        <f>'Summary Program Measures'!L12</f>
        <v>TBD</v>
      </c>
      <c r="D9" s="2245" t="str">
        <f>'Summary Program Measures'!N12</f>
        <v>TBD</v>
      </c>
      <c r="E9" s="2246">
        <f t="shared" si="1"/>
        <v>0</v>
      </c>
      <c r="F9" s="2105" t="str">
        <f>'Summary Program Measures'!P12</f>
        <v>TBD</v>
      </c>
      <c r="G9" s="1918" t="str">
        <f>'Summary Program Measures'!R12</f>
        <v>TBD</v>
      </c>
      <c r="H9" s="2117">
        <f t="shared" si="3"/>
        <v>0</v>
      </c>
    </row>
    <row r="10" spans="1:9">
      <c r="A10" s="2327"/>
      <c r="B10" s="2243" t="s">
        <v>857</v>
      </c>
      <c r="C10" s="2244">
        <f ca="1">'Summary Program Measures'!L11</f>
        <v>3.2020783850926486E-2</v>
      </c>
      <c r="D10" s="2245">
        <f ca="1">'Summary Program Measures'!N11</f>
        <v>3.4478526190641033E-2</v>
      </c>
      <c r="E10" s="2246">
        <f t="shared" ca="1" si="1"/>
        <v>6.6499310041567519E-2</v>
      </c>
      <c r="F10" s="2105">
        <f ca="1">'Summary Program Measures'!P11</f>
        <v>6.6301376142616247E-2</v>
      </c>
      <c r="G10" s="1918">
        <f ca="1">'Summary Program Measures'!R11</f>
        <v>0.11103801534154836</v>
      </c>
      <c r="H10" s="2117">
        <f t="shared" ca="1" si="3"/>
        <v>0.17733939148416461</v>
      </c>
    </row>
    <row r="11" spans="1:9">
      <c r="A11" s="2327"/>
      <c r="B11" s="2243" t="s">
        <v>2923</v>
      </c>
      <c r="C11" s="2244">
        <f ca="1">'Summary Program Measures'!L13</f>
        <v>6.9898906085241783E-2</v>
      </c>
      <c r="D11" s="2245">
        <f ca="1">'Summary Program Measures'!N13</f>
        <v>9.1244843194068725E-2</v>
      </c>
      <c r="E11" s="2246">
        <f t="shared" ca="1" si="1"/>
        <v>0.16114374927931052</v>
      </c>
      <c r="F11" s="2105">
        <f ca="1">'Summary Program Measures'!P13</f>
        <v>9.1208550857534348E-2</v>
      </c>
      <c r="G11" s="1918">
        <f ca="1">'Summary Program Measures'!R13</f>
        <v>0.16067711911660693</v>
      </c>
      <c r="H11" s="2117">
        <f t="shared" ca="1" si="3"/>
        <v>0.2518856699741413</v>
      </c>
    </row>
    <row r="12" spans="1:9">
      <c r="A12" s="2327"/>
      <c r="B12" s="2243" t="s">
        <v>147</v>
      </c>
      <c r="C12" s="2244">
        <f ca="1">'Summary Program Measures'!L14</f>
        <v>0.31867569188413813</v>
      </c>
      <c r="D12" s="2245">
        <f ca="1">'Summary Program Measures'!N14</f>
        <v>0.32576623793646992</v>
      </c>
      <c r="E12" s="2246">
        <f t="shared" ca="1" si="1"/>
        <v>0.64444192982060811</v>
      </c>
      <c r="F12" s="2105">
        <f ca="1">'Summary Program Measures'!P14</f>
        <v>0.32997713843130694</v>
      </c>
      <c r="G12" s="1918">
        <f ca="1">'Summary Program Measures'!R14</f>
        <v>0.33814806601873371</v>
      </c>
      <c r="H12" s="2117">
        <f t="shared" ca="1" si="3"/>
        <v>0.66812520445004064</v>
      </c>
    </row>
    <row r="13" spans="1:9">
      <c r="A13" s="2327"/>
      <c r="B13" s="2243" t="s">
        <v>283</v>
      </c>
      <c r="C13" s="2244">
        <f ca="1">'Summary Program Measures'!L15</f>
        <v>0.13121709491194186</v>
      </c>
      <c r="D13" s="2245">
        <f ca="1">'Summary Program Measures'!N15</f>
        <v>0.14937631115222658</v>
      </c>
      <c r="E13" s="2246">
        <f t="shared" ca="1" si="1"/>
        <v>0.28059340606416844</v>
      </c>
      <c r="F13" s="2105">
        <f ca="1">'Summary Program Measures'!P15</f>
        <v>0.17257593129945006</v>
      </c>
      <c r="G13" s="1918">
        <f ca="1">'Summary Program Measures'!R15</f>
        <v>0.21653816928991515</v>
      </c>
      <c r="H13" s="2117">
        <f t="shared" ca="1" si="3"/>
        <v>0.38911410058936524</v>
      </c>
    </row>
    <row r="14" spans="1:9">
      <c r="A14" s="2327"/>
      <c r="B14" s="2243" t="s">
        <v>534</v>
      </c>
      <c r="C14" s="2244">
        <f ca="1">'Summary Program Measures'!L16</f>
        <v>8.124086992894344E-3</v>
      </c>
      <c r="D14" s="2245">
        <f ca="1">'Summary Program Measures'!N16</f>
        <v>9.0296997524992439E-3</v>
      </c>
      <c r="E14" s="2246">
        <f t="shared" ca="1" si="1"/>
        <v>1.7153786745393588E-2</v>
      </c>
      <c r="F14" s="2105">
        <f ca="1">'Summary Program Measures'!P16</f>
        <v>1.3156951216674116E-2</v>
      </c>
      <c r="G14" s="1918">
        <f ca="1">'Summary Program Measures'!R16</f>
        <v>1.852137640418948E-2</v>
      </c>
      <c r="H14" s="2117">
        <f t="shared" ca="1" si="3"/>
        <v>3.1678327620863596E-2</v>
      </c>
    </row>
    <row r="15" spans="1:9" s="1375" customFormat="1">
      <c r="A15" s="2327"/>
      <c r="B15" s="2243" t="s">
        <v>1350</v>
      </c>
      <c r="C15" s="2244">
        <f ca="1">'Summary Program Measures'!L17</f>
        <v>1.0224876068910538E-3</v>
      </c>
      <c r="D15" s="2245">
        <f ca="1">'Summary Program Measures'!N17</f>
        <v>9.8613129357924489E-2</v>
      </c>
      <c r="E15" s="2246">
        <f ca="1">SUM(C15:D15)</f>
        <v>9.9635616964815543E-2</v>
      </c>
      <c r="F15" s="2105">
        <f ca="1">'Summary Program Measures'!P17</f>
        <v>0.3238592492296285</v>
      </c>
      <c r="G15" s="1918">
        <f ca="1">'Summary Program Measures'!R17</f>
        <v>0.34243418146315929</v>
      </c>
      <c r="H15" s="2117"/>
    </row>
    <row r="16" spans="1:9">
      <c r="A16" s="2327"/>
      <c r="B16" s="2243" t="s">
        <v>294</v>
      </c>
      <c r="C16" s="2244" t="str">
        <f>'Summary Program Measures'!L19</f>
        <v>TBD</v>
      </c>
      <c r="D16" s="2245" t="str">
        <f>'Summary Program Measures'!N19</f>
        <v>TBD</v>
      </c>
      <c r="E16" s="2246">
        <f t="shared" si="1"/>
        <v>0</v>
      </c>
      <c r="F16" s="2105" t="str">
        <f>'Summary Program Measures'!P19</f>
        <v>TBD</v>
      </c>
      <c r="G16" s="1918">
        <f ca="1">'Summary Program Measures'!R17</f>
        <v>0.34243418146315929</v>
      </c>
      <c r="H16" s="2117">
        <f t="shared" ca="1" si="3"/>
        <v>0.34243418146315929</v>
      </c>
    </row>
    <row r="17" spans="1:14">
      <c r="A17" s="2327"/>
      <c r="B17" s="2243" t="s">
        <v>1349</v>
      </c>
      <c r="C17" s="2247">
        <f>'Summary Program Measures'!L18</f>
        <v>2.2486125377498844E-2</v>
      </c>
      <c r="D17" s="2248">
        <f>'Summary Program Measures'!N18</f>
        <v>3.0750807019766804E-2</v>
      </c>
      <c r="E17" s="2249">
        <f t="shared" si="1"/>
        <v>5.3236932397265652E-2</v>
      </c>
      <c r="F17" s="2106">
        <f>'Summary Program Measures'!P18</f>
        <v>5.5520350933237483E-2</v>
      </c>
      <c r="G17" s="1926">
        <f>'Summary Program Measures'!R18</f>
        <v>9.418148930718738E-2</v>
      </c>
      <c r="H17" s="2118">
        <f t="shared" si="3"/>
        <v>0.14970184024042488</v>
      </c>
    </row>
    <row r="18" spans="1:14">
      <c r="A18" s="2326" t="s">
        <v>525</v>
      </c>
      <c r="B18" s="2239" t="s">
        <v>1025</v>
      </c>
      <c r="C18" s="2240">
        <f ca="1">SUM(C19:C22)</f>
        <v>0.22018798890099442</v>
      </c>
      <c r="D18" s="2241">
        <f ca="1">SUM(D19:D22)</f>
        <v>0.23953676551340478</v>
      </c>
      <c r="E18" s="2242">
        <f t="shared" ca="1" si="1"/>
        <v>0.45972475441439919</v>
      </c>
      <c r="F18" s="2104">
        <f ca="1">SUM(F19:F22)</f>
        <v>0.28382821822401971</v>
      </c>
      <c r="G18" s="1917">
        <f ca="1">SUM(G19:G22)</f>
        <v>0.31861550424099144</v>
      </c>
      <c r="H18" s="2116">
        <f t="shared" ca="1" si="3"/>
        <v>0.60244372246501121</v>
      </c>
    </row>
    <row r="19" spans="1:14" s="1375" customFormat="1">
      <c r="A19" s="2327"/>
      <c r="B19" s="2243" t="s">
        <v>1107</v>
      </c>
      <c r="C19" s="2244">
        <f ca="1">'Summary Program Measures'!L20</f>
        <v>3.9958529161413146E-2</v>
      </c>
      <c r="D19" s="2245">
        <f ca="1">'Summary Program Measures'!N20</f>
        <v>4.0781207816844148E-2</v>
      </c>
      <c r="E19" s="2246">
        <f t="shared" ca="1" si="1"/>
        <v>8.0739736978257287E-2</v>
      </c>
      <c r="F19" s="2105">
        <f ca="1">'Summary Program Measures'!P20</f>
        <v>4.1640564717957414E-2</v>
      </c>
      <c r="G19" s="1918">
        <f ca="1">'Summary Program Measures'!R20</f>
        <v>4.2172463599346323E-2</v>
      </c>
      <c r="H19" s="2117">
        <f t="shared" ca="1" si="3"/>
        <v>8.3813028317303737E-2</v>
      </c>
    </row>
    <row r="20" spans="1:14">
      <c r="A20" s="2327"/>
      <c r="B20" s="2243" t="s">
        <v>3050</v>
      </c>
      <c r="C20" s="2244">
        <f ca="1">'Summary Program Measures'!L22</f>
        <v>3.9471585760669919E-3</v>
      </c>
      <c r="D20" s="2245">
        <f ca="1">'Summary Program Measures'!N22</f>
        <v>1.8110004005319428E-2</v>
      </c>
      <c r="E20" s="2246">
        <f t="shared" ca="1" si="1"/>
        <v>2.205716258138642E-2</v>
      </c>
      <c r="F20" s="2105">
        <f ca="1">'Summary Program Measures'!P22</f>
        <v>6.4555395229813045E-2</v>
      </c>
      <c r="G20" s="1918">
        <f ca="1">'Summary Program Measures'!R22</f>
        <v>9.9737420700994936E-2</v>
      </c>
      <c r="H20" s="2117">
        <f t="shared" ca="1" si="3"/>
        <v>0.16429281593080797</v>
      </c>
    </row>
    <row r="21" spans="1:14">
      <c r="A21" s="2327"/>
      <c r="B21" s="2243" t="s">
        <v>142</v>
      </c>
      <c r="C21" s="2244">
        <f ca="1">'Summary Program Measures'!L21</f>
        <v>1.6381250829256754E-2</v>
      </c>
      <c r="D21" s="2245">
        <f ca="1">'Summary Program Measures'!N21</f>
        <v>2.5381604655160102E-2</v>
      </c>
      <c r="E21" s="2246">
        <f t="shared" ca="1" si="1"/>
        <v>4.1762855484416855E-2</v>
      </c>
      <c r="F21" s="2105">
        <f ca="1">'Summary Program Measures'!P21</f>
        <v>2.7290770618230362E-2</v>
      </c>
      <c r="G21" s="1918">
        <f ca="1">'Summary Program Measures'!R21</f>
        <v>3.0517152909331019E-2</v>
      </c>
      <c r="H21" s="2117">
        <f t="shared" ca="1" si="3"/>
        <v>5.7807923527561381E-2</v>
      </c>
    </row>
    <row r="22" spans="1:14">
      <c r="A22" s="2328"/>
      <c r="B22" s="2243" t="s">
        <v>143</v>
      </c>
      <c r="C22" s="2244">
        <f ca="1">'Summary Program Measures'!L24</f>
        <v>0.15990105033425753</v>
      </c>
      <c r="D22" s="2245">
        <f ca="1">'Summary Program Measures'!N24</f>
        <v>0.15526394903608109</v>
      </c>
      <c r="E22" s="2246">
        <f t="shared" ca="1" si="1"/>
        <v>0.31516499937033859</v>
      </c>
      <c r="F22" s="2105">
        <f ca="1">'Summary Program Measures'!P24</f>
        <v>0.15034148765801894</v>
      </c>
      <c r="G22" s="1918">
        <f ca="1">'Summary Program Measures'!R24</f>
        <v>0.14618846703131916</v>
      </c>
      <c r="H22" s="2117">
        <f t="shared" ca="1" si="3"/>
        <v>0.29652995468933807</v>
      </c>
    </row>
    <row r="23" spans="1:14">
      <c r="A23" s="2326" t="s">
        <v>33</v>
      </c>
      <c r="B23" s="2239" t="s">
        <v>1025</v>
      </c>
      <c r="C23" s="2240">
        <f ca="1">SUM(C24:C24)</f>
        <v>3.7575991580968894E-2</v>
      </c>
      <c r="D23" s="2241">
        <f ca="1">SUM(D24:D24)</f>
        <v>3.648992226716008E-2</v>
      </c>
      <c r="E23" s="2242">
        <f t="shared" ca="1" si="1"/>
        <v>7.4065913848128967E-2</v>
      </c>
      <c r="F23" s="2104">
        <f ca="1">SUM(F24:F24)</f>
        <v>3.5336999479343253E-2</v>
      </c>
      <c r="G23" s="1917">
        <f ca="1">SUM(G24:G24)</f>
        <v>3.4230589098500901E-2</v>
      </c>
      <c r="H23" s="2116">
        <f t="shared" ca="1" si="3"/>
        <v>6.9567588577844147E-2</v>
      </c>
    </row>
    <row r="24" spans="1:14">
      <c r="A24" s="2328"/>
      <c r="B24" s="2250" t="s">
        <v>143</v>
      </c>
      <c r="C24" s="2251">
        <f ca="1">'Summary Program Measures'!L25</f>
        <v>3.7575991580968894E-2</v>
      </c>
      <c r="D24" s="2252">
        <f ca="1">'Summary Program Measures'!N25</f>
        <v>3.648992226716008E-2</v>
      </c>
      <c r="E24" s="2253">
        <f t="shared" ca="1" si="1"/>
        <v>7.4065913848128967E-2</v>
      </c>
      <c r="F24" s="2108">
        <f ca="1">'Summary Program Measures'!P25</f>
        <v>3.5336999479343253E-2</v>
      </c>
      <c r="G24" s="1920">
        <f ca="1">'Summary Program Measures'!R25</f>
        <v>3.4230589098500901E-2</v>
      </c>
      <c r="H24" s="2119">
        <f t="shared" ca="1" si="3"/>
        <v>6.9567588577844147E-2</v>
      </c>
    </row>
    <row r="25" spans="1:14" s="1375" customFormat="1">
      <c r="A25" s="2318" t="s">
        <v>2943</v>
      </c>
      <c r="B25" s="2319"/>
      <c r="C25" s="2236">
        <f ca="1">SUM(C26,C29)</f>
        <v>0.45557508118229051</v>
      </c>
      <c r="D25" s="2237">
        <f t="shared" ref="D25:G25" ca="1" si="4">SUM(D26,D29)</f>
        <v>0.56205154828833537</v>
      </c>
      <c r="E25" s="2238">
        <f ca="1">SUM(C25:D25)</f>
        <v>1.0176266294706258</v>
      </c>
      <c r="F25" s="1911">
        <f t="shared" ca="1" si="4"/>
        <v>1.0877658840349504</v>
      </c>
      <c r="G25" s="1912">
        <f t="shared" ca="1" si="4"/>
        <v>1.6490416658327902</v>
      </c>
      <c r="H25" s="2111">
        <f ca="1">SUM(F25:G25)</f>
        <v>2.7368075498677404</v>
      </c>
    </row>
    <row r="26" spans="1:14" s="1375" customFormat="1">
      <c r="A26" s="2323" t="s">
        <v>236</v>
      </c>
      <c r="B26" s="2239" t="s">
        <v>1025</v>
      </c>
      <c r="C26" s="2254">
        <f ca="1">SUM(C27:C28)</f>
        <v>0.42015574920356841</v>
      </c>
      <c r="D26" s="2255">
        <f t="shared" ref="D26:G26" ca="1" si="5">SUM(D27:D28)</f>
        <v>0.46280342258736606</v>
      </c>
      <c r="E26" s="2256">
        <f t="shared" ref="E26:E31" ca="1" si="6">SUM(C26:D26)</f>
        <v>0.88295917179093442</v>
      </c>
      <c r="F26" s="2104">
        <f t="shared" ca="1" si="5"/>
        <v>0.74649420561010404</v>
      </c>
      <c r="G26" s="1917">
        <f t="shared" ca="1" si="5"/>
        <v>0.97193576277449123</v>
      </c>
      <c r="H26" s="2113">
        <f t="shared" ref="H26:H31" ca="1" si="7">SUM(F26:G26)</f>
        <v>1.7184299683845952</v>
      </c>
    </row>
    <row r="27" spans="1:14" s="1375" customFormat="1">
      <c r="A27" s="2324"/>
      <c r="B27" s="2257" t="s">
        <v>538</v>
      </c>
      <c r="C27" s="2258">
        <f ca="1">SUM('Summary Codes and Stds'!L9:L10)</f>
        <v>0.39373577320367098</v>
      </c>
      <c r="D27" s="2259">
        <f ca="1">SUM('Summary Codes and Stds'!N9:N10)</f>
        <v>0.43600714544477809</v>
      </c>
      <c r="E27" s="2260">
        <f t="shared" ca="1" si="6"/>
        <v>0.82974291864844907</v>
      </c>
      <c r="F27" s="2107">
        <f ca="1">SUM('Summary Codes and Stds'!P9:P10)</f>
        <v>0.71932162732482552</v>
      </c>
      <c r="G27" s="1919">
        <f ca="1">SUM('Summary Codes and Stds'!R9:R10)</f>
        <v>0.9175508206786851</v>
      </c>
      <c r="H27" s="2114">
        <f t="shared" ca="1" si="7"/>
        <v>1.6368724480035106</v>
      </c>
    </row>
    <row r="28" spans="1:14" s="1375" customFormat="1">
      <c r="A28" s="2324"/>
      <c r="B28" s="2250" t="s">
        <v>556</v>
      </c>
      <c r="C28" s="2261">
        <f ca="1">'Summary Codes and Stds'!L11</f>
        <v>2.6419975999897417E-2</v>
      </c>
      <c r="D28" s="2262">
        <f ca="1">'Summary Codes and Stds'!N11</f>
        <v>2.679627714258798E-2</v>
      </c>
      <c r="E28" s="2263">
        <f t="shared" ca="1" si="6"/>
        <v>5.3216253142485397E-2</v>
      </c>
      <c r="F28" s="2108">
        <f ca="1">'Summary Codes and Stds'!P11</f>
        <v>2.717257828527855E-2</v>
      </c>
      <c r="G28" s="1920">
        <f ca="1">'Summary Codes and Stds'!R11</f>
        <v>5.438494209580616E-2</v>
      </c>
      <c r="H28" s="2115">
        <f t="shared" ca="1" si="7"/>
        <v>8.1557520381084714E-2</v>
      </c>
    </row>
    <row r="29" spans="1:14" s="1375" customFormat="1">
      <c r="A29" s="2323" t="s">
        <v>525</v>
      </c>
      <c r="B29" s="2239" t="s">
        <v>1025</v>
      </c>
      <c r="C29" s="2254">
        <f t="shared" ref="C29:G29" ca="1" si="8">SUM(C30:C31)</f>
        <v>3.5419331978722088E-2</v>
      </c>
      <c r="D29" s="2255">
        <f t="shared" ca="1" si="8"/>
        <v>9.9248125700969331E-2</v>
      </c>
      <c r="E29" s="2256">
        <f t="shared" ca="1" si="6"/>
        <v>0.1346674576796914</v>
      </c>
      <c r="F29" s="2104">
        <f t="shared" ca="1" si="8"/>
        <v>0.34127167842484646</v>
      </c>
      <c r="G29" s="1917">
        <f t="shared" ca="1" si="8"/>
        <v>0.67710590305829887</v>
      </c>
      <c r="H29" s="2113">
        <f t="shared" ca="1" si="7"/>
        <v>1.0183775814831453</v>
      </c>
    </row>
    <row r="30" spans="1:14" s="1375" customFormat="1">
      <c r="A30" s="2324"/>
      <c r="B30" s="2257" t="s">
        <v>538</v>
      </c>
      <c r="C30" s="2258">
        <f ca="1">'Summary Codes and Stds'!L12</f>
        <v>3.5419331978722088E-2</v>
      </c>
      <c r="D30" s="2259">
        <f ca="1">'Summary Codes and Stds'!N12</f>
        <v>9.9248125700969331E-2</v>
      </c>
      <c r="E30" s="2260">
        <f t="shared" ca="1" si="6"/>
        <v>0.1346674576796914</v>
      </c>
      <c r="F30" s="2107">
        <f ca="1">'Summary Codes and Stds'!P12</f>
        <v>0.34127167842484646</v>
      </c>
      <c r="G30" s="1919">
        <f ca="1">'Summary Codes and Stds'!R12</f>
        <v>0.67710590305829887</v>
      </c>
      <c r="H30" s="2114">
        <f t="shared" ca="1" si="7"/>
        <v>1.0183775814831453</v>
      </c>
    </row>
    <row r="31" spans="1:14" s="1375" customFormat="1">
      <c r="A31" s="2325"/>
      <c r="B31" s="2250" t="s">
        <v>556</v>
      </c>
      <c r="C31" s="2261">
        <f ca="1">SUM('Summary Codes and Stds'!L13:L14)</f>
        <v>0</v>
      </c>
      <c r="D31" s="2262">
        <f ca="1">SUM('Summary Codes and Stds'!N13:N14)</f>
        <v>0</v>
      </c>
      <c r="E31" s="2263">
        <f t="shared" ca="1" si="6"/>
        <v>0</v>
      </c>
      <c r="F31" s="2108">
        <f ca="1">SUM('Summary Codes and Stds'!P13:P14)</f>
        <v>0</v>
      </c>
      <c r="G31" s="1920">
        <f ca="1">SUM('Summary Codes and Stds'!R13:R14)</f>
        <v>0</v>
      </c>
      <c r="H31" s="2115">
        <f t="shared" ca="1" si="7"/>
        <v>0</v>
      </c>
    </row>
    <row r="32" spans="1:14" ht="45.75" customHeight="1">
      <c r="A32" s="2322" t="s">
        <v>2947</v>
      </c>
      <c r="B32" s="2315"/>
      <c r="C32" s="2315"/>
      <c r="D32" s="2315"/>
      <c r="E32" s="2315"/>
      <c r="F32" s="2315"/>
      <c r="G32" s="2315"/>
      <c r="H32" s="2315"/>
      <c r="I32" s="2315"/>
      <c r="J32" s="2315"/>
      <c r="K32" s="2315"/>
      <c r="L32" s="2315"/>
      <c r="M32" s="2315"/>
      <c r="N32" s="2315"/>
    </row>
    <row r="33" spans="1:16" s="1375" customFormat="1" ht="22.5" customHeight="1">
      <c r="A33" s="2315" t="s">
        <v>1339</v>
      </c>
      <c r="B33" s="2315"/>
      <c r="C33" s="2315"/>
      <c r="D33" s="2315"/>
      <c r="E33" s="2315"/>
      <c r="F33" s="2315"/>
      <c r="G33" s="2315"/>
      <c r="H33" s="2315"/>
      <c r="I33" s="2315"/>
      <c r="J33" s="2315"/>
      <c r="K33" s="2315"/>
      <c r="L33" s="2315"/>
      <c r="M33" s="2315"/>
      <c r="N33" s="2315"/>
      <c r="O33" s="2315"/>
      <c r="P33" s="2315"/>
    </row>
    <row r="34" spans="1:16" ht="51" customHeight="1">
      <c r="A34" s="2315" t="s">
        <v>1341</v>
      </c>
      <c r="B34" s="2315"/>
      <c r="C34" s="2315"/>
      <c r="D34" s="2315"/>
      <c r="E34" s="2315"/>
      <c r="F34" s="2315"/>
      <c r="G34" s="2315"/>
      <c r="H34" s="2315"/>
      <c r="I34" s="2315"/>
      <c r="J34" s="2315"/>
      <c r="K34" s="2315"/>
      <c r="L34" s="2315"/>
      <c r="M34" s="2315"/>
      <c r="N34" s="2315"/>
      <c r="O34" s="2315"/>
      <c r="P34" s="2315"/>
    </row>
    <row r="35" spans="1:16" s="1375" customFormat="1" ht="51" customHeight="1">
      <c r="A35" s="2315" t="s">
        <v>1342</v>
      </c>
      <c r="B35" s="2315"/>
      <c r="C35" s="2315"/>
      <c r="D35" s="2315"/>
      <c r="E35" s="2315"/>
      <c r="F35" s="2315"/>
      <c r="G35" s="2315"/>
      <c r="H35" s="2315"/>
      <c r="I35" s="2315"/>
      <c r="J35" s="2315"/>
      <c r="K35" s="2315"/>
      <c r="L35" s="2315"/>
      <c r="M35" s="2315"/>
      <c r="N35" s="2315"/>
      <c r="O35" s="2315"/>
      <c r="P35" s="2315"/>
    </row>
    <row r="36" spans="1:16" ht="51" customHeight="1">
      <c r="A36" s="2315" t="s">
        <v>1343</v>
      </c>
      <c r="B36" s="2315"/>
      <c r="C36" s="2315"/>
      <c r="D36" s="2315"/>
      <c r="E36" s="2315"/>
      <c r="F36" s="2315"/>
      <c r="G36" s="2315"/>
      <c r="H36" s="2315"/>
      <c r="I36" s="2315"/>
      <c r="J36" s="2315"/>
      <c r="K36" s="2315"/>
      <c r="L36" s="2315"/>
      <c r="M36" s="2315"/>
      <c r="N36" s="2315"/>
      <c r="O36" s="2315"/>
      <c r="P36" s="2315"/>
    </row>
    <row r="38" spans="1:16" s="1375" customFormat="1"/>
    <row r="41" spans="1:16">
      <c r="A41" s="1909"/>
    </row>
    <row r="42" spans="1:16">
      <c r="A42" s="1909"/>
    </row>
    <row r="43" spans="1:16">
      <c r="A43" s="1909"/>
    </row>
    <row r="44" spans="1:16">
      <c r="A44" s="1909"/>
    </row>
    <row r="45" spans="1:16">
      <c r="A45" s="1909"/>
    </row>
    <row r="46" spans="1:16">
      <c r="A46" s="1909"/>
    </row>
    <row r="47" spans="1:16">
      <c r="A47" s="1909"/>
    </row>
    <row r="48" spans="1:16">
      <c r="A48" s="1909"/>
    </row>
    <row r="49" spans="1:1">
      <c r="A49" s="1909"/>
    </row>
  </sheetData>
  <mergeCells count="20">
    <mergeCell ref="A5:A17"/>
    <mergeCell ref="A18:A22"/>
    <mergeCell ref="A25:B25"/>
    <mergeCell ref="A23:A24"/>
    <mergeCell ref="C1:E1"/>
    <mergeCell ref="F1:H1"/>
    <mergeCell ref="A36:N36"/>
    <mergeCell ref="O36:P36"/>
    <mergeCell ref="A3:B3"/>
    <mergeCell ref="A4:B4"/>
    <mergeCell ref="A2:B2"/>
    <mergeCell ref="A33:N33"/>
    <mergeCell ref="O33:P33"/>
    <mergeCell ref="A34:N34"/>
    <mergeCell ref="O34:P34"/>
    <mergeCell ref="A35:N35"/>
    <mergeCell ref="O35:P35"/>
    <mergeCell ref="A32:N32"/>
    <mergeCell ref="A26:A28"/>
    <mergeCell ref="A29:A3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00"/>
  </sheetPr>
  <dimension ref="A1:AW65"/>
  <sheetViews>
    <sheetView topLeftCell="H2" workbookViewId="0"/>
  </sheetViews>
  <sheetFormatPr defaultColWidth="9.28515625" defaultRowHeight="12.75" outlineLevelCol="1"/>
  <cols>
    <col min="1" max="1" width="21.140625" style="779" hidden="1" customWidth="1" outlineLevel="1"/>
    <col min="2" max="2" width="20.85546875" style="270" hidden="1" customWidth="1" outlineLevel="1"/>
    <col min="3" max="3" width="24.42578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43.28515625" style="270" customWidth="1"/>
    <col min="10" max="10" width="40.7109375" style="270" customWidth="1"/>
    <col min="11" max="11" width="12.140625" style="270" customWidth="1"/>
    <col min="12" max="15" width="10.28515625" style="270" customWidth="1"/>
    <col min="16" max="16" width="30.85546875" style="270" customWidth="1"/>
    <col min="17" max="17" width="12.85546875" style="270" customWidth="1"/>
    <col min="18" max="19" width="14.28515625" style="270" customWidth="1"/>
    <col min="20" max="20" width="33.28515625" style="270" customWidth="1"/>
    <col min="21" max="22" width="14.28515625" style="270" hidden="1" customWidth="1"/>
    <col min="23"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49" s="768" customFormat="1" ht="26.65" hidden="1" customHeight="1">
      <c r="A1" s="779"/>
      <c r="I1" s="768">
        <v>2020</v>
      </c>
      <c r="J1" s="768">
        <v>2021</v>
      </c>
      <c r="L1" s="768">
        <v>2021</v>
      </c>
      <c r="W1" s="768">
        <v>1</v>
      </c>
      <c r="Y1" s="768">
        <v>3</v>
      </c>
      <c r="AA1" s="768">
        <v>2</v>
      </c>
      <c r="AC1" s="768">
        <v>1</v>
      </c>
      <c r="AE1" s="768">
        <v>3</v>
      </c>
      <c r="AG1" s="768">
        <v>2</v>
      </c>
      <c r="AM1" s="799"/>
    </row>
    <row r="2" spans="1:49" s="768" customFormat="1" ht="15">
      <c r="A2" s="779"/>
      <c r="L2" s="2357" t="s">
        <v>1030</v>
      </c>
      <c r="M2" s="2358"/>
      <c r="N2" s="2358"/>
      <c r="O2" s="2359"/>
      <c r="P2" s="2359"/>
      <c r="Q2" s="2358"/>
      <c r="R2" s="2358"/>
      <c r="S2" s="2359"/>
      <c r="T2" s="2359"/>
      <c r="U2" s="2358"/>
      <c r="V2" s="2358"/>
      <c r="W2" s="2358"/>
      <c r="X2" s="2358"/>
      <c r="Y2" s="2358"/>
      <c r="Z2" s="2358"/>
      <c r="AA2" s="2358"/>
      <c r="AB2" s="2358"/>
      <c r="AC2" s="2358"/>
      <c r="AD2" s="2358"/>
      <c r="AE2" s="2358"/>
      <c r="AF2" s="2358"/>
      <c r="AG2" s="2358"/>
      <c r="AH2" s="2360"/>
      <c r="AI2" s="780"/>
      <c r="AM2" s="799"/>
    </row>
    <row r="3" spans="1:49" ht="15">
      <c r="D3" s="270" t="s">
        <v>187</v>
      </c>
      <c r="H3" s="2361" t="str">
        <f>Selection!A2&amp;"'s 2020-2021 Savings Forecast"</f>
        <v>Puget Sound Energy's 2020-2021 Savings Forecast</v>
      </c>
      <c r="I3" s="2361"/>
      <c r="J3" s="2361"/>
      <c r="K3" s="943"/>
      <c r="L3" s="2362" t="s">
        <v>1242</v>
      </c>
      <c r="M3" s="2363"/>
      <c r="N3" s="2363"/>
      <c r="O3" s="2363"/>
      <c r="P3" s="2363"/>
      <c r="Q3" s="2363"/>
      <c r="R3" s="2363"/>
      <c r="S3" s="2363"/>
      <c r="T3" s="2363"/>
      <c r="U3" s="2363"/>
      <c r="V3" s="2364"/>
      <c r="W3" s="2365">
        <v>2020</v>
      </c>
      <c r="X3" s="2366"/>
      <c r="Y3" s="2366"/>
      <c r="Z3" s="2366"/>
      <c r="AA3" s="2366"/>
      <c r="AB3" s="2367"/>
      <c r="AC3" s="2365">
        <v>2021</v>
      </c>
      <c r="AD3" s="2366"/>
      <c r="AE3" s="2366"/>
      <c r="AF3" s="2366"/>
      <c r="AG3" s="2366"/>
      <c r="AH3" s="2367"/>
      <c r="AI3" s="734"/>
    </row>
    <row r="4" spans="1:49" ht="15" hidden="1">
      <c r="D4" s="2329">
        <v>2020</v>
      </c>
      <c r="E4" s="2329"/>
      <c r="F4" s="2329">
        <v>2021</v>
      </c>
      <c r="G4" s="2329"/>
      <c r="H4" s="2361"/>
      <c r="I4" s="2361"/>
      <c r="J4" s="2361"/>
      <c r="K4" s="943"/>
      <c r="L4" s="2372" t="s">
        <v>543</v>
      </c>
      <c r="M4" s="2373"/>
      <c r="N4" s="2373"/>
      <c r="O4" s="2373"/>
      <c r="P4" s="2373"/>
      <c r="Q4" s="2373"/>
      <c r="R4" s="2373"/>
      <c r="S4" s="2373"/>
      <c r="T4" s="2374"/>
      <c r="U4" s="2330" t="s">
        <v>1448</v>
      </c>
      <c r="V4" s="2331"/>
      <c r="W4" s="2332" t="s">
        <v>543</v>
      </c>
      <c r="X4" s="2333"/>
      <c r="Y4" s="2333"/>
      <c r="Z4" s="2334"/>
      <c r="AA4" s="2368" t="s">
        <v>208</v>
      </c>
      <c r="AB4" s="2331"/>
      <c r="AC4" s="2369" t="s">
        <v>543</v>
      </c>
      <c r="AD4" s="2370"/>
      <c r="AE4" s="2370"/>
      <c r="AF4" s="2371"/>
      <c r="AG4" s="2368" t="s">
        <v>208</v>
      </c>
      <c r="AH4" s="2331"/>
      <c r="AI4" s="734"/>
    </row>
    <row r="5" spans="1:49" ht="12.75" customHeight="1">
      <c r="A5" s="779" t="s">
        <v>529</v>
      </c>
      <c r="B5" s="270" t="s">
        <v>530</v>
      </c>
      <c r="D5" s="270" t="s">
        <v>553</v>
      </c>
      <c r="E5" s="270" t="s">
        <v>554</v>
      </c>
      <c r="F5" s="270" t="s">
        <v>553</v>
      </c>
      <c r="G5" s="270" t="s">
        <v>555</v>
      </c>
      <c r="H5" s="2392" t="s">
        <v>3</v>
      </c>
      <c r="I5" s="2394" t="s">
        <v>528</v>
      </c>
      <c r="J5" s="2396" t="s">
        <v>531</v>
      </c>
      <c r="K5" s="944"/>
      <c r="L5" s="2348" t="s">
        <v>546</v>
      </c>
      <c r="M5" s="2349"/>
      <c r="N5" s="2349"/>
      <c r="O5" s="2349"/>
      <c r="P5" s="2349"/>
      <c r="Q5" s="2354" t="s">
        <v>545</v>
      </c>
      <c r="R5" s="2355"/>
      <c r="S5" s="2355"/>
      <c r="T5" s="2356"/>
      <c r="U5" s="2380" t="s">
        <v>544</v>
      </c>
      <c r="V5" s="2381"/>
      <c r="W5" s="2389" t="s">
        <v>546</v>
      </c>
      <c r="X5" s="2390"/>
      <c r="Y5" s="2378" t="s">
        <v>545</v>
      </c>
      <c r="Z5" s="2379"/>
      <c r="AA5" s="2380" t="s">
        <v>544</v>
      </c>
      <c r="AB5" s="2381"/>
      <c r="AC5" s="2389" t="s">
        <v>546</v>
      </c>
      <c r="AD5" s="2391"/>
      <c r="AE5" s="2378" t="s">
        <v>545</v>
      </c>
      <c r="AF5" s="2379"/>
      <c r="AG5" s="2380" t="s">
        <v>544</v>
      </c>
      <c r="AH5" s="2381"/>
      <c r="AI5" s="734"/>
      <c r="AV5" s="2329"/>
      <c r="AW5" s="2329"/>
    </row>
    <row r="6" spans="1:49" ht="26.25">
      <c r="H6" s="2393"/>
      <c r="I6" s="2395"/>
      <c r="J6" s="2397"/>
      <c r="K6" s="946" t="s">
        <v>1097</v>
      </c>
      <c r="L6" s="2387" t="s">
        <v>1437</v>
      </c>
      <c r="M6" s="2388"/>
      <c r="N6" s="1058" t="s">
        <v>776</v>
      </c>
      <c r="O6" s="1058" t="s">
        <v>1438</v>
      </c>
      <c r="P6" s="1060" t="s">
        <v>125</v>
      </c>
      <c r="Q6" s="1128" t="s">
        <v>1437</v>
      </c>
      <c r="R6" s="1127" t="s">
        <v>776</v>
      </c>
      <c r="S6" s="1058" t="s">
        <v>1458</v>
      </c>
      <c r="T6" s="1059" t="s">
        <v>125</v>
      </c>
      <c r="U6" s="1057" t="s">
        <v>125</v>
      </c>
      <c r="V6" s="781" t="s">
        <v>776</v>
      </c>
      <c r="W6" s="1126" t="s">
        <v>1437</v>
      </c>
      <c r="X6" s="1152" t="s">
        <v>776</v>
      </c>
      <c r="Y6" s="1126" t="s">
        <v>1437</v>
      </c>
      <c r="Z6" s="1152" t="s">
        <v>776</v>
      </c>
      <c r="AA6" s="1140" t="s">
        <v>777</v>
      </c>
      <c r="AB6" s="781" t="s">
        <v>779</v>
      </c>
      <c r="AC6" s="1126" t="s">
        <v>1437</v>
      </c>
      <c r="AD6" s="1153" t="s">
        <v>776</v>
      </c>
      <c r="AE6" s="1126" t="s">
        <v>1437</v>
      </c>
      <c r="AF6" s="1152" t="s">
        <v>776</v>
      </c>
      <c r="AG6" s="1140" t="s">
        <v>777</v>
      </c>
      <c r="AH6" s="781" t="s">
        <v>779</v>
      </c>
      <c r="AI6" s="913" t="s">
        <v>1330</v>
      </c>
    </row>
    <row r="7" spans="1:49" s="684" customFormat="1" ht="69.75" customHeight="1">
      <c r="A7" s="992" t="s">
        <v>264</v>
      </c>
      <c r="B7" s="993" t="s">
        <v>249</v>
      </c>
      <c r="C7" s="993" t="str">
        <f>INDEX(Programs!B:B,MATCH(' Summary by Program 2020-21'!B7,Programs!$E:$E,0))</f>
        <v>Ductless Heat Pumps</v>
      </c>
      <c r="D7" s="994">
        <v>1</v>
      </c>
      <c r="E7" s="994">
        <v>1</v>
      </c>
      <c r="F7" s="994">
        <v>0.9</v>
      </c>
      <c r="G7" s="994">
        <v>1.08</v>
      </c>
      <c r="H7" s="2375" t="s">
        <v>236</v>
      </c>
      <c r="I7" s="916" t="str">
        <f>INDEX(Programs!B:B,MATCH(' Summary by Program 2020-21'!B7,Programs!$E:$E,0))</f>
        <v>Ductless Heat Pumps</v>
      </c>
      <c r="J7" s="961" t="s">
        <v>150</v>
      </c>
      <c r="K7" s="953" t="s">
        <v>3285</v>
      </c>
      <c r="L7" s="1007">
        <f ca="1">W7+AC7</f>
        <v>0</v>
      </c>
      <c r="M7" s="1129" t="str">
        <f ca="1">TEXT(W7*D7+AC7*F7,"0.##")&amp;"-"&amp;TEXT(W7*E7+G7*AC7,"0.#0")</f>
        <v>0.-0.0</v>
      </c>
      <c r="N7" s="1008">
        <f>X7+AD7</f>
        <v>0</v>
      </c>
      <c r="O7" s="1008">
        <f t="shared" ref="O7:O15" ca="1" si="0">L7-N7</f>
        <v>0</v>
      </c>
      <c r="P7" s="1061" t="s">
        <v>1439</v>
      </c>
      <c r="Q7" s="1079">
        <f t="shared" ref="Q7:R37" ca="1" si="1">Y7+AE7</f>
        <v>0</v>
      </c>
      <c r="R7" s="1047">
        <f>Z7+AF7</f>
        <v>0</v>
      </c>
      <c r="S7" s="1047"/>
      <c r="T7" s="1080"/>
      <c r="U7" s="1070">
        <f t="shared" ref="U7:U37" ca="1" si="2">AA7+AG7</f>
        <v>0</v>
      </c>
      <c r="V7" s="1009" t="str">
        <f ca="1">IF(AA7=0,"","("&amp;TEXT($D7*AA7+$F7*AG7,"#.##")&amp;"-"&amp;TEXT($E7*AA7+$G7*AG7,"#.##")&amp;")")</f>
        <v/>
      </c>
      <c r="W7" s="1010">
        <f ca="1">SUMIFS(INDIRECT($A7&amp;"!$v:$v"),INDIRECT($A7&amp;"!$f:$f"),W$1,INDIRECT($A7&amp;"!$i:$i"),$C7,INDIRECT($A7&amp;"!$l:$l"),$I$1)</f>
        <v>0</v>
      </c>
      <c r="X7" s="1013">
        <v>0</v>
      </c>
      <c r="Y7" s="1141">
        <f t="shared" ref="Y7:Y37" ca="1" si="3">SUMIFS(INDIRECT($A7&amp;"!$v:$v"),INDIRECT($A7&amp;"!$f:$f"),Y$1,INDIRECT($A7&amp;"!$i:$i"),$C7,INDIRECT($A7&amp;"!$l:$l"),$I$1)</f>
        <v>0</v>
      </c>
      <c r="Z7" s="1011">
        <v>0</v>
      </c>
      <c r="AA7" s="1012">
        <f t="shared" ref="AA7:AA37" ca="1" si="4">SUMIFS(INDIRECT($A7&amp;"!$v:$v"),INDIRECT($A7&amp;"!$f:$f"),AA$1,INDIRECT($A7&amp;"!$i:$i"),$C7,INDIRECT($A7&amp;"!$l:$l"),$I$1)</f>
        <v>0</v>
      </c>
      <c r="AB7" s="1013">
        <v>0</v>
      </c>
      <c r="AC7" s="1010">
        <f ca="1">SUMIFS(INDIRECT($A7&amp;"!$v:$v"),INDIRECT($A7&amp;"!$f:$f"),AC$1,INDIRECT($A7&amp;"!$i:$i"),$C7,INDIRECT($A7&amp;"!$l:$l"),$J$1)</f>
        <v>0</v>
      </c>
      <c r="AD7" s="1154">
        <v>0</v>
      </c>
      <c r="AE7" s="1010">
        <f t="shared" ref="AE7:AE37" ca="1" si="5">SUMIFS(INDIRECT($A7&amp;"!$v:$v"),INDIRECT($A7&amp;"!$f:$f"),AE$1,INDIRECT($A7&amp;"!$i:$i"),$C7,INDIRECT($A7&amp;"!$l:$l"),$J$1)</f>
        <v>0</v>
      </c>
      <c r="AF7" s="1191">
        <v>0</v>
      </c>
      <c r="AG7" s="1141">
        <f ca="1">SUMIFS(INDIRECT($A7&amp;"!$v:$v"),INDIRECT($A7&amp;"!$f:$f"),AG$1,INDIRECT($A7&amp;"!$i:$i"),$C7,INDIRECT($A7&amp;"!$l:$l"),$L$1)</f>
        <v>0</v>
      </c>
      <c r="AH7" s="1009" t="str">
        <f t="shared" ref="AH7:AH32" ca="1" si="6">IF(AG7=0,"","("&amp;TEXT($F7*AG7,"#.##")&amp;"-"&amp;TEXT($G7*AG7,"#.##")&amp;")")</f>
        <v/>
      </c>
      <c r="AI7" s="1014">
        <f>DHP!U2</f>
        <v>0</v>
      </c>
      <c r="AK7" s="993"/>
      <c r="AL7" s="993"/>
      <c r="AM7" s="1003"/>
      <c r="AO7" s="1004"/>
      <c r="AP7" s="1004"/>
      <c r="AQ7" s="1004"/>
      <c r="AR7" s="1004"/>
      <c r="AS7" s="1005"/>
      <c r="AT7" s="1006"/>
      <c r="AU7" s="1006"/>
      <c r="AV7" s="1006"/>
      <c r="AW7" s="1006"/>
    </row>
    <row r="8" spans="1:49" s="684" customFormat="1">
      <c r="A8" s="992" t="s">
        <v>265</v>
      </c>
      <c r="B8" s="993" t="s">
        <v>250</v>
      </c>
      <c r="C8" s="993" t="str">
        <f>INDEX(Programs!B:B,MATCH(' Summary by Program 2020-21'!B8,Programs!$E:$E,0))</f>
        <v>Heat Pump Water Heaters</v>
      </c>
      <c r="D8" s="994">
        <v>1</v>
      </c>
      <c r="E8" s="994">
        <v>1</v>
      </c>
      <c r="F8" s="994">
        <v>0.75669676638248495</v>
      </c>
      <c r="G8" s="994">
        <v>1.0089290218433133</v>
      </c>
      <c r="H8" s="2376"/>
      <c r="I8" s="917" t="str">
        <f>INDEX(Programs!B:B,MATCH(' Summary by Program 2020-21'!B8,Programs!$E:$E,0))</f>
        <v>Heat Pump Water Heaters</v>
      </c>
      <c r="J8" s="962" t="s">
        <v>152</v>
      </c>
      <c r="K8" s="954" t="s">
        <v>582</v>
      </c>
      <c r="L8" s="995">
        <f t="shared" ref="L8:L37" ca="1" si="7">W8+AC8</f>
        <v>0</v>
      </c>
      <c r="M8" s="1129" t="str">
        <f ca="1">TEXT(W8*D8+AC8*F8,"0.##")&amp;"-"&amp;TEXT(W8*E8+G8*AC8,"0.#0")</f>
        <v>0.-0.0</v>
      </c>
      <c r="N8" s="996">
        <f>X8+AD8</f>
        <v>0</v>
      </c>
      <c r="O8" s="1008">
        <f t="shared" ca="1" si="0"/>
        <v>0</v>
      </c>
      <c r="P8" s="1062"/>
      <c r="Q8" s="1081">
        <f t="shared" ca="1" si="1"/>
        <v>0</v>
      </c>
      <c r="R8" s="1041">
        <f t="shared" si="1"/>
        <v>0</v>
      </c>
      <c r="S8" s="1041"/>
      <c r="T8" s="1082"/>
      <c r="U8" s="1071">
        <f t="shared" ca="1" si="2"/>
        <v>0</v>
      </c>
      <c r="V8" s="997" t="str">
        <f t="shared" ref="V8:V37" ca="1" si="8">IF(AA8=0,"","("&amp;TEXT($D8*AA8+$F8*AG8,"#.##")&amp;"-"&amp;TEXT($E8*AA8+$G8*AG8,"#.##")&amp;")")</f>
        <v/>
      </c>
      <c r="W8" s="998">
        <f t="shared" ref="W8:W37" ca="1" si="9">SUMIFS(INDIRECT($A8&amp;"!$v:$v"),INDIRECT($A8&amp;"!$f:$f"),W$1,INDIRECT($A8&amp;"!$i:$i"),$C8,INDIRECT($A8&amp;"!$l:$l"),$I$1)</f>
        <v>0</v>
      </c>
      <c r="X8" s="1001">
        <v>0</v>
      </c>
      <c r="Y8" s="1142">
        <f t="shared" ca="1" si="3"/>
        <v>0</v>
      </c>
      <c r="Z8" s="999">
        <v>0</v>
      </c>
      <c r="AA8" s="1000">
        <f t="shared" ca="1" si="4"/>
        <v>0</v>
      </c>
      <c r="AB8" s="1001">
        <v>0</v>
      </c>
      <c r="AC8" s="998">
        <f t="shared" ref="AC8:AC37" ca="1" si="10">SUMIFS(INDIRECT($A8&amp;"!$v:$v"),INDIRECT($A8&amp;"!$f:$f"),AC$1,INDIRECT($A8&amp;"!$i:$i"),$C8,INDIRECT($A8&amp;"!$l:$l"),$J$1)</f>
        <v>0</v>
      </c>
      <c r="AD8" s="1155">
        <v>0</v>
      </c>
      <c r="AE8" s="998">
        <f t="shared" ca="1" si="5"/>
        <v>0</v>
      </c>
      <c r="AF8" s="1192">
        <v>0</v>
      </c>
      <c r="AG8" s="1142">
        <f t="shared" ref="AG8:AG37" ca="1" si="11">SUMIFS(INDIRECT($A8&amp;"!$v:$v"),INDIRECT($A8&amp;"!$f:$f"),AG$1,INDIRECT($A8&amp;"!$i:$i"),$C8,INDIRECT($A8&amp;"!$l:$l"),$L$1)</f>
        <v>0</v>
      </c>
      <c r="AH8" s="997" t="str">
        <f t="shared" ca="1" si="6"/>
        <v/>
      </c>
      <c r="AI8" s="1014">
        <f>HPWH!S2</f>
        <v>0</v>
      </c>
      <c r="AK8" s="993"/>
      <c r="AL8" s="1003"/>
      <c r="AM8" s="1003"/>
      <c r="AO8" s="1004"/>
      <c r="AP8" s="1004"/>
      <c r="AQ8" s="1004"/>
      <c r="AR8" s="1004"/>
      <c r="AS8" s="1005"/>
      <c r="AT8" s="1006"/>
      <c r="AU8" s="1006"/>
      <c r="AV8" s="1006"/>
      <c r="AW8" s="1006"/>
    </row>
    <row r="9" spans="1:49" s="684" customFormat="1">
      <c r="A9" s="992" t="s">
        <v>1000</v>
      </c>
      <c r="B9" s="993" t="s">
        <v>861</v>
      </c>
      <c r="C9" s="993" t="s">
        <v>1001</v>
      </c>
      <c r="D9" s="1015">
        <v>1</v>
      </c>
      <c r="E9" s="1015">
        <v>1</v>
      </c>
      <c r="F9" s="1015">
        <v>0.9</v>
      </c>
      <c r="G9" s="1015">
        <v>0.95</v>
      </c>
      <c r="H9" s="2376"/>
      <c r="I9" s="917" t="s">
        <v>976</v>
      </c>
      <c r="J9" s="962" t="s">
        <v>1269</v>
      </c>
      <c r="K9" s="959" t="s">
        <v>1415</v>
      </c>
      <c r="L9" s="1038" t="e">
        <f ca="1">W9+AC9</f>
        <v>#REF!</v>
      </c>
      <c r="M9" s="1039" t="e">
        <f ca="1">TEXT(W9*D9+AC9*F9,"0.##")&amp;"-"&amp;TEXT(W9*E9+G9*AC9,"0.#0")</f>
        <v>#REF!</v>
      </c>
      <c r="N9" s="1039">
        <v>0</v>
      </c>
      <c r="O9" s="1039" t="e">
        <f t="shared" ca="1" si="0"/>
        <v>#REF!</v>
      </c>
      <c r="P9" s="1039"/>
      <c r="Q9" s="1081" t="e">
        <f t="shared" ca="1" si="1"/>
        <v>#REF!</v>
      </c>
      <c r="R9" s="1041">
        <f t="shared" si="1"/>
        <v>0</v>
      </c>
      <c r="S9" s="1041"/>
      <c r="T9" s="1082"/>
      <c r="U9" s="1071" t="e">
        <f t="shared" ca="1" si="2"/>
        <v>#REF!</v>
      </c>
      <c r="V9" s="997">
        <f>AB9+AH9</f>
        <v>0</v>
      </c>
      <c r="W9" s="998" t="e">
        <f ca="1">SUMIFS(INDIRECT($A9&amp;"!$v:$v"),INDIRECT($A9&amp;"!$f:$f"),W$1,INDIRECT($A9&amp;"!$j:$j"),$C9,INDIRECT($A9&amp;"!$l:$l"),$I$1)</f>
        <v>#REF!</v>
      </c>
      <c r="X9" s="1149"/>
      <c r="Y9" s="1142" t="e">
        <f t="shared" ca="1" si="3"/>
        <v>#REF!</v>
      </c>
      <c r="Z9" s="999">
        <v>0</v>
      </c>
      <c r="AA9" s="1000" t="e">
        <f ca="1">SUMIFS(INDIRECT($A9&amp;"!$w:$w"),INDIRECT($A9&amp;"!$f:$f"),AA$1,INDIRECT($A9&amp;"!$j:$j"),$C9,INDIRECT($A9&amp;"!$l:$l"),$I$1)</f>
        <v>#REF!</v>
      </c>
      <c r="AB9" s="1203">
        <v>0</v>
      </c>
      <c r="AC9" s="998" t="e">
        <f ca="1">SUMIFS(INDIRECT($A9&amp;"!$v:$v"),INDIRECT($A9&amp;"!$f:$f"),AC$1,INDIRECT($A9&amp;"!$j:$j"),$C9,INDIRECT($A9&amp;"!$l:$l"),$J$1)</f>
        <v>#REF!</v>
      </c>
      <c r="AD9" s="1156"/>
      <c r="AE9" s="998" t="e">
        <f t="shared" ca="1" si="5"/>
        <v>#REF!</v>
      </c>
      <c r="AF9" s="1192">
        <v>0</v>
      </c>
      <c r="AG9" s="1142" t="e">
        <f ca="1">SUMIFS(INDIRECT($A9&amp;"!$w:$w"),INDIRECT($A9&amp;"!$f:$f"),AG$1,INDIRECT($A9&amp;"!$j:$j"),$C9,INDIRECT($A9&amp;"!$l:$l"),$L$1)</f>
        <v>#REF!</v>
      </c>
      <c r="AH9" s="997">
        <v>0</v>
      </c>
      <c r="AI9" s="1002" t="s">
        <v>215</v>
      </c>
      <c r="AK9" s="993"/>
      <c r="AL9" s="1003"/>
      <c r="AM9" s="1003"/>
      <c r="AO9" s="1004"/>
      <c r="AP9" s="1004"/>
      <c r="AQ9" s="1004"/>
      <c r="AR9" s="1004"/>
      <c r="AS9" s="1005"/>
      <c r="AT9" s="1006"/>
      <c r="AU9" s="1006"/>
      <c r="AV9" s="1006"/>
      <c r="AW9" s="1006"/>
    </row>
    <row r="10" spans="1:49" s="684" customFormat="1">
      <c r="A10" s="992" t="s">
        <v>1000</v>
      </c>
      <c r="B10" s="993" t="s">
        <v>861</v>
      </c>
      <c r="C10" s="993" t="s">
        <v>913</v>
      </c>
      <c r="D10" s="1015">
        <v>1</v>
      </c>
      <c r="E10" s="1015">
        <v>1</v>
      </c>
      <c r="F10" s="1015">
        <v>0.9</v>
      </c>
      <c r="G10" s="1015">
        <v>0.95</v>
      </c>
      <c r="H10" s="2376"/>
      <c r="I10" s="917" t="s">
        <v>977</v>
      </c>
      <c r="J10" s="962" t="s">
        <v>1270</v>
      </c>
      <c r="K10" s="954" t="s">
        <v>1415</v>
      </c>
      <c r="L10" s="1040" t="e">
        <f ca="1">W10+AC10</f>
        <v>#REF!</v>
      </c>
      <c r="M10" s="1041" t="e">
        <f ca="1">TEXT(W10*D10+AC10*F10,"0.##")&amp;"-"&amp;TEXT(W10*E10+G10*AC10,"0.#0")</f>
        <v>#REF!</v>
      </c>
      <c r="N10" s="1041">
        <v>0</v>
      </c>
      <c r="O10" s="1041" t="e">
        <f t="shared" ca="1" si="0"/>
        <v>#REF!</v>
      </c>
      <c r="P10" s="1041"/>
      <c r="Q10" s="1083" t="e">
        <f t="shared" ca="1" si="1"/>
        <v>#REF!</v>
      </c>
      <c r="R10" s="1043">
        <f t="shared" si="1"/>
        <v>0</v>
      </c>
      <c r="S10" s="1043"/>
      <c r="T10" s="1084"/>
      <c r="U10" s="1071" t="e">
        <f t="shared" ca="1" si="2"/>
        <v>#REF!</v>
      </c>
      <c r="V10" s="997">
        <f>AB10+AH10</f>
        <v>0</v>
      </c>
      <c r="W10" s="998" t="e">
        <f ca="1">SUMIFS(INDIRECT($A10&amp;"!$v:$v"),INDIRECT($A10&amp;"!$f:$f"),W$1,INDIRECT($A10&amp;"!$j:$j"),$C10,INDIRECT($A10&amp;"!$l:$l"),$I$1)</f>
        <v>#REF!</v>
      </c>
      <c r="X10" s="1149"/>
      <c r="Y10" s="1142" t="e">
        <f t="shared" ca="1" si="3"/>
        <v>#REF!</v>
      </c>
      <c r="Z10" s="999">
        <v>0</v>
      </c>
      <c r="AA10" s="1000" t="e">
        <f ca="1">SUMIFS(INDIRECT($A10&amp;"!$w:$w"),INDIRECT($A10&amp;"!$f:$f"),AA$1,INDIRECT($A10&amp;"!$j:$j"),$C10,INDIRECT($A10&amp;"!$l:$l"),$I$1)</f>
        <v>#REF!</v>
      </c>
      <c r="AB10" s="1203">
        <v>0</v>
      </c>
      <c r="AC10" s="998" t="e">
        <f ca="1">SUMIFS(INDIRECT($A10&amp;"!$v:$v"),INDIRECT($A10&amp;"!$f:$f"),AC$1,INDIRECT($A10&amp;"!$j:$j"),$C10,INDIRECT($A10&amp;"!$l:$l"),$J$1)</f>
        <v>#REF!</v>
      </c>
      <c r="AD10" s="1156"/>
      <c r="AE10" s="998" t="e">
        <f t="shared" ca="1" si="5"/>
        <v>#REF!</v>
      </c>
      <c r="AF10" s="1192">
        <v>0</v>
      </c>
      <c r="AG10" s="1142" t="e">
        <f ca="1">SUMIFS(INDIRECT($A10&amp;"!$w:$w"),INDIRECT($A10&amp;"!$f:$f"),AG$1,INDIRECT($A10&amp;"!$j:$j"),$C10,INDIRECT($A10&amp;"!$l:$l"),$L$1)</f>
        <v>#REF!</v>
      </c>
      <c r="AH10" s="997">
        <v>0</v>
      </c>
      <c r="AI10" s="1002" t="s">
        <v>215</v>
      </c>
      <c r="AK10" s="993"/>
      <c r="AL10" s="1003"/>
      <c r="AM10" s="1003"/>
      <c r="AO10" s="1004"/>
      <c r="AP10" s="1004"/>
      <c r="AQ10" s="1004"/>
      <c r="AR10" s="1004"/>
      <c r="AS10" s="1005"/>
      <c r="AT10" s="1006"/>
      <c r="AU10" s="1006"/>
      <c r="AV10" s="1006"/>
      <c r="AW10" s="1006"/>
    </row>
    <row r="11" spans="1:49" s="684" customFormat="1" ht="111" customHeight="1">
      <c r="A11" s="992" t="s">
        <v>538</v>
      </c>
      <c r="B11" s="993" t="s">
        <v>251</v>
      </c>
      <c r="C11" s="993" t="str">
        <f>INDEX(Programs!B:B,MATCH(' Summary by Program 2020-21'!B11,Programs!$E:$E,0))</f>
        <v>Other Codes (Multifamily)</v>
      </c>
      <c r="D11" s="994">
        <v>1</v>
      </c>
      <c r="E11" s="994">
        <v>1</v>
      </c>
      <c r="F11" s="994">
        <v>0.75</v>
      </c>
      <c r="G11" s="994">
        <v>1.2</v>
      </c>
      <c r="H11" s="2376"/>
      <c r="I11" s="917" t="str">
        <f>INDEX(Programs!B:B,MATCH(' Summary by Program 2020-21'!B11,Programs!$E:$E,0))</f>
        <v>Other Codes (Multifamily)</v>
      </c>
      <c r="J11" s="962" t="s">
        <v>532</v>
      </c>
      <c r="K11" s="954" t="s">
        <v>3286</v>
      </c>
      <c r="L11" s="1042">
        <f t="shared" ca="1" si="7"/>
        <v>0</v>
      </c>
      <c r="M11" s="1130"/>
      <c r="N11" s="1043">
        <f>X11+AD11</f>
        <v>0</v>
      </c>
      <c r="O11" s="1043">
        <f t="shared" ca="1" si="0"/>
        <v>0</v>
      </c>
      <c r="P11" s="1043"/>
      <c r="Q11" s="1085">
        <f t="shared" ca="1" si="1"/>
        <v>0</v>
      </c>
      <c r="R11" s="1017">
        <f t="shared" si="1"/>
        <v>0</v>
      </c>
      <c r="S11" s="1017">
        <f ca="1">Q11-R11</f>
        <v>0</v>
      </c>
      <c r="T11" s="1086" t="s">
        <v>1452</v>
      </c>
      <c r="U11" s="1071">
        <f t="shared" ca="1" si="2"/>
        <v>0</v>
      </c>
      <c r="V11" s="997" t="str">
        <f t="shared" ca="1" si="8"/>
        <v/>
      </c>
      <c r="W11" s="998">
        <f t="shared" ca="1" si="9"/>
        <v>0</v>
      </c>
      <c r="X11" s="1001">
        <v>0</v>
      </c>
      <c r="Y11" s="1142">
        <f t="shared" ca="1" si="3"/>
        <v>0</v>
      </c>
      <c r="Z11" s="999">
        <v>0</v>
      </c>
      <c r="AA11" s="1000">
        <f t="shared" ca="1" si="4"/>
        <v>0</v>
      </c>
      <c r="AB11" s="1001">
        <v>0</v>
      </c>
      <c r="AC11" s="998">
        <f t="shared" ca="1" si="10"/>
        <v>0</v>
      </c>
      <c r="AD11" s="1155">
        <v>0</v>
      </c>
      <c r="AE11" s="998">
        <f t="shared" ca="1" si="5"/>
        <v>0</v>
      </c>
      <c r="AF11" s="1192">
        <v>0</v>
      </c>
      <c r="AG11" s="1142">
        <f t="shared" ca="1" si="11"/>
        <v>0</v>
      </c>
      <c r="AH11" s="997" t="str">
        <f t="shared" ca="1" si="6"/>
        <v/>
      </c>
      <c r="AI11" s="1002" t="s">
        <v>1216</v>
      </c>
      <c r="AK11" s="993"/>
      <c r="AL11" s="1003"/>
      <c r="AM11" s="1003"/>
      <c r="AO11" s="1004"/>
      <c r="AP11" s="1004"/>
      <c r="AQ11" s="1004"/>
      <c r="AR11" s="1004"/>
      <c r="AS11" s="1005"/>
      <c r="AT11" s="1006"/>
      <c r="AU11" s="1006"/>
      <c r="AV11" s="1006"/>
      <c r="AW11" s="1006"/>
    </row>
    <row r="12" spans="1:49" s="684" customFormat="1" ht="25.5">
      <c r="A12" s="992" t="s">
        <v>1427</v>
      </c>
      <c r="B12" s="993" t="s">
        <v>858</v>
      </c>
      <c r="C12" s="993" t="str">
        <f>INDEX(Programs!B:B,MATCH(' Summary by Program 2020-21'!B12,Programs!$E:$E,0))</f>
        <v>Manufactured Homes</v>
      </c>
      <c r="D12" s="994">
        <v>1</v>
      </c>
      <c r="E12" s="994">
        <v>1</v>
      </c>
      <c r="F12" s="994">
        <v>0.9</v>
      </c>
      <c r="G12" s="994">
        <v>1.1000000000000001</v>
      </c>
      <c r="H12" s="2376"/>
      <c r="I12" s="917" t="s">
        <v>857</v>
      </c>
      <c r="J12" s="962" t="s">
        <v>857</v>
      </c>
      <c r="K12" s="954" t="s">
        <v>3287</v>
      </c>
      <c r="L12" s="995">
        <f t="shared" ref="L12" ca="1" si="12">W12+AC12</f>
        <v>0</v>
      </c>
      <c r="M12" s="1131"/>
      <c r="N12" s="996">
        <f t="shared" ref="N12" si="13">X12+AD12</f>
        <v>0</v>
      </c>
      <c r="O12" s="1008">
        <f t="shared" ca="1" si="0"/>
        <v>0</v>
      </c>
      <c r="P12" s="1061" t="s">
        <v>1450</v>
      </c>
      <c r="Q12" s="1087">
        <f t="shared" ref="Q12" ca="1" si="14">Y12+AE12</f>
        <v>0</v>
      </c>
      <c r="R12" s="1039">
        <f t="shared" ref="R12" si="15">Z12+AF12</f>
        <v>0</v>
      </c>
      <c r="S12" s="1039"/>
      <c r="T12" s="1088"/>
      <c r="U12" s="1071">
        <f t="shared" ref="U12" ca="1" si="16">AA12+AG12</f>
        <v>0</v>
      </c>
      <c r="V12" s="997" t="str">
        <f t="shared" ref="V12" ca="1" si="17">IF(AA12=0,"","("&amp;TEXT($D12*AA12+$F12*AG12,"#.##")&amp;"-"&amp;TEXT($E12*AA12+$G12*AG12,"#.##")&amp;")")</f>
        <v/>
      </c>
      <c r="W12" s="998">
        <f ca="1">SUMIFS(INDIRECT($A12&amp;"!$v:$v"),INDIRECT($A12&amp;"!$f:$f"),W$1,INDIRECT($A12&amp;"!$i:$i"),$C12,INDIRECT($A12&amp;"!$L:$L"),$I$1)</f>
        <v>0</v>
      </c>
      <c r="X12" s="1001">
        <v>0</v>
      </c>
      <c r="Y12" s="1142">
        <f t="shared" ca="1" si="3"/>
        <v>0</v>
      </c>
      <c r="Z12" s="999">
        <v>0</v>
      </c>
      <c r="AA12" s="1000">
        <f t="shared" ca="1" si="4"/>
        <v>0</v>
      </c>
      <c r="AB12" s="1001">
        <v>0</v>
      </c>
      <c r="AC12" s="998">
        <f ca="1">SUMIFS(INDIRECT($A12&amp;"!$v:$v"),INDIRECT($A12&amp;"!$f:$f"),AC$1,INDIRECT($A12&amp;"!$i:$i"),$C12,INDIRECT($A12&amp;"!$l:$l"),$J$1)</f>
        <v>0</v>
      </c>
      <c r="AD12" s="1155">
        <v>0</v>
      </c>
      <c r="AE12" s="998">
        <f t="shared" ca="1" si="5"/>
        <v>0</v>
      </c>
      <c r="AF12" s="1192">
        <v>0</v>
      </c>
      <c r="AG12" s="1142">
        <f t="shared" ca="1" si="11"/>
        <v>0</v>
      </c>
      <c r="AH12" s="997" t="str">
        <f t="shared" ref="AH12" ca="1" si="18">IF(AG12=0,"","("&amp;TEXT($F12*AG12,"#.##")&amp;"-"&amp;TEXT($G12*AG12,"#.##")&amp;")")</f>
        <v/>
      </c>
      <c r="AI12" s="1002" t="s">
        <v>1356</v>
      </c>
      <c r="AK12" s="993"/>
      <c r="AL12" s="1003"/>
      <c r="AM12" s="1003"/>
      <c r="AO12" s="1004"/>
      <c r="AP12" s="1004"/>
      <c r="AQ12" s="1004"/>
      <c r="AR12" s="1004"/>
      <c r="AS12" s="1005"/>
      <c r="AT12" s="1006"/>
      <c r="AU12" s="1006"/>
      <c r="AV12" s="1006"/>
      <c r="AW12" s="1006"/>
    </row>
    <row r="13" spans="1:49" s="684" customFormat="1">
      <c r="A13" s="992" t="s">
        <v>266</v>
      </c>
      <c r="B13" s="993" t="s">
        <v>253</v>
      </c>
      <c r="C13" s="993" t="str">
        <f>INDEX(Programs!B:B,MATCH(' Summary by Program 2020-21'!B13,Programs!$E:$E,0))</f>
        <v>Residential Lighting</v>
      </c>
      <c r="D13" s="994">
        <v>1</v>
      </c>
      <c r="E13" s="994">
        <v>1</v>
      </c>
      <c r="F13" s="994">
        <v>0.6</v>
      </c>
      <c r="G13" s="994">
        <v>1</v>
      </c>
      <c r="H13" s="2376"/>
      <c r="I13" s="917" t="str">
        <f>INDEX(Programs!B:B,MATCH(' Summary by Program 2020-21'!B13,Programs!$E:$E,0))</f>
        <v>Residential Lighting</v>
      </c>
      <c r="J13" s="962" t="s">
        <v>572</v>
      </c>
      <c r="K13" s="954" t="s">
        <v>1414</v>
      </c>
      <c r="L13" s="995" t="e">
        <f t="shared" ca="1" si="7"/>
        <v>#REF!</v>
      </c>
      <c r="M13" s="1129" t="e">
        <f ca="1">TEXT(W13*D13+AC13*F13,"0.##")&amp;"-"&amp;TEXT(W13*E13+G13*AC13,"0.#0")</f>
        <v>#REF!</v>
      </c>
      <c r="N13" s="996">
        <f>X13+AD13</f>
        <v>0</v>
      </c>
      <c r="O13" s="1008" t="e">
        <f t="shared" ca="1" si="0"/>
        <v>#REF!</v>
      </c>
      <c r="P13" s="1062"/>
      <c r="Q13" s="1083" t="e">
        <f ca="1">Y13+AE13</f>
        <v>#REF!</v>
      </c>
      <c r="R13" s="1043">
        <f t="shared" si="1"/>
        <v>0</v>
      </c>
      <c r="S13" s="1043"/>
      <c r="T13" s="1084"/>
      <c r="U13" s="1071" t="e">
        <f ca="1">AA13+AG13</f>
        <v>#REF!</v>
      </c>
      <c r="V13" s="997">
        <f>AB13+AH13</f>
        <v>0</v>
      </c>
      <c r="W13" s="998" t="e">
        <f ca="1">ROUND(SUMIFS(INDIRECT($A13&amp;"!$w:$w"),INDIRECT($A13&amp;"!$f:$f"),W$1,INDIRECT($A13&amp;"!$i:$i"),$C13,INDIRECT($A13&amp;"!$l:$l"),$I$1),4)</f>
        <v>#REF!</v>
      </c>
      <c r="X13" s="1001">
        <v>0</v>
      </c>
      <c r="Y13" s="1142" t="e">
        <f ca="1">SUMIFS(INDIRECT($A13&amp;"!$w:$w"),INDIRECT($A13&amp;"!$f:$f"),Y$1,INDIRECT($A13&amp;"!$i:$i"),$C13,INDIRECT($A13&amp;"!$l:$l"),$I$1)</f>
        <v>#REF!</v>
      </c>
      <c r="Z13" s="999">
        <v>0</v>
      </c>
      <c r="AA13" s="1000" t="e">
        <f ca="1">SUMIFS(INDIRECT($A13&amp;"!$w:$w"),INDIRECT($A13&amp;"!$f:$f"),AA$1,INDIRECT($A13&amp;"!$i:$i"),$C13,INDIRECT($A13&amp;"!$l:$l"),$I$1)</f>
        <v>#REF!</v>
      </c>
      <c r="AB13" s="1001">
        <v>0</v>
      </c>
      <c r="AC13" s="998" t="e">
        <f ca="1">SUMIFS(INDIRECT($A13&amp;"!$w:$w"),INDIRECT($A13&amp;"!$f:$f"),AC$1,INDIRECT($A13&amp;"!$i:$i"),$C13,INDIRECT($A13&amp;"!$l:$l"),$J$1)</f>
        <v>#REF!</v>
      </c>
      <c r="AD13" s="1155">
        <v>0</v>
      </c>
      <c r="AE13" s="998" t="e">
        <f ca="1">SUMIFS(INDIRECT($A13&amp;"!$w:$w"),INDIRECT($A13&amp;"!$f:$f"),AE$1,INDIRECT($A13&amp;"!$i:$i"),$C13,INDIRECT($A13&amp;"!$l:$l"),$J$1)</f>
        <v>#REF!</v>
      </c>
      <c r="AF13" s="1192">
        <v>0</v>
      </c>
      <c r="AG13" s="1142" t="e">
        <f ca="1">SUMIFS(INDIRECT($A13&amp;"!$w:$w"),INDIRECT($A13&amp;"!$f:$f"),AG$1,INDIRECT($A13&amp;"!$i:$i"),$C13,INDIRECT($A13&amp;"!$l:$l"),$L$1)</f>
        <v>#REF!</v>
      </c>
      <c r="AH13" s="997">
        <v>0</v>
      </c>
      <c r="AI13" s="1014" t="e">
        <f>#REF!</f>
        <v>#REF!</v>
      </c>
      <c r="AK13" s="993"/>
      <c r="AL13" s="1003"/>
      <c r="AM13" s="1003"/>
      <c r="AO13" s="1004"/>
      <c r="AP13" s="1004"/>
      <c r="AQ13" s="1004"/>
      <c r="AR13" s="1004"/>
      <c r="AS13" s="1005"/>
      <c r="AT13" s="1006"/>
      <c r="AU13" s="1006"/>
      <c r="AV13" s="1006"/>
      <c r="AW13" s="1006"/>
    </row>
    <row r="14" spans="1:49" s="684" customFormat="1" ht="119.25" customHeight="1">
      <c r="A14" s="992" t="s">
        <v>538</v>
      </c>
      <c r="B14" s="993" t="s">
        <v>252</v>
      </c>
      <c r="C14" s="993" t="str">
        <f>INDEX(Programs!B:B,MATCH(' Summary by Program 2020-21'!B14,Programs!$E:$E,0))</f>
        <v>Next Step Homes</v>
      </c>
      <c r="D14" s="994">
        <v>1</v>
      </c>
      <c r="E14" s="994">
        <v>1</v>
      </c>
      <c r="F14" s="994">
        <v>0.5</v>
      </c>
      <c r="G14" s="994">
        <v>1.2</v>
      </c>
      <c r="H14" s="2376"/>
      <c r="I14" s="2353" t="str">
        <f>INDEX(Programs!B:B,MATCH(' Summary by Program 2020-21'!B14,Programs!$E:$E,0))</f>
        <v>Next Step Homes</v>
      </c>
      <c r="J14" s="969" t="s">
        <v>538</v>
      </c>
      <c r="K14" s="2346" t="s">
        <v>3286</v>
      </c>
      <c r="L14" s="995">
        <f t="shared" ca="1" si="7"/>
        <v>0</v>
      </c>
      <c r="M14" s="1131"/>
      <c r="N14" s="996">
        <f>X14+AD14</f>
        <v>0</v>
      </c>
      <c r="O14" s="1008">
        <f t="shared" ca="1" si="0"/>
        <v>0</v>
      </c>
      <c r="P14" s="1062"/>
      <c r="Q14" s="1089">
        <f t="shared" ca="1" si="1"/>
        <v>0</v>
      </c>
      <c r="R14" s="1017">
        <f>Z14+AF14</f>
        <v>0</v>
      </c>
      <c r="S14" s="1017">
        <f ca="1">Q14-R14</f>
        <v>0</v>
      </c>
      <c r="T14" s="1086" t="s">
        <v>1451</v>
      </c>
      <c r="U14" s="1071">
        <f t="shared" ca="1" si="2"/>
        <v>0</v>
      </c>
      <c r="V14" s="997" t="str">
        <f t="shared" ca="1" si="8"/>
        <v/>
      </c>
      <c r="W14" s="998">
        <f t="shared" ca="1" si="9"/>
        <v>0</v>
      </c>
      <c r="X14" s="1001">
        <v>0</v>
      </c>
      <c r="Y14" s="1142">
        <f ca="1">SUMIFS(INDIRECT($A14&amp;"!$v:$v"),INDIRECT($A14&amp;"!$f:$f"),Y$1,INDIRECT($A14&amp;"!$i:$i"),$C14,INDIRECT($A14&amp;"!$l:$l"),$I$1)</f>
        <v>0</v>
      </c>
      <c r="Z14" s="1188">
        <v>0</v>
      </c>
      <c r="AA14" s="1000">
        <f t="shared" ca="1" si="4"/>
        <v>0</v>
      </c>
      <c r="AB14" s="1001" t="str">
        <f t="shared" ref="AB14:AB37" ca="1" si="19">IF(AA14=0,"","("&amp;TEXT(D14*AA14,"#.##")&amp;"-"&amp;TEXT(E14*AA14,"#.##")&amp;")")</f>
        <v/>
      </c>
      <c r="AC14" s="998">
        <f t="shared" ca="1" si="10"/>
        <v>0</v>
      </c>
      <c r="AD14" s="1155">
        <v>0</v>
      </c>
      <c r="AE14" s="998">
        <f t="shared" ca="1" si="5"/>
        <v>0</v>
      </c>
      <c r="AF14" s="1192">
        <v>0</v>
      </c>
      <c r="AG14" s="1142">
        <f t="shared" ca="1" si="11"/>
        <v>0</v>
      </c>
      <c r="AH14" s="997" t="str">
        <f t="shared" ca="1" si="6"/>
        <v/>
      </c>
      <c r="AI14" s="1002" t="s">
        <v>1216</v>
      </c>
      <c r="AK14" s="993"/>
      <c r="AL14" s="1003"/>
      <c r="AM14" s="1003"/>
      <c r="AO14" s="1004"/>
      <c r="AP14" s="1004"/>
      <c r="AQ14" s="1004"/>
      <c r="AR14" s="1004"/>
      <c r="AS14" s="1005"/>
      <c r="AT14" s="1006"/>
      <c r="AU14" s="1006"/>
      <c r="AV14" s="1006"/>
      <c r="AW14" s="1006"/>
    </row>
    <row r="15" spans="1:49" s="684" customFormat="1" ht="91.5" customHeight="1">
      <c r="A15" s="992" t="s">
        <v>518</v>
      </c>
      <c r="B15" s="993" t="s">
        <v>252</v>
      </c>
      <c r="C15" s="993" t="str">
        <f>INDEX(Programs!B:B,MATCH(' Summary by Program 2020-21'!B15,Programs!$E:$E,0))</f>
        <v>Next Step Homes</v>
      </c>
      <c r="D15" s="994">
        <v>1</v>
      </c>
      <c r="E15" s="994">
        <v>1</v>
      </c>
      <c r="F15" s="994">
        <v>0.5</v>
      </c>
      <c r="G15" s="994">
        <v>1.2</v>
      </c>
      <c r="H15" s="2376"/>
      <c r="I15" s="2353"/>
      <c r="J15" s="969" t="s">
        <v>539</v>
      </c>
      <c r="K15" s="2347"/>
      <c r="L15" s="995">
        <f t="shared" ca="1" si="7"/>
        <v>0</v>
      </c>
      <c r="M15" s="1129" t="str">
        <f ca="1">TEXT(W15*D15+AC15*F15,"0.##")&amp;"-"&amp;TEXT(W15*E15+G15*AC15,"0.#0")</f>
        <v>0.-0.0</v>
      </c>
      <c r="N15" s="996">
        <f>X15+AD15</f>
        <v>0</v>
      </c>
      <c r="O15" s="1008">
        <f t="shared" ca="1" si="0"/>
        <v>0</v>
      </c>
      <c r="P15" s="1061" t="s">
        <v>1454</v>
      </c>
      <c r="Q15" s="1087">
        <f t="shared" ca="1" si="1"/>
        <v>0</v>
      </c>
      <c r="R15" s="1039">
        <f t="shared" si="1"/>
        <v>0</v>
      </c>
      <c r="S15" s="1039"/>
      <c r="T15" s="1088"/>
      <c r="U15" s="1071">
        <f t="shared" ca="1" si="2"/>
        <v>0</v>
      </c>
      <c r="V15" s="997" t="str">
        <f t="shared" ca="1" si="8"/>
        <v/>
      </c>
      <c r="W15" s="998">
        <f ca="1">SUMIFS(INDIRECT($A15&amp;"!$v:$v"),INDIRECT($A15&amp;"!$f:$f"),W$1,INDIRECT($A15&amp;"!$i:$i"),$C15,INDIRECT($A15&amp;"!$l:$l"),$I$1)</f>
        <v>0</v>
      </c>
      <c r="X15" s="1187">
        <v>0</v>
      </c>
      <c r="Y15" s="1142">
        <f t="shared" ca="1" si="3"/>
        <v>0</v>
      </c>
      <c r="Z15" s="999">
        <v>0</v>
      </c>
      <c r="AA15" s="1000">
        <f t="shared" ca="1" si="4"/>
        <v>0</v>
      </c>
      <c r="AB15" s="1001" t="str">
        <f t="shared" ca="1" si="19"/>
        <v/>
      </c>
      <c r="AC15" s="998">
        <f t="shared" ca="1" si="10"/>
        <v>0</v>
      </c>
      <c r="AD15" s="1189">
        <v>0</v>
      </c>
      <c r="AE15" s="998">
        <f t="shared" ca="1" si="5"/>
        <v>0</v>
      </c>
      <c r="AF15" s="1192">
        <v>0</v>
      </c>
      <c r="AG15" s="1142">
        <f t="shared" ca="1" si="11"/>
        <v>0</v>
      </c>
      <c r="AH15" s="997" t="str">
        <f t="shared" ca="1" si="6"/>
        <v/>
      </c>
      <c r="AI15" s="1002" t="s">
        <v>1216</v>
      </c>
      <c r="AK15" s="993"/>
      <c r="AL15" s="1003"/>
      <c r="AM15" s="1003"/>
      <c r="AO15" s="1004"/>
      <c r="AP15" s="1004"/>
      <c r="AQ15" s="1004"/>
      <c r="AR15" s="1004"/>
      <c r="AS15" s="1005"/>
      <c r="AT15" s="1006"/>
      <c r="AU15" s="1006"/>
      <c r="AV15" s="1006"/>
      <c r="AW15" s="1006"/>
    </row>
    <row r="16" spans="1:49" s="684" customFormat="1" ht="25.5">
      <c r="A16" s="992" t="s">
        <v>510</v>
      </c>
      <c r="B16" s="993" t="s">
        <v>254</v>
      </c>
      <c r="C16" s="993" t="str">
        <f>INDEX(Programs!B:B,MATCH(' Summary by Program 2020-21'!B16,Programs!$E:$E,0))</f>
        <v>Retail Product Portfolio</v>
      </c>
      <c r="D16" s="994">
        <v>0.95</v>
      </c>
      <c r="E16" s="994">
        <v>1.05</v>
      </c>
      <c r="F16" s="994">
        <v>0.8</v>
      </c>
      <c r="G16" s="994">
        <v>1.25</v>
      </c>
      <c r="H16" s="2376"/>
      <c r="I16" s="2336" t="str">
        <f>INDEX(Programs!B:B,MATCH(' Summary by Program 2020-21'!B16,Programs!$E:$E,0))</f>
        <v>Retail Product Portfolio</v>
      </c>
      <c r="J16" s="963" t="s">
        <v>533</v>
      </c>
      <c r="K16" s="960" t="s">
        <v>1416</v>
      </c>
      <c r="L16" s="995">
        <f t="shared" ca="1" si="7"/>
        <v>0</v>
      </c>
      <c r="M16" s="2337" t="str">
        <f ca="1">TEXT(SUM(W16:W21)*D16+SUM(AC16:AC21)*F16,"0.##")&amp;"-"&amp;TEXT(SUM(W16:W21)*E16+G16*SUM(AC16:AC21),"0.#0")</f>
        <v>0.-0.0</v>
      </c>
      <c r="N16" s="2340">
        <f>X16+AD16</f>
        <v>0</v>
      </c>
      <c r="O16" s="988"/>
      <c r="P16" s="2350" t="s">
        <v>1455</v>
      </c>
      <c r="Q16" s="1081">
        <f t="shared" ca="1" si="1"/>
        <v>0</v>
      </c>
      <c r="R16" s="1041">
        <f t="shared" si="1"/>
        <v>0</v>
      </c>
      <c r="S16" s="1041"/>
      <c r="T16" s="1082"/>
      <c r="U16" s="1071">
        <f t="shared" ca="1" si="2"/>
        <v>0</v>
      </c>
      <c r="V16" s="997" t="str">
        <f t="shared" ca="1" si="8"/>
        <v/>
      </c>
      <c r="W16" s="998">
        <f t="shared" ca="1" si="9"/>
        <v>0</v>
      </c>
      <c r="X16" s="2343">
        <v>0</v>
      </c>
      <c r="Y16" s="1142">
        <f t="shared" ca="1" si="3"/>
        <v>0</v>
      </c>
      <c r="Z16" s="999">
        <v>0</v>
      </c>
      <c r="AA16" s="1000">
        <f t="shared" ca="1" si="4"/>
        <v>0</v>
      </c>
      <c r="AB16" s="1001" t="str">
        <f t="shared" ca="1" si="19"/>
        <v/>
      </c>
      <c r="AC16" s="998">
        <f t="shared" ca="1" si="10"/>
        <v>0</v>
      </c>
      <c r="AD16" s="2382">
        <v>0</v>
      </c>
      <c r="AE16" s="998">
        <f t="shared" ca="1" si="5"/>
        <v>0</v>
      </c>
      <c r="AF16" s="1192">
        <v>0</v>
      </c>
      <c r="AG16" s="1142">
        <f t="shared" ca="1" si="11"/>
        <v>0</v>
      </c>
      <c r="AH16" s="997" t="str">
        <f t="shared" ca="1" si="6"/>
        <v/>
      </c>
      <c r="AI16" s="1014">
        <f>Frig_Freezers!S2</f>
        <v>0</v>
      </c>
      <c r="AK16" s="993"/>
      <c r="AL16" s="1003"/>
      <c r="AM16" s="1003"/>
      <c r="AO16" s="1004"/>
      <c r="AP16" s="1004"/>
      <c r="AQ16" s="1004"/>
      <c r="AR16" s="1004"/>
      <c r="AS16" s="1005"/>
      <c r="AT16" s="1006"/>
      <c r="AU16" s="1006"/>
      <c r="AV16" s="1006"/>
      <c r="AW16" s="1006"/>
    </row>
    <row r="17" spans="1:49" s="684" customFormat="1" ht="15" customHeight="1">
      <c r="A17" s="992" t="s">
        <v>509</v>
      </c>
      <c r="B17" s="993" t="s">
        <v>254</v>
      </c>
      <c r="C17" s="993" t="str">
        <f>INDEX(Programs!B:B,MATCH(' Summary by Program 2020-21'!B17,Programs!$E:$E,0))</f>
        <v>Retail Product Portfolio</v>
      </c>
      <c r="D17" s="994">
        <v>0.95</v>
      </c>
      <c r="E17" s="994">
        <v>1.05</v>
      </c>
      <c r="F17" s="994">
        <v>0.8</v>
      </c>
      <c r="G17" s="994">
        <v>1.25</v>
      </c>
      <c r="H17" s="2376"/>
      <c r="I17" s="2336"/>
      <c r="J17" s="963" t="s">
        <v>147</v>
      </c>
      <c r="K17" s="955">
        <v>14</v>
      </c>
      <c r="L17" s="995">
        <f t="shared" ca="1" si="7"/>
        <v>0</v>
      </c>
      <c r="M17" s="2338"/>
      <c r="N17" s="2341"/>
      <c r="O17" s="989"/>
      <c r="P17" s="2351"/>
      <c r="Q17" s="1081">
        <f t="shared" ca="1" si="1"/>
        <v>0</v>
      </c>
      <c r="R17" s="1041">
        <f t="shared" si="1"/>
        <v>0</v>
      </c>
      <c r="S17" s="1041"/>
      <c r="T17" s="1082"/>
      <c r="U17" s="1071">
        <f t="shared" ca="1" si="2"/>
        <v>0</v>
      </c>
      <c r="V17" s="997" t="str">
        <f t="shared" ca="1" si="8"/>
        <v/>
      </c>
      <c r="W17" s="998">
        <f t="shared" ca="1" si="9"/>
        <v>0</v>
      </c>
      <c r="X17" s="2344"/>
      <c r="Y17" s="1142">
        <f t="shared" ca="1" si="3"/>
        <v>0</v>
      </c>
      <c r="Z17" s="999">
        <v>0</v>
      </c>
      <c r="AA17" s="1000">
        <f t="shared" ca="1" si="4"/>
        <v>0</v>
      </c>
      <c r="AB17" s="1001" t="str">
        <f t="shared" ca="1" si="19"/>
        <v/>
      </c>
      <c r="AC17" s="998">
        <f ca="1">SUMIFS(INDIRECT($A17&amp;"!$v:$v"),INDIRECT($A17&amp;"!$f:$f"),AC$1,INDIRECT($A17&amp;"!$i:$i"),$C17,INDIRECT($A17&amp;"!$l:$l"),$J$1)</f>
        <v>0</v>
      </c>
      <c r="AD17" s="2383"/>
      <c r="AE17" s="998">
        <f t="shared" ca="1" si="5"/>
        <v>0</v>
      </c>
      <c r="AF17" s="1192">
        <v>0</v>
      </c>
      <c r="AG17" s="1142">
        <f t="shared" ca="1" si="11"/>
        <v>0</v>
      </c>
      <c r="AH17" s="997" t="str">
        <f t="shared" ca="1" si="6"/>
        <v/>
      </c>
      <c r="AI17" s="1014">
        <f>Clothes_Washers!R2</f>
        <v>0</v>
      </c>
      <c r="AK17" s="993"/>
      <c r="AL17" s="1003"/>
      <c r="AM17" s="1003"/>
      <c r="AO17" s="1004"/>
      <c r="AP17" s="1004"/>
      <c r="AQ17" s="1004"/>
      <c r="AR17" s="1004"/>
      <c r="AS17" s="1005"/>
      <c r="AT17" s="1006"/>
      <c r="AU17" s="1006"/>
      <c r="AV17" s="1006"/>
      <c r="AW17" s="1006"/>
    </row>
    <row r="18" spans="1:49" s="684" customFormat="1" ht="15" customHeight="1">
      <c r="A18" s="992" t="s">
        <v>516</v>
      </c>
      <c r="B18" s="993" t="s">
        <v>254</v>
      </c>
      <c r="C18" s="993" t="str">
        <f>INDEX(Programs!B:B,MATCH(' Summary by Program 2020-21'!B18,Programs!$E:$E,0))</f>
        <v>Retail Product Portfolio</v>
      </c>
      <c r="D18" s="994">
        <v>0.95</v>
      </c>
      <c r="E18" s="994">
        <v>1.05</v>
      </c>
      <c r="F18" s="994">
        <v>0.8</v>
      </c>
      <c r="G18" s="994">
        <v>1.25</v>
      </c>
      <c r="H18" s="2376"/>
      <c r="I18" s="2336"/>
      <c r="J18" s="963" t="s">
        <v>534</v>
      </c>
      <c r="K18" s="955">
        <v>9</v>
      </c>
      <c r="L18" s="995">
        <f t="shared" ca="1" si="7"/>
        <v>0</v>
      </c>
      <c r="M18" s="2338"/>
      <c r="N18" s="2341"/>
      <c r="O18" s="989">
        <f ca="1">SUM(L16:L21)-N16</f>
        <v>0</v>
      </c>
      <c r="P18" s="2351"/>
      <c r="Q18" s="1081">
        <f t="shared" ca="1" si="1"/>
        <v>0</v>
      </c>
      <c r="R18" s="1041">
        <f t="shared" si="1"/>
        <v>0</v>
      </c>
      <c r="S18" s="1041"/>
      <c r="T18" s="1082"/>
      <c r="U18" s="1071">
        <f t="shared" ca="1" si="2"/>
        <v>0</v>
      </c>
      <c r="V18" s="997" t="str">
        <f t="shared" ca="1" si="8"/>
        <v/>
      </c>
      <c r="W18" s="998">
        <f t="shared" ca="1" si="9"/>
        <v>0</v>
      </c>
      <c r="X18" s="2344"/>
      <c r="Y18" s="1142">
        <f t="shared" ca="1" si="3"/>
        <v>0</v>
      </c>
      <c r="Z18" s="999">
        <v>0</v>
      </c>
      <c r="AA18" s="1000">
        <f t="shared" ca="1" si="4"/>
        <v>0</v>
      </c>
      <c r="AB18" s="1001" t="str">
        <f t="shared" ca="1" si="19"/>
        <v/>
      </c>
      <c r="AC18" s="998">
        <f t="shared" ca="1" si="10"/>
        <v>0</v>
      </c>
      <c r="AD18" s="2383"/>
      <c r="AE18" s="998">
        <f t="shared" ca="1" si="5"/>
        <v>0</v>
      </c>
      <c r="AF18" s="1192">
        <v>0</v>
      </c>
      <c r="AG18" s="1142">
        <f t="shared" ca="1" si="11"/>
        <v>0</v>
      </c>
      <c r="AH18" s="997" t="str">
        <f t="shared" ca="1" si="6"/>
        <v/>
      </c>
      <c r="AI18" s="1002" t="s">
        <v>1216</v>
      </c>
      <c r="AK18" s="993"/>
      <c r="AL18" s="1003"/>
      <c r="AM18" s="1003"/>
      <c r="AO18" s="1004"/>
      <c r="AP18" s="1004"/>
      <c r="AQ18" s="1004"/>
      <c r="AR18" s="1004"/>
      <c r="AS18" s="1005"/>
      <c r="AT18" s="1006"/>
      <c r="AU18" s="1006"/>
      <c r="AV18" s="1006"/>
      <c r="AW18" s="1006"/>
    </row>
    <row r="19" spans="1:49" s="684" customFormat="1" ht="15" customHeight="1">
      <c r="A19" s="992"/>
      <c r="B19" s="993" t="s">
        <v>254</v>
      </c>
      <c r="C19" s="993"/>
      <c r="D19" s="994"/>
      <c r="E19" s="994"/>
      <c r="F19" s="994"/>
      <c r="G19" s="994"/>
      <c r="H19" s="2376"/>
      <c r="I19" s="2336"/>
      <c r="J19" s="964" t="s">
        <v>1349</v>
      </c>
      <c r="K19" s="955">
        <v>9</v>
      </c>
      <c r="L19" s="1018" t="s">
        <v>332</v>
      </c>
      <c r="M19" s="2338"/>
      <c r="N19" s="2341"/>
      <c r="O19" s="989"/>
      <c r="P19" s="2351"/>
      <c r="Q19" s="1081"/>
      <c r="R19" s="1041"/>
      <c r="S19" s="1041"/>
      <c r="T19" s="1082"/>
      <c r="U19" s="1072" t="s">
        <v>332</v>
      </c>
      <c r="V19" s="997"/>
      <c r="W19" s="1020" t="s">
        <v>332</v>
      </c>
      <c r="X19" s="2344"/>
      <c r="Y19" s="1072" t="s">
        <v>332</v>
      </c>
      <c r="Z19" s="1016"/>
      <c r="AA19" s="1019" t="s">
        <v>332</v>
      </c>
      <c r="AB19" s="1001"/>
      <c r="AC19" s="1020" t="s">
        <v>332</v>
      </c>
      <c r="AD19" s="2383"/>
      <c r="AE19" s="1020" t="s">
        <v>332</v>
      </c>
      <c r="AF19" s="1193"/>
      <c r="AG19" s="1072" t="s">
        <v>332</v>
      </c>
      <c r="AH19" s="997"/>
      <c r="AI19" s="1002" t="s">
        <v>1351</v>
      </c>
      <c r="AK19" s="993"/>
      <c r="AL19" s="1003"/>
      <c r="AM19" s="1003"/>
      <c r="AO19" s="1004"/>
      <c r="AP19" s="1004"/>
      <c r="AQ19" s="1004"/>
      <c r="AR19" s="1004"/>
      <c r="AS19" s="1005"/>
      <c r="AT19" s="1006"/>
      <c r="AU19" s="1006"/>
      <c r="AV19" s="1006"/>
      <c r="AW19" s="1006"/>
    </row>
    <row r="20" spans="1:49" s="684" customFormat="1" ht="15" customHeight="1">
      <c r="A20" s="992"/>
      <c r="B20" s="993" t="s">
        <v>254</v>
      </c>
      <c r="C20" s="993"/>
      <c r="D20" s="994"/>
      <c r="E20" s="994"/>
      <c r="F20" s="994"/>
      <c r="G20" s="994"/>
      <c r="H20" s="2376"/>
      <c r="I20" s="2336"/>
      <c r="J20" s="965" t="s">
        <v>1350</v>
      </c>
      <c r="K20" s="955">
        <v>7</v>
      </c>
      <c r="L20" s="1018" t="s">
        <v>332</v>
      </c>
      <c r="M20" s="2338"/>
      <c r="N20" s="2341"/>
      <c r="O20" s="989"/>
      <c r="P20" s="2351"/>
      <c r="Q20" s="1081"/>
      <c r="R20" s="1041"/>
      <c r="S20" s="1041"/>
      <c r="T20" s="1082"/>
      <c r="U20" s="1072" t="s">
        <v>332</v>
      </c>
      <c r="V20" s="997"/>
      <c r="W20" s="1020" t="s">
        <v>332</v>
      </c>
      <c r="X20" s="2344"/>
      <c r="Y20" s="1072" t="s">
        <v>332</v>
      </c>
      <c r="Z20" s="1016"/>
      <c r="AA20" s="1019" t="s">
        <v>332</v>
      </c>
      <c r="AB20" s="1001"/>
      <c r="AC20" s="1020" t="s">
        <v>332</v>
      </c>
      <c r="AD20" s="2383"/>
      <c r="AE20" s="1020" t="s">
        <v>332</v>
      </c>
      <c r="AF20" s="1193"/>
      <c r="AG20" s="1072" t="s">
        <v>332</v>
      </c>
      <c r="AH20" s="997"/>
      <c r="AI20" s="1002" t="s">
        <v>1352</v>
      </c>
      <c r="AK20" s="993"/>
      <c r="AL20" s="1003"/>
      <c r="AM20" s="1003"/>
      <c r="AO20" s="1004"/>
      <c r="AP20" s="1004"/>
      <c r="AQ20" s="1004"/>
      <c r="AR20" s="1004"/>
      <c r="AS20" s="1005"/>
      <c r="AT20" s="1006"/>
      <c r="AU20" s="1006"/>
      <c r="AV20" s="1006"/>
      <c r="AW20" s="1006"/>
    </row>
    <row r="21" spans="1:49" s="684" customFormat="1" ht="15" customHeight="1">
      <c r="A21" s="992" t="s">
        <v>517</v>
      </c>
      <c r="B21" s="993" t="s">
        <v>254</v>
      </c>
      <c r="C21" s="993" t="str">
        <f>INDEX(Programs!B:B,MATCH(' Summary by Program 2020-21'!B21,Programs!$E:$E,0))</f>
        <v>Retail Product Portfolio</v>
      </c>
      <c r="D21" s="994">
        <v>0.95</v>
      </c>
      <c r="E21" s="994">
        <v>1.05</v>
      </c>
      <c r="F21" s="994">
        <v>0.8</v>
      </c>
      <c r="G21" s="994">
        <v>1.25</v>
      </c>
      <c r="H21" s="2376"/>
      <c r="I21" s="2336"/>
      <c r="J21" s="966" t="s">
        <v>535</v>
      </c>
      <c r="K21" s="982">
        <v>7</v>
      </c>
      <c r="L21" s="995">
        <f t="shared" ca="1" si="7"/>
        <v>0</v>
      </c>
      <c r="M21" s="2339"/>
      <c r="N21" s="2342"/>
      <c r="O21" s="990"/>
      <c r="P21" s="2352"/>
      <c r="Q21" s="1081">
        <f t="shared" ca="1" si="1"/>
        <v>0</v>
      </c>
      <c r="R21" s="1041">
        <f t="shared" si="1"/>
        <v>0</v>
      </c>
      <c r="S21" s="1041"/>
      <c r="T21" s="1082"/>
      <c r="U21" s="1071">
        <f t="shared" ca="1" si="2"/>
        <v>0</v>
      </c>
      <c r="V21" s="997" t="str">
        <f t="shared" ca="1" si="8"/>
        <v/>
      </c>
      <c r="W21" s="998">
        <f t="shared" ca="1" si="9"/>
        <v>0</v>
      </c>
      <c r="X21" s="2345"/>
      <c r="Y21" s="1142">
        <f t="shared" ca="1" si="3"/>
        <v>0</v>
      </c>
      <c r="Z21" s="999">
        <v>0</v>
      </c>
      <c r="AA21" s="1000">
        <f t="shared" ca="1" si="4"/>
        <v>0</v>
      </c>
      <c r="AB21" s="1001" t="str">
        <f t="shared" ca="1" si="19"/>
        <v/>
      </c>
      <c r="AC21" s="998">
        <f t="shared" ca="1" si="10"/>
        <v>0</v>
      </c>
      <c r="AD21" s="2384"/>
      <c r="AE21" s="998">
        <f t="shared" ca="1" si="5"/>
        <v>0</v>
      </c>
      <c r="AF21" s="1192">
        <v>0</v>
      </c>
      <c r="AG21" s="1142">
        <f t="shared" ca="1" si="11"/>
        <v>0</v>
      </c>
      <c r="AH21" s="997" t="str">
        <f t="shared" ca="1" si="6"/>
        <v/>
      </c>
      <c r="AI21" s="1002" t="s">
        <v>1216</v>
      </c>
      <c r="AK21" s="993"/>
      <c r="AL21" s="1003"/>
      <c r="AM21" s="1003"/>
      <c r="AO21" s="1004"/>
      <c r="AP21" s="1004"/>
      <c r="AQ21" s="1004"/>
      <c r="AR21" s="1004"/>
      <c r="AS21" s="1005"/>
      <c r="AT21" s="1006"/>
      <c r="AU21" s="1006"/>
      <c r="AV21" s="1006"/>
      <c r="AW21" s="1006"/>
    </row>
    <row r="22" spans="1:49" s="1117" customFormat="1" ht="15" hidden="1" customHeight="1">
      <c r="A22" s="1122" t="s">
        <v>556</v>
      </c>
      <c r="B22" s="1123" t="s">
        <v>256</v>
      </c>
      <c r="C22" s="1123" t="str">
        <f>INDEX(Programs!B:B,MATCH(' Summary by Program 2020-21'!B22,Programs!$E:$E,0))</f>
        <v>Other Non-Residential Standards</v>
      </c>
      <c r="D22" s="1124">
        <v>1</v>
      </c>
      <c r="E22" s="1124">
        <v>1</v>
      </c>
      <c r="F22" s="1124">
        <v>1</v>
      </c>
      <c r="G22" s="1124">
        <v>1.05</v>
      </c>
      <c r="H22" s="2377"/>
      <c r="I22" s="1103" t="s">
        <v>556</v>
      </c>
      <c r="J22" s="1125" t="s">
        <v>1457</v>
      </c>
      <c r="K22" s="1104"/>
      <c r="L22" s="1105"/>
      <c r="M22" s="1132"/>
      <c r="N22" s="1106"/>
      <c r="O22" s="1106"/>
      <c r="P22" s="1107"/>
      <c r="Q22" s="1108"/>
      <c r="R22" s="1109"/>
      <c r="S22" s="1109"/>
      <c r="T22" s="1110"/>
      <c r="U22" s="1111"/>
      <c r="V22" s="1112"/>
      <c r="W22" s="1113"/>
      <c r="X22" s="1150"/>
      <c r="Y22" s="1111"/>
      <c r="Z22" s="1115"/>
      <c r="AA22" s="1114"/>
      <c r="AB22" s="1112"/>
      <c r="AC22" s="1113"/>
      <c r="AD22" s="1157"/>
      <c r="AE22" s="1113"/>
      <c r="AF22" s="1194"/>
      <c r="AG22" s="1111"/>
      <c r="AH22" s="1112"/>
      <c r="AI22" s="1116"/>
      <c r="AK22" s="1102"/>
      <c r="AL22" s="1118"/>
      <c r="AM22" s="1118"/>
      <c r="AO22" s="1119"/>
      <c r="AP22" s="1119"/>
      <c r="AQ22" s="1119"/>
      <c r="AR22" s="1119"/>
      <c r="AS22" s="1120"/>
      <c r="AT22" s="1121"/>
      <c r="AU22" s="1121"/>
      <c r="AV22" s="1121"/>
      <c r="AW22" s="1121"/>
    </row>
    <row r="23" spans="1:49" s="684" customFormat="1">
      <c r="A23" s="992" t="s">
        <v>267</v>
      </c>
      <c r="B23" s="993" t="s">
        <v>255</v>
      </c>
      <c r="C23" s="993" t="str">
        <f>INDEX(Programs!B:B,MATCH(' Summary by Program 2020-21'!B23,Programs!$E:$E,0))</f>
        <v>Super-Efficient Dryers</v>
      </c>
      <c r="D23" s="994">
        <v>0.9</v>
      </c>
      <c r="E23" s="994">
        <v>1.05</v>
      </c>
      <c r="F23" s="994">
        <v>0.8</v>
      </c>
      <c r="G23" s="994">
        <v>1.05</v>
      </c>
      <c r="H23" s="2386"/>
      <c r="I23" s="918" t="str">
        <f>INDEX(Programs!B:B,MATCH(' Summary by Program 2020-21'!B23,Programs!$E:$E,0))</f>
        <v>Super-Efficient Dryers</v>
      </c>
      <c r="J23" s="967" t="s">
        <v>283</v>
      </c>
      <c r="K23" s="958" t="s">
        <v>581</v>
      </c>
      <c r="L23" s="1021">
        <f t="shared" ca="1" si="7"/>
        <v>0</v>
      </c>
      <c r="M23" s="1133" t="str">
        <f t="shared" ref="M23:M28" ca="1" si="20">TEXT(W23*D23+AC23*F23,"0.##")&amp;"-"&amp;TEXT(W23*E23+G23*AC23,"0.#0")</f>
        <v>0.-0.0</v>
      </c>
      <c r="N23" s="1022">
        <f>X23+AD23</f>
        <v>0</v>
      </c>
      <c r="O23" s="1022">
        <f ca="1">L23-N23</f>
        <v>0</v>
      </c>
      <c r="P23" s="1063"/>
      <c r="Q23" s="1090">
        <f t="shared" ca="1" si="1"/>
        <v>0</v>
      </c>
      <c r="R23" s="1048">
        <f t="shared" si="1"/>
        <v>0</v>
      </c>
      <c r="S23" s="1048"/>
      <c r="T23" s="1091"/>
      <c r="U23" s="1073">
        <f t="shared" ca="1" si="2"/>
        <v>0</v>
      </c>
      <c r="V23" s="1023" t="str">
        <f t="shared" ca="1" si="8"/>
        <v/>
      </c>
      <c r="W23" s="1024">
        <f t="shared" ca="1" si="9"/>
        <v>0</v>
      </c>
      <c r="X23" s="1027">
        <v>0</v>
      </c>
      <c r="Y23" s="1143">
        <f t="shared" ca="1" si="3"/>
        <v>0</v>
      </c>
      <c r="Z23" s="1025">
        <v>0</v>
      </c>
      <c r="AA23" s="1026">
        <f t="shared" ca="1" si="4"/>
        <v>0</v>
      </c>
      <c r="AB23" s="1027" t="str">
        <f t="shared" ca="1" si="19"/>
        <v/>
      </c>
      <c r="AC23" s="1024">
        <f t="shared" ca="1" si="10"/>
        <v>0</v>
      </c>
      <c r="AD23" s="1158">
        <v>0</v>
      </c>
      <c r="AE23" s="1024">
        <f t="shared" ca="1" si="5"/>
        <v>0</v>
      </c>
      <c r="AF23" s="1195">
        <v>0</v>
      </c>
      <c r="AG23" s="1143">
        <f t="shared" ca="1" si="11"/>
        <v>0</v>
      </c>
      <c r="AH23" s="1023" t="str">
        <f t="shared" ca="1" si="6"/>
        <v/>
      </c>
      <c r="AI23" s="1014">
        <f>Clothes_Dryers!V2</f>
        <v>0</v>
      </c>
      <c r="AK23" s="993"/>
      <c r="AL23" s="1003"/>
      <c r="AM23" s="1003"/>
      <c r="AO23" s="1004"/>
      <c r="AP23" s="1004"/>
      <c r="AQ23" s="1004"/>
      <c r="AR23" s="1004"/>
      <c r="AS23" s="1005"/>
      <c r="AT23" s="1028"/>
      <c r="AU23" s="1028"/>
      <c r="AV23" s="1006"/>
      <c r="AW23" s="1006"/>
    </row>
    <row r="24" spans="1:49" s="684" customFormat="1" ht="15" customHeight="1">
      <c r="A24" s="992" t="s">
        <v>155</v>
      </c>
      <c r="B24" s="993" t="s">
        <v>238</v>
      </c>
      <c r="C24" s="993" t="str">
        <f>INDEX(Programs!B:B,MATCH(' Summary by Program 2020-21'!B24,Programs!$E:$E,0))</f>
        <v>Building Operator Certification Expansion</v>
      </c>
      <c r="D24" s="994">
        <v>1</v>
      </c>
      <c r="E24" s="994">
        <v>1.2</v>
      </c>
      <c r="F24" s="994">
        <v>1</v>
      </c>
      <c r="G24" s="994">
        <v>1.2</v>
      </c>
      <c r="H24" s="2385" t="s">
        <v>525</v>
      </c>
      <c r="I24" s="919" t="str">
        <f>INDEX(Programs!B:B,MATCH(' Summary by Program 2020-21'!B24,Programs!$E:$E,0))</f>
        <v>Building Operator Certification Expansion</v>
      </c>
      <c r="J24" s="968" t="s">
        <v>536</v>
      </c>
      <c r="K24" s="982" t="s">
        <v>3288</v>
      </c>
      <c r="L24" s="1029" t="e">
        <f t="shared" ca="1" si="7"/>
        <v>#REF!</v>
      </c>
      <c r="M24" s="1134" t="e">
        <f t="shared" ca="1" si="20"/>
        <v>#REF!</v>
      </c>
      <c r="N24" s="1030">
        <f>X24+AD24</f>
        <v>0</v>
      </c>
      <c r="O24" s="1030" t="e">
        <f ca="1">L24-N24</f>
        <v>#REF!</v>
      </c>
      <c r="P24" s="1064"/>
      <c r="Q24" s="1081" t="e">
        <f t="shared" ca="1" si="1"/>
        <v>#REF!</v>
      </c>
      <c r="R24" s="1041">
        <f t="shared" si="1"/>
        <v>0</v>
      </c>
      <c r="S24" s="1041"/>
      <c r="T24" s="1082"/>
      <c r="U24" s="1074" t="e">
        <f t="shared" ca="1" si="2"/>
        <v>#REF!</v>
      </c>
      <c r="V24" s="1032" t="e">
        <f t="shared" ca="1" si="8"/>
        <v>#REF!</v>
      </c>
      <c r="W24" s="1033" t="e">
        <f t="shared" ca="1" si="9"/>
        <v>#REF!</v>
      </c>
      <c r="X24" s="1036">
        <v>0</v>
      </c>
      <c r="Y24" s="1144" t="e">
        <f t="shared" ca="1" si="3"/>
        <v>#REF!</v>
      </c>
      <c r="Z24" s="1034">
        <v>0</v>
      </c>
      <c r="AA24" s="1035" t="e">
        <f t="shared" ca="1" si="4"/>
        <v>#REF!</v>
      </c>
      <c r="AB24" s="1036" t="e">
        <f t="shared" ca="1" si="19"/>
        <v>#REF!</v>
      </c>
      <c r="AC24" s="1033" t="e">
        <f t="shared" ca="1" si="10"/>
        <v>#REF!</v>
      </c>
      <c r="AD24" s="1159">
        <v>0</v>
      </c>
      <c r="AE24" s="1033" t="e">
        <f t="shared" ca="1" si="5"/>
        <v>#REF!</v>
      </c>
      <c r="AF24" s="1196">
        <v>0</v>
      </c>
      <c r="AG24" s="1144" t="e">
        <f t="shared" ca="1" si="11"/>
        <v>#REF!</v>
      </c>
      <c r="AH24" s="1032" t="e">
        <f t="shared" ca="1" si="6"/>
        <v>#REF!</v>
      </c>
      <c r="AI24" s="1002" t="s">
        <v>1216</v>
      </c>
      <c r="AK24" s="993"/>
      <c r="AL24" s="1003"/>
      <c r="AM24" s="1003"/>
      <c r="AO24" s="1004"/>
      <c r="AP24" s="1004"/>
      <c r="AQ24" s="1004"/>
      <c r="AR24" s="1004"/>
      <c r="AS24" s="1005"/>
      <c r="AT24" s="1006"/>
      <c r="AU24" s="1006"/>
      <c r="AV24" s="1006"/>
      <c r="AW24" s="1006"/>
    </row>
    <row r="25" spans="1:49" s="684" customFormat="1" ht="76.5">
      <c r="A25" s="992" t="s">
        <v>260</v>
      </c>
      <c r="B25" s="993" t="s">
        <v>240</v>
      </c>
      <c r="C25" s="993" t="str">
        <f>INDEX(Programs!B:B,MATCH(' Summary by Program 2020-21'!B25,Programs!$E:$E,0))</f>
        <v>Commissioning Buildings</v>
      </c>
      <c r="D25" s="994">
        <v>1</v>
      </c>
      <c r="E25" s="994">
        <v>1</v>
      </c>
      <c r="F25" s="994">
        <v>0.5</v>
      </c>
      <c r="G25" s="994">
        <v>1.2</v>
      </c>
      <c r="H25" s="2376"/>
      <c r="I25" s="917" t="str">
        <f>INDEX(Programs!B:B,MATCH(' Summary by Program 2020-21'!B25,Programs!$E:$E,0))</f>
        <v>Commissioning Buildings</v>
      </c>
      <c r="J25" s="962" t="s">
        <v>537</v>
      </c>
      <c r="K25" s="954" t="s">
        <v>3288</v>
      </c>
      <c r="L25" s="995" t="e">
        <f t="shared" ca="1" si="7"/>
        <v>#REF!</v>
      </c>
      <c r="M25" s="1129" t="e">
        <f t="shared" ca="1" si="20"/>
        <v>#REF!</v>
      </c>
      <c r="N25" s="996">
        <f>X25+AD25</f>
        <v>0</v>
      </c>
      <c r="O25" s="996" t="e">
        <f t="shared" ref="O25:O30" ca="1" si="21">L25-N25</f>
        <v>#REF!</v>
      </c>
      <c r="P25" s="1065" t="s">
        <v>1440</v>
      </c>
      <c r="Q25" s="1081" t="e">
        <f t="shared" ca="1" si="1"/>
        <v>#REF!</v>
      </c>
      <c r="R25" s="1041">
        <f t="shared" si="1"/>
        <v>0</v>
      </c>
      <c r="S25" s="1041"/>
      <c r="T25" s="1082"/>
      <c r="U25" s="1071" t="e">
        <f t="shared" ca="1" si="2"/>
        <v>#REF!</v>
      </c>
      <c r="V25" s="997" t="e">
        <f t="shared" ca="1" si="8"/>
        <v>#REF!</v>
      </c>
      <c r="W25" s="998" t="e">
        <f t="shared" ca="1" si="9"/>
        <v>#REF!</v>
      </c>
      <c r="X25" s="1001">
        <v>0</v>
      </c>
      <c r="Y25" s="1142" t="e">
        <f t="shared" ca="1" si="3"/>
        <v>#REF!</v>
      </c>
      <c r="Z25" s="999">
        <v>0</v>
      </c>
      <c r="AA25" s="1000" t="e">
        <f t="shared" ca="1" si="4"/>
        <v>#REF!</v>
      </c>
      <c r="AB25" s="1001" t="e">
        <f t="shared" ca="1" si="19"/>
        <v>#REF!</v>
      </c>
      <c r="AC25" s="998" t="e">
        <f t="shared" ca="1" si="10"/>
        <v>#REF!</v>
      </c>
      <c r="AD25" s="1155">
        <v>0</v>
      </c>
      <c r="AE25" s="998" t="e">
        <f t="shared" ca="1" si="5"/>
        <v>#REF!</v>
      </c>
      <c r="AF25" s="1192">
        <v>0</v>
      </c>
      <c r="AG25" s="1142" t="e">
        <f t="shared" ca="1" si="11"/>
        <v>#REF!</v>
      </c>
      <c r="AH25" s="997" t="e">
        <f t="shared" ca="1" si="6"/>
        <v>#REF!</v>
      </c>
      <c r="AI25" s="1002" t="s">
        <v>1216</v>
      </c>
      <c r="AK25" s="993"/>
      <c r="AL25" s="1003"/>
      <c r="AM25" s="1003"/>
      <c r="AO25" s="1004"/>
      <c r="AP25" s="1004"/>
      <c r="AQ25" s="1004"/>
      <c r="AR25" s="1004"/>
      <c r="AS25" s="1005"/>
      <c r="AT25" s="1006"/>
      <c r="AU25" s="1006"/>
      <c r="AV25" s="1006"/>
      <c r="AW25" s="1006"/>
    </row>
    <row r="26" spans="1:49" ht="65.25" customHeight="1">
      <c r="A26" s="779" t="s">
        <v>261</v>
      </c>
      <c r="B26" s="768" t="s">
        <v>241</v>
      </c>
      <c r="C26" s="768" t="str">
        <f>INDEX(Programs!B:B,MATCH(' Summary by Program 2020-21'!B26,Programs!$E:$E,0))</f>
        <v>Desktop Power Supplies</v>
      </c>
      <c r="D26" s="782">
        <v>1</v>
      </c>
      <c r="E26" s="782">
        <v>1.05</v>
      </c>
      <c r="F26" s="782">
        <v>0.8</v>
      </c>
      <c r="G26" s="782">
        <v>1.05</v>
      </c>
      <c r="H26" s="2376"/>
      <c r="I26" s="917" t="str">
        <f>INDEX(Programs!B:B,MATCH(' Summary by Program 2020-21'!B26,Programs!$E:$E,0))</f>
        <v>Desktop Power Supplies</v>
      </c>
      <c r="J26" s="962" t="s">
        <v>1269</v>
      </c>
      <c r="K26" s="954" t="s">
        <v>3288</v>
      </c>
      <c r="L26" s="949">
        <f ca="1">W26+AC26</f>
        <v>0</v>
      </c>
      <c r="M26" s="1135" t="str">
        <f t="shared" ca="1" si="20"/>
        <v>0.-0.0</v>
      </c>
      <c r="N26" s="984">
        <f>X26+AD26</f>
        <v>0</v>
      </c>
      <c r="O26" s="984">
        <f t="shared" ca="1" si="21"/>
        <v>0</v>
      </c>
      <c r="P26" s="1066" t="s">
        <v>1453</v>
      </c>
      <c r="Q26" s="1081">
        <f t="shared" ca="1" si="1"/>
        <v>0</v>
      </c>
      <c r="R26" s="1041">
        <f t="shared" si="1"/>
        <v>0</v>
      </c>
      <c r="S26" s="1041"/>
      <c r="T26" s="1082"/>
      <c r="U26" s="1075">
        <f t="shared" ca="1" si="2"/>
        <v>0</v>
      </c>
      <c r="V26" s="771">
        <f>AB26+AH26</f>
        <v>0</v>
      </c>
      <c r="W26" s="867">
        <f ca="1">SUMIFS(INDIRECT($A26&amp;"!$w:$w"),INDIRECT($A26&amp;"!$f:$f"),W$1,INDIRECT($A26&amp;"!$i:$i"),$C26,INDIRECT($A26&amp;"!$l:$l"),$I$1)</f>
        <v>0</v>
      </c>
      <c r="X26" s="870">
        <v>0</v>
      </c>
      <c r="Y26" s="1145">
        <f ca="1">SUMIFS(INDIRECT($A26&amp;"!$w:$w"),INDIRECT($A26&amp;"!$f:$f"),Y$1,INDIRECT($A26&amp;"!$i:$i"),$C26,INDIRECT($A26&amp;"!$l:$l"),$I$1)</f>
        <v>0</v>
      </c>
      <c r="Z26" s="868">
        <v>0</v>
      </c>
      <c r="AA26" s="869">
        <f ca="1">SUMIFS(INDIRECT($A26&amp;"!$w:$w"),INDIRECT($A26&amp;"!$f:$f"),AA$1,INDIRECT($A26&amp;"!$i:$i"),$C26,INDIRECT($A26&amp;"!$l:$l"),$I$1)</f>
        <v>0</v>
      </c>
      <c r="AB26" s="870">
        <v>0</v>
      </c>
      <c r="AC26" s="867">
        <f ca="1">SUMIFS(INDIRECT($A26&amp;"!$w:$w"),INDIRECT($A26&amp;"!$f:$f"),AC$1,INDIRECT($A26&amp;"!$i:$i"),$C26,INDIRECT($A26&amp;"!$l:$l"),$J$1)</f>
        <v>0</v>
      </c>
      <c r="AD26" s="1160">
        <v>0</v>
      </c>
      <c r="AE26" s="867">
        <f t="shared" ca="1" si="5"/>
        <v>0</v>
      </c>
      <c r="AF26" s="1197">
        <v>0</v>
      </c>
      <c r="AG26" s="1145">
        <f ca="1">SUMIFS(INDIRECT($A26&amp;"!$w:$w"),INDIRECT($A26&amp;"!$f:$f"),AG$1,INDIRECT($A26&amp;"!$i:$i"),$C26,INDIRECT($A26&amp;"!$l:$l"),$L$1)</f>
        <v>0</v>
      </c>
      <c r="AH26" s="771">
        <v>0</v>
      </c>
      <c r="AI26" s="786" t="s">
        <v>215</v>
      </c>
      <c r="AL26" s="799"/>
      <c r="AO26" s="797"/>
      <c r="AP26" s="797"/>
      <c r="AQ26" s="797"/>
      <c r="AR26" s="797"/>
      <c r="AS26" s="631"/>
      <c r="AT26" s="947"/>
      <c r="AU26" s="947"/>
      <c r="AV26" s="947"/>
      <c r="AW26" s="947"/>
    </row>
    <row r="27" spans="1:49">
      <c r="A27" s="779" t="s">
        <v>1000</v>
      </c>
      <c r="B27" s="768" t="s">
        <v>861</v>
      </c>
      <c r="C27" s="768" t="s">
        <v>911</v>
      </c>
      <c r="D27" s="785">
        <f>D26</f>
        <v>1</v>
      </c>
      <c r="E27" s="785">
        <f t="shared" ref="E27:G27" si="22">E26</f>
        <v>1.05</v>
      </c>
      <c r="F27" s="785">
        <f t="shared" si="22"/>
        <v>0.8</v>
      </c>
      <c r="G27" s="785">
        <f t="shared" si="22"/>
        <v>1.05</v>
      </c>
      <c r="H27" s="2376"/>
      <c r="I27" s="917" t="s">
        <v>977</v>
      </c>
      <c r="J27" s="962" t="s">
        <v>1270</v>
      </c>
      <c r="K27" s="954" t="s">
        <v>3289</v>
      </c>
      <c r="L27" s="1051" t="e">
        <f ca="1">W27+AC27</f>
        <v>#REF!</v>
      </c>
      <c r="M27" s="1039" t="e">
        <f t="shared" ca="1" si="20"/>
        <v>#REF!</v>
      </c>
      <c r="N27" s="1039">
        <v>0</v>
      </c>
      <c r="O27" s="1039" t="e">
        <f t="shared" ca="1" si="21"/>
        <v>#REF!</v>
      </c>
      <c r="P27" s="1088"/>
      <c r="Q27" s="1081" t="e">
        <f t="shared" ca="1" si="1"/>
        <v>#REF!</v>
      </c>
      <c r="R27" s="1041">
        <f>Z27+AF27</f>
        <v>0</v>
      </c>
      <c r="S27" s="1041"/>
      <c r="T27" s="1082"/>
      <c r="U27" s="1075" t="e">
        <f t="shared" ca="1" si="2"/>
        <v>#REF!</v>
      </c>
      <c r="V27" s="771">
        <f>AB27+AH27</f>
        <v>0</v>
      </c>
      <c r="W27" s="867" t="e">
        <f ca="1">SUMIFS(INDIRECT($A27&amp;"!$w:$w"),INDIRECT($A27&amp;"!$f:$f"),W$1,INDIRECT($A27&amp;"!$j:$j"),$C27,INDIRECT($A27&amp;"!$l:$l"),$I$1)</f>
        <v>#REF!</v>
      </c>
      <c r="X27" s="1151"/>
      <c r="Y27" s="1145" t="e">
        <f t="shared" ca="1" si="3"/>
        <v>#REF!</v>
      </c>
      <c r="Z27" s="868">
        <v>0</v>
      </c>
      <c r="AA27" s="869" t="e">
        <f ca="1">SUMIFS(INDIRECT($A27&amp;"!$w:$w"),INDIRECT($A27&amp;"!$f:$f"),AA$1,INDIRECT($A27&amp;"!$j:$j"),$C27,INDIRECT($A27&amp;"!$l:$l"),$I$1)</f>
        <v>#REF!</v>
      </c>
      <c r="AB27" s="870">
        <v>0</v>
      </c>
      <c r="AC27" s="867" t="e">
        <f ca="1">SUMIFS(INDIRECT($A27&amp;"!$w:$w"),INDIRECT($A27&amp;"!$f:$f"),AC$1,INDIRECT($A27&amp;"!$j:$j"),$C27,INDIRECT($A27&amp;"!$l:$l"),$J$1)</f>
        <v>#REF!</v>
      </c>
      <c r="AD27" s="1160">
        <v>0</v>
      </c>
      <c r="AE27" s="867" t="e">
        <f t="shared" ca="1" si="5"/>
        <v>#REF!</v>
      </c>
      <c r="AF27" s="1197">
        <v>0</v>
      </c>
      <c r="AG27" s="1145" t="e">
        <f ca="1">SUMIFS(INDIRECT($A27&amp;"!$w:$w"),INDIRECT($A27&amp;"!$f:$f"),AG$1,INDIRECT($A27&amp;"!$j:$j"),$C27,INDIRECT($A27&amp;"!$l:$l"),$L$1)</f>
        <v>#REF!</v>
      </c>
      <c r="AH27" s="771">
        <v>0</v>
      </c>
      <c r="AI27" s="786" t="s">
        <v>215</v>
      </c>
      <c r="AL27" s="799"/>
      <c r="AO27" s="797"/>
      <c r="AP27" s="797"/>
      <c r="AQ27" s="797"/>
      <c r="AR27" s="797"/>
      <c r="AS27" s="631"/>
      <c r="AT27" s="947"/>
      <c r="AU27" s="947"/>
      <c r="AV27" s="947"/>
      <c r="AW27" s="947"/>
    </row>
    <row r="28" spans="1:49">
      <c r="A28" s="779" t="s">
        <v>526</v>
      </c>
      <c r="B28" s="768" t="s">
        <v>243</v>
      </c>
      <c r="C28" s="768" t="str">
        <f>INDEX(Programs!B:B,MATCH(' Summary by Program 2020-21'!B28,Programs!$E:$E,0))</f>
        <v>Luminaire Level Lighting Controls</v>
      </c>
      <c r="D28" s="782">
        <v>1</v>
      </c>
      <c r="E28" s="782">
        <v>1.2861176746007388</v>
      </c>
      <c r="F28" s="782">
        <v>0.8</v>
      </c>
      <c r="G28" s="782">
        <v>1.2861176746007401</v>
      </c>
      <c r="H28" s="2376"/>
      <c r="I28" s="917" t="str">
        <f>INDEX(Programs!B:B,MATCH(' Summary by Program 2020-21'!B28,Programs!$E:$E,0))</f>
        <v>Luminaire Level Lighting Controls</v>
      </c>
      <c r="J28" s="962" t="s">
        <v>486</v>
      </c>
      <c r="K28" s="954" t="s">
        <v>581</v>
      </c>
      <c r="L28" s="1267">
        <f t="shared" ca="1" si="7"/>
        <v>0</v>
      </c>
      <c r="M28" s="1135" t="str">
        <f t="shared" ca="1" si="20"/>
        <v>0.-0.0</v>
      </c>
      <c r="N28" s="1268">
        <f>X28+AD28</f>
        <v>0</v>
      </c>
      <c r="O28" s="1268">
        <f t="shared" ca="1" si="21"/>
        <v>0</v>
      </c>
      <c r="P28" s="1269"/>
      <c r="Q28" s="1081">
        <f t="shared" ca="1" si="1"/>
        <v>0</v>
      </c>
      <c r="R28" s="1041">
        <f t="shared" si="1"/>
        <v>0</v>
      </c>
      <c r="S28" s="1041"/>
      <c r="T28" s="1082"/>
      <c r="U28" s="1075">
        <f t="shared" ca="1" si="2"/>
        <v>0</v>
      </c>
      <c r="V28" s="771" t="str">
        <f t="shared" ca="1" si="8"/>
        <v/>
      </c>
      <c r="W28" s="867">
        <f t="shared" ca="1" si="9"/>
        <v>0</v>
      </c>
      <c r="X28" s="870">
        <v>0</v>
      </c>
      <c r="Y28" s="1145">
        <f t="shared" ca="1" si="3"/>
        <v>0</v>
      </c>
      <c r="Z28" s="868">
        <v>0</v>
      </c>
      <c r="AA28" s="869">
        <f t="shared" ca="1" si="4"/>
        <v>0</v>
      </c>
      <c r="AB28" s="870" t="str">
        <f t="shared" ca="1" si="19"/>
        <v/>
      </c>
      <c r="AC28" s="867">
        <f t="shared" ca="1" si="10"/>
        <v>0</v>
      </c>
      <c r="AD28" s="1160">
        <v>0</v>
      </c>
      <c r="AE28" s="867">
        <f t="shared" ca="1" si="5"/>
        <v>0</v>
      </c>
      <c r="AF28" s="1197">
        <v>0</v>
      </c>
      <c r="AG28" s="1145">
        <f t="shared" ca="1" si="11"/>
        <v>0</v>
      </c>
      <c r="AH28" s="771" t="str">
        <f t="shared" ca="1" si="6"/>
        <v/>
      </c>
      <c r="AI28" s="786" t="s">
        <v>1216</v>
      </c>
      <c r="AL28" s="799"/>
      <c r="AO28" s="797"/>
      <c r="AP28" s="797"/>
      <c r="AQ28" s="797"/>
      <c r="AR28" s="797"/>
      <c r="AS28" s="631"/>
      <c r="AT28" s="947"/>
      <c r="AU28" s="947"/>
      <c r="AV28" s="947"/>
      <c r="AW28" s="947"/>
    </row>
    <row r="29" spans="1:49" ht="17.25" customHeight="1">
      <c r="A29" s="779" t="s">
        <v>538</v>
      </c>
      <c r="B29" s="768" t="s">
        <v>244</v>
      </c>
      <c r="C29" s="768" t="str">
        <f>INDEX(Programs!B:B,MATCH(' Summary by Program 2020-21'!B29,Programs!$E:$E,0))</f>
        <v>Other Codes (Commercial)</v>
      </c>
      <c r="D29" s="782">
        <v>1</v>
      </c>
      <c r="E29" s="782">
        <v>1</v>
      </c>
      <c r="F29" s="782">
        <v>0.7</v>
      </c>
      <c r="G29" s="782">
        <v>1.1000000000000001</v>
      </c>
      <c r="H29" s="2376"/>
      <c r="I29" s="917" t="str">
        <f>INDEX(Programs!B:B,MATCH(' Summary by Program 2020-21'!B29,Programs!$E:$E,0))</f>
        <v>Other Codes (Commercial)</v>
      </c>
      <c r="J29" s="962" t="s">
        <v>538</v>
      </c>
      <c r="K29" s="954" t="s">
        <v>3290</v>
      </c>
      <c r="L29" s="1051">
        <f t="shared" ca="1" si="7"/>
        <v>0</v>
      </c>
      <c r="M29" s="1039">
        <v>0</v>
      </c>
      <c r="N29" s="1039">
        <f>X29+AD29</f>
        <v>0</v>
      </c>
      <c r="O29" s="1039">
        <f t="shared" ca="1" si="21"/>
        <v>0</v>
      </c>
      <c r="P29" s="1039"/>
      <c r="Q29" s="1092">
        <f ca="1">Y29+AE29</f>
        <v>0</v>
      </c>
      <c r="R29" s="784">
        <f t="shared" si="1"/>
        <v>0</v>
      </c>
      <c r="S29" s="784">
        <f ca="1">Q29-R29</f>
        <v>0</v>
      </c>
      <c r="T29" s="1093"/>
      <c r="U29" s="1075">
        <f t="shared" ca="1" si="2"/>
        <v>0</v>
      </c>
      <c r="V29" s="771" t="str">
        <f t="shared" ca="1" si="8"/>
        <v/>
      </c>
      <c r="W29" s="867">
        <f t="shared" ca="1" si="9"/>
        <v>0</v>
      </c>
      <c r="X29" s="870">
        <v>0</v>
      </c>
      <c r="Y29" s="1145">
        <f ca="1">SUMIFS(INDIRECT($A29&amp;"!$v:$v"),INDIRECT($A29&amp;"!$f:$f"),Y$1,INDIRECT($A29&amp;"!$i:$i"),$C29,INDIRECT($A29&amp;"!$l:$l"),$I$1,INDIRECT($A29&amp;"!$h:$h"),"Commercial")</f>
        <v>0</v>
      </c>
      <c r="Z29" s="868">
        <v>0</v>
      </c>
      <c r="AA29" s="869">
        <f t="shared" ca="1" si="4"/>
        <v>0</v>
      </c>
      <c r="AB29" s="870" t="str">
        <f t="shared" ca="1" si="19"/>
        <v/>
      </c>
      <c r="AC29" s="867">
        <f ca="1">SUMIFS(INDIRECT($A29&amp;"!$v:$v"),INDIRECT($A29&amp;"!$f:$f"),AC$1,INDIRECT($A29&amp;"!$i:$i"),$C29,INDIRECT($A29&amp;"!$l:$l"),$J$1)</f>
        <v>0</v>
      </c>
      <c r="AD29" s="1160">
        <v>0</v>
      </c>
      <c r="AE29" s="867">
        <f ca="1">SUMIFS(INDIRECT($A29&amp;"!$v:$v"),INDIRECT($A29&amp;"!$f:$f"),AE$1,INDIRECT($A29&amp;"!$i:$i"),$C29,INDIRECT($A29&amp;"!$l:$l"),$J$1,INDIRECT($A29&amp;"!$h:$h"),"Commercial")</f>
        <v>0</v>
      </c>
      <c r="AF29" s="1201">
        <v>0</v>
      </c>
      <c r="AG29" s="1145">
        <f t="shared" ca="1" si="11"/>
        <v>0</v>
      </c>
      <c r="AH29" s="771" t="str">
        <f t="shared" ca="1" si="6"/>
        <v/>
      </c>
      <c r="AI29" s="786" t="s">
        <v>1216</v>
      </c>
      <c r="AL29" s="799"/>
      <c r="AO29" s="797"/>
      <c r="AP29" s="797"/>
      <c r="AQ29" s="797"/>
      <c r="AR29" s="797"/>
      <c r="AS29" s="631"/>
      <c r="AT29" s="947"/>
      <c r="AU29" s="947"/>
      <c r="AV29" s="947"/>
      <c r="AW29" s="947"/>
    </row>
    <row r="30" spans="1:49" ht="48.75" customHeight="1">
      <c r="A30" s="779" t="s">
        <v>556</v>
      </c>
      <c r="B30" s="768" t="s">
        <v>256</v>
      </c>
      <c r="C30" s="768" t="str">
        <f>INDEX(Programs!B:B,MATCH(' Summary by Program 2020-21'!B30,Programs!$E:$E,0))</f>
        <v>Other Non-Residential Standards</v>
      </c>
      <c r="D30" s="782">
        <v>1</v>
      </c>
      <c r="E30" s="782">
        <v>1</v>
      </c>
      <c r="F30" s="782">
        <v>1</v>
      </c>
      <c r="G30" s="782">
        <v>1.05</v>
      </c>
      <c r="H30" s="2377"/>
      <c r="I30" s="917" t="s">
        <v>556</v>
      </c>
      <c r="J30" s="969" t="s">
        <v>1337</v>
      </c>
      <c r="K30" s="954" t="s">
        <v>1413</v>
      </c>
      <c r="L30" s="1052">
        <f t="shared" ca="1" si="7"/>
        <v>0</v>
      </c>
      <c r="M30" s="1041">
        <v>0</v>
      </c>
      <c r="N30" s="1041">
        <f>X30+AD30</f>
        <v>0</v>
      </c>
      <c r="O30" s="1041">
        <f t="shared" ca="1" si="21"/>
        <v>0</v>
      </c>
      <c r="P30" s="1082"/>
      <c r="Q30" s="1092">
        <f ca="1">Y30+AE30</f>
        <v>0</v>
      </c>
      <c r="R30" s="784">
        <f>Z30+AF30</f>
        <v>0</v>
      </c>
      <c r="S30" s="784"/>
      <c r="T30" s="1093"/>
      <c r="U30" s="1075">
        <f t="shared" ca="1" si="2"/>
        <v>0</v>
      </c>
      <c r="V30" s="771" t="str">
        <f t="shared" ca="1" si="8"/>
        <v/>
      </c>
      <c r="W30" s="867">
        <f t="shared" ca="1" si="9"/>
        <v>0</v>
      </c>
      <c r="X30" s="870">
        <v>0</v>
      </c>
      <c r="Y30" s="1145">
        <f ca="1">SUMIFS(INDIRECT($A30&amp;"!$v:$v"),INDIRECT($A30&amp;"!$f:$f"),Y$1,INDIRECT($A30&amp;"!$i:$i"),$C30,INDIRECT($A30&amp;"!$l:$l"),$I$1,INDIRECT($A30&amp;"!$h:$h"),"Commercial")</f>
        <v>0</v>
      </c>
      <c r="Z30" s="868">
        <v>0</v>
      </c>
      <c r="AA30" s="869">
        <f t="shared" ca="1" si="4"/>
        <v>0</v>
      </c>
      <c r="AB30" s="870" t="str">
        <f t="shared" ca="1" si="19"/>
        <v/>
      </c>
      <c r="AC30" s="867">
        <f t="shared" ca="1" si="10"/>
        <v>0</v>
      </c>
      <c r="AD30" s="1160">
        <v>0</v>
      </c>
      <c r="AE30" s="867">
        <f ca="1">SUMIFS(INDIRECT($A30&amp;"!$v:$v"),INDIRECT($A30&amp;"!$f:$f"),AE$1,INDIRECT($A30&amp;"!$i:$i"),$C30,INDIRECT($A30&amp;"!$l:$l"),$J$1,INDIRECT($A30&amp;"!$h:$h"),"Commercial")</f>
        <v>0</v>
      </c>
      <c r="AF30" s="1197">
        <v>0</v>
      </c>
      <c r="AG30" s="1145">
        <f t="shared" ca="1" si="11"/>
        <v>0</v>
      </c>
      <c r="AH30" s="771" t="str">
        <f t="shared" ca="1" si="6"/>
        <v/>
      </c>
      <c r="AI30" s="786" t="s">
        <v>1216</v>
      </c>
      <c r="AL30" s="799"/>
      <c r="AO30" s="797"/>
      <c r="AP30" s="797"/>
      <c r="AQ30" s="797"/>
      <c r="AR30" s="797"/>
      <c r="AS30" s="631"/>
      <c r="AT30" s="947"/>
      <c r="AU30" s="947"/>
      <c r="AV30" s="947"/>
      <c r="AW30" s="947"/>
    </row>
    <row r="31" spans="1:49" ht="17.25" customHeight="1">
      <c r="B31" s="768"/>
      <c r="C31" s="768"/>
      <c r="D31" s="782"/>
      <c r="E31" s="782"/>
      <c r="F31" s="782"/>
      <c r="G31" s="782"/>
      <c r="H31" s="2377"/>
      <c r="I31" s="921" t="s">
        <v>1108</v>
      </c>
      <c r="J31" s="970" t="s">
        <v>1353</v>
      </c>
      <c r="K31" s="954" t="s">
        <v>1413</v>
      </c>
      <c r="L31" s="1270" t="s">
        <v>332</v>
      </c>
      <c r="M31" s="1136"/>
      <c r="N31" s="1271"/>
      <c r="O31" s="1268"/>
      <c r="P31" s="1269"/>
      <c r="Q31" s="1087"/>
      <c r="R31" s="1039"/>
      <c r="S31" s="1039"/>
      <c r="T31" s="1088"/>
      <c r="U31" s="1076" t="s">
        <v>332</v>
      </c>
      <c r="V31" s="773"/>
      <c r="W31" s="940" t="s">
        <v>332</v>
      </c>
      <c r="X31" s="872"/>
      <c r="Y31" s="1076" t="s">
        <v>332</v>
      </c>
      <c r="Z31" s="770"/>
      <c r="AA31" s="938" t="s">
        <v>332</v>
      </c>
      <c r="AB31" s="872"/>
      <c r="AC31" s="940" t="s">
        <v>332</v>
      </c>
      <c r="AD31" s="1161"/>
      <c r="AE31" s="1094" t="s">
        <v>332</v>
      </c>
      <c r="AF31" s="1198"/>
      <c r="AG31" s="1076" t="s">
        <v>332</v>
      </c>
      <c r="AH31" s="773"/>
      <c r="AI31" s="786" t="s">
        <v>1356</v>
      </c>
      <c r="AL31" s="799"/>
      <c r="AO31" s="797"/>
      <c r="AP31" s="797"/>
      <c r="AQ31" s="797"/>
      <c r="AR31" s="797"/>
      <c r="AS31" s="631"/>
      <c r="AT31" s="947"/>
      <c r="AU31" s="947"/>
      <c r="AV31" s="947"/>
      <c r="AW31" s="947"/>
    </row>
    <row r="32" spans="1:49" ht="65.25" customHeight="1">
      <c r="A32" s="779" t="s">
        <v>526</v>
      </c>
      <c r="B32" s="768" t="s">
        <v>245</v>
      </c>
      <c r="C32" s="768" t="str">
        <f>INDEX(Programs!B:B,MATCH(' Summary by Program 2020-21'!B32,Programs!$E:$E,0))</f>
        <v>Reduced Wattage Lamp Replacement</v>
      </c>
      <c r="D32" s="782">
        <v>1</v>
      </c>
      <c r="E32" s="782">
        <v>1</v>
      </c>
      <c r="F32" s="782">
        <v>0.4</v>
      </c>
      <c r="G32" s="782">
        <v>1.2</v>
      </c>
      <c r="H32" s="2386"/>
      <c r="I32" s="918" t="str">
        <f>INDEX(Programs!B:B,MATCH(' Summary by Program 2020-21'!B32,Programs!$E:$E,0))</f>
        <v>Reduced Wattage Lamp Replacement</v>
      </c>
      <c r="J32" s="967" t="s">
        <v>540</v>
      </c>
      <c r="K32" s="958" t="s">
        <v>3291</v>
      </c>
      <c r="L32" s="950">
        <f t="shared" ca="1" si="7"/>
        <v>0</v>
      </c>
      <c r="M32" s="1137" t="str">
        <f ca="1">TEXT(W32*D32+AC32*F32,"0.##")&amp;"-"&amp;TEXT(W32*E32+G32*AC32,"0.#0")</f>
        <v>0.-0.0</v>
      </c>
      <c r="N32" s="985" t="e">
        <f>X32+AD32</f>
        <v>#DIV/0!</v>
      </c>
      <c r="O32" s="984" t="e">
        <f ca="1">L32-N32</f>
        <v>#DIV/0!</v>
      </c>
      <c r="P32" s="1068" t="s">
        <v>1449</v>
      </c>
      <c r="Q32" s="1264">
        <f t="shared" ca="1" si="1"/>
        <v>0</v>
      </c>
      <c r="R32" s="1265">
        <f t="shared" si="1"/>
        <v>0</v>
      </c>
      <c r="S32" s="1265"/>
      <c r="T32" s="1266"/>
      <c r="U32" s="1077">
        <f t="shared" ca="1" si="2"/>
        <v>0</v>
      </c>
      <c r="V32" s="774" t="str">
        <f t="shared" ca="1" si="8"/>
        <v/>
      </c>
      <c r="W32" s="873">
        <f t="shared" ca="1" si="9"/>
        <v>0</v>
      </c>
      <c r="X32" s="876" t="e">
        <v>#DIV/0!</v>
      </c>
      <c r="Y32" s="1146">
        <f t="shared" ca="1" si="3"/>
        <v>0</v>
      </c>
      <c r="Z32" s="874">
        <v>0</v>
      </c>
      <c r="AA32" s="875">
        <f t="shared" ca="1" si="4"/>
        <v>0</v>
      </c>
      <c r="AB32" s="876" t="str">
        <f t="shared" ca="1" si="19"/>
        <v/>
      </c>
      <c r="AC32" s="873">
        <f t="shared" ca="1" si="10"/>
        <v>0</v>
      </c>
      <c r="AD32" s="1162" t="e">
        <v>#DIV/0!</v>
      </c>
      <c r="AE32" s="873">
        <f t="shared" ca="1" si="5"/>
        <v>0</v>
      </c>
      <c r="AF32" s="1199">
        <v>0</v>
      </c>
      <c r="AG32" s="1146">
        <f t="shared" ca="1" si="11"/>
        <v>0</v>
      </c>
      <c r="AH32" s="774" t="str">
        <f t="shared" ca="1" si="6"/>
        <v/>
      </c>
      <c r="AI32" s="783">
        <f>Com_Lighting!Q3</f>
        <v>0</v>
      </c>
      <c r="AL32" s="799"/>
      <c r="AO32" s="797"/>
      <c r="AP32" s="797"/>
      <c r="AQ32" s="797"/>
      <c r="AR32" s="797"/>
      <c r="AS32" s="631"/>
      <c r="AT32" s="948"/>
      <c r="AU32" s="948"/>
      <c r="AV32" s="947"/>
      <c r="AW32" s="947"/>
    </row>
    <row r="33" spans="1:49" s="684" customFormat="1" ht="77.25" customHeight="1">
      <c r="A33" s="992" t="s">
        <v>259</v>
      </c>
      <c r="B33" s="993" t="s">
        <v>247</v>
      </c>
      <c r="C33" s="993" t="str">
        <f>INDEX(Programs!B:B,MATCH(' Summary by Program 2020-21'!B33,Programs!$E:$E,0))</f>
        <v>Certified Refrigeration Energy Specialist (CRES)</v>
      </c>
      <c r="D33" s="994">
        <v>1</v>
      </c>
      <c r="E33" s="994">
        <v>1.5</v>
      </c>
      <c r="F33" s="994">
        <v>0.1</v>
      </c>
      <c r="G33" s="994">
        <v>1.5</v>
      </c>
      <c r="H33" s="2375" t="s">
        <v>33</v>
      </c>
      <c r="I33" s="920" t="str">
        <f>INDEX(Programs!B:B,MATCH(' Summary by Program 2020-21'!B33,Programs!$E:$E,0))</f>
        <v>Certified Refrigeration Energy Specialist (CRES)</v>
      </c>
      <c r="J33" s="971" t="s">
        <v>536</v>
      </c>
      <c r="K33" s="956" t="s">
        <v>3288</v>
      </c>
      <c r="L33" s="1029">
        <f t="shared" ca="1" si="7"/>
        <v>0</v>
      </c>
      <c r="M33" s="1129" t="str">
        <f ca="1">TEXT(W33*D33+AC33*F33,"0.##")&amp;"-"&amp;TEXT(W33*E33+G33*AC33,"0.#0")</f>
        <v>0.-0.0</v>
      </c>
      <c r="N33" s="1053">
        <f>X33+AD33</f>
        <v>0</v>
      </c>
      <c r="O33" s="1053">
        <f ca="1">L33-N33</f>
        <v>0</v>
      </c>
      <c r="P33" s="1069" t="s">
        <v>1456</v>
      </c>
      <c r="Q33" s="1096">
        <f t="shared" ca="1" si="1"/>
        <v>0</v>
      </c>
      <c r="R33" s="1031">
        <f t="shared" si="1"/>
        <v>0</v>
      </c>
      <c r="S33" s="1031"/>
      <c r="T33" s="1097"/>
      <c r="U33" s="1074">
        <f t="shared" ca="1" si="2"/>
        <v>0</v>
      </c>
      <c r="V33" s="1032" t="str">
        <f t="shared" ca="1" si="8"/>
        <v/>
      </c>
      <c r="W33" s="1033">
        <f t="shared" ca="1" si="9"/>
        <v>0</v>
      </c>
      <c r="X33" s="1036">
        <v>0</v>
      </c>
      <c r="Y33" s="1144">
        <f t="shared" ca="1" si="3"/>
        <v>0</v>
      </c>
      <c r="Z33" s="1034">
        <v>0</v>
      </c>
      <c r="AA33" s="1035">
        <f t="shared" ca="1" si="4"/>
        <v>0</v>
      </c>
      <c r="AB33" s="1036" t="str">
        <f t="shared" ca="1" si="19"/>
        <v/>
      </c>
      <c r="AC33" s="1033">
        <f t="shared" ca="1" si="10"/>
        <v>0</v>
      </c>
      <c r="AD33" s="1159">
        <v>0</v>
      </c>
      <c r="AE33" s="1033">
        <f t="shared" ca="1" si="5"/>
        <v>0</v>
      </c>
      <c r="AF33" s="1196">
        <v>0</v>
      </c>
      <c r="AG33" s="1144">
        <f t="shared" ca="1" si="11"/>
        <v>0</v>
      </c>
      <c r="AH33" s="1032" t="str">
        <f t="shared" ref="AH33:AH37" ca="1" si="23">IF(AG33=0,"","("&amp;TEXT(J33*AG33,"#.##")&amp;"-"&amp;TEXT(L33*AG33,"#.##")&amp;")")</f>
        <v/>
      </c>
      <c r="AI33" s="1002" t="s">
        <v>1216</v>
      </c>
      <c r="AK33" s="993"/>
      <c r="AL33" s="1003"/>
      <c r="AM33" s="1003"/>
      <c r="AO33" s="1004"/>
      <c r="AP33" s="1004"/>
      <c r="AQ33" s="1004"/>
      <c r="AR33" s="1004"/>
      <c r="AS33" s="1005"/>
      <c r="AT33" s="1006"/>
      <c r="AU33" s="1006"/>
      <c r="AV33" s="1006"/>
      <c r="AW33" s="1006"/>
    </row>
    <row r="34" spans="1:49" ht="15" customHeight="1">
      <c r="A34" s="779" t="s">
        <v>263</v>
      </c>
      <c r="B34" s="768" t="s">
        <v>246</v>
      </c>
      <c r="C34" s="768" t="str">
        <f>INDEX(Programs!B:B,MATCH(' Summary by Program 2020-21'!B34,Programs!$E:$E,0))</f>
        <v>Drive Power</v>
      </c>
      <c r="D34" s="782">
        <v>1</v>
      </c>
      <c r="E34" s="782">
        <v>1</v>
      </c>
      <c r="F34" s="782">
        <v>0.6</v>
      </c>
      <c r="G34" s="782">
        <v>1.25</v>
      </c>
      <c r="H34" s="2376"/>
      <c r="I34" s="917" t="str">
        <f>INDEX(Programs!B:B,MATCH(' Summary by Program 2020-21'!B34,Programs!$E:$E,0))</f>
        <v>Drive Power</v>
      </c>
      <c r="J34" s="962" t="s">
        <v>541</v>
      </c>
      <c r="K34" s="954" t="s">
        <v>3292</v>
      </c>
      <c r="L34" s="949" t="e">
        <f t="shared" ca="1" si="7"/>
        <v>#REF!</v>
      </c>
      <c r="M34" s="1135" t="e">
        <f ca="1">TEXT(W34*D34+AC34*F34,"0.##")&amp;"-"&amp;TEXT(W34*E34+G34*AC34,"0.#0")</f>
        <v>#REF!</v>
      </c>
      <c r="N34" s="984">
        <f>X34+AD34</f>
        <v>0</v>
      </c>
      <c r="O34" s="984" t="e">
        <f ca="1">L34-N34</f>
        <v>#REF!</v>
      </c>
      <c r="P34" s="1067"/>
      <c r="Q34" s="1098" t="e">
        <f t="shared" ca="1" si="1"/>
        <v>#REF!</v>
      </c>
      <c r="R34" s="784">
        <f t="shared" si="1"/>
        <v>0</v>
      </c>
      <c r="S34" s="784"/>
      <c r="T34" s="1093"/>
      <c r="U34" s="1075" t="e">
        <f t="shared" ca="1" si="2"/>
        <v>#REF!</v>
      </c>
      <c r="V34" s="771" t="e">
        <f t="shared" ca="1" si="8"/>
        <v>#REF!</v>
      </c>
      <c r="W34" s="867" t="e">
        <f t="shared" ca="1" si="9"/>
        <v>#REF!</v>
      </c>
      <c r="X34" s="870">
        <v>0</v>
      </c>
      <c r="Y34" s="1145" t="e">
        <f t="shared" ca="1" si="3"/>
        <v>#REF!</v>
      </c>
      <c r="Z34" s="868">
        <v>0</v>
      </c>
      <c r="AA34" s="869" t="e">
        <f t="shared" ca="1" si="4"/>
        <v>#REF!</v>
      </c>
      <c r="AB34" s="870" t="e">
        <f t="shared" ca="1" si="19"/>
        <v>#REF!</v>
      </c>
      <c r="AC34" s="867" t="e">
        <f t="shared" ca="1" si="10"/>
        <v>#REF!</v>
      </c>
      <c r="AD34" s="1160">
        <v>0</v>
      </c>
      <c r="AE34" s="867" t="e">
        <f t="shared" ca="1" si="5"/>
        <v>#REF!</v>
      </c>
      <c r="AF34" s="1197">
        <v>0</v>
      </c>
      <c r="AG34" s="1145" t="e">
        <f t="shared" ca="1" si="11"/>
        <v>#REF!</v>
      </c>
      <c r="AH34" s="771" t="e">
        <f t="shared" ca="1" si="23"/>
        <v>#REF!</v>
      </c>
      <c r="AI34" s="783" t="e">
        <f>#REF!</f>
        <v>#REF!</v>
      </c>
      <c r="AL34" s="799"/>
      <c r="AO34" s="797"/>
      <c r="AP34" s="797"/>
      <c r="AQ34" s="797"/>
      <c r="AR34" s="797"/>
      <c r="AS34" s="631"/>
      <c r="AT34" s="947"/>
      <c r="AU34" s="947"/>
      <c r="AV34" s="947"/>
      <c r="AW34" s="947"/>
    </row>
    <row r="35" spans="1:49" ht="15" customHeight="1">
      <c r="B35" s="768"/>
      <c r="C35" s="768"/>
      <c r="D35" s="782"/>
      <c r="E35" s="782"/>
      <c r="F35" s="782"/>
      <c r="G35" s="782"/>
      <c r="H35" s="2377"/>
      <c r="I35" s="917" t="s">
        <v>1354</v>
      </c>
      <c r="J35" s="962" t="s">
        <v>1355</v>
      </c>
      <c r="K35" s="954" t="s">
        <v>1413</v>
      </c>
      <c r="L35" s="951" t="s">
        <v>332</v>
      </c>
      <c r="M35" s="1135"/>
      <c r="N35" s="984"/>
      <c r="O35" s="984"/>
      <c r="P35" s="1067"/>
      <c r="Q35" s="1094" t="s">
        <v>332</v>
      </c>
      <c r="R35" s="981"/>
      <c r="S35" s="981"/>
      <c r="T35" s="1095"/>
      <c r="U35" s="1076" t="s">
        <v>332</v>
      </c>
      <c r="V35" s="773"/>
      <c r="W35" s="939" t="s">
        <v>332</v>
      </c>
      <c r="X35" s="870"/>
      <c r="Y35" s="1076" t="s">
        <v>332</v>
      </c>
      <c r="Z35" s="770"/>
      <c r="AA35" s="938" t="s">
        <v>332</v>
      </c>
      <c r="AB35" s="872"/>
      <c r="AC35" s="940" t="s">
        <v>332</v>
      </c>
      <c r="AD35" s="1161"/>
      <c r="AE35" s="1094" t="s">
        <v>332</v>
      </c>
      <c r="AF35" s="1198"/>
      <c r="AG35" s="1076" t="s">
        <v>332</v>
      </c>
      <c r="AH35" s="773"/>
      <c r="AI35" s="786" t="s">
        <v>1356</v>
      </c>
      <c r="AL35" s="799"/>
      <c r="AO35" s="797"/>
      <c r="AP35" s="797"/>
      <c r="AQ35" s="797"/>
      <c r="AR35" s="797"/>
      <c r="AS35" s="631"/>
      <c r="AT35" s="947"/>
      <c r="AU35" s="947"/>
      <c r="AV35" s="947"/>
      <c r="AW35" s="947"/>
    </row>
    <row r="36" spans="1:49" ht="15" customHeight="1">
      <c r="A36" s="779" t="s">
        <v>556</v>
      </c>
      <c r="B36" s="768" t="s">
        <v>256</v>
      </c>
      <c r="C36" s="768" t="str">
        <f>INDEX(Programs!B:B,MATCH(' Summary by Program 2020-21'!B36,Programs!$E:$E,0))</f>
        <v>Other Non-Residential Standards</v>
      </c>
      <c r="D36" s="782">
        <v>1</v>
      </c>
      <c r="E36" s="782">
        <v>1</v>
      </c>
      <c r="F36" s="782">
        <v>1</v>
      </c>
      <c r="G36" s="782">
        <v>1.05</v>
      </c>
      <c r="H36" s="2377"/>
      <c r="I36" s="917" t="str">
        <f>INDEX(Programs!B:B,MATCH(' Summary by Program 2020-21'!B36,Programs!$E:$E,0))</f>
        <v>Other Non-Residential Standards</v>
      </c>
      <c r="J36" s="962" t="s">
        <v>1338</v>
      </c>
      <c r="K36" s="954" t="s">
        <v>3289</v>
      </c>
      <c r="L36" s="1051">
        <f t="shared" ref="L36" ca="1" si="24">W36+AC36</f>
        <v>0</v>
      </c>
      <c r="M36" s="1039">
        <v>0</v>
      </c>
      <c r="N36" s="1039">
        <f t="shared" ref="N36" si="25">X36+AD36</f>
        <v>0</v>
      </c>
      <c r="O36" s="1039">
        <f ca="1">L36-N36</f>
        <v>0</v>
      </c>
      <c r="P36" s="1088"/>
      <c r="Q36" s="1098">
        <f t="shared" ref="Q36" ca="1" si="26">Y36+AE36</f>
        <v>0</v>
      </c>
      <c r="R36" s="784">
        <f>Z36+AF36</f>
        <v>0</v>
      </c>
      <c r="S36" s="784"/>
      <c r="T36" s="1093"/>
      <c r="U36" s="1075">
        <f t="shared" ref="U36" ca="1" si="27">AA36+AG36</f>
        <v>0</v>
      </c>
      <c r="V36" s="773"/>
      <c r="W36" s="867">
        <f t="shared" ca="1" si="9"/>
        <v>0</v>
      </c>
      <c r="X36" s="870">
        <v>0</v>
      </c>
      <c r="Y36" s="1145">
        <f ca="1">SUMIFS(INDIRECT($A36&amp;"!$v:$v"),INDIRECT($A36&amp;"!$f:$f"),Y$1,INDIRECT($A36&amp;"!$i:$i"),$C36,INDIRECT($A36&amp;"!$l:$l"),$I$1,INDIRECT($A36&amp;"!$h:$h"),"&lt;&gt;Commercial")</f>
        <v>0</v>
      </c>
      <c r="Z36" s="868">
        <v>0</v>
      </c>
      <c r="AA36" s="869">
        <f t="shared" ca="1" si="4"/>
        <v>0</v>
      </c>
      <c r="AB36" s="872"/>
      <c r="AC36" s="871"/>
      <c r="AD36" s="1161"/>
      <c r="AE36" s="867">
        <f ca="1">SUMIFS(INDIRECT($A36&amp;"!$v:$v"),INDIRECT($A36&amp;"!$f:$f"),AE$1,INDIRECT($A36&amp;"!$i:$i"),$C36,INDIRECT($A36&amp;"!$l:$l"),$J$1,INDIRECT($A36&amp;"!$h:$h"),"&lt;&gt;Commercial")</f>
        <v>0</v>
      </c>
      <c r="AF36" s="1202">
        <v>0</v>
      </c>
      <c r="AG36" s="1145">
        <f t="shared" ca="1" si="11"/>
        <v>0</v>
      </c>
      <c r="AH36" s="773"/>
      <c r="AI36" s="786" t="s">
        <v>1216</v>
      </c>
      <c r="AL36" s="799"/>
      <c r="AO36" s="797"/>
      <c r="AP36" s="797"/>
      <c r="AQ36" s="797"/>
      <c r="AR36" s="797"/>
      <c r="AS36" s="631"/>
      <c r="AT36" s="947"/>
      <c r="AU36" s="947"/>
      <c r="AV36" s="947"/>
      <c r="AW36" s="947"/>
    </row>
    <row r="37" spans="1:49" ht="70.5" customHeight="1">
      <c r="A37" s="779" t="s">
        <v>527</v>
      </c>
      <c r="B37" s="768" t="s">
        <v>245</v>
      </c>
      <c r="C37" s="768" t="str">
        <f>INDEX(Programs!B:B,MATCH(' Summary by Program 2020-21'!B37,Programs!$E:$E,0))</f>
        <v>Reduced Wattage Lamp Replacement</v>
      </c>
      <c r="D37" s="782">
        <v>1</v>
      </c>
      <c r="E37" s="782">
        <v>1</v>
      </c>
      <c r="F37" s="782">
        <v>0.4</v>
      </c>
      <c r="G37" s="782">
        <v>1.2</v>
      </c>
      <c r="H37" s="2377"/>
      <c r="I37" s="921" t="str">
        <f>INDEX(Programs!B:B,MATCH(' Summary by Program 2020-21'!B37,Programs!$E:$E,0))</f>
        <v>Reduced Wattage Lamp Replacement</v>
      </c>
      <c r="J37" s="972" t="s">
        <v>540</v>
      </c>
      <c r="K37" s="957" t="s">
        <v>3291</v>
      </c>
      <c r="L37" s="952">
        <f t="shared" ca="1" si="7"/>
        <v>0</v>
      </c>
      <c r="M37" s="1138" t="str">
        <f ca="1">TEXT(W37*D37+AC37*F37,"0.##")&amp;"-"&amp;TEXT(W37*E37+G37*AC37,"0.#0")</f>
        <v>0.-0.0</v>
      </c>
      <c r="N37" s="986" t="e">
        <f>X37+AD37</f>
        <v>#DIV/0!</v>
      </c>
      <c r="O37" s="986" t="e">
        <f ca="1">L37-N37</f>
        <v>#DIV/0!</v>
      </c>
      <c r="P37" s="1068" t="s">
        <v>1449</v>
      </c>
      <c r="Q37" s="1261">
        <f t="shared" ca="1" si="1"/>
        <v>0</v>
      </c>
      <c r="R37" s="1262">
        <f t="shared" si="1"/>
        <v>0</v>
      </c>
      <c r="S37" s="1262"/>
      <c r="T37" s="1263"/>
      <c r="U37" s="1078">
        <f t="shared" ca="1" si="2"/>
        <v>0</v>
      </c>
      <c r="V37" s="775" t="str">
        <f t="shared" ca="1" si="8"/>
        <v/>
      </c>
      <c r="W37" s="788">
        <f t="shared" ca="1" si="9"/>
        <v>0</v>
      </c>
      <c r="X37" s="773" t="e">
        <v>#DIV/0!</v>
      </c>
      <c r="Y37" s="1147">
        <f t="shared" ca="1" si="3"/>
        <v>0</v>
      </c>
      <c r="Z37" s="772">
        <v>0</v>
      </c>
      <c r="AA37" s="787">
        <f t="shared" ca="1" si="4"/>
        <v>0</v>
      </c>
      <c r="AB37" s="773" t="str">
        <f t="shared" ca="1" si="19"/>
        <v/>
      </c>
      <c r="AC37" s="788">
        <f t="shared" ca="1" si="10"/>
        <v>0</v>
      </c>
      <c r="AD37" s="1163" t="e">
        <v>#DIV/0!</v>
      </c>
      <c r="AE37" s="788">
        <f t="shared" ca="1" si="5"/>
        <v>0</v>
      </c>
      <c r="AF37" s="1200">
        <v>0</v>
      </c>
      <c r="AG37" s="1147">
        <f t="shared" ca="1" si="11"/>
        <v>0</v>
      </c>
      <c r="AH37" s="773" t="str">
        <f t="shared" ca="1" si="23"/>
        <v/>
      </c>
      <c r="AI37" s="789">
        <f>Ind_Lighting!R2</f>
        <v>0</v>
      </c>
      <c r="AL37" s="799"/>
      <c r="AP37" s="797"/>
      <c r="AQ37" s="797"/>
      <c r="AR37" s="797"/>
      <c r="AS37" s="631"/>
      <c r="AT37" s="947"/>
      <c r="AU37" s="947"/>
      <c r="AV37" s="947"/>
      <c r="AW37" s="947"/>
    </row>
    <row r="38" spans="1:49">
      <c r="H38" s="790"/>
      <c r="I38" s="791" t="s">
        <v>542</v>
      </c>
      <c r="J38" s="792"/>
      <c r="K38" s="945"/>
      <c r="L38" s="798" t="e">
        <f ca="1">SUM(L7:L37)</f>
        <v>#REF!</v>
      </c>
      <c r="M38" s="1139" t="e">
        <f ca="1">TEXT(SUMPRODUCT(W7:W37,D7:D37)+SUMPRODUCT(F7:F37,AC7:AC37),"#.##")&amp;"-"&amp;TEXT(SUMPRODUCT(W7:W37,E7:E37)+SUMPRODUCT(G7:G37,AC7:AC37),"#.##")</f>
        <v>#REF!</v>
      </c>
      <c r="N38" s="987" t="e">
        <f t="shared" ref="N38:AH38" si="28">SUM(N7:N37)</f>
        <v>#DIV/0!</v>
      </c>
      <c r="O38" s="991" t="e">
        <f ca="1">L38-N38</f>
        <v>#REF!</v>
      </c>
      <c r="P38" s="991"/>
      <c r="Q38" s="1099" t="e">
        <f ca="1">SUM(Q7:Q37)</f>
        <v>#REF!</v>
      </c>
      <c r="R38" s="793">
        <f>SUM(R7:R37)</f>
        <v>0</v>
      </c>
      <c r="S38" s="1037" t="e">
        <f ca="1">Q38-R38</f>
        <v>#REF!</v>
      </c>
      <c r="T38" s="1100"/>
      <c r="U38" s="794" t="e">
        <f t="shared" ca="1" si="28"/>
        <v>#REF!</v>
      </c>
      <c r="V38" s="776" t="e">
        <f t="shared" ca="1" si="28"/>
        <v>#REF!</v>
      </c>
      <c r="W38" s="795" t="e">
        <f t="shared" ca="1" si="28"/>
        <v>#REF!</v>
      </c>
      <c r="X38" s="778" t="e">
        <f>SUM(X7:X37)</f>
        <v>#DIV/0!</v>
      </c>
      <c r="Y38" s="1288" t="e">
        <f t="shared" ca="1" si="28"/>
        <v>#REF!</v>
      </c>
      <c r="Z38" s="777">
        <f t="shared" si="28"/>
        <v>0</v>
      </c>
      <c r="AA38" s="796" t="e">
        <f t="shared" ca="1" si="28"/>
        <v>#REF!</v>
      </c>
      <c r="AB38" s="778" t="e">
        <f t="shared" ca="1" si="28"/>
        <v>#REF!</v>
      </c>
      <c r="AC38" s="795" t="e">
        <f t="shared" ca="1" si="28"/>
        <v>#REF!</v>
      </c>
      <c r="AD38" s="1164" t="e">
        <f t="shared" si="28"/>
        <v>#DIV/0!</v>
      </c>
      <c r="AE38" s="795" t="e">
        <f t="shared" ca="1" si="28"/>
        <v>#REF!</v>
      </c>
      <c r="AF38" s="778">
        <f t="shared" si="28"/>
        <v>0</v>
      </c>
      <c r="AG38" s="1148" t="e">
        <f t="shared" ca="1" si="28"/>
        <v>#REF!</v>
      </c>
      <c r="AH38" s="778" t="e">
        <f t="shared" ca="1" si="28"/>
        <v>#REF!</v>
      </c>
      <c r="AI38" s="734"/>
      <c r="AL38" s="799"/>
      <c r="AS38" s="797"/>
      <c r="AT38" s="797"/>
      <c r="AU38" s="797"/>
    </row>
    <row r="39" spans="1:49">
      <c r="L39" s="797" t="e">
        <f ca="1">L38+Q38</f>
        <v>#REF!</v>
      </c>
      <c r="M39" s="797" t="e">
        <f>N38+R38</f>
        <v>#DIV/0!</v>
      </c>
      <c r="Q39" s="797"/>
      <c r="AA39" s="797"/>
      <c r="AL39" s="799"/>
    </row>
    <row r="40" spans="1:49" ht="48.75" customHeight="1">
      <c r="H40" s="2335" t="s">
        <v>1357</v>
      </c>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row>
    <row r="41" spans="1:49">
      <c r="A41" s="270"/>
    </row>
    <row r="42" spans="1:49">
      <c r="A42" s="270"/>
      <c r="W42" s="270" t="str">
        <f>W6</f>
        <v>Current Forecast</v>
      </c>
      <c r="X42" s="270" t="str">
        <f t="shared" ref="X42:AH42" si="29">X6</f>
        <v>Target</v>
      </c>
      <c r="Y42" s="270" t="str">
        <f t="shared" si="29"/>
        <v>Current Forecast</v>
      </c>
      <c r="Z42" s="270" t="str">
        <f t="shared" si="29"/>
        <v>Target</v>
      </c>
      <c r="AA42" s="1049" t="str">
        <f t="shared" si="29"/>
        <v>Current</v>
      </c>
      <c r="AB42" s="1049" t="str">
        <f t="shared" si="29"/>
        <v>Forecasted for Target</v>
      </c>
      <c r="AC42" s="270" t="str">
        <f t="shared" si="29"/>
        <v>Current Forecast</v>
      </c>
      <c r="AD42" s="270" t="str">
        <f t="shared" si="29"/>
        <v>Target</v>
      </c>
      <c r="AE42" s="270" t="str">
        <f t="shared" si="29"/>
        <v>Current Forecast</v>
      </c>
      <c r="AF42" s="270" t="str">
        <f t="shared" si="29"/>
        <v>Target</v>
      </c>
      <c r="AG42" s="1049" t="str">
        <f t="shared" si="29"/>
        <v>Current</v>
      </c>
      <c r="AH42" s="1049" t="str">
        <f t="shared" si="29"/>
        <v>Forecasted for Target</v>
      </c>
    </row>
    <row r="43" spans="1:49">
      <c r="A43" s="270"/>
      <c r="J43" s="270" t="s">
        <v>236</v>
      </c>
      <c r="L43" s="797"/>
      <c r="M43" s="797"/>
      <c r="N43" s="797"/>
      <c r="O43" s="797"/>
      <c r="P43" s="797"/>
      <c r="Q43" s="797"/>
      <c r="R43" s="797"/>
      <c r="S43" s="797"/>
      <c r="T43" s="797"/>
      <c r="U43" s="797"/>
      <c r="V43" s="797"/>
      <c r="W43" s="797" t="e">
        <f t="shared" ref="W43:AH43" ca="1" si="30">SUM(W7:W23)</f>
        <v>#REF!</v>
      </c>
      <c r="X43" s="797">
        <f t="shared" si="30"/>
        <v>0</v>
      </c>
      <c r="Y43" s="797" t="e">
        <f t="shared" ca="1" si="30"/>
        <v>#REF!</v>
      </c>
      <c r="Z43" s="797">
        <f t="shared" si="30"/>
        <v>0</v>
      </c>
      <c r="AA43" s="1050" t="e">
        <f t="shared" ca="1" si="30"/>
        <v>#REF!</v>
      </c>
      <c r="AB43" s="1050">
        <f t="shared" ca="1" si="30"/>
        <v>0</v>
      </c>
      <c r="AC43" s="797" t="e">
        <f t="shared" ca="1" si="30"/>
        <v>#REF!</v>
      </c>
      <c r="AD43" s="797">
        <f t="shared" si="30"/>
        <v>0</v>
      </c>
      <c r="AE43" s="797" t="e">
        <f t="shared" ca="1" si="30"/>
        <v>#REF!</v>
      </c>
      <c r="AF43" s="797">
        <f t="shared" si="30"/>
        <v>0</v>
      </c>
      <c r="AG43" s="1050" t="e">
        <f t="shared" ca="1" si="30"/>
        <v>#REF!</v>
      </c>
      <c r="AH43" s="1050">
        <f t="shared" ca="1" si="30"/>
        <v>0</v>
      </c>
    </row>
    <row r="44" spans="1:49">
      <c r="A44" s="270"/>
      <c r="J44" s="270" t="s">
        <v>525</v>
      </c>
      <c r="W44" s="797" t="e">
        <f t="shared" ref="W44:AH44" ca="1" si="31">SUM(W24:W32)</f>
        <v>#REF!</v>
      </c>
      <c r="X44" s="797" t="e">
        <f t="shared" si="31"/>
        <v>#DIV/0!</v>
      </c>
      <c r="Y44" s="797" t="e">
        <f t="shared" ca="1" si="31"/>
        <v>#REF!</v>
      </c>
      <c r="Z44" s="797">
        <f t="shared" si="31"/>
        <v>0</v>
      </c>
      <c r="AA44" s="1050" t="e">
        <f t="shared" ca="1" si="31"/>
        <v>#REF!</v>
      </c>
      <c r="AB44" s="1050" t="e">
        <f t="shared" ca="1" si="31"/>
        <v>#REF!</v>
      </c>
      <c r="AC44" s="797" t="e">
        <f t="shared" ca="1" si="31"/>
        <v>#REF!</v>
      </c>
      <c r="AD44" s="797" t="e">
        <f t="shared" si="31"/>
        <v>#DIV/0!</v>
      </c>
      <c r="AE44" s="797" t="e">
        <f t="shared" ca="1" si="31"/>
        <v>#REF!</v>
      </c>
      <c r="AF44" s="797">
        <f t="shared" si="31"/>
        <v>0</v>
      </c>
      <c r="AG44" s="1050" t="e">
        <f t="shared" ca="1" si="31"/>
        <v>#REF!</v>
      </c>
      <c r="AH44" s="1050" t="e">
        <f t="shared" ca="1" si="31"/>
        <v>#REF!</v>
      </c>
    </row>
    <row r="45" spans="1:49">
      <c r="A45" s="270"/>
      <c r="J45" s="270" t="s">
        <v>33</v>
      </c>
      <c r="Q45" s="797"/>
      <c r="W45" s="797" t="e">
        <f t="shared" ref="W45:AH45" ca="1" si="32">SUM(W33:W37)</f>
        <v>#REF!</v>
      </c>
      <c r="X45" s="797" t="e">
        <f>SUM(X33:X37)</f>
        <v>#DIV/0!</v>
      </c>
      <c r="Y45" s="797" t="e">
        <f t="shared" ca="1" si="32"/>
        <v>#REF!</v>
      </c>
      <c r="Z45" s="797">
        <f>SUM(Z33:Z37)</f>
        <v>0</v>
      </c>
      <c r="AA45" s="1050" t="e">
        <f t="shared" ca="1" si="32"/>
        <v>#REF!</v>
      </c>
      <c r="AB45" s="1050" t="e">
        <f t="shared" ca="1" si="32"/>
        <v>#REF!</v>
      </c>
      <c r="AC45" s="797" t="e">
        <f t="shared" ca="1" si="32"/>
        <v>#REF!</v>
      </c>
      <c r="AD45" s="797" t="e">
        <f t="shared" si="32"/>
        <v>#DIV/0!</v>
      </c>
      <c r="AE45" s="797" t="e">
        <f t="shared" ca="1" si="32"/>
        <v>#REF!</v>
      </c>
      <c r="AF45" s="797">
        <f t="shared" si="32"/>
        <v>0</v>
      </c>
      <c r="AG45" s="1050" t="e">
        <f t="shared" ca="1" si="32"/>
        <v>#REF!</v>
      </c>
      <c r="AH45" s="1050" t="e">
        <f t="shared" ca="1" si="32"/>
        <v>#REF!</v>
      </c>
    </row>
    <row r="46" spans="1:49">
      <c r="A46" s="270"/>
    </row>
    <row r="47" spans="1:49">
      <c r="A47" s="270"/>
      <c r="W47" s="2329">
        <v>2020</v>
      </c>
      <c r="X47" s="2329"/>
      <c r="Y47" s="2329">
        <v>2021</v>
      </c>
      <c r="Z47" s="2329"/>
    </row>
    <row r="48" spans="1:49">
      <c r="A48" s="270"/>
      <c r="J48" s="270" t="s">
        <v>236</v>
      </c>
      <c r="W48" s="797" t="e">
        <f ca="1">SUM(W43,Y43)</f>
        <v>#REF!</v>
      </c>
      <c r="X48" s="797">
        <f>SUM(X43,Z43)</f>
        <v>0</v>
      </c>
      <c r="Y48" s="797" t="e">
        <f ca="1">SUM(AC43,AE43)</f>
        <v>#REF!</v>
      </c>
      <c r="Z48" s="797">
        <f>SUM(AD43,AF43)</f>
        <v>0</v>
      </c>
    </row>
    <row r="49" spans="1:26">
      <c r="A49" s="270"/>
      <c r="J49" s="270" t="s">
        <v>525</v>
      </c>
      <c r="W49" s="797" t="e">
        <f t="shared" ref="W49:X49" ca="1" si="33">SUM(W44,Y44)</f>
        <v>#REF!</v>
      </c>
      <c r="X49" s="797" t="e">
        <f t="shared" si="33"/>
        <v>#DIV/0!</v>
      </c>
      <c r="Y49" s="797" t="e">
        <f ca="1">SUM(AC44,AE44)</f>
        <v>#REF!</v>
      </c>
      <c r="Z49" s="797" t="e">
        <f t="shared" ref="Z49" si="34">SUM(AD44,AF44)</f>
        <v>#DIV/0!</v>
      </c>
    </row>
    <row r="50" spans="1:26">
      <c r="A50" s="270"/>
      <c r="J50" s="270" t="s">
        <v>33</v>
      </c>
      <c r="W50" s="797" t="e">
        <f t="shared" ref="W50" ca="1" si="35">SUM(W45,Y45)</f>
        <v>#REF!</v>
      </c>
      <c r="X50" s="1179" t="e">
        <f>SUM(X45,Z45)</f>
        <v>#DIV/0!</v>
      </c>
      <c r="Y50" s="797" t="e">
        <f ca="1">SUM(AC45,AE45)</f>
        <v>#REF!</v>
      </c>
      <c r="Z50" s="797" t="e">
        <f t="shared" ref="Z50" si="36">SUM(AD45,AF45)</f>
        <v>#DIV/0!</v>
      </c>
    </row>
    <row r="51" spans="1:26">
      <c r="A51" s="270"/>
    </row>
    <row r="52" spans="1:26">
      <c r="A52" s="270"/>
      <c r="W52" s="2329">
        <v>2020</v>
      </c>
      <c r="X52" s="2329"/>
      <c r="Y52" s="2329">
        <v>2021</v>
      </c>
      <c r="Z52" s="2329"/>
    </row>
    <row r="53" spans="1:26">
      <c r="A53" s="270"/>
      <c r="J53" s="270" t="s">
        <v>236</v>
      </c>
      <c r="W53" s="797" t="e">
        <f ca="1">W43</f>
        <v>#REF!</v>
      </c>
      <c r="X53" s="797">
        <f>X43</f>
        <v>0</v>
      </c>
      <c r="Y53" s="797" t="e">
        <f ca="1">AC43</f>
        <v>#REF!</v>
      </c>
      <c r="Z53" s="797">
        <f>AD43</f>
        <v>0</v>
      </c>
    </row>
    <row r="54" spans="1:26">
      <c r="A54" s="270"/>
      <c r="J54" s="270" t="s">
        <v>525</v>
      </c>
      <c r="W54" s="797" t="e">
        <f t="shared" ref="W54:X55" ca="1" si="37">W44</f>
        <v>#REF!</v>
      </c>
      <c r="X54" s="797" t="e">
        <f t="shared" si="37"/>
        <v>#DIV/0!</v>
      </c>
      <c r="Y54" s="797" t="e">
        <f t="shared" ref="Y54:Y55" ca="1" si="38">AC44</f>
        <v>#REF!</v>
      </c>
      <c r="Z54" s="797" t="e">
        <f t="shared" ref="Z54:Z55" si="39">AD44</f>
        <v>#DIV/0!</v>
      </c>
    </row>
    <row r="55" spans="1:26">
      <c r="A55" s="270"/>
      <c r="J55" s="270" t="s">
        <v>33</v>
      </c>
      <c r="W55" s="797" t="e">
        <f t="shared" ca="1" si="37"/>
        <v>#REF!</v>
      </c>
      <c r="X55" s="797" t="e">
        <f t="shared" si="37"/>
        <v>#DIV/0!</v>
      </c>
      <c r="Y55" s="797" t="e">
        <f t="shared" ca="1" si="38"/>
        <v>#REF!</v>
      </c>
      <c r="Z55" s="797" t="e">
        <f t="shared" si="39"/>
        <v>#DIV/0!</v>
      </c>
    </row>
    <row r="56" spans="1:26">
      <c r="A56" s="270"/>
      <c r="X56" s="270">
        <v>2020</v>
      </c>
    </row>
    <row r="57" spans="1:26">
      <c r="A57" s="270"/>
      <c r="W57" s="270" t="s">
        <v>1485</v>
      </c>
      <c r="X57" s="270">
        <v>0.36709375000000005</v>
      </c>
      <c r="Y57" s="1190">
        <v>0.53685438461667268</v>
      </c>
    </row>
    <row r="58" spans="1:26">
      <c r="A58" s="270"/>
      <c r="W58" s="270" t="s">
        <v>1486</v>
      </c>
      <c r="X58" s="270">
        <v>0.29764488833773928</v>
      </c>
      <c r="Y58" s="1190">
        <v>3.8473767243272734E-2</v>
      </c>
    </row>
    <row r="59" spans="1:26">
      <c r="A59" s="270"/>
      <c r="W59" s="270" t="s">
        <v>1485</v>
      </c>
      <c r="X59" s="270">
        <v>0.40314546999999995</v>
      </c>
    </row>
    <row r="60" spans="1:26">
      <c r="A60" s="270"/>
      <c r="W60" s="270" t="s">
        <v>1486</v>
      </c>
      <c r="X60" s="270">
        <v>0.33204315621373687</v>
      </c>
    </row>
    <row r="61" spans="1:26">
      <c r="A61" s="270"/>
    </row>
    <row r="62" spans="1:26">
      <c r="A62" s="270"/>
    </row>
    <row r="63" spans="1:26">
      <c r="A63" s="270"/>
    </row>
    <row r="64" spans="1:26">
      <c r="A64" s="270"/>
    </row>
    <row r="65" spans="1:1">
      <c r="A65" s="270"/>
    </row>
  </sheetData>
  <mergeCells count="43">
    <mergeCell ref="H33:H37"/>
    <mergeCell ref="AE5:AF5"/>
    <mergeCell ref="AG5:AH5"/>
    <mergeCell ref="AV5:AW5"/>
    <mergeCell ref="AD16:AD21"/>
    <mergeCell ref="H24:H32"/>
    <mergeCell ref="L6:M6"/>
    <mergeCell ref="U5:V5"/>
    <mergeCell ref="W5:X5"/>
    <mergeCell ref="Y5:Z5"/>
    <mergeCell ref="AA5:AB5"/>
    <mergeCell ref="AC5:AD5"/>
    <mergeCell ref="H5:H6"/>
    <mergeCell ref="I5:I6"/>
    <mergeCell ref="J5:J6"/>
    <mergeCell ref="H7:H23"/>
    <mergeCell ref="I14:I15"/>
    <mergeCell ref="Q5:T5"/>
    <mergeCell ref="L2:AH2"/>
    <mergeCell ref="H3:J4"/>
    <mergeCell ref="L3:V3"/>
    <mergeCell ref="W3:AB3"/>
    <mergeCell ref="AC3:AH3"/>
    <mergeCell ref="AA4:AB4"/>
    <mergeCell ref="AC4:AF4"/>
    <mergeCell ref="AG4:AH4"/>
    <mergeCell ref="L4:T4"/>
    <mergeCell ref="W52:X52"/>
    <mergeCell ref="Y52:Z52"/>
    <mergeCell ref="D4:E4"/>
    <mergeCell ref="F4:G4"/>
    <mergeCell ref="U4:V4"/>
    <mergeCell ref="W4:Z4"/>
    <mergeCell ref="Y47:Z47"/>
    <mergeCell ref="W47:X47"/>
    <mergeCell ref="H40:AH40"/>
    <mergeCell ref="I16:I21"/>
    <mergeCell ref="M16:M21"/>
    <mergeCell ref="N16:N21"/>
    <mergeCell ref="X16:X21"/>
    <mergeCell ref="K14:K15"/>
    <mergeCell ref="L5:P5"/>
    <mergeCell ref="P16:P21"/>
  </mergeCells>
  <phoneticPr fontId="183" type="noConversion"/>
  <conditionalFormatting sqref="AO7:AO37">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E00-000000000000}"/>
    <hyperlink ref="J8" location="HPWH!A1" display="Heat Pump Water Heaters" xr:uid="{00000000-0004-0000-0E00-000001000000}"/>
    <hyperlink ref="J11" location="Codes!A1" display="Low-rise Multifamily Homes" xr:uid="{00000000-0004-0000-0E00-000002000000}"/>
    <hyperlink ref="J13" location="Res_Lighting!A1" display="Retail Bulb Sales" xr:uid="{00000000-0004-0000-0E00-000003000000}"/>
    <hyperlink ref="J14" location="Codes!A1" display="Codes" xr:uid="{00000000-0004-0000-0E00-000004000000}"/>
    <hyperlink ref="J15" location="Homes_Vol!A1" display="Voluntary" xr:uid="{00000000-0004-0000-0E00-000005000000}"/>
    <hyperlink ref="J16" location="Frig_Freezers!A1" display="Refrigerators and Freezer" xr:uid="{00000000-0004-0000-0E00-000006000000}"/>
    <hyperlink ref="J17" location="Clothes_Washers!A1" display="Clothes Washers" xr:uid="{00000000-0004-0000-0E00-000007000000}"/>
    <hyperlink ref="J18" location="Room_AC!A1" display="Room Air Conditioners" xr:uid="{00000000-0004-0000-0E00-000008000000}"/>
    <hyperlink ref="J23" location="Clothes_Dryers!A1" display="Clothes Dryers" xr:uid="{00000000-0004-0000-0E00-000009000000}"/>
    <hyperlink ref="J24" location="BOC!A1" display="Certifications" xr:uid="{00000000-0004-0000-0E00-00000A000000}"/>
    <hyperlink ref="J25" location="Commissioning!A1" display="Retro and New Commissioning" xr:uid="{00000000-0004-0000-0E00-00000B000000}"/>
    <hyperlink ref="J26" location="Commercial_Desktops!A1" display="ENERGY STAR 6 Desktops" xr:uid="{00000000-0004-0000-0E00-00000C000000}"/>
    <hyperlink ref="J28" location="Com_Lighting!A1" display="Lighting Controls" xr:uid="{00000000-0004-0000-0E00-00000D000000}"/>
    <hyperlink ref="J29" location="Codes!A1" display="Codes" xr:uid="{00000000-0004-0000-0E00-00000E000000}"/>
    <hyperlink ref="J30" location="Standards!A1" display="Primarily Roof Top Units" xr:uid="{00000000-0004-0000-0E00-00000F000000}"/>
    <hyperlink ref="J32" location="Com_Lighting!A1" display="T25 and T28 Lamps" xr:uid="{00000000-0004-0000-0E00-000010000000}"/>
    <hyperlink ref="J33" location="CRES!A1" display="Certifications" xr:uid="{00000000-0004-0000-0E00-000011000000}"/>
    <hyperlink ref="J34" location="Motor_Rewinds!A1" display="Motor Rewinds" xr:uid="{00000000-0004-0000-0E00-000012000000}"/>
    <hyperlink ref="J27" location="Other_ES_Products!A1" display="ENERGY STAR 6 Laptops" xr:uid="{00000000-0004-0000-0E00-000014000000}"/>
    <hyperlink ref="J10" location="Other_ES_Products!A1" display="ENERGY STAR 6 Laptops" xr:uid="{00000000-0004-0000-0E00-000015000000}"/>
    <hyperlink ref="J9" location="Other_ES_Products!A1" display="ENERGY STAR 6 Laptops" xr:uid="{00000000-0004-0000-0E00-000016000000}"/>
    <hyperlink ref="J36" location="Standards!A1" display="Pumps (Ag and Industrial)" xr:uid="{00000000-0004-0000-0E00-000013000000}"/>
    <hyperlink ref="J21" location="Soundbars!A1" display="Sound Bars" xr:uid="{22FB502E-52F1-4105-A3B3-2147F82FBAD7}"/>
    <hyperlink ref="J37" location="Ind_Lighting!A1" display="T25 and T28 Lamps" xr:uid="{89DA7929-61C2-47C0-846C-CC1BBEC58D88}"/>
    <hyperlink ref="J12" location="'Manufactured Homes'!A1" display="Manufactured Homes" xr:uid="{41C8BF46-460F-4798-963C-CF157787004D}"/>
    <hyperlink ref="J31" location="Window_Attachmts!A1" display="Commercial Windows" xr:uid="{D121FBA5-2613-42F4-A175-47018EEAAD90}"/>
    <hyperlink ref="J35" location="XMP!A1" display="Commercial &amp; Industrial pumps" xr:uid="{8C93494F-F511-42EC-82E7-D51341100E17}"/>
    <hyperlink ref="J22" location="Standards!A1" display="Residential Standards" xr:uid="{0F4DD8EB-7EE0-40AF-8F5C-6F289F69A802}"/>
  </hyperlinks>
  <pageMargins left="0.7" right="0.7" top="0.75" bottom="0.75" header="0.3" footer="0.3"/>
  <pageSetup orientation="portrait" r:id="rId1"/>
  <ignoredErrors>
    <ignoredError sqref="V13"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spe:Receivers xmlns:spe="http://schemas.microsoft.com/sharepoint/events"/>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S a n d b o x N o n E m p t y " > < C u s t o m C o n t e n t > < ! [ C D A T A [ 1 ] ] > < / 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L i n k e d T a b l e U p d a t e M o d e " > < C u s t o m C o n t e n t > < ! [ C D A T A [ T r u e ] ] > < / C u s t o m C o n t e n t > < / G e m i n i > 
</file>

<file path=customXml/item15.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2021-10-29T07:00:00+00:00</OpenedDate>
    <SignificantOrder xmlns="dc463f71-b30c-4ab2-9473-d307f9d35888">false</SignificantOrder>
    <Date1 xmlns="dc463f71-b30c-4ab2-9473-d307f9d35888">2021-10-29T07:00:00+00:00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210823</DocketNumber>
    <DelegatedOrder xmlns="dc463f71-b30c-4ab2-9473-d307f9d35888">false</DelegatedOrder>
  </documentManagement>
</p:properties>
</file>

<file path=customXml/item16.xml>��< ? x m l   v e r s i o n = " 1 . 0 "   e n c o d i n g = " U T F - 1 6 " ? > < G e m i n i   x m l n s = " h t t p : / / g e m i n i / p i v o t c u s t o m i z a t i o n / P o w e r P i v o t V e r s i o n " > < C u s t o m C o n t e n t > < ! [ C D A T A [ 2 0 1 5 . 1 3 0 . 1 6 0 5 . 1 9 9 ] ] > < / C u s t o m C o n t e n t > < / G e m i n i > 
</file>

<file path=customXml/item17.xml>��< ? x m l   v e r s i o n = " 1 . 0 "   e n c o d i n g = " U T F - 1 6 " ? > < G e m i n i   x m l n s = " h t t p : / / g e m i n i / p i v o t c u s t o m i z a t i o n / T a b l e O r d e r " > < C u s t o m C o n t e n t > < ! [ C D A T A [ v w M e a s u r e s _ a d b d f d c 8 - 9 d 8 f - 4 9 7 d - a 2 9 6 - 3 7 c d 9 e 3 5 c c f 5 ] ] > < / C u s t o m C o n t e n t > < / G e m i n i > 
</file>

<file path=customXml/item18.xml>��< ? x m l   v e r s i o n = " 1 . 0 "   e n c o d i n g = " U T F - 1 6 " ? > < G e m i n i   x m l n s = " h t t p : / / g e m i n i / p i v o t c u s t o m i z a t i o n / M a n u a l C a l c M o d e " > < C u s t o m C o n t e n t > < ! [ C D A T A [ F a l s 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 M e a s u r e   L i f e < / K e y > < / D i a g r a m O b j e c t K e y > < D i a g r a m O b j e c t K e y > < K e y > M e a s u r e s \ C o u n t   o f   M e a s u r e   L i f e \ T a g I n f o \ F o r m u l a < / K e y > < / D i a g r a m O b j e c t K e y > < D i a g r a m O b j e c t K e y > < K e y > M e a s u r e s \ C o u n t 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 L i n k s \ & l t ; C o l u m n s \ C o u n t   o f   M e a s u r e   L i f e & g t ; - & l t ; M e a s u r e s \ M e a s u r e   L i f e & g t ; < / K e y > < / D i a g r a m O b j e c t K e y > < D i a g r a m O b j e c t K e y > < K e y > L i n k s \ & l t ; C o l u m n s \ C o u n t   o f   M e a s u r e   L i f e & g t ; - & l t ; M e a s u r e s \ M e a s u r e   L i f e & g t ; \ C O L U M N < / K e y > < / D i a g r a m O b j e c t K e y > < D i a g r a m O b j e c t K e y > < K e y > L i n k s \ & l t ; C o l u m n s \ C o u n t 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 M e a s u r e   L i f e < / K e y > < / a : K e y > < a : V a l u e   i : t y p e = " M e a s u r e G r i d N o d e V i e w S t a t e " > < C o l u m n > 1 < / C o l u m n > < L a y e d O u t > t r u e < / L a y e d O u t > < W a s U I I n v i s i b l e > t r u e < / W a s U I I n v i s i b l e > < / a : V a l u e > < / a : K e y V a l u e O f D i a g r a m O b j e c t K e y a n y T y p e z b w N T n L X > < a : K e y V a l u e O f D i a g r a m O b j e c t K e y a n y T y p e z b w N T n L X > < a : K e y > < K e y > M e a s u r e s \ C o u n t   o f   M e a s u r e   L i f e \ T a g I n f o \ F o r m u l a < / K e y > < / a : K e y > < a : V a l u e   i : t y p e = " M e a s u r e G r i d V i e w S t a t e I D i a g r a m T a g A d d i t i o n a l I n f o " / > < / a : K e y V a l u e O f D i a g r a m O b j e c t K e y a n y T y p e z b w N T n L X > < a : K e y V a l u e O f D i a g r a m O b j e c t K e y a n y T y p e z b w N T n L X > < a : K e y > < K e y > M e a s u r e s \ C o u n t 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 C o l u m n s \ I n i t i a t i v e < / K e y > < / a : K e y > < a : V a l u e   i : t y p e = " M e a s u r e G r i d N o d e V i e w S t a t e " > < C o l u m n > 4 < / C o l u m n > < L a y e d O u t > t r u e < / L a y e d O u t > < / a : V a l u e > < / a : K e y V a l u e O f D i a g r a m O b j e c t K e y a n y T y p e z b w N T n L X > < a : K e y V a l u e O f D i a g r a m O b j e c t K e y a n y T y p e z b w N T n L X > < a : K e y > < K e y > C o l u m n s \ I n i t i a t i v e   I n d e x < / K e y > < / a : K e y > < a : V a l u e   i : t y p e = " M e a s u r e G r i d N o d e V i e w S t a t e " > < C o l u m n > 5 < / C o l u m n > < L a y e d O u t > t r u e < / L a y e d O u t > < / a : V a l u e > < / a : K e y V a l u e O f D i a g r a m O b j e c t K e y a n y T y p e z b w N T n L X > < a : K e y V a l u e O f D i a g r a m O b j e c t K e y a n y T y p e z b w N T n L X > < a : K e y > < K e y > C o l u m n s \ I n i t i a t i v e   D e s c r i p t i o n < / 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 C o l u m n s \ P r o d u c t   D e s c r i p t i o n < / 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 C o l u m n s \ T i e r   D e s c r i p t i o n < / K e y > < / a : K e y > < a : V a l u e   i : t y p e = " M e a s u r e G r i d N o d e V i e w S t a t e " > < C o l u m n > 1 0 < / C o l u m n > < L a y e d O u t > t r u e < / L a y e d O u t > < / a : V a l u e > < / a : K e y V a l u e O f D i a g r a m O b j e c t K e y a n y T y p e z b w N T n L X > < a : K e y V a l u e O f D i a g r a m O b j e c t K e y a n y T y p e z b w N T n L X > < a : K e y > < K e y > L i n k s \ & l t ; C o l u m n s \ C o u n t   o f   M e a s u r e   L i f e & g t ; - & l t ; M e a s u r e s \ M e a s u r e   L i f e & g t ; < / K e y > < / a : K e y > < a : V a l u e   i : t y p e = " M e a s u r e G r i d V i e w S t a t e I D i a g r a m L i n k " / > < / a : K e y V a l u e O f D i a g r a m O b j e c t K e y a n y T y p e z b w N T n L X > < a : K e y V a l u e O f D i a g r a m O b j e c t K e y a n y T y p e z b w N T n L X > < a : K e y > < K e y > L i n k s \ & l t ; C o l u m n s \ C o u n t   o f   M e a s u r e   L i f e & g t ; - & l t ; M e a s u r e s \ M e a s u r e   L i f e & g t ; \ C O L U M N < / K e y > < / a : K e y > < a : V a l u e   i : t y p e = " M e a s u r e G r i d V i e w S t a t e I D i a g r a m L i n k E n d p o i n t " / > < / a : K e y V a l u e O f D i a g r a m O b j e c t K e y a n y T y p e z b w N T n L X > < a : K e y V a l u e O f D i a g r a m O b j e c t K e y a n y T y p e z b w N T n L X > < a : K e y > < K e y > L i n k s \ & l t ; C o l u m n s \ C o u n t 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2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6EC2B34D56824478303D8B73BC62E62" ma:contentTypeVersion="44" ma:contentTypeDescription="" ma:contentTypeScope="" ma:versionID="6e55970f9850d00d56948eb971312a1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2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 v w M e a s u r e s _ a d b d f d c 8 - 9 d 8 f - 4 9 7 d - a 2 9 6 - 3 7 c d 9 e 3 5 c c f 5 < / 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I s S a n d b o x E m b e d d e d " > < C u s t o m C o n t e n t > < ! [ C D A T A [ y e s ] ] > < / 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D a t a M a s h u p   s q m i d = " 3 e 6 0 2 f b e - 8 9 e d - 4 6 0 8 - a 6 a b - d 7 b 5 3 a 8 a 9 5 e d "   x m l n s = " h t t p : / / s c h e m a s . m i c r o s o f t . c o m / D a t a M a s h u p " > A A A A A O U D A A B Q S w M E F A A C A A g A L D 8 N 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L D 8 N 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w / D V O F P W F 9 3 w A A A E 0 D A A A T A B w A R m 9 y b X V s Y X M v U 2 V j d G l v b j E u b S C i G A A o o B Q A A A A A A A A A A A A A A A A A A A A A A A A A A A C 1 k U 8 L g j A Y x u + C 3 2 H s V K B S 5 / A Q h d B B O o z o E B L L v e h g T n I z i e i 7 p 6 h Y + K e T u 4 y 9 e / Y 8 + / E o C D V P J S L 1 v t 6 Y h m m o m G b A 0 K M 4 b w / H E 3 K R A G 0 a q F w k z b M Q y g m 5 C 2 d P N b 1 R B Q s s A a i t 7 s J e r R 3 W T J 2 C S 5 Y W y p G g s Y X w 1 v e P e G n V P u y W X j v 7 2 v V 1 I W E M C X V x e Y u t g 4 b E x Y 0 I B + 9 L F R e Y B p c 9 i 9 9 P e 7 l k X E a 7 Z y j A E z R S M 1 O M 5 k 1 i D b 8 a 5 R y W / 4 L 7 Q F W e g Z o P 9 S t h E q 7 V j e K 0 g n 5 z k J H q O G 9 d X c j f j h r p Z D G N Z v M B U E s B A i 0 A F A A C A A g A L D 8 N U 0 2 F 4 z C k A A A A 9 Q A A A B I A A A A A A A A A A A A A A A A A A A A A A E N v b m Z p Z y 9 Q Y W N r Y W d l L n h t b F B L A Q I t A B Q A A g A I A C w / D V M P y u m r p A A A A O k A A A A T A A A A A A A A A A A A A A A A A P A A A A B b Q 2 9 u d G V u d F 9 U e X B l c 1 0 u e G 1 s U E s B A i 0 A F A A C A A g A L D 8 N U 4 U 9 Y X 3 f A A A A T Q M A A B M A A A A A A A A A A A A A A A A A 4 Q E A A E Z v c m 1 1 b G F z L 1 N l Y 3 R p b 2 4 x L m 1 Q S w U G A A A A A A M A A w D C A A A A D 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0 E A A A A A A A B 5 Q 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n d X Q U l P V 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U 1 N T y I g L z 4 8 R W 5 0 c n k g V H l w Z T 0 i U m V j b 3 Z l c n l U Y X J n Z X R D b 2 x 1 b W 4 i I F Z h b H V l P S J s M S I g L z 4 8 R W 5 0 c n k g V H l w Z T 0 i U m V j b 3 Z l c n l U Y X J n Z X R S b 3 c i I F Z h b H V l P S J s M S I g L z 4 8 R W 5 0 c n k g V H l w Z T 0 i U G l 2 b 3 R P Y m p l Y 3 R O Y W 1 l I i B W Y W x 1 Z T 0 i c 0 F N T U 8 g V W 5 p d H M h U G l 2 b 3 R U Y W J s Z T Q i I C 8 + P E V u d H J 5 I F R 5 c G U 9 I k Z p b G x l Z E N v b X B s Z X R l U m V z d W x 0 V G 9 X b 3 J r c 2 h l Z X Q i I F Z h b H V l P S J s M C I g L z 4 8 R W 5 0 c n k g V H l w Z T 0 i U X V l c n l J R C I g V m F s d W U 9 I n M x M D Z m M j c 0 Z S 1 h N G I z L T Q 1 Y W U t Y j Q y M C 1 h Y j I 5 Y z A z M W R k N j c i I C 8 + P E V u d H J 5 I F R 5 c G U 9 I k 5 h d m l n Y X R p b 2 5 T d G V w T m F t Z S I g V m F s d W U 9 I n N O Y X Z p Z 2 F 0 a W 9 u I i A v P j x F b n R y e S B U e X B l P S J G a W x s T G F z d F V w Z G F 0 Z W Q i I F Z h b H V l P S J k M j A y M S 0 w O C 0 x M 1 Q x N D o 1 N z o w N i 4 w M j E 3 M T k x W i I g L z 4 8 R W 5 0 c n k g V H l w Z T 0 i R m l s b E N v b H V t b l R 5 c G V z I i B W Y W x 1 Z T 0 i c 0 J n d 0 d C Z 1 l H Q m d Z R 0 R 3 W V A i I C 8 + P E V u d H J 5 I F R 5 c G U 9 I k Z p b G x F c n J v c k N v d W 5 0 I i B W Y W x 1 Z T 0 i b D A i I C 8 + P E V u d H J 5 I F R 5 c G U 9 I k Z p b G x D b 2 x 1 b W 5 O Y W 1 l c y I g V m F s d W U 9 I n N b J n F 1 b 3 Q 7 U 2 5 h c H N o b 3 Q m c X V v d D s s J n F 1 b 3 Q 7 W W V h c i Z x d W 9 0 O y w m c X V v d D t J b m l 0 a W F 0 a X Z l J n F 1 b 3 Q 7 L C Z x d W 9 0 O 0 1 l Y X N 1 c m U m c X V v d D s s J n F 1 b 3 Q 7 T W V h c 3 V y Z S B J b m R l e C Z x d W 9 0 O y w m c X V v d D t Q c m 9 k d W N 0 J n F 1 b 3 Q 7 L C Z x d W 9 0 O 1 R p Z X I m c X V v d D s s J n F 1 b 3 Q 7 U 2 F 2 a W 5 n c y B D Y X R l Z 2 9 y e S Z x d W 9 0 O y w m c X V v d D t G d W 5 k a W 5 n I E N 5 Y 2 x l J n F 1 b 3 Q 7 L C Z x d W 9 0 O 1 V u a X R z J n F 1 b 3 Q 7 L C Z x d W 9 0 O 1 N h d m l u Z 3 M g U m F 0 Z S B U e X B l J n F 1 b 3 Q 7 L C Z x d W 9 0 O 1 N h d m l u Z 3 M g U m F 0 Z S Z x d W 9 0 O 1 0 i I C 8 + P E V u d H J 5 I F R 5 c G U 9 I k Z p b G x F c n J v c k N v Z G U i I F Z h b H V l P S J z V W 5 r b m 9 3 b i I g L z 4 8 R W 5 0 c n k g V H l w Z T 0 i R m l s b E N v d W 5 0 I i B W Y W x 1 Z T 0 i b D E x N z c 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c n Z l c i 5 E Y X R h Y m F z Z V x c L z I v U 1 F M L 2 5 l Z W E t c 3 F s L T A x L m R h d G F i Y X N l L n d p b m R v d 3 M u b m V 0 O 0 F N T U 8 v Z G J v L 3 Z 3 V 0 F J T 1 U u e 1 N u Y X B z a G 9 0 L D B 9 J n F 1 b 3 Q 7 L C Z x d W 9 0 O 1 N l c n Z l c i 5 E Y X R h Y m F z Z V x c L z I v U 1 F M L 2 5 l Z W E t c 3 F s L T A x L m R h d G F i Y X N l L n d p b m R v d 3 M u b m V 0 O 0 F N T U 8 v Z G J v L 3 Z 3 V 0 F J T 1 U u e 1 l l Y X I s M X 0 m c X V v d D s s J n F 1 b 3 Q 7 U 2 V y d m V y L k R h d G F i Y X N l X F w v M i 9 T U U w v b m V l Y S 1 z c W w t M D E u Z G F 0 Y W J h c 2 U u d 2 l u Z G 9 3 c y 5 u Z X Q 7 Q U 1 N T y 9 k Y m 8 v d n d X Q U l P V S 5 7 S W 5 p d G l h d G l 2 Z S w y f S Z x d W 9 0 O y w m c X V v d D t T Z X J 2 Z X I u R G F 0 Y W J h c 2 V c X C 8 y L 1 N R T C 9 u Z W V h L X N x b C 0 w M S 5 k Y X R h Y m F z Z S 5 3 a W 5 k b 3 d z L m 5 l d D t B T U 1 P L 2 R i b y 9 2 d 1 d B S U 9 V L n t N Z W F z d X J l L D N 9 J n F 1 b 3 Q 7 L C Z x d W 9 0 O 1 N l c n Z l c i 5 E Y X R h Y m F z Z V x c L z I v U 1 F M L 2 5 l Z W E t c 3 F s L T A x L m R h d G F i Y X N l L n d p b m R v d 3 M u b m V 0 O 0 F N T U 8 v Z G J v L 3 Z 3 V 0 F J T 1 U u e 0 1 l Y X N 1 c m U g S W 5 k Z X g s N H 0 m c X V v d D s s J n F 1 b 3 Q 7 U 2 V y d m V y L k R h d G F i Y X N l X F w v M i 9 T U U w v b m V l Y S 1 z c W w t M D E u Z G F 0 Y W J h c 2 U u d 2 l u Z G 9 3 c y 5 u Z X Q 7 Q U 1 N T y 9 k Y m 8 v d n d X Q U l P V S 5 7 U H J v Z H V j d C w 1 f S Z x d W 9 0 O y w m c X V v d D t T Z X J 2 Z X I u R G F 0 Y W J h c 2 V c X C 8 y L 1 N R T C 9 u Z W V h L X N x b C 0 w M S 5 k Y X R h Y m F z Z S 5 3 a W 5 k b 3 d z L m 5 l d D t B T U 1 P L 2 R i b y 9 2 d 1 d B S U 9 V L n t U a W V y L D Z 9 J n F 1 b 3 Q 7 L C Z x d W 9 0 O 1 N l c n Z l c i 5 E Y X R h Y m F z Z V x c L z I v U 1 F M L 2 5 l Z W E t c 3 F s L T A x L m R h d G F i Y X N l L n d p b m R v d 3 M u b m V 0 O 0 F N T U 8 v Z G J v L 3 Z 3 V 0 F J T 1 U u e 1 N h d m l u Z 3 M g Q 2 F 0 Z W d v c n k s N 3 0 m c X V v d D s s J n F 1 b 3 Q 7 U 2 V y d m V y L k R h d G F i Y X N l X F w v M i 9 T U U w v b m V l Y S 1 z c W w t M D E u Z G F 0 Y W J h c 2 U u d 2 l u Z G 9 3 c y 5 u Z X Q 7 Q U 1 N T y 9 k Y m 8 v d n d X Q U l P V S 5 7 R n V u Z G l u Z y B D e W N s Z S w 4 f S Z x d W 9 0 O y w m c X V v d D t T Z X J 2 Z X I u R G F 0 Y W J h c 2 V c X C 8 y L 1 N R T C 9 u Z W V h L X N x b C 0 w M S 5 k Y X R h Y m F z Z S 5 3 a W 5 k b 3 d z L m 5 l d D t B T U 1 P L 2 R i b y 9 2 d 1 d B S U 9 V L n t V b m l 0 c y w 5 f S Z x d W 9 0 O y w m c X V v d D t T Z X J 2 Z X I u R G F 0 Y W J h c 2 V c X C 8 y L 1 N R T C 9 u Z W V h L X N x b C 0 w M S 5 k Y X R h Y m F z Z S 5 3 a W 5 k b 3 d z L m 5 l d D t B T U 1 P L 2 R i b y 9 2 d 1 d B S U 9 V L n t T Y X Z p b m d z I F J h d G U g V H l w Z S w x M H 0 m c X V v d D s s J n F 1 b 3 Q 7 U 2 V y d m V y L k R h d G F i Y X N l X F w v M i 9 T U U w v b m V l Y S 1 z c W w t M D E u Z G F 0 Y W J h c 2 U u d 2 l u Z G 9 3 c y 5 u Z X Q 7 Q U 1 N T y 9 k Y m 8 v d n d X Q U l P V S 5 7 U 2 F 2 a W 5 n c y B S Y X R l L D E x f S Z x d W 9 0 O 1 0 s J n F 1 b 3 Q 7 Q 2 9 s d W 1 u Q 2 9 1 b n Q m c X V v d D s 6 M T I s J n F 1 b 3 Q 7 S 2 V 5 Q 2 9 s d W 1 u T m F t Z X M m c X V v d D s 6 W 1 0 s J n F 1 b 3 Q 7 Q 2 9 s d W 1 u S W R l b n R p d G l l c y Z x d W 9 0 O z p b J n F 1 b 3 Q 7 U 2 V y d m V y L k R h d G F i Y X N l X F w v M i 9 T U U w v b m V l Y S 1 z c W w t M D E u Z G F 0 Y W J h c 2 U u d 2 l u Z G 9 3 c y 5 u Z X Q 7 Q U 1 N T y 9 k Y m 8 v d n d X Q U l P V S 5 7 U 2 5 h c H N o b 3 Q s M H 0 m c X V v d D s s J n F 1 b 3 Q 7 U 2 V y d m V y L k R h d G F i Y X N l X F w v M i 9 T U U w v b m V l Y S 1 z c W w t M D E u Z G F 0 Y W J h c 2 U u d 2 l u Z G 9 3 c y 5 u Z X Q 7 Q U 1 N T y 9 k Y m 8 v d n d X Q U l P V S 5 7 W W V h c i w x f S Z x d W 9 0 O y w m c X V v d D t T Z X J 2 Z X I u R G F 0 Y W J h c 2 V c X C 8 y L 1 N R T C 9 u Z W V h L X N x b C 0 w M S 5 k Y X R h Y m F z Z S 5 3 a W 5 k b 3 d z L m 5 l d D t B T U 1 P L 2 R i b y 9 2 d 1 d B S U 9 V L n t J b m l 0 a W F 0 a X Z l L D J 9 J n F 1 b 3 Q 7 L C Z x d W 9 0 O 1 N l c n Z l c i 5 E Y X R h Y m F z Z V x c L z I v U 1 F M L 2 5 l Z W E t c 3 F s L T A x L m R h d G F i Y X N l L n d p b m R v d 3 M u b m V 0 O 0 F N T U 8 v Z G J v L 3 Z 3 V 0 F J T 1 U u e 0 1 l Y X N 1 c m U s M 3 0 m c X V v d D s s J n F 1 b 3 Q 7 U 2 V y d m V y L k R h d G F i Y X N l X F w v M i 9 T U U w v b m V l Y S 1 z c W w t M D E u Z G F 0 Y W J h c 2 U u d 2 l u Z G 9 3 c y 5 u Z X Q 7 Q U 1 N T y 9 k Y m 8 v d n d X Q U l P V S 5 7 T W V h c 3 V y Z S B J b m R l e C w 0 f S Z x d W 9 0 O y w m c X V v d D t T Z X J 2 Z X I u R G F 0 Y W J h c 2 V c X C 8 y L 1 N R T C 9 u Z W V h L X N x b C 0 w M S 5 k Y X R h Y m F z Z S 5 3 a W 5 k b 3 d z L m 5 l d D t B T U 1 P L 2 R i b y 9 2 d 1 d B S U 9 V L n t Q c m 9 k d W N 0 L D V 9 J n F 1 b 3 Q 7 L C Z x d W 9 0 O 1 N l c n Z l c i 5 E Y X R h Y m F z Z V x c L z I v U 1 F M L 2 5 l Z W E t c 3 F s L T A x L m R h d G F i Y X N l L n d p b m R v d 3 M u b m V 0 O 0 F N T U 8 v Z G J v L 3 Z 3 V 0 F J T 1 U u e 1 R p Z X I s N n 0 m c X V v d D s s J n F 1 b 3 Q 7 U 2 V y d m V y L k R h d G F i Y X N l X F w v M i 9 T U U w v b m V l Y S 1 z c W w t M D E u Z G F 0 Y W J h c 2 U u d 2 l u Z G 9 3 c y 5 u Z X Q 7 Q U 1 N T y 9 k Y m 8 v d n d X Q U l P V S 5 7 U 2 F 2 a W 5 n c y B D Y X R l Z 2 9 y e S w 3 f S Z x d W 9 0 O y w m c X V v d D t T Z X J 2 Z X I u R G F 0 Y W J h c 2 V c X C 8 y L 1 N R T C 9 u Z W V h L X N x b C 0 w M S 5 k Y X R h Y m F z Z S 5 3 a W 5 k b 3 d z L m 5 l d D t B T U 1 P L 2 R i b y 9 2 d 1 d B S U 9 V L n t G d W 5 k a W 5 n I E N 5 Y 2 x l L D h 9 J n F 1 b 3 Q 7 L C Z x d W 9 0 O 1 N l c n Z l c i 5 E Y X R h Y m F z Z V x c L z I v U 1 F M L 2 5 l Z W E t c 3 F s L T A x L m R h d G F i Y X N l L n d p b m R v d 3 M u b m V 0 O 0 F N T U 8 v Z G J v L 3 Z 3 V 0 F J T 1 U u e 1 V u a X R z L D l 9 J n F 1 b 3 Q 7 L C Z x d W 9 0 O 1 N l c n Z l c i 5 E Y X R h Y m F z Z V x c L z I v U 1 F M L 2 5 l Z W E t c 3 F s L T A x L m R h d G F i Y X N l L n d p b m R v d 3 M u b m V 0 O 0 F N T U 8 v Z G J v L 3 Z 3 V 0 F J T 1 U u e 1 N h d m l u Z 3 M g U m F 0 Z S B U e X B l L D E w f S Z x d W 9 0 O y w m c X V v d D t T Z X J 2 Z X I u R G F 0 Y W J h c 2 V c X C 8 y L 1 N R T C 9 u Z W V h L X N x b C 0 w M S 5 k Y X R h Y m F z Z S 5 3 a W 5 k b 3 d z L m 5 l d D t B T U 1 P L 2 R i b y 9 2 d 1 d B S U 9 V L n t T Y X Z p b m d z I F J h d G U s M T F 9 J n F 1 b 3 Q 7 X S w m c X V v d D t S Z W x h d G l v b n N o a X B J b m Z v J n F 1 b 3 Q 7 O l t d f S I g L z 4 8 L 1 N 0 Y W J s Z U V u d H J p Z X M + P C 9 J d G V t P j x J d G V t P j x J d G V t T G 9 j Y X R p b 2 4 + P E l 0 Z W 1 U e X B l P k Z v c m 1 1 b G E 8 L 0 l 0 Z W 1 U e X B l P j x J d G V t U G F 0 a D 5 T Z W N 0 a W 9 u M S 9 2 d 1 d B S U 9 V L 1 N v d X J j Z T w v S X R l b V B h d G g + P C 9 J d G V t T G 9 j Y X R p b 2 4 + P F N 0 Y W J s Z U V u d H J p Z X M g L z 4 8 L 0 l 0 Z W 0 + P E l 0 Z W 0 + P E l 0 Z W 1 M b 2 N h d G l v b j 4 8 S X R l b V R 5 c G U + R m 9 y b X V s Y T w v S X R l b V R 5 c G U + P E l 0 Z W 1 Q Y X R o P l N l Y 3 R p b 2 4 x L 3 Z 3 V 0 F J T 1 U v Z G J v X 3 Z 3 V 0 F J T 1 U 8 L 0 l 0 Z W 1 Q Y X R o P j w v S X R l b U x v Y 2 F 0 a W 9 u P j x T d G F i b G V F b n R y a W V z I C 8 + P C 9 J d G V t P j x J d G V t P j x J d G V t T G 9 j Y X R p b 2 4 + P E l 0 Z W 1 U e X B l P k Z v c m 1 1 b G E 8 L 0 l 0 Z W 1 U e X B l P j x J d G V t U G F 0 a D 5 T Z W N 0 a W 9 u M S 9 2 d 0 Z 1 b m R p b m d D e W N s Z U Z s Y W d z V 0 F J T 1 U 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B T U 1 P I E Z 1 b m R p b m c g Q 3 l j b G U g R m x h Z 3 M i I C 8 + P E V u d H J 5 I F R 5 c G U 9 I l J l Y 2 9 2 Z X J 5 V G F y Z 2 V 0 Q 2 9 s d W 1 u I i B W Y W x 1 Z T 0 i b D E i I C 8 + P E V u d H J 5 I F R 5 c G U 9 I l J l Y 2 9 2 Z X J 5 V G F y Z 2 V 0 U m 9 3 I i B W Y W x 1 Z T 0 i b D E i I C 8 + P E V u d H J 5 I F R 5 c G U 9 I l B p d m 9 0 T 2 J q Z W N 0 T m F t Z S I g V m F s d W U 9 I n N B T U 1 P I E 1 l Y X N 1 c m U g R n V u Z G l u Z y B D e W N s Z X M h U G l 2 b 3 R U Y W J s Z T E i I C 8 + P E V u d H J 5 I F R 5 c G U 9 I k Z p b G x l Z E N v b X B s Z X R l U m V z d W x 0 V G 9 X b 3 J r c 2 h l Z X Q i I F Z h b H V l P S J s M C I g L z 4 8 R W 5 0 c n k g V H l w Z T 0 i R m l s b E V y c m 9 y Q 2 9 1 b n Q i I F Z h b H V l P S J s M C I g L z 4 8 R W 5 0 c n k g V H l w Z T 0 i R m l s b E x h c 3 R V c G R h d G V k I i B W Y W x 1 Z T 0 i Z D I w M j E t M D g t M T N U M T Q 6 N T c 6 M T I u M T I 1 O D Y 3 N F o i I C 8 + P E V u d H J 5 I F R 5 c G U 9 I k Z p b G x D b 2 x 1 b W 5 U e X B l c y I g V m F s d W U 9 I n N C Z 3 d H Q m d Z U C I g L z 4 8 R W 5 0 c n k g V H l w Z T 0 i U X V l c n l J R C I g V m F s d W U 9 I n M 1 N z c 0 Z j k 3 Y y 0 5 Z j Q y L T Q 3 M T A t O W J j Z i 0 4 O T U 2 Y m F m O W Q x N m Q i I C 8 + P E V u d H J 5 I F R 5 c G U 9 I k Z p b G x D b 2 x 1 b W 5 O Y W 1 l c y I g V m F s d W U 9 I n N b J n F 1 b 3 Q 7 U 2 5 h c H N o b 3 Q m c X V v d D s s J n F 1 b 3 Q 7 W W V h c i Z x d W 9 0 O y w m c X V v d D t N Z W F z d X J l J n F 1 b 3 Q 7 L C Z x d W 9 0 O 0 1 l Y X N 1 c m U g S W 5 k Z X g m c X V v d D s s J n F 1 b 3 Q 7 R n V u Z G l u Z y B D e W N s Z S Z x d W 9 0 O y w m c X V v d D t S Z W d p b 2 5 h b C B N Y X J r Z X Q g V W 5 p d H M g M j A y M V B Q J n F 1 b 3 Q 7 X S I g L z 4 8 R W 5 0 c n k g V H l w Z T 0 i R m l s b E V y c m 9 y Q 2 9 k Z S I g V m F s d W U 9 I n N V b m t u b 3 d u I i A v P j x F b n R y e S B U e X B l P S J G a W x s Q 2 9 1 b n Q i I F Z h b H V l P S J s N D k w 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c n Z l c i 5 E Y X R h Y m F z Z V x c L z I v U 1 F M L 2 5 l Z W E t c 3 F s L T A x L m R h d G F i Y X N l L n d p b m R v d 3 M u b m V 0 O 0 F N T U 8 v Z G J v L 3 Z 3 R n V u Z G l u Z 0 N 5 Y 2 x l R m x h Z 3 N X Q U l P V S 5 7 U 2 5 h c H N o b 3 Q s M H 0 m c X V v d D s s J n F 1 b 3 Q 7 U 2 V y d m V y L k R h d G F i Y X N l X F w v M i 9 T U U w v b m V l Y S 1 z c W w t M D E u Z G F 0 Y W J h c 2 U u d 2 l u Z G 9 3 c y 5 u Z X Q 7 Q U 1 N T y 9 k Y m 8 v d n d G d W 5 k a W 5 n Q 3 l j b G V G b G F n c 1 d B S U 9 V L n t Z Z W F y L D F 9 J n F 1 b 3 Q 7 L C Z x d W 9 0 O 1 N l c n Z l c i 5 E Y X R h Y m F z Z V x c L z I v U 1 F M L 2 5 l Z W E t c 3 F s L T A x L m R h d G F i Y X N l L n d p b m R v d 3 M u b m V 0 O 0 F N T U 8 v Z G J v L 3 Z 3 R n V u Z G l u Z 0 N 5 Y 2 x l R m x h Z 3 N X Q U l P V S 5 7 T W V h c 3 V y Z S w y f S Z x d W 9 0 O y w m c X V v d D t T Z X J 2 Z X I u R G F 0 Y W J h c 2 V c X C 8 y L 1 N R T C 9 u Z W V h L X N x b C 0 w M S 5 k Y X R h Y m F z Z S 5 3 a W 5 k b 3 d z L m 5 l d D t B T U 1 P L 2 R i b y 9 2 d 0 Z 1 b m R p b m d D e W N s Z U Z s Y W d z V 0 F J T 1 U u e 0 1 l Y X N 1 c m U g S W 5 k Z X g s M 3 0 m c X V v d D s s J n F 1 b 3 Q 7 U 2 V y d m V y L k R h d G F i Y X N l X F w v M i 9 T U U w v b m V l Y S 1 z c W w t M D E u Z G F 0 Y W J h c 2 U u d 2 l u Z G 9 3 c y 5 u Z X Q 7 Q U 1 N T y 9 k Y m 8 v d n d G d W 5 k a W 5 n Q 3 l j b G V G b G F n c 1 d B S U 9 V L n t G d W 5 k a W 5 n I E N 5 Y 2 x l L D R 9 J n F 1 b 3 Q 7 L C Z x d W 9 0 O 1 N l c n Z l c i 5 E Y X R h Y m F z Z V x c L z I v U 1 F M L 2 5 l Z W E t c 3 F s L T A x L m R h d G F i Y X N l L n d p b m R v d 3 M u b m V 0 O 0 F N T U 8 v Z G J v L 3 Z 3 R n V u Z G l u Z 0 N 5 Y 2 x l R m x h Z 3 N X Q U l P V S 5 7 U m V n a W 9 u Y W w g T W F y a 2 V 0 I F V u a X R z I D I w M j F Q U C w 1 f S Z x d W 9 0 O 1 0 s J n F 1 b 3 Q 7 Q 2 9 s d W 1 u Q 2 9 1 b n Q m c X V v d D s 6 N i w m c X V v d D t L Z X l D b 2 x 1 b W 5 O Y W 1 l c y Z x d W 9 0 O z p b X S w m c X V v d D t D 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W 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1 J l b G F 0 a W 9 u c 2 h p c E l u Z m 8 m c X V v d D s 6 W 1 1 9 I i A v P j w v U 3 R h Y m x l R W 5 0 c m l l c z 4 8 L 0 l 0 Z W 0 + P E l 0 Z W 0 + P E l 0 Z W 1 M b 2 N h d G l v b j 4 8 S X R l b V R 5 c G U + R m 9 y b X V s Y T w v S X R l b V R 5 c G U + P E l 0 Z W 1 Q Y X R o P l N l Y 3 R p b 2 4 x L 3 Z 3 R n V u Z G l u Z 0 N 5 Y 2 x l R m x h Z 3 N X Q U l P V S 9 T b 3 V y Y 2 U 8 L 0 l 0 Z W 1 Q Y X R o P j w v S X R l b U x v Y 2 F 0 a W 9 u P j x T d G F i b G V F b n R y a W V z I C 8 + P C 9 J d G V t P j x J d G V t P j x J d G V t T G 9 j Y X R p b 2 4 + P E l 0 Z W 1 U e X B l P k Z v c m 1 1 b G E 8 L 0 l 0 Z W 1 U e X B l P j x J d G V t U G F 0 a D 5 T Z W N 0 a W 9 u M S 9 2 d 0 Z 1 b m R p b m d D e W N s Z U Z s Y W d z V 0 F J T 1 U v Z G J v X 3 Z 3 R n V u Z G l u Z 0 N 5 Y 2 x l R m x h Z 3 N X Q U l P V T w v S X R l b V B h d G g + P C 9 J d G V t T G 9 j Y X R p b 2 4 + P F N 0 Y W J s Z U V u d H J p Z X M g L z 4 8 L 0 l 0 Z W 0 + P E l 0 Z W 0 + P E l 0 Z W 1 M b 2 N h d G l v b j 4 8 S X R l b V R 5 c G U + R m 9 y b X V s Y T w v S X R l b V R 5 c G U + P E l 0 Z W 1 Q Y X R o P l N l Y 3 R p b 2 4 x L 3 Z 3 T W V h c 3 V 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D c i I C 8 + P E V u d H J 5 I F R 5 c G U 9 I k Z p b G x F c n J v c k N v Z G U i I F Z h b H V l P S J z V W 5 r b m 9 3 b i I g L z 4 8 R W 5 0 c n k g V H l w Z T 0 i R m l s b E V y c m 9 y Q 2 9 1 b n Q i I F Z h b H V l P S J s M C I g L z 4 8 R W 5 0 c n k g V H l w Z T 0 i R m l s b E x h c 3 R V c G R h d G V k I i B W Y W x 1 Z T 0 i Z D I w M j E t M D g t M T N U M T Q 6 N T c 6 M T Y u O T E 2 N T M 2 N l o i I C 8 + P E V u d H J 5 I F R 5 c G U 9 I k Z p b G x D b 2 x 1 b W 5 U e X B l c y I g V m F s d W U 9 I n N C Z z h H Q m d Z R 0 J n W U d C Z 1 l H Q m d Z P S I g L z 4 8 R W 5 0 c n k g V H l w Z T 0 i R m l s b E N v b H V t b k 5 h b W V z I i B W Y W x 1 Z T 0 i c 1 s m c X V v d D t N Z W F z d X J l J n F 1 b 3 Q 7 L C Z x d W 9 0 O 0 1 l Y X N 1 c m U g T G l m Z S Z x d W 9 0 O y w m c X V v d D t N Z W F z d X J l I E l u Z G V 4 J n F 1 b 3 Q 7 L C Z x d W 9 0 O 0 1 l Y X N 1 c m U g R G V z Y 3 J p c H R p b 2 4 m c X V v d D s s J n F 1 b 3 Q 7 U 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t d I i A v P j x F b n R y e S B U e X B l P S J G a W x s U 3 R h d H V z I i B W Y W x 1 Z T 0 i c 0 N v b X B s Z X R l I i A v P j x F b n R y e S B U e X B l P S J R d W V y e U l E I i B W Y W x 1 Z T 0 i c z d i M j c 0 M z E 5 L T c z Y z Q t N D h m N S 0 5 Y T J j L W V k N j M 2 Z j E z N D J j Z i I g L z 4 8 R W 5 0 c n k g V H l w Z T 0 i U m V s Y X R p b 2 5 z a G l w S W 5 m b 0 N v b n R h a W 5 l c i I g V m F s d W U 9 I n N 7 J n F 1 b 3 Q 7 Y 2 9 s d W 1 u Q 2 9 1 b n Q m c X V v d D s 6 M T Q 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0 N v b H V t b k N v d W 5 0 J n F 1 b 3 Q 7 O j E 0 L C Z x d W 9 0 O 0 t l e U N v b H V t b k 5 h b W V z J n F 1 b 3 Q 7 O l t d L C Z x d W 9 0 O 0 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1 J l b G F 0 a W 9 u c 2 h p c E l u Z m 8 m c X V v d D s 6 W 1 1 9 I i A v P j w v U 3 R h Y m x l R W 5 0 c m l l c z 4 8 L 0 l 0 Z W 0 + P E l 0 Z W 0 + P E l 0 Z W 1 M b 2 N h d G l v b j 4 8 S X R l b V R 5 c G U + R m 9 y b X V s Y T w v S X R l b V R 5 c G U + P E l 0 Z W 1 Q Y X R o P l N l Y 3 R p b 2 4 x L 3 Z 3 T W V h c 3 V y Z X M v U 2 9 1 c m N l P C 9 J d G V t U G F 0 a D 4 8 L 0 l 0 Z W 1 M b 2 N h d G l v b j 4 8 U 3 R h Y m x l R W 5 0 c m l l c y A v P j w v S X R l b T 4 8 S X R l b T 4 8 S X R l b U x v Y 2 F 0 a W 9 u P j x J d G V t V H l w Z T 5 G b 3 J t d W x h P C 9 J d G V t V H l w Z T 4 8 S X R l b V B h d G g + U 2 V j d G l v b j E v d n d N Z W F z d X J l c y 9 k Y m 9 f d n d N Z W F z d X J l c z w v S X R l b V B h d G g + P C 9 J d G V t T G 9 j Y X R p b 2 4 + P F N 0 Y W J s Z U V u d H J p Z X M g L z 4 8 L 0 l 0 Z W 0 + P E l 0 Z W 0 + P E l 0 Z W 1 M b 2 N h d G l v b j 4 8 S X R l b V R 5 c G U + R m 9 y b X V s Y T w v S X R l b V R 5 c G U + P E l 0 Z W 1 Q Y X R o P l N l Y 3 R p b 2 4 x L 3 Z 3 R n V u Z G V y U 2 h h c m 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T c y I i A v P j x F b n R y e S B U e X B l P S J G a W x s R X J y b 3 J D b 2 R l I i B W Y W x 1 Z T 0 i c 1 V u a 2 5 v d 2 4 i I C 8 + P E V u d H J 5 I F R 5 c G U 9 I k Z p b G x F c n J v c k N v d W 5 0 I i B W Y W x 1 Z T 0 i b D A i I C 8 + P E V u d H J 5 I F R 5 c G U 9 I k Z p b G x M Y X N 0 V X B k Y X R l Z C I g V m F s d W U 9 I m Q y M D I x L T A 4 L T E z V D E 0 O j U 3 O j I 1 L j A 2 N j E 3 M z N a I i A v P j x F b n R y e S B U e X B l P S J G a W x s Q 2 9 s d W 1 u V H l w Z X M i I F Z h b H V l P S J z Q m d Z R 0 J n O E d E d z g 9 I i A v P j x F b n R y e S B U e X B l P S J G a W x s Q 2 9 s d W 1 u T m F t Z X M i I F Z h b H V l P S J z W y Z x d W 9 0 O 0 5 F R U E g U 3 R h a 2 V o b 2 x k Z X I m c X V v d D s s J n F 1 b 3 Q 7 R n V u Z G V y I F R 5 c G U m c X V v d D s s J n F 1 b 3 Q 7 U 2 h h c m U g V H l w Z S Z x d W 9 0 O y w m c X V v d D t Z Z W F y J n F 1 b 3 Q 7 L C Z x d W 9 0 O 0 Z 1 b m R l c i B T a G F y Z S Z x d W 9 0 O y w m c X V v d D t B b G x v Y 2 F 0 a W 9 u I F N 0 Y X R l J n F 1 b 3 Q 7 L C Z x d W 9 0 O 1 N 0 Y X R l I E F s b G 9 j Y X R p b 2 4 m c X V v d D s s J n F 1 b 3 Q 7 U 3 R h d G U g R n V u Z G V y I F N o Y X J l J n F 1 b 3 Q 7 X S I g L z 4 8 R W 5 0 c n k g V H l w Z T 0 i R m l s b F N 0 Y X R 1 c y I g V m F s d W U 9 I n N D b 2 1 w b G V 0 Z S I g L z 4 8 R W 5 0 c n k g V H l w Z T 0 i U X V l c n l J R C I g V m F s d W U 9 I n N h O T Y 0 Y z B m Y S 0 x Z D Q z L T R m M T c t Y T E y N y 0 1 Z G F h Y W U z M z l k N T E 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L 1 N 0 Y W J s Z U V u d H J p Z X M + 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w v S X R l b X M + P C 9 M b 2 N h b F B h Y 2 t h Z 2 V N Z X R h Z G F 0 Y U Z p b G U + F g A A A F B L B Q Y A A A A A A A A A A A A A A A A A A A A A A A D a A A A A A Q A A A N C M n d 8 B F d E R j H o A w E / C l + s B A A A A / 3 g h S E P i 8 E 2 3 + 5 q 4 a O X g q A A A A A A C A A A A A A A D Z g A A w A A A A B A A A A D V z t y i A u 3 y L e V I 0 4 0 w S u 6 X A A A A A A S A A A C g A A A A E A A A A H e m n u q 2 o c o y b k k W 1 a R V p K 5 Q A A A A o g a 8 W X 4 9 H t w l Q k O K r i w l W 4 6 D a 7 U y J 1 k / T 5 0 s z q O 0 E A W 6 o 3 + 0 l B O C v z x f 0 W 1 G B f a G G 5 p R D n q s l J X h e R R 0 I J p P 4 K h D N Z B z 1 V j s 6 v 2 A h Q X O 0 O M U A A A A H u e Z 6 a S T D 6 Y W b x g G e I H q k X D 7 i M Q = < / D a t a M a s h u p > 
</file>

<file path=customXml/item7.xml>��< ? x m l   v e r s i o n = " 1 . 0 "   e n c o d i n g = " U T F - 1 6 " ? > < G e m i n i   x m l n s = " h t t p : / / g e m i n i / p i v o t c u s t o m i z a t i o n / S h o w H i d d e n " > < 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 2 0 2 1 - 0 6 - 0 4 T 1 5 : 3 4 : 4 9 . 8 7 4 5 2 2 6 - 0 7 : 0 0 < / L a s t P r o c e s s e d T i m e > < / D a t a M o d e l i n g S a n d b o x . S e r i a l i z e d S a n d b o x E r r o r C a c h e > ] ] > < / C u s t o m C o n t e n t > < / G e m i n i > 
</file>

<file path=customXml/item9.xml>��< ? x m l   v e r s i o n = " 1 . 0 "   e n c o d i n g = " U T F - 1 6 " ? > < G e m i n i   x m l n s = " h t t p : / / g e m i n i / p i v o t c u s t o m i z a t i o n / C l i e n t W i n d o w X M L " > < C u s t o m C o n t e n t > < ! [ C D A T A [ v w M e a s u r e s _ a d b d f d c 8 - 9 d 8 f - 4 9 7 d - a 2 9 6 - 3 7 c d 9 e 3 5 c c f 5 ] ] > < / C u s t o m C o n t e n t > < / G e m i n i > 
</file>

<file path=customXml/itemProps1.xml><?xml version="1.0" encoding="utf-8"?>
<ds:datastoreItem xmlns:ds="http://schemas.openxmlformats.org/officeDocument/2006/customXml" ds:itemID="{EAB3A42E-2145-4DBD-A270-47ED66F7DC8F}">
  <ds:schemaRefs>
    <ds:schemaRef ds:uri="http://schemas.microsoft.com/sharepoint/events"/>
  </ds:schemaRefs>
</ds:datastoreItem>
</file>

<file path=customXml/itemProps10.xml><?xml version="1.0" encoding="utf-8"?>
<ds:datastoreItem xmlns:ds="http://schemas.openxmlformats.org/officeDocument/2006/customXml" ds:itemID="{079C976C-DCC4-4BD7-8162-BEF347C6C5E3}">
  <ds:schemaRefs/>
</ds:datastoreItem>
</file>

<file path=customXml/itemProps11.xml><?xml version="1.0" encoding="utf-8"?>
<ds:datastoreItem xmlns:ds="http://schemas.openxmlformats.org/officeDocument/2006/customXml" ds:itemID="{F0CB0F72-1850-4468-9E67-DF57B070D5E0}"/>
</file>

<file path=customXml/itemProps12.xml><?xml version="1.0" encoding="utf-8"?>
<ds:datastoreItem xmlns:ds="http://schemas.openxmlformats.org/officeDocument/2006/customXml" ds:itemID="{96EA66E5-5A07-4401-A701-0AA51468A0A0}">
  <ds:schemaRefs/>
</ds:datastoreItem>
</file>

<file path=customXml/itemProps13.xml><?xml version="1.0" encoding="utf-8"?>
<ds:datastoreItem xmlns:ds="http://schemas.openxmlformats.org/officeDocument/2006/customXml" ds:itemID="{7D0B20B1-3AE4-41C5-A90A-1EE752B2B474}">
  <ds:schemaRefs/>
</ds:datastoreItem>
</file>

<file path=customXml/itemProps14.xml><?xml version="1.0" encoding="utf-8"?>
<ds:datastoreItem xmlns:ds="http://schemas.openxmlformats.org/officeDocument/2006/customXml" ds:itemID="{CE6FA061-F7A5-428E-AD3C-873A28D64EAF}">
  <ds:schemaRefs/>
</ds:datastoreItem>
</file>

<file path=customXml/itemProps15.xml><?xml version="1.0" encoding="utf-8"?>
<ds:datastoreItem xmlns:ds="http://schemas.openxmlformats.org/officeDocument/2006/customXml" ds:itemID="{AA0D0ED8-1B30-4E62-A988-34E73E181BE7}">
  <ds:schemaRefs>
    <ds:schemaRef ds:uri="http://purl.org/dc/terms/"/>
    <ds:schemaRef ds:uri="a2770165-4f9f-4d0d-8964-a1977d2be980"/>
    <ds:schemaRef ds:uri="http://schemas.microsoft.com/office/2006/documentManagement/types"/>
    <ds:schemaRef ds:uri="http://schemas.microsoft.com/office/infopath/2007/PartnerControls"/>
    <ds:schemaRef ds:uri="b0026184-765f-4768-b711-70a371f96413"/>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16.xml><?xml version="1.0" encoding="utf-8"?>
<ds:datastoreItem xmlns:ds="http://schemas.openxmlformats.org/officeDocument/2006/customXml" ds:itemID="{DA93D1EA-7235-4EC0-BACE-145C5916A2EC}">
  <ds:schemaRefs/>
</ds:datastoreItem>
</file>

<file path=customXml/itemProps17.xml><?xml version="1.0" encoding="utf-8"?>
<ds:datastoreItem xmlns:ds="http://schemas.openxmlformats.org/officeDocument/2006/customXml" ds:itemID="{B0A7459B-FD37-4B0D-A7C4-926B88ACCB03}">
  <ds:schemaRefs/>
</ds:datastoreItem>
</file>

<file path=customXml/itemProps18.xml><?xml version="1.0" encoding="utf-8"?>
<ds:datastoreItem xmlns:ds="http://schemas.openxmlformats.org/officeDocument/2006/customXml" ds:itemID="{8D331738-EBA5-4B85-8796-F0ED4E7DC371}">
  <ds:schemaRefs/>
</ds:datastoreItem>
</file>

<file path=customXml/itemProps19.xml><?xml version="1.0" encoding="utf-8"?>
<ds:datastoreItem xmlns:ds="http://schemas.openxmlformats.org/officeDocument/2006/customXml" ds:itemID="{E017B785-51C8-4539-BAE2-D124545AC35C}">
  <ds:schemaRefs/>
</ds:datastoreItem>
</file>

<file path=customXml/itemProps2.xml><?xml version="1.0" encoding="utf-8"?>
<ds:datastoreItem xmlns:ds="http://schemas.openxmlformats.org/officeDocument/2006/customXml" ds:itemID="{9FFC5F76-3857-447F-BF2D-91D22DE6F9FA}">
  <ds:schemaRefs/>
</ds:datastoreItem>
</file>

<file path=customXml/itemProps20.xml><?xml version="1.0" encoding="utf-8"?>
<ds:datastoreItem xmlns:ds="http://schemas.openxmlformats.org/officeDocument/2006/customXml" ds:itemID="{4A9964F1-6BD0-4A10-ABDA-89E5A8F344EC}"/>
</file>

<file path=customXml/itemProps21.xml><?xml version="1.0" encoding="utf-8"?>
<ds:datastoreItem xmlns:ds="http://schemas.openxmlformats.org/officeDocument/2006/customXml" ds:itemID="{9109CC02-2192-433B-B8D3-3638F562BB5D}">
  <ds:schemaRefs/>
</ds:datastoreItem>
</file>

<file path=customXml/itemProps22.xml><?xml version="1.0" encoding="utf-8"?>
<ds:datastoreItem xmlns:ds="http://schemas.openxmlformats.org/officeDocument/2006/customXml" ds:itemID="{30B499E1-7C47-4285-8CBA-C323D6571435}">
  <ds:schemaRefs>
    <ds:schemaRef ds:uri="http://schemas.microsoft.com/sharepoint/v3/contenttype/forms"/>
  </ds:schemaRefs>
</ds:datastoreItem>
</file>

<file path=customXml/itemProps3.xml><?xml version="1.0" encoding="utf-8"?>
<ds:datastoreItem xmlns:ds="http://schemas.openxmlformats.org/officeDocument/2006/customXml" ds:itemID="{447597CE-7136-4FB6-BB12-245E3BA30850}">
  <ds:schemaRefs/>
</ds:datastoreItem>
</file>

<file path=customXml/itemProps4.xml><?xml version="1.0" encoding="utf-8"?>
<ds:datastoreItem xmlns:ds="http://schemas.openxmlformats.org/officeDocument/2006/customXml" ds:itemID="{97E78F0E-CB76-41FA-8B10-38DEDC97037D}">
  <ds:schemaRefs/>
</ds:datastoreItem>
</file>

<file path=customXml/itemProps5.xml><?xml version="1.0" encoding="utf-8"?>
<ds:datastoreItem xmlns:ds="http://schemas.openxmlformats.org/officeDocument/2006/customXml" ds:itemID="{3E792231-D78D-40BB-821E-406F6447476F}">
  <ds:schemaRefs/>
</ds:datastoreItem>
</file>

<file path=customXml/itemProps6.xml><?xml version="1.0" encoding="utf-8"?>
<ds:datastoreItem xmlns:ds="http://schemas.openxmlformats.org/officeDocument/2006/customXml" ds:itemID="{FA805DD1-6A3F-4688-976A-301D17F37C16}">
  <ds:schemaRefs>
    <ds:schemaRef ds:uri="http://schemas.microsoft.com/DataMashup"/>
  </ds:schemaRefs>
</ds:datastoreItem>
</file>

<file path=customXml/itemProps7.xml><?xml version="1.0" encoding="utf-8"?>
<ds:datastoreItem xmlns:ds="http://schemas.openxmlformats.org/officeDocument/2006/customXml" ds:itemID="{D34C37DA-44BD-43DF-833A-AB392323B05E}">
  <ds:schemaRefs/>
</ds:datastoreItem>
</file>

<file path=customXml/itemProps8.xml><?xml version="1.0" encoding="utf-8"?>
<ds:datastoreItem xmlns:ds="http://schemas.openxmlformats.org/officeDocument/2006/customXml" ds:itemID="{3EBEBD7D-36D4-455F-A05E-92BCF6219B67}">
  <ds:schemaRefs/>
</ds:datastoreItem>
</file>

<file path=customXml/itemProps9.xml><?xml version="1.0" encoding="utf-8"?>
<ds:datastoreItem xmlns:ds="http://schemas.openxmlformats.org/officeDocument/2006/customXml" ds:itemID="{23E8B817-3174-4A9D-9521-A201E3E010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13</vt:i4>
      </vt:variant>
    </vt:vector>
  </HeadingPairs>
  <TitlesOfParts>
    <vt:vector size="60" baseType="lpstr">
      <vt:lpstr>List</vt:lpstr>
      <vt:lpstr>Copyright Notice</vt:lpstr>
      <vt:lpstr>Selection</vt:lpstr>
      <vt:lpstr>Cover Page</vt:lpstr>
      <vt:lpstr>Outline</vt:lpstr>
      <vt:lpstr>Summary 2020-21 scratch</vt:lpstr>
      <vt:lpstr>Summary Table</vt:lpstr>
      <vt:lpstr>Summary ALL</vt:lpstr>
      <vt:lpstr> Summary by Program 2020-21</vt:lpstr>
      <vt:lpstr>Summary 2020-21</vt:lpstr>
      <vt:lpstr>Total PP Savings</vt:lpstr>
      <vt:lpstr>Data Sources 20-21</vt:lpstr>
      <vt:lpstr>Summary Program Measures</vt:lpstr>
      <vt:lpstr>Summary Codes and Stds</vt:lpstr>
      <vt:lpstr>C&amp;S List</vt:lpstr>
      <vt:lpstr>Funder Share Table</vt:lpstr>
      <vt:lpstr>Methodology</vt:lpstr>
      <vt:lpstr>Common Qs</vt:lpstr>
      <vt:lpstr> Summary by Program</vt:lpstr>
      <vt:lpstr>Overview</vt:lpstr>
      <vt:lpstr>Programs</vt:lpstr>
      <vt:lpstr>AMMO Savings Rates</vt:lpstr>
      <vt:lpstr>AMMO Units</vt:lpstr>
      <vt:lpstr>AMMO Measure Funding Cycles</vt:lpstr>
      <vt:lpstr>AMMO Measures</vt:lpstr>
      <vt:lpstr>AMMO Funder Share</vt:lpstr>
      <vt:lpstr>DHP</vt:lpstr>
      <vt:lpstr>XMP</vt:lpstr>
      <vt:lpstr>HPWH</vt:lpstr>
      <vt:lpstr>Manufactured_Homes</vt:lpstr>
      <vt:lpstr>Frig_Freezers</vt:lpstr>
      <vt:lpstr>Clothes_Washers</vt:lpstr>
      <vt:lpstr>Clothes_Dryers</vt:lpstr>
      <vt:lpstr>Room_AC</vt:lpstr>
      <vt:lpstr>TVs</vt:lpstr>
      <vt:lpstr>Homes_Vol</vt:lpstr>
      <vt:lpstr>Air_Cleaners</vt:lpstr>
      <vt:lpstr>Soundbars</vt:lpstr>
      <vt:lpstr>Commercial_Desktops</vt:lpstr>
      <vt:lpstr>Com_Lighting</vt:lpstr>
      <vt:lpstr>Ind_Lighting</vt:lpstr>
      <vt:lpstr>Window_Attachmts</vt:lpstr>
      <vt:lpstr>CRES</vt:lpstr>
      <vt:lpstr>Codes</vt:lpstr>
      <vt:lpstr>Standards</vt:lpstr>
      <vt:lpstr>Market Adoption Units</vt:lpstr>
      <vt:lpstr>2. Report Detail 7thPP</vt:lpstr>
      <vt:lpstr>Adjustments</vt:lpstr>
      <vt:lpstr>Allocation_list</vt:lpstr>
      <vt:lpstr>hpwhrtf</vt:lpstr>
      <vt:lpstr>Period_List</vt:lpstr>
      <vt:lpstr>'Data Sources 20-21'!Print_Area</vt:lpstr>
      <vt:lpstr>'Data Sources 20-21'!Print_Titles</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Christina Steinhoff</dc:creator>
  <cp:lastModifiedBy>Christina Steinhoff</cp:lastModifiedBy>
  <dcterms:created xsi:type="dcterms:W3CDTF">2017-06-13T23:05:40Z</dcterms:created>
  <dcterms:modified xsi:type="dcterms:W3CDTF">2021-08-13T22:53:57Z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0x0101006E56B4D1795A2E4DB2F0B01679ED314A00A6EC2B34D56824478303D8B73BC62E62</vt:lpwstr>
  </property>
  <property fmtid="{D5CDD505-2E9C-101B-9397-08002B2CF9AE}" pid="4" name="Classification Level">
    <vt:lpwstr/>
  </property>
  <property fmtid="{D5CDD505-2E9C-101B-9397-08002B2CF9AE}" pid="5" name="Stakeholder">
    <vt:lpwstr/>
  </property>
  <property fmtid="{D5CDD505-2E9C-101B-9397-08002B2CF9AE}" pid="6" name="_docset_NoMedatataSyncRequired">
    <vt:lpwstr>False</vt:lpwstr>
  </property>
  <property fmtid="{D5CDD505-2E9C-101B-9397-08002B2CF9AE}" pid="7" name="IsEFSEC">
    <vt:bool>false</vt:bool>
  </property>
</Properties>
</file>